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yucel\Desktop\Code\FREELANCE\dasschnelle\"/>
    </mc:Choice>
  </mc:AlternateContent>
  <xr:revisionPtr revIDLastSave="0" documentId="13_ncr:1_{3E562FCC-4379-44CB-8A74-64F9D8ABAA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55" i="1" l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<sst xmlns="http://schemas.openxmlformats.org/spreadsheetml/2006/main" count="83328" uniqueCount="46968">
  <si>
    <t>name</t>
  </si>
  <si>
    <t>description</t>
  </si>
  <si>
    <t>streetAddress</t>
  </si>
  <si>
    <t>postalCode</t>
  </si>
  <si>
    <t>addressLocality</t>
  </si>
  <si>
    <t>addressRegion</t>
  </si>
  <si>
    <t>addressCountry</t>
  </si>
  <si>
    <t>latitude</t>
  </si>
  <si>
    <t>longitude</t>
  </si>
  <si>
    <t>telephones</t>
  </si>
  <si>
    <t>faxNumber</t>
  </si>
  <si>
    <t>email</t>
  </si>
  <si>
    <t>logo</t>
  </si>
  <si>
    <t>images</t>
  </si>
  <si>
    <t>priceRange</t>
  </si>
  <si>
    <t>Location</t>
  </si>
  <si>
    <t>Blumen-Egerth, Exenberger Renate, Blumen • Kufstein • Tirol</t>
  </si>
  <si>
    <t>Blumenhandel, Gärtnereien • Blumen-Egerth, Exenberger Renate, Gewerbehof 1, Kufstein • Kontakt über aktuelle Telefonnummern ☎ und Adressen ⚑ mit Karte, Routing, Öffnungszeiten, Homepage, E-Mail, vCard und Firmendaten.</t>
  </si>
  <si>
    <t>Gewerbehof 1</t>
  </si>
  <si>
    <t>6330</t>
  </si>
  <si>
    <t>Kufstein</t>
  </si>
  <si>
    <t>Tirol</t>
  </si>
  <si>
    <t>AT</t>
  </si>
  <si>
    <t>47.58499</t>
  </si>
  <si>
    <t>12.17076</t>
  </si>
  <si>
    <t>-</t>
  </si>
  <si>
    <t>+43537262100</t>
  </si>
  <si>
    <t>blumen.kufstein@kufnet.at</t>
  </si>
  <si>
    <t>https://bilder.dasschnelle.at/DasSchnelle/50/5000/9901/046156/G_046156_P_906294854.adn.gif</t>
  </si>
  <si>
    <t>€€</t>
  </si>
  <si>
    <t>Werlberger, Matthias, Erdbau &amp; Sprengunternehmen • Vorderthiersee • Tirol</t>
  </si>
  <si>
    <t>Erdbau • Werlberger, Matthias, Marbling 9, Vorderthiersee • Kontakt über aktuelle Telefonnummern ☎ und Adressen ⚑ mit Karte, Routing, Öffnungszeiten, Homepage, E-Mail, vCard und Firmendaten.</t>
  </si>
  <si>
    <t>Marbling 9</t>
  </si>
  <si>
    <t>6335</t>
  </si>
  <si>
    <t>Vorderthiersee</t>
  </si>
  <si>
    <t>47.6005</t>
  </si>
  <si>
    <t>12.14657</t>
  </si>
  <si>
    <t>+43537620909</t>
  </si>
  <si>
    <t>+43537620910</t>
  </si>
  <si>
    <t>info@erdbau-werlberger.at</t>
  </si>
  <si>
    <t>https://bilder.dasschnelle.at/DasSchnelle/50/5000/9901/044362/I_044362_P_906075443_L_0035993213_1.png</t>
  </si>
  <si>
    <t>https://bilder.dasschnelle.at/DasSchnelle/50/5000/9901/044362/I_044362_P_906075443_B_0035993213_1.gal.png?height=297&amp;width=449;https://bilder.dasschnelle.at/DasSchnelle/50/5000/9901/044362/I_044362_P_906075443_B_0035993213_2.gal.png?height=730&amp;width=541;https://bilder.dasschnelle.at/DasSchnelle/50/5000/9901/044362/I_044362_P_906075443_B_0035993213_3.gal.png?height=638&amp;width=993;https://bilder.dasschnelle.at/DasSchnelle/50/5000/9901/044362/I_044362_P_906075443_B_0035993213_4.gal.png?height=585&amp;width=493</t>
  </si>
  <si>
    <t>Moser, Manfred, Spenglerei • Walchsee • Tirol</t>
  </si>
  <si>
    <t>Spenglereien • Moser, Manfred, Durchholzen 24, Walchsee • Kontakt über aktuelle Telefonnummern ☎ und Adressen ⚑ mit Karte, Routing, Öffnungszeiten, Homepage, E-Mail, vCard und Firmendaten.</t>
  </si>
  <si>
    <t>Durchholzen 24</t>
  </si>
  <si>
    <t>6344</t>
  </si>
  <si>
    <t>Walchsee</t>
  </si>
  <si>
    <t>47.6393300</t>
  </si>
  <si>
    <t>12.2845000</t>
  </si>
  <si>
    <t>+43537420001</t>
  </si>
  <si>
    <t>spenglereimoser.fred@aon.at</t>
  </si>
  <si>
    <t>https://bilder.dasschnelle.at/DasSchnelle/50/5000/9901/044568/G_044568_P_906294905.adn.gif</t>
  </si>
  <si>
    <t>Quatember, Andrea, Dr. • Kufstein • Tirol</t>
  </si>
  <si>
    <t>Ärzte / Fachärzte f. Innere Medizin • Quatember, Andrea, Dr., Arkadenplatz 2, Kufstein • Kontakt über aktuelle Telefonnummern ☎ und Adressen ⚑ mit Karte, Routing, Öffnungszeiten, Homepage, E-Mail, vCard und Firmendaten.</t>
  </si>
  <si>
    <t>Arkadenplatz 2</t>
  </si>
  <si>
    <t>47.5820200</t>
  </si>
  <si>
    <t>12.1713200</t>
  </si>
  <si>
    <t>+436506411411</t>
  </si>
  <si>
    <t>https://bilder.dasschnelle.at/DasSchnelle/50/5000/9901/046156/G_046156_P_906294866.adn.gif</t>
  </si>
  <si>
    <t>ATG Auto Technik Gruber KG, Autotechnik • Eichelwang • Tirol</t>
  </si>
  <si>
    <t>Autoersatzteile u. -zubehör • ATG Auto Technik Gruber KG, Kaiserbach 1 B, Eichelwang • Kontakt über aktuelle Telefonnummern ☎ und Adressen ⚑ mit Karte, Routing, Öffnungszeiten, Homepage, E-Mail, vCard und Firmendaten.</t>
  </si>
  <si>
    <t>Kaiserbach 1 B</t>
  </si>
  <si>
    <t>6341</t>
  </si>
  <si>
    <t>Eichelwang</t>
  </si>
  <si>
    <t>47.59839</t>
  </si>
  <si>
    <t>12.18747</t>
  </si>
  <si>
    <t>+43537261731;+4369912038006</t>
  </si>
  <si>
    <t>+43537271547</t>
  </si>
  <si>
    <t>autotechnik.gruber@aon.at</t>
  </si>
  <si>
    <t>https://bilder.dasschnelle.at/DasSchnelle/50/5000/9901/046151/G_046151_P_906294835.adn.gif</t>
  </si>
  <si>
    <t>Sawires, Martin, Dr. med. univ., Neurologe • Kramsach • Tirol</t>
  </si>
  <si>
    <t>Neurologie • Sawires, Martin, Dr. med. univ., Mariatal 43, Kramsach • Kontakt über aktuelle Telefonnummern ☎ und Adressen ⚑ mit Karte, Routing, Öffnungszeiten, Homepage, E-Mail, vCard und Firmendaten.</t>
  </si>
  <si>
    <t>Mariatal 43</t>
  </si>
  <si>
    <t>6233</t>
  </si>
  <si>
    <t>Kramsach</t>
  </si>
  <si>
    <t>47.4528653</t>
  </si>
  <si>
    <t>11.8659686</t>
  </si>
  <si>
    <t>+436508111337</t>
  </si>
  <si>
    <t>msawires@web.de</t>
  </si>
  <si>
    <t>https://bilder.dasschnelle.at/DasSchnelle/50/5000/9901/046155/G_046155_P_906298010.adn.gif</t>
  </si>
  <si>
    <t>Damhofer, Rudolf, Restaurant • Reichraming • Oberösterreich</t>
  </si>
  <si>
    <t>Gastgewerbe - Gasthöfe • Damhofer, Rudolf, Rohrbachgraben 7, Reichraming • Kontakt über aktuelle Telefonnummern ☎ und Adressen ⚑ mit Karte, Routing, Öffnungszeiten, Homepage, E-Mail, vCard und Firmendaten.</t>
  </si>
  <si>
    <t>Rohrbachgraben 7</t>
  </si>
  <si>
    <t>4462</t>
  </si>
  <si>
    <t>Reichraming</t>
  </si>
  <si>
    <t>Oberösterreich</t>
  </si>
  <si>
    <t>47.89483</t>
  </si>
  <si>
    <t>14.43634</t>
  </si>
  <si>
    <t>+4372558138</t>
  </si>
  <si>
    <t>+43725581384</t>
  </si>
  <si>
    <t>gasthof.damhofer@aon.at</t>
  </si>
  <si>
    <t>https://bilder.dasschnelle.at/DasSchnelle/50/5000/9878/042817/G_042817_P_906269881.adn.gif</t>
  </si>
  <si>
    <t>Selig, Dagmar, Dr.med., FA f Allgemeinmedizin • Steyr • Oberösterreich</t>
  </si>
  <si>
    <t>Ärzte / f Allgemeinmedizin • Selig, Dagmar, Dr.med., Johann-Puch-Straße 5, Steyr • Kontakt über aktuelle Telefonnummern ☎ und Adressen ⚑ mit Karte, Routing, Öffnungszeiten, Homepage, E-Mail, vCard und Firmendaten.</t>
  </si>
  <si>
    <t>Johann-Puch-Straße 5</t>
  </si>
  <si>
    <t>4400</t>
  </si>
  <si>
    <t>Steyr</t>
  </si>
  <si>
    <t>48.04958</t>
  </si>
  <si>
    <t>14.42073</t>
  </si>
  <si>
    <t>+43725272024</t>
  </si>
  <si>
    <t>dagmar.selig@medway.at</t>
  </si>
  <si>
    <t>https://bilder.dasschnelle.at/DasSchnelle/50/5000/9878/044546/G_044546_P_906268558.adn.gif</t>
  </si>
  <si>
    <t>Nagler, Daniel, Petermühle, Restaurant • Losenstein • Oberösterreich</t>
  </si>
  <si>
    <t>Cafés, Gastgewerbe - Gasthöfe, Restaurants • Nagler, Daniel, Petermühle, Stiedelsbach 23, Losenstein • Kontakt über aktuelle Telefonnummern ☎ und Adressen ⚑ mit Karte, Routing, Öffnungszeiten, Homepage, E-Mail, vCard und Firmendaten.</t>
  </si>
  <si>
    <t>Stiedelsbach 23</t>
  </si>
  <si>
    <t>4460</t>
  </si>
  <si>
    <t>Losenstein</t>
  </si>
  <si>
    <t>47.9253</t>
  </si>
  <si>
    <t>14.44704</t>
  </si>
  <si>
    <t>+43725520061</t>
  </si>
  <si>
    <t>petermuehle@aon.at</t>
  </si>
  <si>
    <t>https://bilder.dasschnelle.at/DasSchnelle/50/5000/9878/042814/G_042814_P_906269883.adn.gif</t>
  </si>
  <si>
    <t>Mayerweg, Xenia, DDr., Zahnarzt • Steyr • Oberösterreich</t>
  </si>
  <si>
    <t>Ärzte / Fachärzte f. Zahn-, Mund u. Kieferheilkunde • Mayerweg, Xenia, DDr., Koloman-Wallisch-Straße 1, Steyr • Kontakt über aktuelle Telefonnummern ☎ und Adressen ⚑ mit Karte, Routing, Öffnungszeiten, Homepage, E-Mail, vCard und Firmendaten.</t>
  </si>
  <si>
    <t>Koloman-Wallisch-Straße 1</t>
  </si>
  <si>
    <t>48.03371</t>
  </si>
  <si>
    <t>14.42452</t>
  </si>
  <si>
    <t>+43725248510</t>
  </si>
  <si>
    <t>xenia.mayerweg@gmail.com</t>
  </si>
  <si>
    <t>https://bilder.dasschnelle.at/DasSchnelle/50/5000/9878/044546/G_044546_P_906221510.adn.gif</t>
  </si>
  <si>
    <t>Großauer GmbH &amp; Co KG, Schotterwerk • Reichraming • Oberösterreich</t>
  </si>
  <si>
    <t>Bauunternehmen, Sand u. Schotter, Transportunternehmen • Großauer GmbH &amp; Co KG, Eisenstraße 5, Reichraming • Kontakt über aktuelle Telefonnummern ☎ und Adressen ⚑ mit Karte, Routing, Öffnungszeiten, Homepage, E-Mail, vCard und Firmendaten.</t>
  </si>
  <si>
    <t>Eisenstraße 5</t>
  </si>
  <si>
    <t>47.90239</t>
  </si>
  <si>
    <t>14.44955</t>
  </si>
  <si>
    <t>+4372558137</t>
  </si>
  <si>
    <t>+43725581374</t>
  </si>
  <si>
    <t>transporte.grossauer@utanet.at</t>
  </si>
  <si>
    <t>https://bilder.dasschnelle.at/DasSchnelle/50/5000/9878/042817/G_042817_P_906269879.adn.gif</t>
  </si>
  <si>
    <t>Kosmetikstudio Anita, Fusspflegestudio • Steyr • Oberösterreich</t>
  </si>
  <si>
    <t>Fußpflege, Kosmetik • Kosmetikstudio Anita, Karl-Punzer-Straße 40, Steyr • Kontakt über aktuelle Telefonnummern ☎ und Adressen ⚑ mit Karte, Routing, Öffnungszeiten, Homepage, E-Mail, vCard und Firmendaten.</t>
  </si>
  <si>
    <t>Karl-Punzer-Straße 40</t>
  </si>
  <si>
    <t>48.05216</t>
  </si>
  <si>
    <t>14.44148</t>
  </si>
  <si>
    <t>+43725272911</t>
  </si>
  <si>
    <t>office@fusspflegestudio.at</t>
  </si>
  <si>
    <t>https://bilder.dasschnelle.at/DasSchnelle/50/5000/9878/044546/G_044546_P_906249210.adn.gif</t>
  </si>
  <si>
    <t>Braunsberger, Andrea, Psychotherapeutin • Steyr • Oberösterreich</t>
  </si>
  <si>
    <t>Psychotherapie • Braunsberger, Andrea, Pachergasse 17, Steyr • Kontakt über aktuelle Telefonnummern ☎ und Adressen ⚑ mit Karte, Routing, Öffnungszeiten, Homepage, E-Mail, vCard und Firmendaten.</t>
  </si>
  <si>
    <t>Pachergasse 17</t>
  </si>
  <si>
    <t>48.0417</t>
  </si>
  <si>
    <t>14.42605</t>
  </si>
  <si>
    <t>+436764448973</t>
  </si>
  <si>
    <t>praxis@andrea-braunsberger.at</t>
  </si>
  <si>
    <t>https://bilder.dasschnelle.at/DasSchnelle/50/5000/9878/044546/G_044546_P_906243497.adn.gif</t>
  </si>
  <si>
    <t>Mayrhofer &amp; Hackl ZT GmbH, Ing Konsulent f Vermessungswesen • Steyr • Oberösterreich</t>
  </si>
  <si>
    <t>Vermessungsbüros • Mayrhofer &amp; Hackl ZT GmbH, Stadtplatz 34, Steyr • Kontakt über aktuelle Telefonnummern ☎ und Adressen ⚑ mit Karte, Routing, Öffnungszeiten, Homepage, E-Mail, vCard und Firmendaten.</t>
  </si>
  <si>
    <t>Stadtplatz 34</t>
  </si>
  <si>
    <t>48.0387900</t>
  </si>
  <si>
    <t>14.4186500</t>
  </si>
  <si>
    <t>+43725253093;+436763207380</t>
  </si>
  <si>
    <t>office@geo-steyr.at</t>
  </si>
  <si>
    <t>https://bilder.dasschnelle.at/DasSchnelle/50/5000/9878/044546/G_044546_P_906245151.adn.gif</t>
  </si>
  <si>
    <t>Steineck, Karl, Gasthaus • Weyer • Oberösterreich</t>
  </si>
  <si>
    <t>Gastgewerbe - Gasthöfe • Steineck, Karl, Steyrer Straße 3, Weyer • Kontakt über aktuelle Telefonnummern ☎ und Adressen ⚑ mit Karte, Routing, Öffnungszeiten, Homepage, E-Mail, vCard und Firmendaten.</t>
  </si>
  <si>
    <t>Steyrer Straße 3</t>
  </si>
  <si>
    <t>3335</t>
  </si>
  <si>
    <t>Weyer</t>
  </si>
  <si>
    <t>47.85378</t>
  </si>
  <si>
    <t>14.65768</t>
  </si>
  <si>
    <t>+4373556291</t>
  </si>
  <si>
    <t>office@gasthaus-steineck.at</t>
  </si>
  <si>
    <t>https://bilder.dasschnelle.at/DasSchnelle/50/5000/9878/042825/G_042825_P_906266665.adn.gif</t>
  </si>
  <si>
    <t>Slanic, Romana, la jolie, Fußpflege • Garsten • Oberösterreich</t>
  </si>
  <si>
    <t>Fußpflege • Slanic, Romana, la jolie, Klosterstraße 11, Garsten • Kontakt über aktuelle Telefonnummern ☎ und Adressen ⚑ mit Karte, Routing, Öffnungszeiten, Homepage, E-Mail, vCard und Firmendaten.</t>
  </si>
  <si>
    <t>Klosterstraße 11</t>
  </si>
  <si>
    <t>4451</t>
  </si>
  <si>
    <t>Garsten</t>
  </si>
  <si>
    <t>48.02207</t>
  </si>
  <si>
    <t>14.40286</t>
  </si>
  <si>
    <t>+43725251400</t>
  </si>
  <si>
    <t>office@la-jolie.at</t>
  </si>
  <si>
    <t>https://bilder.dasschnelle.at/DasSchnelle/50/5000/9878/042811/G_042811_P_906277477.adn.gif</t>
  </si>
  <si>
    <t>Fuchshuber GmbH, Zimmerei • Steyr • Niederösterreich</t>
  </si>
  <si>
    <t>Tischlereien, Zimmereien • Fuchshuber GmbH, Ennser Straße 54 a, Steyr • Kontakt über aktuelle Telefonnummern ☎ und Adressen ⚑ mit Karte, Routing, Öffnungszeiten, Homepage, E-Mail, vCard und Firmendaten.</t>
  </si>
  <si>
    <t>Ennser Straße 54 a</t>
  </si>
  <si>
    <t>4407</t>
  </si>
  <si>
    <t>Niederösterreich</t>
  </si>
  <si>
    <t>48.07016</t>
  </si>
  <si>
    <t>14.42415</t>
  </si>
  <si>
    <t>+43725272931</t>
  </si>
  <si>
    <t>+4372523000920</t>
  </si>
  <si>
    <t>franz@fuchshuber-holz.at</t>
  </si>
  <si>
    <t>https://bilder.dasschnelle.at/DasSchnelle/50/5000/9878/044546/G_044546_P_906136223.adn.gif</t>
  </si>
  <si>
    <t>Frauenhaus Steyr • Steyr • Oberösterreich</t>
  </si>
  <si>
    <t>Beratungsstellen, Hilfsdienste • Frauenhaus Steyr, Steyr • Kontakt über aktuelle Telefonnummern ☎ und Adressen ⚑ mit Karte, Routing, Öffnungszeiten, Homepage, E-Mail, vCard und Firmendaten.</t>
  </si>
  <si>
    <t>48.0418838</t>
  </si>
  <si>
    <t>14.4078882</t>
  </si>
  <si>
    <t>+43725287700</t>
  </si>
  <si>
    <t>office@frauenhaus-steyr.at</t>
  </si>
  <si>
    <t>https://bilder.dasschnelle.at/DasSchnelle/50/5000/9878/044546/G_044546_P_906221522.adn.gif</t>
  </si>
  <si>
    <t>Mayr, Andreas, Dr., FA f Zahn-, Mund- u Kieferheilkunde • Steyr • Oberösterreich</t>
  </si>
  <si>
    <t>Ärzte / Fachärzte f. Zahn-, Mund u. Kieferheilkunde • Mayr, Andreas, Dr., Tomitzstraße 5, Steyr • Kontakt über aktuelle Telefonnummern ☎ und Adressen ⚑ mit Karte, Routing, Öffnungszeiten, Homepage, E-Mail, vCard und Firmendaten.</t>
  </si>
  <si>
    <t>Tomitzstraße 5</t>
  </si>
  <si>
    <t>48.03707</t>
  </si>
  <si>
    <t>14.41335</t>
  </si>
  <si>
    <t>+43725243435</t>
  </si>
  <si>
    <t>dr.andreas.mayr.steyr@medway.at</t>
  </si>
  <si>
    <t>https://bilder.dasschnelle.at/DasSchnelle/50/5000/9878/044546/G_044546_P_906249220.adn.gif</t>
  </si>
  <si>
    <t>Hopf, Jürgen, Hafnermeister • Gaflenz • Oberösterreich</t>
  </si>
  <si>
    <t>Hafner • Hopf, Jürgen, Pettendorf 16, Gaflenz • Kontakt über aktuelle Telefonnummern ☎ und Adressen ⚑ mit Karte, Routing, Öffnungszeiten, Homepage, E-Mail, vCard und Firmendaten.</t>
  </si>
  <si>
    <t>Pettendorf 16</t>
  </si>
  <si>
    <t>3334</t>
  </si>
  <si>
    <t>Gaflenz</t>
  </si>
  <si>
    <t>47.8938764</t>
  </si>
  <si>
    <t>14.7144914</t>
  </si>
  <si>
    <t>+43735322442</t>
  </si>
  <si>
    <t>info@hafnermeister-hopf.at</t>
  </si>
  <si>
    <t>https://bilder.dasschnelle.at/DasSchnelle/50/5000/9878/042810/G_042810_P_906269886.adn.gif</t>
  </si>
  <si>
    <t>Nagler, Peter, Holzschlägerung • Großraming • Oberösterreich</t>
  </si>
  <si>
    <t>Holzschlägerung • Nagler, Peter, Lumplgraben 142, Großraming • Kontakt über aktuelle Telefonnummern ☎ und Adressen ⚑ mit Karte, Routing, Öffnungszeiten, Homepage, E-Mail, vCard und Firmendaten.</t>
  </si>
  <si>
    <t>Lumplgraben 142</t>
  </si>
  <si>
    <t>4463</t>
  </si>
  <si>
    <t>Großraming</t>
  </si>
  <si>
    <t>47.8531712</t>
  </si>
  <si>
    <t>14.5198022</t>
  </si>
  <si>
    <t>+4372547109;+436645019418</t>
  </si>
  <si>
    <t>naglerpeter@aon.at</t>
  </si>
  <si>
    <t>https://bilder.dasschnelle.at/DasSchnelle/50/5000/9878/042812/G_042812_P_906269884.adn.gif</t>
  </si>
  <si>
    <t>Rußegger, Sabine, Mode • Weyer • Oberösterreich</t>
  </si>
  <si>
    <t>Mode • Rußegger, Sabine, Marktplatz 17, Weyer • Kontakt über aktuelle Telefonnummern ☎ und Adressen ⚑ mit Karte, Routing, Öffnungszeiten, Homepage, E-Mail, vCard und Firmendaten.</t>
  </si>
  <si>
    <t>Marktplatz 17</t>
  </si>
  <si>
    <t>47.85823</t>
  </si>
  <si>
    <t>14.66486</t>
  </si>
  <si>
    <t>+43735520668;+43735520021</t>
  </si>
  <si>
    <t>sabine.russegger@aon.at</t>
  </si>
  <si>
    <t>https://bilder.dasschnelle.at/DasSchnelle/50/5000/9878/042825/G_042825_P_906269893.adn.gif</t>
  </si>
  <si>
    <t>Stangl, Christa, Buchhandlung • Weyer • Oberösterreich</t>
  </si>
  <si>
    <t>Buchhandlungen, Papier- u. Schreibwaren • Stangl, Christa, Marktplatz 4, Weyer • Kontakt über aktuelle Telefonnummern ☎ und Adressen ⚑ mit Karte, Routing, Öffnungszeiten, Homepage, E-Mail, vCard und Firmendaten.</t>
  </si>
  <si>
    <t>Marktplatz 4</t>
  </si>
  <si>
    <t>47.8573</t>
  </si>
  <si>
    <t>14.6642</t>
  </si>
  <si>
    <t>+43735520549</t>
  </si>
  <si>
    <t>ennstalbuchhandlung@aon.at</t>
  </si>
  <si>
    <t>https://bilder.dasschnelle.at/DasSchnelle/50/5000/9878/042825/G_042825_P_906266668.adn.gif</t>
  </si>
  <si>
    <t>Hamertinger, Max, Bau-u Möbeltischlerei • Weyer • Oberösterreich</t>
  </si>
  <si>
    <t>Tischlereien • Hamertinger, Max, Waidhofner Straße 59, Weyer • Kontakt über aktuelle Telefonnummern ☎ und Adressen ⚑ mit Karte, Routing, Öffnungszeiten, Homepage, E-Mail, vCard und Firmendaten.</t>
  </si>
  <si>
    <t>Waidhofner Straße 59</t>
  </si>
  <si>
    <t>47.86684</t>
  </si>
  <si>
    <t>14.67194</t>
  </si>
  <si>
    <t>+4373556418</t>
  </si>
  <si>
    <t>tischlerei@hamertinger.at</t>
  </si>
  <si>
    <t>https://bilder.dasschnelle.at/DasSchnelle/50/5000/9878/042825/G_042825_P_906266669.adn.gif</t>
  </si>
  <si>
    <t>Restaurant Rialto • Großraming • Oberösterreich</t>
  </si>
  <si>
    <t>Restaurants • Restaurant Rialto, Lumpelgraben 8, Großraming • Kontakt über aktuelle Telefonnummern ☎ und Adressen ⚑ mit Karte, Routing, Öffnungszeiten, Homepage, E-Mail, vCard und Firmendaten.</t>
  </si>
  <si>
    <t>Lumpelgraben 8</t>
  </si>
  <si>
    <t>47.8826406</t>
  </si>
  <si>
    <t>14.5488337</t>
  </si>
  <si>
    <t>+4372548206</t>
  </si>
  <si>
    <t>office@restaurant-rialto.net</t>
  </si>
  <si>
    <t>https://bilder.dasschnelle.at/DasSchnelle/50/5000/9878/042812/G_042812_P_906270981.adn.gif</t>
  </si>
  <si>
    <t>Haidenthaler, Kurt, Rauchfangkehrer • Steyr • Oberösterreich</t>
  </si>
  <si>
    <t>Kaminsanierung, Rauchfangkehrer • Haidenthaler, Kurt, Wolfernstraße 35, Steyr • Kontakt über aktuelle Telefonnummern ☎ und Adressen ⚑ mit Karte, Routing, Öffnungszeiten, Homepage, E-Mail, vCard und Firmendaten.</t>
  </si>
  <si>
    <t>Wolfernstraße 35</t>
  </si>
  <si>
    <t>48.05085</t>
  </si>
  <si>
    <t>14.39703</t>
  </si>
  <si>
    <t>+43725253212</t>
  </si>
  <si>
    <t>office@haidenthaler.com</t>
  </si>
  <si>
    <t>https://bilder.dasschnelle.at/DasSchnelle/50/5000/9878/044546/G_044546_P_906260344.adn.gif</t>
  </si>
  <si>
    <t>Gasthof Kleinschönleiten • Laussa • Oberösterreich</t>
  </si>
  <si>
    <t>Gastgewerbe - Gasthöfe • Gasthof Kleinschönleiten, Brunngraben 24, Laussa • Kontakt über aktuelle Telefonnummern ☎ und Adressen ⚑ mit Karte, Routing, Öffnungszeiten, Homepage, E-Mail, vCard und Firmendaten.</t>
  </si>
  <si>
    <t>Brunngraben 24</t>
  </si>
  <si>
    <t>4461</t>
  </si>
  <si>
    <t>Laussa</t>
  </si>
  <si>
    <t>47.9552</t>
  </si>
  <si>
    <t>14.41597</t>
  </si>
  <si>
    <t>+4372557296</t>
  </si>
  <si>
    <t>office@gasthaus-kleinschoenleiten.at</t>
  </si>
  <si>
    <t>https://bilder.dasschnelle.at/DasSchnelle/50/5000/9878/042813/I_042813_P_906065252_L_0037232602_1.png</t>
  </si>
  <si>
    <t>https://bilder.dasschnelle.at/DasSchnelle/50/5000/9878/042813/I_042813_P_906065252_B_0037232602_1.gal.png?height=409&amp;width=600;https://bilder.dasschnelle.at/DasSchnelle/50/5000/9878/042813/I_042813_P_906065252_B_0037232602_2.gal.png?height=398&amp;width=600;https://bilder.dasschnelle.at/DasSchnelle/50/5000/9878/042813/I_042813_P_906065252_B_0037232602_3.gal.png?height=375&amp;width=600;https://bilder.dasschnelle.at/DasSchnelle/50/5000/9878/042813/I_042813_P_906065252_B_0037232602_4.gal.png?height=525&amp;width=438</t>
  </si>
  <si>
    <t>Sprosec, Hubert, Versicherungsmakler • Großraming • Oberösterreich</t>
  </si>
  <si>
    <t>Versicherungsmakler • Sprosec, Hubert, Rodelsbach 6, Großraming • Kontakt über aktuelle Telefonnummern ☎ und Adressen ⚑ mit Karte, Routing, Öffnungszeiten, Homepage, E-Mail, vCard und Firmendaten.</t>
  </si>
  <si>
    <t>Rodelsbach 6</t>
  </si>
  <si>
    <t>47.88128</t>
  </si>
  <si>
    <t>14.54401</t>
  </si>
  <si>
    <t>+43725473850</t>
  </si>
  <si>
    <t>sprosec@polizzenprofi.at</t>
  </si>
  <si>
    <t>https://bilder.dasschnelle.at/DasSchnelle/50/5000/9878/042812/G_042812_P_906272485.adn.gif</t>
  </si>
  <si>
    <t>Peter, Harald, Dr.med.univ., FA f Innere Medizin • Krems an der Donau • Niederösterreich</t>
  </si>
  <si>
    <t>Ärzte / Fachärzte f. Innere Medizin • Peter, Harald, Dr.med.univ., Karl-Eybl-Gasse 1 /1/7, Krems an der Donau • Kontakt über aktuelle Telefonnummern ☎ und Adressen ⚑ mit Karte, Routing, Öffnungszeiten, Homepage, E-Mail, vCard und Firmendaten.</t>
  </si>
  <si>
    <t>Karl-Eybl-Gasse 1 /1/7</t>
  </si>
  <si>
    <t>3500</t>
  </si>
  <si>
    <t>Krems an der Donau</t>
  </si>
  <si>
    <t>48.4049192</t>
  </si>
  <si>
    <t>15.5894592</t>
  </si>
  <si>
    <t>+436507986601</t>
  </si>
  <si>
    <t>h.peter13@gmx.at</t>
  </si>
  <si>
    <t>https://bilder.dasschnelle.at/DasSchnelle/50/5000/9899/042057/G_042057_P_906221501.adn.gif</t>
  </si>
  <si>
    <t>Eichelmann, Adolf, Installationen • Krems • Niederösterreich</t>
  </si>
  <si>
    <t>Installationen • Eichelmann, Adolf, Limbergstraße 136, Krems • Kontakt über aktuelle Telefonnummern ☎ und Adressen ⚑ mit Karte, Routing, Öffnungszeiten, Homepage, E-Mail, vCard und Firmendaten.</t>
  </si>
  <si>
    <t>Limbergstraße 136</t>
  </si>
  <si>
    <t>Krems</t>
  </si>
  <si>
    <t>48.43687</t>
  </si>
  <si>
    <t>15.61656</t>
  </si>
  <si>
    <t>+43273284230</t>
  </si>
  <si>
    <t>+43273276902</t>
  </si>
  <si>
    <t>office@eichelmann.at</t>
  </si>
  <si>
    <t>https://bilder.dasschnelle.at/DasSchnelle/50/5000/9899/042057/G_042057_P_906190492.adn.gif</t>
  </si>
  <si>
    <t>Docekal, Thomas, Baustoffhandel • Gars am Kamp • Niederösterreich</t>
  </si>
  <si>
    <t>Baustoffhandel, Handelsunternehmen • Docekal, Thomas, Maiersch 23, Gars am Kamp • Kontakt über aktuelle Telefonnummern ☎ und Adressen ⚑ mit Karte, Routing, Öffnungszeiten, Homepage, E-Mail, vCard und Firmendaten.</t>
  </si>
  <si>
    <t>Maiersch 23</t>
  </si>
  <si>
    <t>3571</t>
  </si>
  <si>
    <t>Gars am Kamp</t>
  </si>
  <si>
    <t>48.5763726</t>
  </si>
  <si>
    <t>15.6850356</t>
  </si>
  <si>
    <t>+436645102464</t>
  </si>
  <si>
    <t>docekal.thomas@ktv-gars.at</t>
  </si>
  <si>
    <t>https://bilder.dasschnelle.at/DasSchnelle/50/5000/9899/041486/G_041486_P_906171771.adn.gif</t>
  </si>
  <si>
    <t>Eckl A BauGmbH • Gföhl • Niederösterreich</t>
  </si>
  <si>
    <t>Bauunternehmen • Eckl A BauGmbH, Langenloiser Straße 71, Gföhl • Kontakt über aktuelle Telefonnummern ☎ und Adressen ⚑ mit Karte, Routing, Öffnungszeiten, Homepage, E-Mail, vCard und Firmendaten.</t>
  </si>
  <si>
    <t>Langenloiser Straße 71</t>
  </si>
  <si>
    <t>3542</t>
  </si>
  <si>
    <t>Gföhl</t>
  </si>
  <si>
    <t>48.5136</t>
  </si>
  <si>
    <t>15.50733</t>
  </si>
  <si>
    <t>+43271620070</t>
  </si>
  <si>
    <t>ecklbau@aon.at</t>
  </si>
  <si>
    <t>https://bilder.dasschnelle.at/DasSchnelle/50/5000/9899/041493/G_041493_P_906171761.adn.gif</t>
  </si>
  <si>
    <t>Brigitte Home, Fliesen • Krems • Niederösterreich</t>
  </si>
  <si>
    <t>Fliesenfachhandel • Brigitte Home, Steiner Landstraße 70, Krems • Kontakt über aktuelle Telefonnummern ☎ und Adressen ⚑ mit Karte, Routing, Öffnungszeiten, Homepage, E-Mail, vCard und Firmendaten.</t>
  </si>
  <si>
    <t>Steiner Landstraße 70</t>
  </si>
  <si>
    <t>48.4019789</t>
  </si>
  <si>
    <t>15.5815437</t>
  </si>
  <si>
    <t>+436765610535</t>
  </si>
  <si>
    <t>info@brigittehome.com</t>
  </si>
  <si>
    <t>https://bilder.dasschnelle.at/DasSchnelle/50/5000/9899/042057/I_042057_P_905935415_L_0036256154_1.png</t>
  </si>
  <si>
    <t>https://bilder.dasschnelle.at/DasSchnelle/50/5000/9899/042057/I_042057_P_905935415_B_0036256154_1.gal.png?height=599&amp;width=599;https://bilder.dasschnelle.at/DasSchnelle/50/5000/9899/042057/I_042057_P_905935415_B_0036256154_2.gal.png?height=599&amp;width=599;https://bilder.dasschnelle.at/DasSchnelle/50/5000/9899/042057/I_042057_P_905935415_B_0036256154_3.gal.png?height=599&amp;width=599;https://bilder.dasschnelle.at/DasSchnelle/50/5000/9899/042057/I_042057_P_905935415_B_0036256154_4.gal.png?height=599&amp;width=599</t>
  </si>
  <si>
    <t>Steininger, Petra, Dr., FA f. Innere Medizin und Kardiologie • Krems • Niederösterreich</t>
  </si>
  <si>
    <t>Ärzte / Fachärzte f. Innere Medizin • Steininger, Petra, Dr., Roseggerstr. 12, Krems • Kontakt über aktuelle Telefonnummern ☎ und Adressen ⚑ mit Karte, Routing, Öffnungszeiten, Homepage, E-Mail, vCard und Firmendaten.</t>
  </si>
  <si>
    <t>Roseggerstr. 12</t>
  </si>
  <si>
    <t>48.4085069</t>
  </si>
  <si>
    <t>15.5901091</t>
  </si>
  <si>
    <t>+436648943394</t>
  </si>
  <si>
    <t>petra.steininger@tele2.at</t>
  </si>
  <si>
    <t>https://bilder.dasschnelle.at/DasSchnelle/50/5000/9899/042057/G_042057_P_906205677.adn.gif</t>
  </si>
  <si>
    <t>Köck GmbH • Albrechtsberg • Niederösterreich</t>
  </si>
  <si>
    <t>Dachdeckereien, Spenglereien, Zimmereien • Köck GmbH, Albrechtsberg • Kontakt über aktuelle Telefonnummern ☎ und Adressen ⚑ mit Karte, Routing, Öffnungszeiten, Homepage, E-Mail, vCard und Firmendaten.</t>
  </si>
  <si>
    <t>3613</t>
  </si>
  <si>
    <t>Albrechtsberg</t>
  </si>
  <si>
    <t>48.4631413</t>
  </si>
  <si>
    <t>15.3725751</t>
  </si>
  <si>
    <t>+43287673720</t>
  </si>
  <si>
    <t>+4328767372020</t>
  </si>
  <si>
    <t>office@koeck-gmbh.at</t>
  </si>
  <si>
    <t>https://bilder.dasschnelle.at/DasSchnelle/50/5000/9899/041487/I_041487_P_905951356_L_0036240423_1.png</t>
  </si>
  <si>
    <t>https://bilder.dasschnelle.at/DasSchnelle/50/5000/9899/041487/I_041487_P_905951356_B_0036240423_1.gal.png?height=269&amp;width=269;https://bilder.dasschnelle.at/DasSchnelle/50/5000/9899/041487/I_041487_P_905951356_B_0036240423_2.gal.png?height=269&amp;width=269;https://bilder.dasschnelle.at/DasSchnelle/50/5000/9899/041487/I_041487_P_905951356_B_0036240423_3.gal.png?height=269&amp;width=269;https://bilder.dasschnelle.at/DasSchnelle/50/5000/9899/041487/I_041487_P_905951356_B_0036240423_4.gal.png?height=269&amp;width=269</t>
  </si>
  <si>
    <t>KFZ-Zierlinger Andreas Zierlinger e.U. • Mautern an der Donau • Niederösterreich</t>
  </si>
  <si>
    <t>Autohandel • KFZ-Zierlinger Andreas Zierlinger e.U., Oberbergern 142, Mautern an der Donau • Kontakt über aktuelle Telefonnummern ☎ und Adressen ⚑ mit Karte, Routing, Öffnungszeiten, Homepage, E-Mail, vCard und Firmendaten.</t>
  </si>
  <si>
    <t>Oberbergern 142</t>
  </si>
  <si>
    <t>3512</t>
  </si>
  <si>
    <t>Mautern an der Donau</t>
  </si>
  <si>
    <t>48.3659155</t>
  </si>
  <si>
    <t>15.5366696</t>
  </si>
  <si>
    <t>+436641532865</t>
  </si>
  <si>
    <t>kfz-zierlinger@wavenet.at</t>
  </si>
  <si>
    <t>https://bilder.dasschnelle.at/DasSchnelle/50/5000/9899/041488/G_041488_P_906162152.adn.gif</t>
  </si>
  <si>
    <t>Fischer, Gregor, Dr., FA f Hals-, Nasen-u Ohrenkrankheiten FA f Hals-, Nasen-u Ohrenkrankhei • Lengenfeld • Niederösterreich</t>
  </si>
  <si>
    <t>Ärzte / Fachärzte f. Hals-, Nasen u. Ohrenkrankheiten • Fischer, Gregor, Dr., Schickenberggasse 28, Lengenfeld • Kontakt über aktuelle Telefonnummern ☎ und Adressen ⚑ mit Karte, Routing, Öffnungszeiten, Homepage, E-Mail, vCard und Firmendaten.</t>
  </si>
  <si>
    <t>Schickenberggasse 28</t>
  </si>
  <si>
    <t>3552</t>
  </si>
  <si>
    <t>Lengenfeld</t>
  </si>
  <si>
    <t>48.47468</t>
  </si>
  <si>
    <t>15.59542</t>
  </si>
  <si>
    <t>+43271930505</t>
  </si>
  <si>
    <t>fischer@hno-lengenfeld.at</t>
  </si>
  <si>
    <t>https://bilder.dasschnelle.at/DasSchnelle/50/5000/9899/041498/G_041498_P_906222348.adn.gif</t>
  </si>
  <si>
    <t>Suntinger, Arno, Dr., FA f Augenheilkunde u Optometrie • Krems • Niederösterreich</t>
  </si>
  <si>
    <t>Ärzte / Fachärzte f. Augenheilkunde u. Optometrie • Suntinger, Arno, Dr., Dreifaltigkeitsplatz 4, Krems • Kontakt über aktuelle Telefonnummern ☎ und Adressen ⚑ mit Karte, Routing, Öffnungszeiten, Homepage, E-Mail, vCard und Firmendaten.</t>
  </si>
  <si>
    <t>Dreifaltigkeitsplatz 4</t>
  </si>
  <si>
    <t>48.4101814</t>
  </si>
  <si>
    <t>15.6015163</t>
  </si>
  <si>
    <t>+432732853710</t>
  </si>
  <si>
    <t>keratograph@doktor-suntinger.at</t>
  </si>
  <si>
    <t>https://bilder.dasschnelle.at/DasSchnelle/50/5000/9899/042057/G_042057_P_906225932.adn.gif</t>
  </si>
  <si>
    <t>Jokesch KG, Malerei • Senftenberg • Niederösterreich</t>
  </si>
  <si>
    <t>Malereibetriebe • Jokesch KG, Dorntal 21, Senftenberg • Kontakt über aktuelle Telefonnummern ☎ und Adressen ⚑ mit Karte, Routing, Öffnungszeiten, Homepage, E-Mail, vCard und Firmendaten.</t>
  </si>
  <si>
    <t>Dorntal 21</t>
  </si>
  <si>
    <t>3541</t>
  </si>
  <si>
    <t>Senftenberg</t>
  </si>
  <si>
    <t>48.45166</t>
  </si>
  <si>
    <t>15.56137</t>
  </si>
  <si>
    <t>+4327198107;+436763118618;+436765253679</t>
  </si>
  <si>
    <t>info@maler-jokesch.at</t>
  </si>
  <si>
    <t>https://bilder.dasschnelle.at/DasSchnelle/50/5000/9899/041508/G_041508_P_906198670.adn.gif</t>
  </si>
  <si>
    <t>Stein Center Grünsteidl • Theiß • Niederösterreich</t>
  </si>
  <si>
    <t>Steinmetzbetriebe • Stein Center Grünsteidl, Im Wirtschaftspark 10, Theiß • Kontakt über aktuelle Telefonnummern ☎ und Adressen ⚑ mit Karte, Routing, Öffnungszeiten, Homepage, E-Mail, vCard und Firmendaten.</t>
  </si>
  <si>
    <t>Im Wirtschaftspark 10</t>
  </si>
  <si>
    <t>3494</t>
  </si>
  <si>
    <t>Theiß</t>
  </si>
  <si>
    <t>48.4117603</t>
  </si>
  <si>
    <t>15.6964535</t>
  </si>
  <si>
    <t>+43273577629</t>
  </si>
  <si>
    <t>limbach@steincenter.at</t>
  </si>
  <si>
    <t>https://bilder.dasschnelle.at/DasSchnelle/50/5000/9899/042057/G_042057_P_906199329.adn.gif</t>
  </si>
  <si>
    <t>Gruber Auto HandelsgesmbH, Autohandel • Gföhl • Niederösterreich</t>
  </si>
  <si>
    <t>Autohandel • Gruber Auto HandelsgesmbH, Gewerbepark 9, Gföhl • Kontakt über aktuelle Telefonnummern ☎ und Adressen ⚑ mit Karte, Routing, Öffnungszeiten, Homepage, E-Mail, vCard und Firmendaten.</t>
  </si>
  <si>
    <t>Gewerbepark 9</t>
  </si>
  <si>
    <t>48.5141200</t>
  </si>
  <si>
    <t>15.5092400</t>
  </si>
  <si>
    <t>+43271676665</t>
  </si>
  <si>
    <t>office@auto-gruber.at</t>
  </si>
  <si>
    <t>https://bilder.dasschnelle.at/DasSchnelle/50/5000/9899/041493/G_041493_P_906169856.adn.gif</t>
  </si>
  <si>
    <t>Armster, Dominik, Mag., Installationsunternehmen • Krems an der Donau • Niederösterreich</t>
  </si>
  <si>
    <t>Installationsunternehmen • Armster, Dominik, Mag., Täglicher Markt 4, Krems an der Donau • Kontakt über aktuelle Telefonnummern ☎ und Adressen ⚑ mit Karte, Routing, Öffnungszeiten, Homepage, E-Mail, vCard und Firmendaten.</t>
  </si>
  <si>
    <t>Täglicher Markt 4</t>
  </si>
  <si>
    <t>48.4107654</t>
  </si>
  <si>
    <t>15.6006573</t>
  </si>
  <si>
    <t>+43273282298</t>
  </si>
  <si>
    <t>verkauf@armster.at</t>
  </si>
  <si>
    <t>https://bilder.dasschnelle.at/DasSchnelle/50/5000/9899/042057/G_042057_P_906197585.adn.gif</t>
  </si>
  <si>
    <t>Lintner, Andreas, Autobedarf u -zubehör • Langenlois • Niederösterreich</t>
  </si>
  <si>
    <t>Autoersatzteile u. -zubehör • Lintner, Andreas, Gobelsburger Straße 25 A, Langenlois • Kontakt über aktuelle Telefonnummern ☎ und Adressen ⚑ mit Karte, Routing, Öffnungszeiten, Homepage, E-Mail, vCard und Firmendaten.</t>
  </si>
  <si>
    <t>Gobelsburger Straße 25 A</t>
  </si>
  <si>
    <t>3550</t>
  </si>
  <si>
    <t>Langenlois</t>
  </si>
  <si>
    <t>48.4679</t>
  </si>
  <si>
    <t>15.68933</t>
  </si>
  <si>
    <t>+43273432305</t>
  </si>
  <si>
    <t>amtz.lintner@drei.at</t>
  </si>
  <si>
    <t>https://bilder.dasschnelle.at/DasSchnelle/50/5000/9899/041497/G_041497_P_906183920.adn.gif</t>
  </si>
  <si>
    <t>Proidl, Andreas, Installation • Senftenberg • Niederösterreich</t>
  </si>
  <si>
    <t>Heizungen • Proidl, Andreas, Unterm Hals 39, Senftenberg • Kontakt über aktuelle Telefonnummern ☎ und Adressen ⚑ mit Karte, Routing, Öffnungszeiten, Homepage, E-Mail, vCard und Firmendaten.</t>
  </si>
  <si>
    <t>Unterm Hals 39</t>
  </si>
  <si>
    <t>48.44414</t>
  </si>
  <si>
    <t>15.55846</t>
  </si>
  <si>
    <t>+43271920504</t>
  </si>
  <si>
    <t>office@proidl-installationen.at</t>
  </si>
  <si>
    <t>https://bilder.dasschnelle.at/DasSchnelle/50/5000/9899/041508/G_041508_P_906174397.adn.gif</t>
  </si>
  <si>
    <t>Org. von Personenbetreuung - Ing. Rainer Stöckl • Langenlois • Niederösterreich</t>
  </si>
  <si>
    <t>Pflegedienste • Org. von Personenbetreuung - Ing. Rainer Stöckl, Gobelsburger Hauptstrasse 18, Langenlois • Kontakt über aktuelle Telefonnummern ☎ und Adressen ⚑ mit Karte, Routing, Öffnungszeiten, Homepage, E-Mail, vCard und Firmendaten.</t>
  </si>
  <si>
    <t>Gobelsburger Hauptstrasse 18</t>
  </si>
  <si>
    <t>48.4636137</t>
  </si>
  <si>
    <t>15.6937779</t>
  </si>
  <si>
    <t>+436605111605</t>
  </si>
  <si>
    <t>24hpflege-noe@aon.at</t>
  </si>
  <si>
    <t>https://bilder.dasschnelle.at/DasSchnelle/50/5000/9899/041497/I_041497_P_905952086_L_0036252712_1.png</t>
  </si>
  <si>
    <t>https://bilder.dasschnelle.at/DasSchnelle/50/5000/9899/041497/I_041497_P_905952086_B_0036252712_1.gal.png?height=284&amp;width=300;https://bilder.dasschnelle.at/DasSchnelle/50/5000/9899/041497/I_041497_P_905952086_B_0036252712_2.gal.png?height=200&amp;width=300;https://bilder.dasschnelle.at/DasSchnelle/50/5000/9899/041497/I_041497_P_905952086_B_0036252712_3.gal.png?height=240&amp;width=360;https://bilder.dasschnelle.at/DasSchnelle/50/5000/9899/041497/I_041497_P_905952086_B_0036252712_4.gal.png?height=200&amp;width=300</t>
  </si>
  <si>
    <t>Franz, Andrä, Wärmepumpen und Klimatechnik • Korneuburg • Niederösterreich</t>
  </si>
  <si>
    <t>Klimatechnik • Franz, Andrä, Schlossweg 1, Korneuburg • Kontakt über aktuelle Telefonnummern ☎ und Adressen ⚑ mit Karte, Routing, Öffnungszeiten, Homepage, E-Mail, vCard und Firmendaten.</t>
  </si>
  <si>
    <t>Schlossweg 1</t>
  </si>
  <si>
    <t>2100</t>
  </si>
  <si>
    <t>Korneuburg</t>
  </si>
  <si>
    <t>48.3758100</t>
  </si>
  <si>
    <t>16.3231100</t>
  </si>
  <si>
    <t>+43226622260</t>
  </si>
  <si>
    <t>office@air-toshiba.at</t>
  </si>
  <si>
    <t>https://bilder.dasschnelle.at/DasSchnelle/50/5000/9898/041413/G_041413_P_906132030.adn.gif</t>
  </si>
  <si>
    <t>Schwarz, Melanie, Dein Friseur • Kapfenstein • Steiermark</t>
  </si>
  <si>
    <t>Friseure • Schwarz, Melanie, Dein Friseur, Kapfenstein • Kontakt über aktuelle Telefonnummern ☎ und Adressen ⚑ mit Karte, Routing, Öffnungszeiten, Homepage, E-Mail, vCard und Firmendaten.</t>
  </si>
  <si>
    <t>8353</t>
  </si>
  <si>
    <t>Kapfenstein</t>
  </si>
  <si>
    <t>Steiermark</t>
  </si>
  <si>
    <t>46.8853291</t>
  </si>
  <si>
    <t>15.9751072</t>
  </si>
  <si>
    <t>+43315724568</t>
  </si>
  <si>
    <t>monika.veith@gmx.at</t>
  </si>
  <si>
    <t>https://bilder.dasschnelle.at/DasSchnelle/50/5000/9879/045829/G_045829_P_906154882.adn.gif</t>
  </si>
  <si>
    <t>Leitgeb, Johann, Malerei • Straden • Steiermark</t>
  </si>
  <si>
    <t>Malereibetriebe • Leitgeb, Johann, Straden 44, Straden • Kontakt über aktuelle Telefonnummern ☎ und Adressen ⚑ mit Karte, Routing, Öffnungszeiten, Homepage, E-Mail, vCard und Firmendaten.</t>
  </si>
  <si>
    <t>Straden 44</t>
  </si>
  <si>
    <t>8345</t>
  </si>
  <si>
    <t>Straden</t>
  </si>
  <si>
    <t>46.8098160</t>
  </si>
  <si>
    <t>15.8640965</t>
  </si>
  <si>
    <t>+4334737348</t>
  </si>
  <si>
    <t>maler.leitgeb@aon.at</t>
  </si>
  <si>
    <t>https://bilder.dasschnelle.at/DasSchnelle/50/5000/9879/061440/G_061440_P_906141883.adn.gif</t>
  </si>
  <si>
    <t>Sudi, Tanja  • Feldbach • Steiermark</t>
  </si>
  <si>
    <t>Fußpflege, Kosmetik • Sudi, Tanja, Grazer Straße 33 a, Feldbach • Kontakt über aktuelle Telefonnummern ☎ und Adressen ⚑ mit Karte, Routing, Öffnungszeiten, Homepage, E-Mail, vCard und Firmendaten.</t>
  </si>
  <si>
    <t>Grazer Straße 33 a</t>
  </si>
  <si>
    <t>8330</t>
  </si>
  <si>
    <t>Feldbach</t>
  </si>
  <si>
    <t>46.95706</t>
  </si>
  <si>
    <t>15.88003</t>
  </si>
  <si>
    <t>+436644355056</t>
  </si>
  <si>
    <t>tanja.sudi@gmx.at</t>
  </si>
  <si>
    <t>https://bilder.dasschnelle.at/DasSchnelle/50/5000/9879/061391/G_061391_P_906136205.adn.gif</t>
  </si>
  <si>
    <t>Pein, Anna, Bestattungsunternehmen • Obergnas • Steiermark</t>
  </si>
  <si>
    <t>Bestattungsunternehmen • Pein, Anna, Obergnas 37, Obergnas • Kontakt über aktuelle Telefonnummern ☎ und Adressen ⚑ mit Karte, Routing, Öffnungszeiten, Homepage, E-Mail, vCard und Firmendaten.</t>
  </si>
  <si>
    <t>Obergnas 37</t>
  </si>
  <si>
    <t>8342</t>
  </si>
  <si>
    <t>Obergnas</t>
  </si>
  <si>
    <t>46.8867331</t>
  </si>
  <si>
    <t>15.7919112</t>
  </si>
  <si>
    <t>+4331512527</t>
  </si>
  <si>
    <t>anna.pein@bestattungpein.at</t>
  </si>
  <si>
    <t>https://bilder.dasschnelle.at/DasSchnelle/50/5000/9879/061351/G_061351_P_906124090.adn.gif</t>
  </si>
  <si>
    <t>Meixner Bau GmbH • Lödersdorf I • Steiermark</t>
  </si>
  <si>
    <t>Bauunternehmen • Meixner Bau GmbH, Lödersdorf I 129, Lödersdorf I • Kontakt über aktuelle Telefonnummern ☎ und Adressen ⚑ mit Karte, Routing, Öffnungszeiten, Homepage, E-Mail, vCard und Firmendaten.</t>
  </si>
  <si>
    <t>Lödersdorf I 129</t>
  </si>
  <si>
    <t>8334</t>
  </si>
  <si>
    <t>Lödersdorf I</t>
  </si>
  <si>
    <t>46.9575821</t>
  </si>
  <si>
    <t>15.9390955</t>
  </si>
  <si>
    <t>+436645314883</t>
  </si>
  <si>
    <t>office@meixnerbau.at</t>
  </si>
  <si>
    <t>https://bilder.dasschnelle.at/DasSchnelle/50/5000/9879/061392/I_061392_P_905903795_L_0038507676_1.png</t>
  </si>
  <si>
    <t>https://bilder.dasschnelle.at/DasSchnelle/50/5000/9879/061392/I_061392_P_905903795_B_0038507676_1.gal.png?height=450&amp;width=600;https://bilder.dasschnelle.at/DasSchnelle/50/5000/9879/061392/I_061392_P_905903795_B_0038507676_2.gal.png?height=450&amp;width=600;https://bilder.dasschnelle.at/DasSchnelle/50/5000/9879/061392/I_061392_P_905903795_B_0038507676_3.gal.png?height=450&amp;width=600;https://bilder.dasschnelle.at/DasSchnelle/50/5000/9879/061392/G_061392_P_906141882.adn.gif</t>
  </si>
  <si>
    <t>Gemeindeamt Kirchberg a d Raab, Allgemeine Verwaltung • Kirchberg an der Raab • Steiermark</t>
  </si>
  <si>
    <t>Gemeinde • Gemeindeamt Kirchberg a d Raab, Kirchberg an der Raab 212, Kirchberg an der Raab • Kontakt über aktuelle Telefonnummern ☎ und Adressen ⚑ mit Karte, Routing, Öffnungszeiten, Homepage, E-Mail, vCard und Firmendaten.</t>
  </si>
  <si>
    <t>Kirchberg an der Raab 212</t>
  </si>
  <si>
    <t>8324</t>
  </si>
  <si>
    <t>Kirchberg an der Raab</t>
  </si>
  <si>
    <t>46.9858943</t>
  </si>
  <si>
    <t>15.7675893</t>
  </si>
  <si>
    <t>+4331152312</t>
  </si>
  <si>
    <t>+4331152312206</t>
  </si>
  <si>
    <t>ede@gemeinde-kirchberg.gv.at</t>
  </si>
  <si>
    <t>https://bilder.dasschnelle.at/DasSchnelle/50/5000/9879/061353/G_061353_P_906151734.adn.gif</t>
  </si>
  <si>
    <t>Mödritscher, Ord:Volker, Dr.med.univ., FA f Zahn Mund u Kieferheilkunde • Bad Gleichenberg • Steiermark</t>
  </si>
  <si>
    <t>Ärzte / Fachärzte f. Zahn-, Mund u. Kieferheilkunde • Mödritscher, Ord:Volker, Dr.med.univ., Kaiser-Franz-Josef-Straße 3, Bad Gleichenberg • Kontakt über aktuelle Telefonnummern ☎ und Adressen ⚑ mit Karte, Routing, Öffnungszeiten, Homepage, E-Mail, vCard und Firmendaten.</t>
  </si>
  <si>
    <t>Kaiser-Franz-Josef-Straße 3</t>
  </si>
  <si>
    <t>8344</t>
  </si>
  <si>
    <t>Bad Gleichenberg</t>
  </si>
  <si>
    <t>46.87632</t>
  </si>
  <si>
    <t>15.90829</t>
  </si>
  <si>
    <t>+4331592337</t>
  </si>
  <si>
    <t>zahni@aon.at</t>
  </si>
  <si>
    <t>https://bilder.dasschnelle.at/DasSchnelle/50/5000/9879/061396/G_061396_P_906154308.adn.gif</t>
  </si>
  <si>
    <t>Lindenau, Dorothea, Kosmetik • Feldbach • Steiermark</t>
  </si>
  <si>
    <t>Fußpflege, Kosmetik • Lindenau, Dorothea, Oswaldigasse 8, Feldbach • Kontakt über aktuelle Telefonnummern ☎ und Adressen ⚑ mit Karte, Routing, Öffnungszeiten, Homepage, E-Mail, vCard und Firmendaten.</t>
  </si>
  <si>
    <t>Oswaldigasse 8</t>
  </si>
  <si>
    <t>46.94868</t>
  </si>
  <si>
    <t>15.89011</t>
  </si>
  <si>
    <t>+4331524211</t>
  </si>
  <si>
    <t>evi.lindenau@gmail.com</t>
  </si>
  <si>
    <t>https://bilder.dasschnelle.at/DasSchnelle/50/5000/9879/061391/G_061391_P_906133841.adn.gif</t>
  </si>
  <si>
    <t>Legenstein, Hannes, Dachdeckerei • Hochstraden • Steiermark</t>
  </si>
  <si>
    <t>Dachdeckereien, Spenglereien • Legenstein, Hannes, Hochstraden • Kontakt über aktuelle Telefonnummern ☎ und Adressen ⚑ mit Karte, Routing, Öffnungszeiten, Homepage, E-Mail, vCard und Firmendaten.</t>
  </si>
  <si>
    <t>8354</t>
  </si>
  <si>
    <t>Hochstraden</t>
  </si>
  <si>
    <t>46.8404289</t>
  </si>
  <si>
    <t>15.9462945</t>
  </si>
  <si>
    <t>+4331582448</t>
  </si>
  <si>
    <t>office@dachdeckerei-spenglerei.at</t>
  </si>
  <si>
    <t>https://bilder.dasschnelle.at/DasSchnelle/50/5000/9879/061393/G_061393_P_906144787.adn.gif</t>
  </si>
  <si>
    <t>Platzer, David, Malermeister • Sankt Stefan im Rosental • Steiermark</t>
  </si>
  <si>
    <t>Malereibetriebe • Platzer, David, Reichersdorf 13, Sankt Stefan im Rosental • Kontakt über aktuelle Telefonnummern ☎ und Adressen ⚑ mit Karte, Routing, Öffnungszeiten, Homepage, E-Mail, vCard und Firmendaten.</t>
  </si>
  <si>
    <t>Reichersdorf 13</t>
  </si>
  <si>
    <t>8083</t>
  </si>
  <si>
    <t>Sankt Stefan im Rosental</t>
  </si>
  <si>
    <t>46.88464</t>
  </si>
  <si>
    <t>15.73564</t>
  </si>
  <si>
    <t>+4331168312</t>
  </si>
  <si>
    <t>office@maler-platzer.at</t>
  </si>
  <si>
    <t>https://bilder.dasschnelle.at/DasSchnelle/50/5000/9879/061349/G_061349_P_906123924.adn.gif</t>
  </si>
  <si>
    <t>Optik Billek GmbH, Optik • Feldbach • Steiermark</t>
  </si>
  <si>
    <t>Optik • Optik Billek GmbH, Bürgergasse 12, Feldbach • Kontakt über aktuelle Telefonnummern ☎ und Adressen ⚑ mit Karte, Routing, Öffnungszeiten, Homepage, E-Mail, vCard und Firmendaten.</t>
  </si>
  <si>
    <t>Bürgergasse 12</t>
  </si>
  <si>
    <t>46.95268</t>
  </si>
  <si>
    <t>15.89009</t>
  </si>
  <si>
    <t>+43315237180</t>
  </si>
  <si>
    <t>+43315237159</t>
  </si>
  <si>
    <t>office@optik-billek.at</t>
  </si>
  <si>
    <t>https://bilder.dasschnelle.at/DasSchnelle/50/5000/9879/061391/G_061391_P_906133839.adn.gif</t>
  </si>
  <si>
    <t>Dorfwirt-Menüexpress-Backhendl, Gastgewerbe • Feldbach • Steiermark</t>
  </si>
  <si>
    <t>Gastgewerbe - Gasthöfe • Dorfwirt-Menüexpress-Backhendl, Oberweißenbach 9, Feldbach • Kontakt über aktuelle Telefonnummern ☎ und Adressen ⚑ mit Karte, Routing, Öffnungszeiten, Homepage, E-Mail, vCard und Firmendaten.</t>
  </si>
  <si>
    <t>Oberweißenbach 9</t>
  </si>
  <si>
    <t>46.9365298</t>
  </si>
  <si>
    <t>15.8485075</t>
  </si>
  <si>
    <t>+4331526664</t>
  </si>
  <si>
    <t>backhendl@aon.at</t>
  </si>
  <si>
    <t>https://bilder.dasschnelle.at/DasSchnelle/50/5000/9879/061391/G_061391_P_906144788.adn.gif</t>
  </si>
  <si>
    <t>Trummer, Peter, Malereibetriebe • Gleichenberg Dorf • Steiermark</t>
  </si>
  <si>
    <t>Malereibetriebe • Trummer, Peter, Grazer Straße 51, Gleichenberg Dorf • Kontakt über aktuelle Telefonnummern ☎ und Adressen ⚑ mit Karte, Routing, Öffnungszeiten, Homepage, E-Mail, vCard und Firmendaten.</t>
  </si>
  <si>
    <t>Grazer Straße 51</t>
  </si>
  <si>
    <t>Gleichenberg Dorf</t>
  </si>
  <si>
    <t>46.87668</t>
  </si>
  <si>
    <t>15.89756</t>
  </si>
  <si>
    <t>+43315941729</t>
  </si>
  <si>
    <t>office@malerbetrieb-trummer.at</t>
  </si>
  <si>
    <t>https://bilder.dasschnelle.at/DasSchnelle/50/5000/9879/061396/I_061396_P_905910133_L_0036177630_1.png</t>
  </si>
  <si>
    <t>https://bilder.dasschnelle.at/DasSchnelle/50/5000/9879/061396/I_061396_P_905910133_B_0036177630_1.gal.png?height=342&amp;width=316;https://bilder.dasschnelle.at/DasSchnelle/50/5000/9879/061396/I_061396_P_905910133_B_0036177630_2.gal.png?height=342&amp;width=316;https://bilder.dasschnelle.at/DasSchnelle/50/5000/9879/061396/I_061396_P_905910133_B_0036177630_3.gal.png?height=150&amp;width=200;https://bilder.dasschnelle.at/DasSchnelle/50/5000/9879/061396/G_061396_P_906144784.adn.gif</t>
  </si>
  <si>
    <t>Achtschin, Dieter, Dr., Augenarzt • Feldbach • Steiermark</t>
  </si>
  <si>
    <t>Ärzte / Fachärzte f. Augenheilkunde u. Optometrie • Achtschin, Dieter, Dr., Torplatz 1, Feldbach • Kontakt über aktuelle Telefonnummern ☎ und Adressen ⚑ mit Karte, Routing, Öffnungszeiten, Homepage, E-Mail, vCard und Firmendaten.</t>
  </si>
  <si>
    <t>Torplatz 1</t>
  </si>
  <si>
    <t>46.95247</t>
  </si>
  <si>
    <t>15.88752</t>
  </si>
  <si>
    <t>+43315237026</t>
  </si>
  <si>
    <t>dieter_achtschin@hotmail.com</t>
  </si>
  <si>
    <t>https://bilder.dasschnelle.at/DasSchnelle/50/5000/9879/061391/G_061391_P_906154318.adn.gif</t>
  </si>
  <si>
    <t>Strohmaier KG, Bäckereien • Sankt Stefan im Rosental • Steiermark</t>
  </si>
  <si>
    <t>Bäckereien, Konditoreien • Strohmaier KG, Grazerstraße 3, Sankt Stefan im Rosental • Kontakt über aktuelle Telefonnummern ☎ und Adressen ⚑ mit Karte, Routing, Öffnungszeiten, Homepage, E-Mail, vCard und Firmendaten.</t>
  </si>
  <si>
    <t>Grazerstraße 3</t>
  </si>
  <si>
    <t>46.90398</t>
  </si>
  <si>
    <t>15.71058</t>
  </si>
  <si>
    <t>+4331168283</t>
  </si>
  <si>
    <t>+43311681093</t>
  </si>
  <si>
    <t>kurt-strohmaier@aon.at</t>
  </si>
  <si>
    <t>https://bilder.dasschnelle.at/DasSchnelle/50/5000/9879/061349/G_061349_P_906123941.adn.gif</t>
  </si>
  <si>
    <t>Decker GesmbH, Kühltechnik • Sankt Stefan im Rosental • Steiermark</t>
  </si>
  <si>
    <t>Kühlanlagen u. -geräte • Decker GesmbH, Parkring 5, Sankt Stefan im Rosental • Kontakt über aktuelle Telefonnummern ☎ und Adressen ⚑ mit Karte, Routing, Öffnungszeiten, Homepage, E-Mail, vCard und Firmendaten.</t>
  </si>
  <si>
    <t>Parkring 5</t>
  </si>
  <si>
    <t>46.90558</t>
  </si>
  <si>
    <t>15.71044</t>
  </si>
  <si>
    <t>+4331168850</t>
  </si>
  <si>
    <t>decker@kuehltechnik.at</t>
  </si>
  <si>
    <t>https://bilder.dasschnelle.at/DasSchnelle/50/5000/9879/061349/G_061349_P_906129179.adn.gif</t>
  </si>
  <si>
    <t>Koller Dach, Spenglerei &amp; Dachdeckerei • Feldbach • Steiermark</t>
  </si>
  <si>
    <t>Dachdeckerei u. Spenglerei • Koller Dach, Bürgergasse 58, Feldbach • Kontakt über aktuelle Telefonnummern ☎ und Adressen ⚑ mit Karte, Routing, Öffnungszeiten, Homepage, E-Mail, vCard und Firmendaten.</t>
  </si>
  <si>
    <t>Bürgergasse 58</t>
  </si>
  <si>
    <t>46.9554300</t>
  </si>
  <si>
    <t>15.8896100</t>
  </si>
  <si>
    <t>+436642540912</t>
  </si>
  <si>
    <t>office@kollerdach.at</t>
  </si>
  <si>
    <t>https://bilder.dasschnelle.at/DasSchnelle/50/5000/9879/061391/I_061391_P_905914436_L_0038510579_1.png</t>
  </si>
  <si>
    <t>https://bilder.dasschnelle.at/DasSchnelle/50/5000/9879/061391/I_061391_P_905914436_B_0038510579_1.gal.png?height=600&amp;width=450;https://bilder.dasschnelle.at/DasSchnelle/50/5000/9879/061391/I_061391_P_905914436_B_0038510579_2.gal.png?height=600&amp;width=450;https://bilder.dasschnelle.at/DasSchnelle/50/5000/9879/061391/I_061391_P_905914436_B_0038510579_3.gal.png?height=600&amp;width=450;https://bilder.dasschnelle.at/DasSchnelle/50/5000/9879/061391/I_061391_P_905914436_B_0038510579_4.gal.png?height=600&amp;width=450;https://bilder.dasschnelle.at/DasSchnelle/50/5000/9879/061391/G_061391_P_906151733.adn.gif</t>
  </si>
  <si>
    <t>J R Nahversorgung GmbH • Paldau • Steiermark</t>
  </si>
  <si>
    <t>Reifendienste, Tankstellen • J R Nahversorgung GmbH, Paldau 161, Paldau • Kontakt über aktuelle Telefonnummern ☎ und Adressen ⚑ mit Karte, Routing, Öffnungszeiten, Homepage, E-Mail, vCard und Firmendaten.</t>
  </si>
  <si>
    <t>Paldau 161</t>
  </si>
  <si>
    <t>8341</t>
  </si>
  <si>
    <t>Paldau</t>
  </si>
  <si>
    <t>46.9412239</t>
  </si>
  <si>
    <t>15.7861405</t>
  </si>
  <si>
    <t>+4331502205</t>
  </si>
  <si>
    <t>saaz@rossmann.cc</t>
  </si>
  <si>
    <t>https://bilder.dasschnelle.at/DasSchnelle/50/5000/9879/061390/G_061390_P_906147252.adn.gif</t>
  </si>
  <si>
    <t>Bund, Johann, Platten- u Fliesenverlegung • Haag • Steiermark</t>
  </si>
  <si>
    <t>Fliesen u. Plattenverlegungen • Bund, Johann, Haag 54, Haag • Kontakt über aktuelle Telefonnummern ☎ und Adressen ⚑ mit Karte, Routing, Öffnungszeiten, Homepage, E-Mail, vCard und Firmendaten.</t>
  </si>
  <si>
    <t>Haag 54</t>
  </si>
  <si>
    <t>Haag</t>
  </si>
  <si>
    <t>46.8486907</t>
  </si>
  <si>
    <t>15.9000155</t>
  </si>
  <si>
    <t>+43315924070;+436763344573;+436763362403</t>
  </si>
  <si>
    <t>+4331592407015</t>
  </si>
  <si>
    <t>fa.bund@aon.at</t>
  </si>
  <si>
    <t>https://bilder.dasschnelle.at/DasSchnelle/50/5000/9879/061396/I_061396_P_905887960_L_0036177586_1.png</t>
  </si>
  <si>
    <t>https://bilder.dasschnelle.at/DasSchnelle/50/5000/9879/061396/I_061396_P_905887960_B_0036177586_1.gal.png?height=600&amp;width=400;https://bilder.dasschnelle.at/DasSchnelle/50/5000/9879/061396/I_061396_P_905887960_B_0036177586_2.gal.png?height=534&amp;width=800;https://bilder.dasschnelle.at/DasSchnelle/50/5000/9879/061396/I_061396_P_905887960_B_0036177586_3.gal.png?height=752&amp;width=669;https://bilder.dasschnelle.at/DasSchnelle/50/5000/9879/061396/I_061396_P_905887960_B_0036177586_4.gal.png?height=536&amp;width=800;https://bilder.dasschnelle.at/DasSchnelle/50/5000/9879/061396/G_061396_P_906125843.adn.gif</t>
  </si>
  <si>
    <t>actual-Leitgeb, Fenster, Türen, Sonnenschutz • Kirchberg an der Raab • Steiermark</t>
  </si>
  <si>
    <t>Fenster u. Türen • actual-Leitgeb, Hof 69, Kirchberg an der Raab • Kontakt über aktuelle Telefonnummern ☎ und Adressen ⚑ mit Karte, Routing, Öffnungszeiten, Homepage, E-Mail, vCard und Firmendaten.</t>
  </si>
  <si>
    <t>Hof 69</t>
  </si>
  <si>
    <t>46.9795352</t>
  </si>
  <si>
    <t>15.7500057</t>
  </si>
  <si>
    <t>+436643950565</t>
  </si>
  <si>
    <t>walter.leitgeb@actual-partner.at</t>
  </si>
  <si>
    <t>https://bilder.dasschnelle.at/DasSchnelle/50/5000/9879/061353/I_061353_P_905898883_L_0036008152_1.png</t>
  </si>
  <si>
    <t>https://bilder.dasschnelle.at/DasSchnelle/50/5000/9879/061353/I_061353_P_905898883_B_0036008152_1.gal.png?height=341&amp;width=512;https://bilder.dasschnelle.at/DasSchnelle/50/5000/9879/061353/I_061353_P_905898883_B_0036008152_2.gal.png?height=130&amp;width=243;https://bilder.dasschnelle.at/DasSchnelle/50/5000/9879/061353/G_061353_P_906136219.adn.gif</t>
  </si>
  <si>
    <t>Wolf, Daniela, Fußpflege • Paldau • Steiermark</t>
  </si>
  <si>
    <t>Fußpflege, Kosmetik • Wolf, Daniela, Paldau 102, Paldau • Kontakt über aktuelle Telefonnummern ☎ und Adressen ⚑ mit Karte, Routing, Öffnungszeiten, Homepage, E-Mail, vCard und Firmendaten.</t>
  </si>
  <si>
    <t>Paldau 102</t>
  </si>
  <si>
    <t>46.9404117</t>
  </si>
  <si>
    <t>15.7950202</t>
  </si>
  <si>
    <t>+4331502539</t>
  </si>
  <si>
    <t>fusspflege.daniela@gmx.at</t>
  </si>
  <si>
    <t>https://bilder.dasschnelle.at/DasSchnelle/50/5000/9879/061390/G_061390_P_906129176.adn.gif</t>
  </si>
  <si>
    <t>GBH Glasbau GmbH. • Hatzendorf • Steiermark</t>
  </si>
  <si>
    <t>Glasbau • GBH Glasbau GmbH., Unterhatzendorf 6, Hatzendorf • Kontakt über aktuelle Telefonnummern ☎ und Adressen ⚑ mit Karte, Routing, Öffnungszeiten, Homepage, E-Mail, vCard und Firmendaten.</t>
  </si>
  <si>
    <t>Unterhatzendorf 6</t>
  </si>
  <si>
    <t>8361</t>
  </si>
  <si>
    <t>Hatzendorf</t>
  </si>
  <si>
    <t>46.9698853</t>
  </si>
  <si>
    <t>16.0231694</t>
  </si>
  <si>
    <t>+4331552975</t>
  </si>
  <si>
    <t>office@glasbau-hatzendorf.at</t>
  </si>
  <si>
    <t>https://bilder.dasschnelle.at/DasSchnelle/50/5000/9879/061365/G_061365_P_906139733.adn.gif</t>
  </si>
  <si>
    <t>Harb, Katharina, Blumen • Sankt Stefan im Rosental • Steiermark</t>
  </si>
  <si>
    <t>Blumenhandel • Harb, Katharina, Mureckerstraße 13, Sankt Stefan im Rosental • Kontakt über aktuelle Telefonnummern ☎ und Adressen ⚑ mit Karte, Routing, Öffnungszeiten, Homepage, E-Mail, vCard und Firmendaten.</t>
  </si>
  <si>
    <t>Mureckerstraße 13</t>
  </si>
  <si>
    <t>46.90283</t>
  </si>
  <si>
    <t>15.71166</t>
  </si>
  <si>
    <t>+43311686383</t>
  </si>
  <si>
    <t>office@blumenkatharinaharb.at</t>
  </si>
  <si>
    <t>https://bilder.dasschnelle.at/DasSchnelle/50/5000/9879/061349/G_061349_P_906136204.adn.gif</t>
  </si>
  <si>
    <t>Ertler, Monika, Frisiersalon • Sankt Stefan im Rosental • Steiermark</t>
  </si>
  <si>
    <t>Frisiersalon • Ertler, Monika, Feldbacherstraße 12, Sankt Stefan im Rosental • Kontakt über aktuelle Telefonnummern ☎ und Adressen ⚑ mit Karte, Routing, Öffnungszeiten, Homepage, E-Mail, vCard und Firmendaten.</t>
  </si>
  <si>
    <t>Feldbacherstraße 12</t>
  </si>
  <si>
    <t>46.90495</t>
  </si>
  <si>
    <t>15.71211</t>
  </si>
  <si>
    <t>+4331168579</t>
  </si>
  <si>
    <t>mail@salon-monika.cc</t>
  </si>
  <si>
    <t>https://bilder.dasschnelle.at/DasSchnelle/50/5000/9879/061349/G_061349_P_906136206.adn.gif</t>
  </si>
  <si>
    <t>Malerbetrieb Rauch • Gnas • Steiermark</t>
  </si>
  <si>
    <t>Malereibetriebe • Malerbetrieb Rauch, Kohlberg 5, Gnas • Kontakt über aktuelle Telefonnummern ☎ und Adressen ⚑ mit Karte, Routing, Öffnungszeiten, Homepage, E-Mail, vCard und Firmendaten.</t>
  </si>
  <si>
    <t>Kohlberg 5</t>
  </si>
  <si>
    <t>Gnas</t>
  </si>
  <si>
    <t>46.8977761</t>
  </si>
  <si>
    <t>15.8023955</t>
  </si>
  <si>
    <t>+436642371468</t>
  </si>
  <si>
    <t>malerrauch@outlook.com</t>
  </si>
  <si>
    <t>https://bilder.dasschnelle.at/DasSchnelle/50/5000/9879/061351/G_061351_P_906137890.adn.gif</t>
  </si>
  <si>
    <t>Friseur Hein • Bad Gleichenberg • Steiermark</t>
  </si>
  <si>
    <t>Friseure • Friseur Hein, Obere Brunnenstraße 8, Bad Gleichenberg • Kontakt über aktuelle Telefonnummern ☎ und Adressen ⚑ mit Karte, Routing, Öffnungszeiten, Homepage, E-Mail, vCard und Firmendaten.</t>
  </si>
  <si>
    <t>Obere Brunnenstraße 8</t>
  </si>
  <si>
    <t>46.8757</t>
  </si>
  <si>
    <t>15.91076</t>
  </si>
  <si>
    <t>+4331592254</t>
  </si>
  <si>
    <t>office@friseur-hein.at</t>
  </si>
  <si>
    <t>https://bilder.dasschnelle.at/DasSchnelle/50/5000/9879/061396/G_061396_P_906137874.adn.gif</t>
  </si>
  <si>
    <t>SAWE Bau GmbH, Bau • Oberzirknitz • Steiermark</t>
  </si>
  <si>
    <t>Bauunternehmen • SAWE Bau GmbH, Oberzirknitz • Kontakt über aktuelle Telefonnummern ☎ und Adressen ⚑ mit Karte, Routing, Öffnungszeiten, Homepage, E-Mail, vCard und Firmendaten.</t>
  </si>
  <si>
    <t>8091</t>
  </si>
  <si>
    <t>Oberzirknitz</t>
  </si>
  <si>
    <t>46.8644062</t>
  </si>
  <si>
    <t>15.7490761</t>
  </si>
  <si>
    <t>+4331848623;+4366488871055</t>
  </si>
  <si>
    <t>office@sawe-bau.at</t>
  </si>
  <si>
    <t>https://bilder.dasschnelle.at/DasSchnelle/50/5000/9879/045827/I_045827_P_905913081_L_0036177437_1.png</t>
  </si>
  <si>
    <t>https://www.dasschnelle.at/img/dasschnelle-at/apple-touch-icon-180x180-precomposed.png</t>
  </si>
  <si>
    <t>Reinisch GesmbH, Steinmetzbetrieb • Feldbach • Steiermark</t>
  </si>
  <si>
    <t>Steinmetzbetriebe • Reinisch GesmbH, Mühldorfer Straße 3, Feldbach • Kontakt über aktuelle Telefonnummern ☎ und Adressen ⚑ mit Karte, Routing, Öffnungszeiten, Homepage, E-Mail, vCard und Firmendaten.</t>
  </si>
  <si>
    <t>Mühldorfer Straße 3</t>
  </si>
  <si>
    <t>46.95048</t>
  </si>
  <si>
    <t>15.89421</t>
  </si>
  <si>
    <t>+4367688240813</t>
  </si>
  <si>
    <t>f.karner@stein.at</t>
  </si>
  <si>
    <t>https://bilder.dasschnelle.at/DasSchnelle/50/5000/9879/061391/I_061391_P_905879203_L_0036234781_1.png</t>
  </si>
  <si>
    <t>https://bilder.dasschnelle.at/DasSchnelle/50/5000/9879/061391/I_061391_P_905879203_B_0036234781_1.gal.png?height=416&amp;width=624;https://bilder.dasschnelle.at/DasSchnelle/50/5000/9879/061391/I_061391_P_905879203_B_0036234781_2.gal.png?height=498&amp;width=624;https://bilder.dasschnelle.at/DasSchnelle/50/5000/9879/061391/I_061391_P_905879203_B_0036234781_3.gal.png?height=631&amp;width=945;https://bilder.dasschnelle.at/DasSchnelle/50/5000/9879/061391/I_061391_P_905879203_B_0036234781_4.gal.png?height=588&amp;width=853;https://bilder.dasschnelle.at/DasSchnelle/50/5000/9879/061391/G_061391_P_905879203.adn.gif</t>
  </si>
  <si>
    <t>Hackerglas • Straden • Steiermark</t>
  </si>
  <si>
    <t>Glasereien • Hackerglas, Straden 27, Straden • Kontakt über aktuelle Telefonnummern ☎ und Adressen ⚑ mit Karte, Routing, Öffnungszeiten, Homepage, E-Mail, vCard und Firmendaten.</t>
  </si>
  <si>
    <t>Straden 27</t>
  </si>
  <si>
    <t>46.8081663</t>
  </si>
  <si>
    <t>15.8691678</t>
  </si>
  <si>
    <t>+4334738264</t>
  </si>
  <si>
    <t>office@hackerglas.at</t>
  </si>
  <si>
    <t>https://bilder.dasschnelle.at/DasSchnelle/50/5000/9879/061440/G_061440_P_906127748.adn.gif</t>
  </si>
  <si>
    <t>Blumen Kickenweiz • Riegersburg • Steiermark</t>
  </si>
  <si>
    <t>Blumenhandel • Blumen Kickenweiz, Hofberg 157, Riegersburg • Kontakt über aktuelle Telefonnummern ☎ und Adressen ⚑ mit Karte, Routing, Öffnungszeiten, Homepage, E-Mail, vCard und Firmendaten.</t>
  </si>
  <si>
    <t>Hofberg 157</t>
  </si>
  <si>
    <t>8333</t>
  </si>
  <si>
    <t>Riegersburg</t>
  </si>
  <si>
    <t>46.9995792</t>
  </si>
  <si>
    <t>15.9425759</t>
  </si>
  <si>
    <t>+4331538267</t>
  </si>
  <si>
    <t>gaertnerei@kickenweiz.net</t>
  </si>
  <si>
    <t>https://bilder.dasschnelle.at/DasSchnelle/50/5000/9879/061392/I_061392_P_905890922_L_0036177311_1.png</t>
  </si>
  <si>
    <t>https://bilder.dasschnelle.at/DasSchnelle/50/5000/9879/061392/I_061392_P_905890922_B_0036177311_1.gal.png?height=270&amp;width=270;https://bilder.dasschnelle.at/DasSchnelle/50/5000/9879/061392/I_061392_P_905890922_B_0036177311_2.gal.png?height=399&amp;width=600;https://bilder.dasschnelle.at/DasSchnelle/50/5000/9879/061392/I_061392_P_905890922_B_0036177311_3.gal.png?height=450&amp;width=600</t>
  </si>
  <si>
    <t>Fessl AD Fachwerkstätte, Autodienst • Sankt Stefan im Rosental • Steiermark</t>
  </si>
  <si>
    <t>Autoreparaturen • Fessl AD Fachwerkstätte, Maiersdorf 70, Sankt Stefan im Rosental • Kontakt über aktuelle Telefonnummern ☎ und Adressen ⚑ mit Karte, Routing, Öffnungszeiten, Homepage, E-Mail, vCard und Firmendaten.</t>
  </si>
  <si>
    <t>Maiersdorf 70</t>
  </si>
  <si>
    <t>46.9068624</t>
  </si>
  <si>
    <t>15.7081269</t>
  </si>
  <si>
    <t>+43311681219</t>
  </si>
  <si>
    <t>bernhard.fessl@aon.at</t>
  </si>
  <si>
    <t>https://bilder.dasschnelle.at/DasSchnelle/50/5000/9879/061349/G_061349_P_906127749.adn.gif</t>
  </si>
  <si>
    <t>Tuscher Transport GmbH, Transportunternehmen • Poppendorf • Steiermark</t>
  </si>
  <si>
    <t>Transportunternehmen • Tuscher Transport GmbH, Poppendorf • Kontakt über aktuelle Telefonnummern ☎ und Adressen ⚑ mit Karte, Routing, Öffnungszeiten, Homepage, E-Mail, vCard und Firmendaten.</t>
  </si>
  <si>
    <t>Poppendorf</t>
  </si>
  <si>
    <t>46.8647598</t>
  </si>
  <si>
    <t>15.8576407</t>
  </si>
  <si>
    <t>+4331512193</t>
  </si>
  <si>
    <t>office@tuscher-transporte.at</t>
  </si>
  <si>
    <t>https://bilder.dasschnelle.at/DasSchnelle/50/5000/9879/061351/I_061351_P_905907935_L_0036006387_1.png</t>
  </si>
  <si>
    <t>https://bilder.dasschnelle.at/DasSchnelle/50/5000/9879/061351/I_061351_P_905907935_B_0036006387_1.gal.png?height=165&amp;width=300;https://bilder.dasschnelle.at/DasSchnelle/50/5000/9879/061351/I_061351_P_905907935_B_0036006387_2.gal.png?height=165&amp;width=300;https://bilder.dasschnelle.at/DasSchnelle/50/5000/9879/061351/I_061351_P_905907935_B_0036006387_3.gal.png?height=165&amp;width=300;https://bilder.dasschnelle.at/DasSchnelle/50/5000/9879/061351/G_061351_P_906142646.adn.gif</t>
  </si>
  <si>
    <t>Installationen Ertl, Installationen • Kirchberg an der Raab • Steiermark</t>
  </si>
  <si>
    <t>Installationen • Installationen Ertl, Oberdorf 131, Kirchberg an der Raab • Kontakt über aktuelle Telefonnummern ☎ und Adressen ⚑ mit Karte, Routing, Öffnungszeiten, Homepage, E-Mail, vCard und Firmendaten.</t>
  </si>
  <si>
    <t>Oberdorf 131</t>
  </si>
  <si>
    <t>46.9760071</t>
  </si>
  <si>
    <t>15.7186704</t>
  </si>
  <si>
    <t>+4367671000077100007</t>
  </si>
  <si>
    <t>office@installationen-ertl.at</t>
  </si>
  <si>
    <t>https://bilder.dasschnelle.at/DasSchnelle/50/5000/9879/061353/G_061353_P_906143395.adn.gif</t>
  </si>
  <si>
    <t>Pölz &amp; Wagner OG • Fehring • Steiermark</t>
  </si>
  <si>
    <t>Malereibetriebe • Pölz &amp; Wagner OG, Industriepark 1, Fehring • Kontakt über aktuelle Telefonnummern ☎ und Adressen ⚑ mit Karte, Routing, Öffnungszeiten, Homepage, E-Mail, vCard und Firmendaten.</t>
  </si>
  <si>
    <t>Industriepark 1</t>
  </si>
  <si>
    <t>8350</t>
  </si>
  <si>
    <t>Fehring</t>
  </si>
  <si>
    <t>46.95825</t>
  </si>
  <si>
    <t>15.89375</t>
  </si>
  <si>
    <t>+436643205486</t>
  </si>
  <si>
    <t>office@poelz-wagner.at</t>
  </si>
  <si>
    <t>https://bilder.dasschnelle.at/DasSchnelle/50/5000/9879/061365/G_061365_P_906142648.adn.gif</t>
  </si>
  <si>
    <t>MV Design, Tischlerei • Fehring • Steiermark</t>
  </si>
  <si>
    <t>Tischlereien • MV Design, Pertlstein 112, Fehring • Kontakt über aktuelle Telefonnummern ☎ und Adressen ⚑ mit Karte, Routing, Öffnungszeiten, Homepage, E-Mail, vCard und Firmendaten.</t>
  </si>
  <si>
    <t>Pertlstein 112</t>
  </si>
  <si>
    <t>46.9426036</t>
  </si>
  <si>
    <t>15.9544314</t>
  </si>
  <si>
    <t>+436644662498</t>
  </si>
  <si>
    <t>office@mvdesign.at</t>
  </si>
  <si>
    <t>https://bilder.dasschnelle.at/DasSchnelle/50/5000/9879/061365/G_061365_P_906142640.adn.gif</t>
  </si>
  <si>
    <t>Kaufmann, Rudolf, Malereibetrieb • Sankt Stefan im Rosental • Steiermark</t>
  </si>
  <si>
    <t>Malereibetriebe • Kaufmann, Rudolf, Lichtenegg 42, Sankt Stefan im Rosental • Kontakt über aktuelle Telefonnummern ☎ und Adressen ⚑ mit Karte, Routing, Öffnungszeiten, Homepage, E-Mail, vCard und Firmendaten.</t>
  </si>
  <si>
    <t>Lichtenegg 42</t>
  </si>
  <si>
    <t>46.91022</t>
  </si>
  <si>
    <t>15.73322</t>
  </si>
  <si>
    <t>+436642331214</t>
  </si>
  <si>
    <t>office@malerbetrieb-kaufmann.at</t>
  </si>
  <si>
    <t>https://bilder.dasschnelle.at/DasSchnelle/50/5000/9879/061349/G_061349_P_906143391.adn.gif</t>
  </si>
  <si>
    <t>Michelic, Theresia, Gartengestaltung • Bergl • Steiermark</t>
  </si>
  <si>
    <t>Garten- u. Landschaftsgestaltung • Michelic, Theresia, Bergl 27, Bergl • Kontakt über aktuelle Telefonnummern ☎ und Adressen ⚑ mit Karte, Routing, Öffnungszeiten, Homepage, E-Mail, vCard und Firmendaten.</t>
  </si>
  <si>
    <t>Bergl 27</t>
  </si>
  <si>
    <t>Bergl</t>
  </si>
  <si>
    <t>46.9893110</t>
  </si>
  <si>
    <t>15.9406049</t>
  </si>
  <si>
    <t>+436644937109</t>
  </si>
  <si>
    <t>garten.mihelic@aon.at</t>
  </si>
  <si>
    <t>https://bilder.dasschnelle.at/DasSchnelle/50/5000/9879/061392/G_061392_P_906143409.adn.gif</t>
  </si>
  <si>
    <t>Shark Haustechnik GmbH, Haustechnik • Kirchberg an der Raab • Steiermark</t>
  </si>
  <si>
    <t>Haustechnik • Shark Haustechnik GmbH, Berndorf 152, Kirchberg an der Raab • Kontakt über aktuelle Telefonnummern ☎ und Adressen ⚑ mit Karte, Routing, Öffnungszeiten, Homepage, E-Mail, vCard und Firmendaten.</t>
  </si>
  <si>
    <t>Berndorf 152</t>
  </si>
  <si>
    <t>46.9713600</t>
  </si>
  <si>
    <t>15.7912100</t>
  </si>
  <si>
    <t>+4366480252100</t>
  </si>
  <si>
    <t>r.glanz@shark-haustechnik.at</t>
  </si>
  <si>
    <t>https://bilder.dasschnelle.at/DasSchnelle/50/5000/9879/061353/I_061353_P_905933471_L_0038538754_1.png</t>
  </si>
  <si>
    <t>https://bilder.dasschnelle.at/DasSchnelle/50/5000/9879/061353/I_061353_P_905933471_B_0038538754_1.gal.png?height=400&amp;width=600;https://bilder.dasschnelle.at/DasSchnelle/50/5000/9879/061353/I_061353_P_905933471_B_0038538754_2.gal.png?height=437&amp;width=600;https://bilder.dasschnelle.at/DasSchnelle/50/5000/9879/061353/I_061353_P_905933471_B_0038538754_3.gal.png?height=429&amp;width=600;https://bilder.dasschnelle.at/DasSchnelle/50/5000/9879/061353/I_061353_P_905933471_B_0038538754_4.gal.png?height=293&amp;width=600</t>
  </si>
  <si>
    <t>media plus light-tech Kreiner e.U., Elektrotechnik • Gnas • Steiermark</t>
  </si>
  <si>
    <t>Elektrotechnik • media plus light-tech Kreiner e.U., Gnas • Kontakt über aktuelle Telefonnummern ☎ und Adressen ⚑ mit Karte, Routing, Öffnungszeiten, Homepage, E-Mail, vCard und Firmendaten.</t>
  </si>
  <si>
    <t>46.8707063</t>
  </si>
  <si>
    <t>15.8286868</t>
  </si>
  <si>
    <t>+43315151963</t>
  </si>
  <si>
    <t>kreiner@mediaplus-austria.com</t>
  </si>
  <si>
    <t>Freiraum, Friseursalon - Nagelstudio • Sankt Stefan • Steiermark</t>
  </si>
  <si>
    <t>Fingernagelstudios, Friseure • Freiraum, Grazerstraße 4, Sankt Stefan • Kontakt über aktuelle Telefonnummern ☎ und Adressen ⚑ mit Karte, Routing, Öffnungszeiten, Homepage, E-Mail, vCard und Firmendaten.</t>
  </si>
  <si>
    <t>Grazerstraße 4</t>
  </si>
  <si>
    <t>Sankt Stefan</t>
  </si>
  <si>
    <t>46.90455</t>
  </si>
  <si>
    <t>15.71001</t>
  </si>
  <si>
    <t>+436644116225</t>
  </si>
  <si>
    <t>salon.freiraum@gmx.at</t>
  </si>
  <si>
    <t>https://bilder.dasschnelle.at/DasSchnelle/50/5000/9879/061349/G_061349_P_906136202.adn.gif</t>
  </si>
  <si>
    <t>Fritz, Franz, Blumen • Gnas • Steiermark</t>
  </si>
  <si>
    <t>Gärtnereien • Fritz, Franz, Gnas 32, Gnas • Kontakt über aktuelle Telefonnummern ☎ und Adressen ⚑ mit Karte, Routing, Öffnungszeiten, Homepage, E-Mail, vCard und Firmendaten.</t>
  </si>
  <si>
    <t>Gnas 32</t>
  </si>
  <si>
    <t>46.8291285</t>
  </si>
  <si>
    <t>15.8663919</t>
  </si>
  <si>
    <t>+4331518278;+43315130111</t>
  </si>
  <si>
    <t>blumenfritz@gmx.at</t>
  </si>
  <si>
    <t>https://bilder.dasschnelle.at/DasSchnelle/50/5000/9879/061440/I_061440_P_905884982_L_0036177572_1.png</t>
  </si>
  <si>
    <t>https://bilder.dasschnelle.at/DasSchnelle/50/5000/9879/061440/I_061440_P_905884982_B_0036177572_1.gal.png?height=960&amp;width=720;https://bilder.dasschnelle.at/DasSchnelle/50/5000/9879/061440/I_061440_P_905884982_B_0036177572_2.gal.png?height=960&amp;width=719;https://bilder.dasschnelle.at/DasSchnelle/50/5000/9879/061440/I_061440_P_905884982_B_0036177572_3.gal.png?height=960&amp;width=720;https://bilder.dasschnelle.at/DasSchnelle/50/5000/9879/061440/I_061440_P_905884982_B_0036177572_4.gal.png?height=960&amp;width=720</t>
  </si>
  <si>
    <t>Abermann, Michael, Dr.med., FA f Zahn-, Mund- u Kieferheilkunde • Kirchberg in Tirol • Tirol</t>
  </si>
  <si>
    <t>Ärzte / Fachärzte f. Zahn-, Mund u. Kieferheilkunde • Abermann, Michael, Dr.med., Lendstraße 8, Kirchberg in Tirol • Kontakt über aktuelle Telefonnummern ☎ und Adressen ⚑ mit Karte, Routing, Öffnungszeiten, Homepage, E-Mail, vCard und Firmendaten.</t>
  </si>
  <si>
    <t>Lendstraße 8</t>
  </si>
  <si>
    <t>6365</t>
  </si>
  <si>
    <t>Kirchberg in Tirol</t>
  </si>
  <si>
    <t>47.44618</t>
  </si>
  <si>
    <t>12.31309</t>
  </si>
  <si>
    <t>+4353572695</t>
  </si>
  <si>
    <t>+4353574037</t>
  </si>
  <si>
    <t>abermann.dentalcare@aon.at</t>
  </si>
  <si>
    <t>https://bilder.dasschnelle.at/DasSchnelle/50/5000/9896/046133/G_046133_P_906224017.adn.gif</t>
  </si>
  <si>
    <t>Manzl, Josef, Dr.med., FA für Frauenheilkunde und Geburtshilfe • Kitzbühel • Tirol</t>
  </si>
  <si>
    <t>Ärzte / Fachärzte f. Frauenheilkunde u. Geburtshilfe • Manzl, Josef, Dr.med., Kirchgasse 13 A, Kitzbühel • Kontakt über aktuelle Telefonnummern ☎ und Adressen ⚑ mit Karte, Routing, Öffnungszeiten, Homepage, E-Mail, vCard und Firmendaten.</t>
  </si>
  <si>
    <t>Kirchgasse 13 A</t>
  </si>
  <si>
    <t>6370</t>
  </si>
  <si>
    <t>Kitzbühel</t>
  </si>
  <si>
    <t>47.44778</t>
  </si>
  <si>
    <t>12.38843</t>
  </si>
  <si>
    <t>+43535665840</t>
  </si>
  <si>
    <t>https://bilder.dasschnelle.at/DasSchnelle/50/5000/9896/046135/G_046135_P_906236008.adn.gif</t>
  </si>
  <si>
    <t>Berggasthof Staudachstubn e.U. • Kirchberg in Tirol • Tirol</t>
  </si>
  <si>
    <t>Gastgewerbe - Gasthöfe • Berggasthof Staudachstubn e.U., Brandseite 10, Kirchberg in Tirol • Kontakt über aktuelle Telefonnummern ☎ und Adressen ⚑ mit Karte, Routing, Öffnungszeiten, Homepage, E-Mail, vCard und Firmendaten.</t>
  </si>
  <si>
    <t>Brandseite 10</t>
  </si>
  <si>
    <t>47.4431480</t>
  </si>
  <si>
    <t>12.3361709</t>
  </si>
  <si>
    <t>+4353572084</t>
  </si>
  <si>
    <t>info@staudachstubn.at</t>
  </si>
  <si>
    <t>https://bilder.dasschnelle.at/DasSchnelle/50/5000/9896/046133/G_046133_P_906231127.adn.gif</t>
  </si>
  <si>
    <t>Johannes Apotheke, Apotheke • St. Johann in Tirol • Tirol</t>
  </si>
  <si>
    <t>Apotheken • Johannes Apotheke, Dechant-Wieshoferstraße 25, St. Johann in Tirol • Kontakt über aktuelle Telefonnummern ☎ und Adressen ⚑ mit Karte, Routing, Öffnungszeiten, Homepage, E-Mail, vCard und Firmendaten.</t>
  </si>
  <si>
    <t>Dechant-Wieshoferstraße 25</t>
  </si>
  <si>
    <t>6380</t>
  </si>
  <si>
    <t>St. Johann in Tirol</t>
  </si>
  <si>
    <t>47.5242669</t>
  </si>
  <si>
    <t>12.4313150</t>
  </si>
  <si>
    <t>+43535261222</t>
  </si>
  <si>
    <t>office@apotheke-stjohann.at</t>
  </si>
  <si>
    <t>https://bilder.dasschnelle.at/DasSchnelle/50/5000/9896/046140/G_046140_P_906232905.adn.gif</t>
  </si>
  <si>
    <t>Bodner, Helmut, Dr.med., FA f Hals-, Nasen-u Ohrenkrankheiten • Kitzbühel • Tirol</t>
  </si>
  <si>
    <t>Ärzte / Fachärzte f. Hals-, Nasen u. Ohrenkrankheiten • Bodner, Helmut, Dr.med., Jochberger Straße 8, Kitzbühel • Kontakt über aktuelle Telefonnummern ☎ und Adressen ⚑ mit Karte, Routing, Öffnungszeiten, Homepage, E-Mail, vCard und Firmendaten.</t>
  </si>
  <si>
    <t>Jochberger Straße 8</t>
  </si>
  <si>
    <t>47.44392</t>
  </si>
  <si>
    <t>12.39603</t>
  </si>
  <si>
    <t>+43535666676</t>
  </si>
  <si>
    <t>+435356666764</t>
  </si>
  <si>
    <t>office@hno-kitz.at</t>
  </si>
  <si>
    <t>https://bilder.dasschnelle.at/DasSchnelle/50/5000/9896/046135/G_046135_P_906232906.adn.gif</t>
  </si>
  <si>
    <t>Zimmeter, Lothar, Mag., Notar • Kitzbühel • Tirol</t>
  </si>
  <si>
    <t>Notare • Zimmeter, Lothar, Mag., Rathausplatz 5, Kitzbühel • Kontakt über aktuelle Telefonnummern ☎ und Adressen ⚑ mit Karte, Routing, Öffnungszeiten, Homepage, E-Mail, vCard und Firmendaten.</t>
  </si>
  <si>
    <t>Rathausplatz 5</t>
  </si>
  <si>
    <t>47.4464</t>
  </si>
  <si>
    <t>12.39055</t>
  </si>
  <si>
    <t>+43535666610</t>
  </si>
  <si>
    <t>office@notariat-kitzbuehel.at</t>
  </si>
  <si>
    <t>https://bilder.dasschnelle.at/DasSchnelle/50/5000/9896/046135/G_046135_P_906229988.adn.gif</t>
  </si>
  <si>
    <t>Brajer, Peter, Dr., Arzt f Allgemeinmedizin • Westendorf • Tirol</t>
  </si>
  <si>
    <t>Ärzte / f Allgemeinmedizin • Brajer, Peter, Dr., Sennereiweg 8, Westendorf • Kontakt über aktuelle Telefonnummern ☎ und Adressen ⚑ mit Karte, Routing, Öffnungszeiten, Homepage, E-Mail, vCard und Firmendaten.</t>
  </si>
  <si>
    <t>Sennereiweg 8</t>
  </si>
  <si>
    <t>6363</t>
  </si>
  <si>
    <t>Westendorf</t>
  </si>
  <si>
    <t>47.43271</t>
  </si>
  <si>
    <t>12.21418</t>
  </si>
  <si>
    <t>+43533420820;+436604849220</t>
  </si>
  <si>
    <t>vertrauensarztwestendorf@gmail.com</t>
  </si>
  <si>
    <t>https://bilder.dasschnelle.at/DasSchnelle/50/5000/9896/046144/G_046144_P_906234701.adn.gif</t>
  </si>
  <si>
    <t>Gröbner, Hubert, Dr.med.univ., FA f Innere Medizin • St. Johann in Tirol • Tirol</t>
  </si>
  <si>
    <t>Ärzte / Fachärzte f. Innere Medizin, Sportmedizin • Gröbner, Hubert, Dr.med.univ., Murweg 2, St. Johann in Tirol • Kontakt über aktuelle Telefonnummern ☎ und Adressen ⚑ mit Karte, Routing, Öffnungszeiten, Homepage, E-Mail, vCard und Firmendaten.</t>
  </si>
  <si>
    <t>Murweg 2</t>
  </si>
  <si>
    <t>47.5236976</t>
  </si>
  <si>
    <t>12.4320792</t>
  </si>
  <si>
    <t>+43535264333</t>
  </si>
  <si>
    <t>ordination@herzmed.at</t>
  </si>
  <si>
    <t>https://bilder.dasschnelle.at/DasSchnelle/50/5000/9896/046140/G_046140_P_906236007.adn.gif</t>
  </si>
  <si>
    <t>Strele, Sigmund, Mag., Tierarzt • Westendorf • Tirol</t>
  </si>
  <si>
    <t>Tierärzte • Strele, Sigmund, Mag., Mühltal 25, Westendorf • Kontakt über aktuelle Telefonnummern ☎ und Adressen ⚑ mit Karte, Routing, Öffnungszeiten, Homepage, E-Mail, vCard und Firmendaten.</t>
  </si>
  <si>
    <t>Mühltal 25</t>
  </si>
  <si>
    <t>47.43618</t>
  </si>
  <si>
    <t>12.21378</t>
  </si>
  <si>
    <t>+4353346271</t>
  </si>
  <si>
    <t>tierarztpraxis-strele@live.at</t>
  </si>
  <si>
    <t>https://bilder.dasschnelle.at/DasSchnelle/50/5000/9896/046144/G_046144_P_906227584.adn.gif</t>
  </si>
  <si>
    <t>Moser, Maria Luise, Mag., Psychotherapeutin • Kirchberg in Tirol • Tirol</t>
  </si>
  <si>
    <t>Psychotherapie • Moser, Maria Luise, Mag., Weinbergweg 10, Kirchberg in Tirol • Kontakt über aktuelle Telefonnummern ☎ und Adressen ⚑ mit Karte, Routing, Öffnungszeiten, Homepage, E-Mail, vCard und Firmendaten.</t>
  </si>
  <si>
    <t>Weinbergweg 10</t>
  </si>
  <si>
    <t>47.44972</t>
  </si>
  <si>
    <t>12.31566</t>
  </si>
  <si>
    <t>+4369910895430</t>
  </si>
  <si>
    <t>praxis@maria-luise-moser.at</t>
  </si>
  <si>
    <t>Keuschnigg, Robert, Dr., Zahnarzt • St. Johann • Tirol</t>
  </si>
  <si>
    <t>Ärzte / Zahnärzte • Keuschnigg, Robert, Dr., Bahnhofstraße 12, St. Johann • Kontakt über aktuelle Telefonnummern ☎ und Adressen ⚑ mit Karte, Routing, Öffnungszeiten, Homepage, E-Mail, vCard und Firmendaten.</t>
  </si>
  <si>
    <t>Bahnhofstraße 12</t>
  </si>
  <si>
    <t>St. Johann</t>
  </si>
  <si>
    <t>47.5213252</t>
  </si>
  <si>
    <t>12.4305724</t>
  </si>
  <si>
    <t>+43535263647</t>
  </si>
  <si>
    <t>praxis@dieZahnspangenwerkstatt.at</t>
  </si>
  <si>
    <t>https://bilder.dasschnelle.at/DasSchnelle/50/5000/9896/046140/G_046140_P_906224021.adn.gif</t>
  </si>
  <si>
    <t>Danzl, Simon, Bauunternehmen • St. Ulrich am Pillersee • Tirol</t>
  </si>
  <si>
    <t>Bauunternehmen • Danzl, Simon, Schartental 32, St. Ulrich am Pillersee • Kontakt über aktuelle Telefonnummern ☎ und Adressen ⚑ mit Karte, Routing, Öffnungszeiten, Homepage, E-Mail, vCard und Firmendaten.</t>
  </si>
  <si>
    <t>Schartental 32</t>
  </si>
  <si>
    <t>6393</t>
  </si>
  <si>
    <t>St. Ulrich am Pillersee</t>
  </si>
  <si>
    <t>47.51658</t>
  </si>
  <si>
    <t>12.57532</t>
  </si>
  <si>
    <t>+436641981777</t>
  </si>
  <si>
    <t>info@vexo-erdbau.at</t>
  </si>
  <si>
    <t>https://bilder.dasschnelle.at/DasSchnelle/50/5000/9896/046141/G_046141_P_906229977.adn.gif</t>
  </si>
  <si>
    <t>Trattenbachalm, Peter Eder, Berggsthaus • Jochberg • Tirol</t>
  </si>
  <si>
    <t>Gastgewerbe - Gasthöfe • Trattenbachalm, Peter Eder, Trattenbachalm 218, Jochberg • Kontakt über aktuelle Telefonnummern ☎ und Adressen ⚑ mit Karte, Routing, Öffnungszeiten, Homepage, E-Mail, vCard und Firmendaten.</t>
  </si>
  <si>
    <t>Trattenbachalm 218</t>
  </si>
  <si>
    <t>6373</t>
  </si>
  <si>
    <t>Jochberg</t>
  </si>
  <si>
    <t>47.3335570</t>
  </si>
  <si>
    <t>12.3614600</t>
  </si>
  <si>
    <t>+4353555089;+436645307620</t>
  </si>
  <si>
    <t>trattenbach@a1.net</t>
  </si>
  <si>
    <t>https://bilder.dasschnelle.at/DasSchnelle/50/5000/9896/046132/G_046132_P_906222816.adn.gif</t>
  </si>
  <si>
    <t>Landegger, Thomas, Dr.med, FA für Hals-, Nasen- und Ohrenkrankheiten • St. Johann • Tirol</t>
  </si>
  <si>
    <t>Ärzte / Fachärzte f. Hals-, Nasen u. Ohrenkrankheiten • Landegger, Thomas, Dr.med, Dechant-Wieshoferstraße 6, St. Johann • Kontakt über aktuelle Telefonnummern ☎ und Adressen ⚑ mit Karte, Routing, Öffnungszeiten, Homepage, E-Mail, vCard und Firmendaten.</t>
  </si>
  <si>
    <t>Dechant-Wieshoferstraße 6</t>
  </si>
  <si>
    <t>47.5229612</t>
  </si>
  <si>
    <t>12.4298573</t>
  </si>
  <si>
    <t>+43535261211</t>
  </si>
  <si>
    <t>dr.landegger@aon.at</t>
  </si>
  <si>
    <t>https://bilder.dasschnelle.at/DasSchnelle/50/5000/9896/046140/G_046140_P_906242037.adn.gif</t>
  </si>
  <si>
    <t>Matt, Elke, Dr., FA f Innere Medizin • St. Johann in Tirol • Tirol</t>
  </si>
  <si>
    <t>Ärzte / Fachärzte f. Innere Medizin • Matt, Elke, Dr., Neubauweg 8, St. Johann in Tirol • Kontakt über aktuelle Telefonnummern ☎ und Adressen ⚑ mit Karte, Routing, Öffnungszeiten, Homepage, E-Mail, vCard und Firmendaten.</t>
  </si>
  <si>
    <t>Neubauweg 8</t>
  </si>
  <si>
    <t>47.5240776</t>
  </si>
  <si>
    <t>12.4287326</t>
  </si>
  <si>
    <t>+4369911968623</t>
  </si>
  <si>
    <t>elkematt@gmx.at</t>
  </si>
  <si>
    <t>https://bilder.dasschnelle.at/DasSchnelle/50/5000/9896/046140/G_046140_P_906230717.adn.gif</t>
  </si>
  <si>
    <t>Artenova Metall u Schmiedekunst • Waidring • Tirol</t>
  </si>
  <si>
    <t>Kunstschmieden, Metallbau • Artenova Metall u Schmiedekunst, Unterwasser 55 A, Waidring • Kontakt über aktuelle Telefonnummern ☎ und Adressen ⚑ mit Karte, Routing, Öffnungszeiten, Homepage, E-Mail, vCard und Firmendaten.</t>
  </si>
  <si>
    <t>Unterwasser 55 A</t>
  </si>
  <si>
    <t>6384</t>
  </si>
  <si>
    <t>Waidring</t>
  </si>
  <si>
    <t>47.58386</t>
  </si>
  <si>
    <t>12.5862</t>
  </si>
  <si>
    <t>+43535352050</t>
  </si>
  <si>
    <t>+43535352051</t>
  </si>
  <si>
    <t>office@artenova-crew.at</t>
  </si>
  <si>
    <t>https://bilder.dasschnelle.at/DasSchnelle/50/5000/9896/046143/I_046143_P_905958365_L_0036261548_1.png</t>
  </si>
  <si>
    <t>https://bilder.dasschnelle.at/DasSchnelle/50/5000/9896/046143/I_046143_P_905958365_B_0036261548_1.gal.png?height=450&amp;width=600;https://bilder.dasschnelle.at/DasSchnelle/50/5000/9896/046143/I_046143_P_905958365_B_0036261548_2.gal.png?height=450&amp;width=600;https://bilder.dasschnelle.at/DasSchnelle/50/5000/9896/046143/I_046143_P_905958365_B_0036261548_3.gal.png?height=450&amp;width=600;https://bilder.dasschnelle.at/DasSchnelle/50/5000/9896/046143/I_046143_P_905958365_B_0036261548_4.gal.png?height=600&amp;width=450;https://bilder.dasschnelle.at/DasSchnelle/50/5000/9896/046143/G_046143_P_906197596.adn.gif</t>
  </si>
  <si>
    <t>Sereinig, Michael, DDr., FA f Mund-, Kiefer- u Gesichtschirurgie • Kitzbühel • Tirol</t>
  </si>
  <si>
    <t>Ärzte / Fachärzte f. Mund-, Kiefer- u. Gesichtschirurgie • Sereinig, Michael, DDr., Hornweg 28, Kitzbühel • Kontakt über aktuelle Telefonnummern ☎ und Adressen ⚑ mit Karte, Routing, Öffnungszeiten, Homepage, E-Mail, vCard und Firmendaten.</t>
  </si>
  <si>
    <t>Hornweg 28</t>
  </si>
  <si>
    <t>47.44974</t>
  </si>
  <si>
    <t>12.3947</t>
  </si>
  <si>
    <t>+43535665070</t>
  </si>
  <si>
    <t>info@mkg-kitz.at</t>
  </si>
  <si>
    <t>https://bilder.dasschnelle.at/DasSchnelle/50/5000/9896/046135/G_046135_P_906237049.adn.gif</t>
  </si>
  <si>
    <t>etem Elektrotechnik • Sankt Nikolai i.S. • Steiermark</t>
  </si>
  <si>
    <t>Elektrotechnik • etem Elektrotechnik, Greith 11, Sankt Nikolai i.S. • Kontakt über aktuelle Telefonnummern ☎ und Adressen ⚑ mit Karte, Routing, Öffnungszeiten, Homepage, E-Mail, vCard und Firmendaten.</t>
  </si>
  <si>
    <t>Greith 11</t>
  </si>
  <si>
    <t>8505</t>
  </si>
  <si>
    <t>Sankt Nikolai i.S.</t>
  </si>
  <si>
    <t>46.5982144</t>
  </si>
  <si>
    <t>14.1579937</t>
  </si>
  <si>
    <t>+436504801363</t>
  </si>
  <si>
    <t>office@etem.at</t>
  </si>
  <si>
    <t>https://bilder.dasschnelle.at/DasSchnelle/50/5000/9904/044310/G_044310_P_906124093.adn.gif</t>
  </si>
  <si>
    <t>Säge-u. Hobelwerk Resch • Sankt Nikolai i.S. • Steiermark</t>
  </si>
  <si>
    <t>Säge- u. Hobelwerke • Säge-u. Hobelwerk Resch, Oberjahring 23, Sankt Nikolai i.S. • Kontakt über aktuelle Telefonnummern ☎ und Adressen ⚑ mit Karte, Routing, Öffnungszeiten, Homepage, E-Mail, vCard und Firmendaten.</t>
  </si>
  <si>
    <t>Oberjahring 23</t>
  </si>
  <si>
    <t>46.8201152</t>
  </si>
  <si>
    <t>15.4609241</t>
  </si>
  <si>
    <t>+4331852319</t>
  </si>
  <si>
    <t>saegewerk.resch@a1.net</t>
  </si>
  <si>
    <t>https://bilder.dasschnelle.at/DasSchnelle/50/5000/9904/044310/G_044310_P_906123833.adn.gif</t>
  </si>
  <si>
    <t>Reiter, Hans-Jürgen, Zweirad • Wildon • Steiermark</t>
  </si>
  <si>
    <t>Zweiräder • Reiter, Hans-Jürgen, Kainachtalstraße 3, Wildon • Kontakt über aktuelle Telefonnummern ☎ und Adressen ⚑ mit Karte, Routing, Öffnungszeiten, Homepage, E-Mail, vCard und Firmendaten.</t>
  </si>
  <si>
    <t>Kainachtalstraße 3</t>
  </si>
  <si>
    <t>8410</t>
  </si>
  <si>
    <t>Wildon</t>
  </si>
  <si>
    <t>46.88728</t>
  </si>
  <si>
    <t>15.49969</t>
  </si>
  <si>
    <t>+436641523061</t>
  </si>
  <si>
    <t>fahrrad-reiter@gmx.at</t>
  </si>
  <si>
    <t>https://bilder.dasschnelle.at/DasSchnelle/50/5000/9904/061408/G_061408_P_906298002.adn.gif</t>
  </si>
  <si>
    <t>Sabathi, Thomas, Malermeister • Tillmitsch • Steiermark</t>
  </si>
  <si>
    <t>Malereibetriebe • Sabathi, Thomas, Schirkastraße 12, Tillmitsch • Kontakt über aktuelle Telefonnummern ☎ und Adressen ⚑ mit Karte, Routing, Öffnungszeiten, Homepage, E-Mail, vCard und Firmendaten.</t>
  </si>
  <si>
    <t>Schirkastraße 12</t>
  </si>
  <si>
    <t>8434</t>
  </si>
  <si>
    <t>Tillmitsch</t>
  </si>
  <si>
    <t>46.8137900</t>
  </si>
  <si>
    <t>15.5103500</t>
  </si>
  <si>
    <t>+43345276575;+436763383440</t>
  </si>
  <si>
    <t>office@sabathi.info</t>
  </si>
  <si>
    <t>https://bilder.dasschnelle.at/DasSchnelle/50/5000/9904/044320/G_044320_P_906297575.adn.gif</t>
  </si>
  <si>
    <t>Hütinger, Stefan, Glas • Kaindorf • Steiermark</t>
  </si>
  <si>
    <t>Glas u. Service • Hütinger, Stefan, Grazer Straße 141, Kaindorf • Kontakt über aktuelle Telefonnummern ☎ und Adressen ⚑ mit Karte, Routing, Öffnungszeiten, Homepage, E-Mail, vCard und Firmendaten.</t>
  </si>
  <si>
    <t>Grazer Straße 141</t>
  </si>
  <si>
    <t>8430</t>
  </si>
  <si>
    <t>Kaindorf</t>
  </si>
  <si>
    <t>46.7941</t>
  </si>
  <si>
    <t>15.53791</t>
  </si>
  <si>
    <t>+43345275517;+436644794291</t>
  </si>
  <si>
    <t>info@huetinger-glas.at</t>
  </si>
  <si>
    <t>https://bilder.dasschnelle.at/DasSchnelle/50/5000/9904/061363/G_061363_P_906298007.adn.gif</t>
  </si>
  <si>
    <t>Überbacher Sport, Sportartikel u -geräte • Leibnitz • Steiermark</t>
  </si>
  <si>
    <t>Sportartikel u. -geräte • Überbacher Sport, Bahnhofstraße 19, Leibnitz • Kontakt über aktuelle Telefonnummern ☎ und Adressen ⚑ mit Karte, Routing, Öffnungszeiten, Homepage, E-Mail, vCard und Firmendaten.</t>
  </si>
  <si>
    <t>Bahnhofstraße 19</t>
  </si>
  <si>
    <t>Leibnitz</t>
  </si>
  <si>
    <t>46.7829</t>
  </si>
  <si>
    <t>15.54556</t>
  </si>
  <si>
    <t>+43345273477;+436641815949</t>
  </si>
  <si>
    <t>sport.ueberbacher@aon.at</t>
  </si>
  <si>
    <t>https://bilder.dasschnelle.at/DasSchnelle/50/5000/9904/061363/G_061363_P_906297573.adn.gif</t>
  </si>
  <si>
    <t>Cafe - Restaurant Herg, Cafe • Leibnitz • Steiermark</t>
  </si>
  <si>
    <t>Cafés, Cafe-Restaurants • Cafe - Restaurant Herg, 27.Jännerstraße 7, Leibnitz • Kontakt über aktuelle Telefonnummern ☎ und Adressen ⚑ mit Karte, Routing, Öffnungszeiten, Homepage, E-Mail, vCard und Firmendaten.</t>
  </si>
  <si>
    <t>27.Jännerstraße 7</t>
  </si>
  <si>
    <t>46.7833</t>
  </si>
  <si>
    <t>15.54179</t>
  </si>
  <si>
    <t>+43345274266</t>
  </si>
  <si>
    <t>info@familie-herg.at</t>
  </si>
  <si>
    <t>https://bilder.dasschnelle.at/DasSchnelle/50/5000/9904/061363/G_061363_P_906297568.adn.gif</t>
  </si>
  <si>
    <t>adcura Schloß  Arnfels Seniorenwohnen GmbH • Arnfels • Steiermark</t>
  </si>
  <si>
    <t>Seniorenheime • adcura Schloß  Arnfels Seniorenwohnen GmbH, Hardegger Straße 1, Arnfels • Kontakt über aktuelle Telefonnummern ☎ und Adressen ⚑ mit Karte, Routing, Öffnungszeiten, Homepage, E-Mail, vCard und Firmendaten.</t>
  </si>
  <si>
    <t>Hardegger Straße 1</t>
  </si>
  <si>
    <t>8454</t>
  </si>
  <si>
    <t>Arnfels</t>
  </si>
  <si>
    <t>46.67491</t>
  </si>
  <si>
    <t>15.40013</t>
  </si>
  <si>
    <t>+4366488456150</t>
  </si>
  <si>
    <t>arnfels@adcura.at</t>
  </si>
  <si>
    <t>https://bilder.dasschnelle.at/DasSchnelle/50/5000/9904/044081/G_044081_P_906298009.adn.gif</t>
  </si>
  <si>
    <t>Schreiber, Reinhardt, Dr.med., Zahnregulierungen u Kieferorthopädie • Hartberg • Steiermark</t>
  </si>
  <si>
    <t>Ärzte / Fachärzte f. Mund-, Kiefer- u. Gesichtschirurgie • Schreiber, Reinhardt, Dr.med., Grazer Straße 18, Hartberg • Kontakt über aktuelle Telefonnummern ☎ und Adressen ⚑ mit Karte, Routing, Öffnungszeiten, Homepage, E-Mail, vCard und Firmendaten.</t>
  </si>
  <si>
    <t>Grazer Straße 18</t>
  </si>
  <si>
    <t>8230</t>
  </si>
  <si>
    <t>Hartberg</t>
  </si>
  <si>
    <t>47.27714</t>
  </si>
  <si>
    <t>15.96577</t>
  </si>
  <si>
    <t>+43333263223</t>
  </si>
  <si>
    <t>https://bilder.dasschnelle.at/DasSchnelle/50/5000/9890/042582/G_042582_P_906183882.adn.gif</t>
  </si>
  <si>
    <t>Haider, Mario, Fliesenleger • Siegersdorf bei Herberstein • Steiermark</t>
  </si>
  <si>
    <t>Fliesen u. Plattenverlegungen • Haider, Mario, Siegersdorf bei Herberstein • Kontakt über aktuelle Telefonnummern ☎ und Adressen ⚑ mit Karte, Routing, Öffnungszeiten, Homepage, E-Mail, vCard und Firmendaten.</t>
  </si>
  <si>
    <t>8222</t>
  </si>
  <si>
    <t>Siegersdorf bei Herberstein</t>
  </si>
  <si>
    <t>47.2114625</t>
  </si>
  <si>
    <t>15.7798215</t>
  </si>
  <si>
    <t>+436645106189</t>
  </si>
  <si>
    <t>fliesenhaider@aon.at</t>
  </si>
  <si>
    <t>https://bilder.dasschnelle.at/DasSchnelle/50/5000/9890/061405/G_061405_P_906174357.adn.gif</t>
  </si>
  <si>
    <t>Pichler Franz GmbH, Installationsunternehmen • Vorau • Steiermark</t>
  </si>
  <si>
    <t>Installationsunternehmen • Pichler Franz GmbH, Barbara-Sicharter-Straße 472, Vorau • Kontakt über aktuelle Telefonnummern ☎ und Adressen ⚑ mit Karte, Routing, Öffnungszeiten, Homepage, E-Mail, vCard und Firmendaten.</t>
  </si>
  <si>
    <t>Barbara-Sicharter-Straße 472</t>
  </si>
  <si>
    <t>8250</t>
  </si>
  <si>
    <t>Vorau</t>
  </si>
  <si>
    <t>47.40427</t>
  </si>
  <si>
    <t>15.87652</t>
  </si>
  <si>
    <t>+4333372666;+436644059865</t>
  </si>
  <si>
    <t>office@pichler-haustechnik.at</t>
  </si>
  <si>
    <t>https://bilder.dasschnelle.at/DasSchnelle/50/5000/9890/061414/G_061414_P_906154893.adn.gif</t>
  </si>
  <si>
    <t>Kremnitzer, Petra, Dr., Ärzte / Fachärzte f Zahn-, Mund-u Kieferheilkunde • Rohrbach an der Lafnitz • Steiermark</t>
  </si>
  <si>
    <t>Ärzte / Fachärzte f. Zahn-, Mund u. Kieferheilkunde • Kremnitzer, Petra, Dr., Obere Hauptstraße 15, Rohrbach an der Lafnitz • Kontakt über aktuelle Telefonnummern ☎ und Adressen ⚑ mit Karte, Routing, Öffnungszeiten, Homepage, E-Mail, vCard und Firmendaten.</t>
  </si>
  <si>
    <t>Obere Hauptstraße 15</t>
  </si>
  <si>
    <t>8234</t>
  </si>
  <si>
    <t>Rohrbach an der Lafnitz</t>
  </si>
  <si>
    <t>47.39022</t>
  </si>
  <si>
    <t>15.99566</t>
  </si>
  <si>
    <t>+43333820486</t>
  </si>
  <si>
    <t>https://bilder.dasschnelle.at/DasSchnelle/50/5000/9890/061420/G_061420_P_906178314.adn.gif</t>
  </si>
  <si>
    <t>Halwachs, Adrian, Malermeister • Vorau • Steiermark</t>
  </si>
  <si>
    <t>Malereibetriebe • Halwachs, Adrian, Kringstraße 259, Vorau • Kontakt über aktuelle Telefonnummern ☎ und Adressen ⚑ mit Karte, Routing, Öffnungszeiten, Homepage, E-Mail, vCard und Firmendaten.</t>
  </si>
  <si>
    <t>Kringstraße 259</t>
  </si>
  <si>
    <t>47.40682</t>
  </si>
  <si>
    <t>15.89475</t>
  </si>
  <si>
    <t>+4333372313</t>
  </si>
  <si>
    <t>halwachs.maler@aon.at</t>
  </si>
  <si>
    <t>https://bilder.dasschnelle.at/DasSchnelle/50/5000/9890/061414/G_061414_P_906178296.adn.gif</t>
  </si>
  <si>
    <t>Hämmerle, Christina, Dr., FA f Allgemeinmedizin • Liezen • Steiermark</t>
  </si>
  <si>
    <t>Ärzte / f Allgemeinmedizin • Hämmerle, Christina, Dr., Fronleichnamsweg 15, Liezen • Kontakt über aktuelle Telefonnummern ☎ und Adressen ⚑ mit Karte, Routing, Öffnungszeiten, Homepage, E-Mail, vCard und Firmendaten.</t>
  </si>
  <si>
    <t>Fronleichnamsweg 15</t>
  </si>
  <si>
    <t>8940</t>
  </si>
  <si>
    <t>Liezen</t>
  </si>
  <si>
    <t>47.56542</t>
  </si>
  <si>
    <t>14.23945</t>
  </si>
  <si>
    <t>+43361225400</t>
  </si>
  <si>
    <t>office@ch-haemmerle.at</t>
  </si>
  <si>
    <t>https://bilder.dasschnelle.at/DasSchnelle/50/5000/9905/061443/G_061443_P_906166258.adn.gif</t>
  </si>
  <si>
    <t>Mayer Autohaus GesmbH, Autohäuser • Liezen • Steiermark</t>
  </si>
  <si>
    <t>Autohäuser • Mayer Autohaus GesmbH, Ausseer Straße 99, Liezen • Kontakt über aktuelle Telefonnummern ☎ und Adressen ⚑ mit Karte, Routing, Öffnungszeiten, Homepage, E-Mail, vCard und Firmendaten.</t>
  </si>
  <si>
    <t>Ausseer Straße 99</t>
  </si>
  <si>
    <t>47.57011</t>
  </si>
  <si>
    <t>14.21707</t>
  </si>
  <si>
    <t>+43361223901</t>
  </si>
  <si>
    <t>liezen@autozentrum-mayer.at</t>
  </si>
  <si>
    <t>https://bilder.dasschnelle.at/DasSchnelle/50/5000/9905/061443/G_061443_P_906174350.adn.gif</t>
  </si>
  <si>
    <t>Bund, Sabine, Blumen • Stainach • Steiermark</t>
  </si>
  <si>
    <t>Blumenhandel • Bund, Sabine, Hauptplatz 259, Stainach • Kontakt über aktuelle Telefonnummern ☎ und Adressen ⚑ mit Karte, Routing, Öffnungszeiten, Homepage, E-Mail, vCard und Firmendaten.</t>
  </si>
  <si>
    <t>Hauptplatz 259</t>
  </si>
  <si>
    <t>8950</t>
  </si>
  <si>
    <t>Stainach</t>
  </si>
  <si>
    <t>47.53372</t>
  </si>
  <si>
    <t>14.10777</t>
  </si>
  <si>
    <t>+43368223798</t>
  </si>
  <si>
    <t>sabinebund@aon.at</t>
  </si>
  <si>
    <t>https://bilder.dasschnelle.at/DasSchnelle/50/5000/9905/061458/G_061458_P_906174341.adn.gif</t>
  </si>
  <si>
    <t>Bradaric A GmbH, Spenglerei • Sankt Gallen • Steiermark</t>
  </si>
  <si>
    <t>Dachdeckereien, Spenglereien • Bradaric A GmbH, Oberer Markt 76, Sankt Gallen • Kontakt über aktuelle Telefonnummern ☎ und Adressen ⚑ mit Karte, Routing, Öffnungszeiten, Homepage, E-Mail, vCard und Firmendaten.</t>
  </si>
  <si>
    <t>Oberer Markt 76</t>
  </si>
  <si>
    <t>8933</t>
  </si>
  <si>
    <t>Sankt Gallen</t>
  </si>
  <si>
    <t>47.69034</t>
  </si>
  <si>
    <t>14.6164</t>
  </si>
  <si>
    <t>+43363227757;+43363272800;+436643874512;+436643874513</t>
  </si>
  <si>
    <t>office@ab-dach.at</t>
  </si>
  <si>
    <t>https://bilder.dasschnelle.at/DasSchnelle/50/5000/9905/061474/G_061474_P_906230704.adn.gif</t>
  </si>
  <si>
    <t>Bestattung Schlömicher • Bad Mitterndorf • Steiermark</t>
  </si>
  <si>
    <t>Bestattungsunternehmen • Bestattung Schlömicher, Bad Mitterndorf 111, Bad Mitterndorf • Kontakt über aktuelle Telefonnummern ☎ und Adressen ⚑ mit Karte, Routing, Öffnungszeiten, Homepage, E-Mail, vCard und Firmendaten.</t>
  </si>
  <si>
    <t>Bad Mitterndorf 111</t>
  </si>
  <si>
    <t>8983</t>
  </si>
  <si>
    <t>Bad Mitterndorf</t>
  </si>
  <si>
    <t>47.5550840</t>
  </si>
  <si>
    <t>13.9339484</t>
  </si>
  <si>
    <t>+436642144257</t>
  </si>
  <si>
    <t>johannes.schloemicher@gmx.at</t>
  </si>
  <si>
    <t>https://bilder.dasschnelle.at/DasSchnelle/50/5000/9905/061452/G_061452_P_906178293.adn.gif</t>
  </si>
  <si>
    <t>Elektro Weißensteiner, Elektrohandel • Liezen • Steiermark</t>
  </si>
  <si>
    <t>Elektrohandel • Elektro Weißensteiner, Döllacher Straße 7, Liezen • Kontakt über aktuelle Telefonnummern ☎ und Adressen ⚑ mit Karte, Routing, Öffnungszeiten, Homepage, E-Mail, vCard und Firmendaten.</t>
  </si>
  <si>
    <t>Döllacher Straße 7</t>
  </si>
  <si>
    <t>47.56776</t>
  </si>
  <si>
    <t>14.2403</t>
  </si>
  <si>
    <t>+433612227770</t>
  </si>
  <si>
    <t>elektro.weissensteiner@utanet.at</t>
  </si>
  <si>
    <t>https://bilder.dasschnelle.at/DasSchnelle/50/5000/9905/061443/G_061443_P_906171757.adn.gif</t>
  </si>
  <si>
    <t>Winkler, Brigitte, Blumengeschäft • Liezen • Steiermark</t>
  </si>
  <si>
    <t>Blumenhandel • Winkler, Brigitte, Hauptplatz 10, Liezen • Kontakt über aktuelle Telefonnummern ☎ und Adressen ⚑ mit Karte, Routing, Öffnungszeiten, Homepage, E-Mail, vCard und Firmendaten.</t>
  </si>
  <si>
    <t>Hauptplatz 10</t>
  </si>
  <si>
    <t>47.56737</t>
  </si>
  <si>
    <t>14.24201</t>
  </si>
  <si>
    <t>+43361222374</t>
  </si>
  <si>
    <t>https://bilder.dasschnelle.at/DasSchnelle/50/5000/9905/061443/G_061443_P_906174349.adn.gif</t>
  </si>
  <si>
    <t>Pranjic, Jozo, Fliesenleger • Pruggern • Steiermark</t>
  </si>
  <si>
    <t>Fliesen u. Plattenverlegungen • Pranjic, Jozo, Pruggern 90, Pruggern • Kontakt über aktuelle Telefonnummern ☎ und Adressen ⚑ mit Karte, Routing, Öffnungszeiten, Homepage, E-Mail, vCard und Firmendaten.</t>
  </si>
  <si>
    <t>Pruggern 90</t>
  </si>
  <si>
    <t>8965</t>
  </si>
  <si>
    <t>Pruggern</t>
  </si>
  <si>
    <t>47.4098227</t>
  </si>
  <si>
    <t>13.8916140</t>
  </si>
  <si>
    <t>+436766301332;+436764738012</t>
  </si>
  <si>
    <t>info@joschi.online</t>
  </si>
  <si>
    <t>https://bilder.dasschnelle.at/DasSchnelle/50/5000/9905/061445/G_061445_P_906231132.adn.gif</t>
  </si>
  <si>
    <t>Pilz, Christine, Tip-Top Frisiersalon • Ramsau am Dachstein • Steiermark</t>
  </si>
  <si>
    <t>Friseure • Pilz, Christine, Ramsau 299, Ramsau am Dachstein • Kontakt über aktuelle Telefonnummern ☎ und Adressen ⚑ mit Karte, Routing, Öffnungszeiten, Homepage, E-Mail, vCard und Firmendaten.</t>
  </si>
  <si>
    <t>Ramsau 299</t>
  </si>
  <si>
    <t>8972</t>
  </si>
  <si>
    <t>Ramsau am Dachstein</t>
  </si>
  <si>
    <t>47.4210188</t>
  </si>
  <si>
    <t>13.6586461</t>
  </si>
  <si>
    <t>+43368781311;+436644544230</t>
  </si>
  <si>
    <t>pilzchristine@aon.at</t>
  </si>
  <si>
    <t>https://bilder.dasschnelle.at/DasSchnelle/50/5000/9905/044868/G_044868_P_906167327.adn.gif</t>
  </si>
  <si>
    <t>Grießer, Elke, Massagestudio • Liezen • Steiermark</t>
  </si>
  <si>
    <t>Massagen • Grießer, Elke, Fronleichnamsweg 8, Liezen • Kontakt über aktuelle Telefonnummern ☎ und Adressen ⚑ mit Karte, Routing, Öffnungszeiten, Homepage, E-Mail, vCard und Firmendaten.</t>
  </si>
  <si>
    <t>Fronleichnamsweg 8</t>
  </si>
  <si>
    <t>47.56549</t>
  </si>
  <si>
    <t>14.24225</t>
  </si>
  <si>
    <t>+436645151114</t>
  </si>
  <si>
    <t>elgrma@a1.net</t>
  </si>
  <si>
    <t>https://bilder.dasschnelle.at/DasSchnelle/50/5000/9905/061443/G_061443_P_906179618.adn.gif</t>
  </si>
  <si>
    <t>Reith, Johannes, Erdarbeiten • Donnersbachwald • Steiermark</t>
  </si>
  <si>
    <t>Erdarbeiten • Reith, Johannes, Donnersbachwald • Kontakt über aktuelle Telefonnummern ☎ und Adressen ⚑ mit Karte, Routing, Öffnungszeiten, Homepage, E-Mail, vCard und Firmendaten.</t>
  </si>
  <si>
    <t>8953</t>
  </si>
  <si>
    <t>Donnersbachwald</t>
  </si>
  <si>
    <t>47.3832936</t>
  </si>
  <si>
    <t>14.1183373</t>
  </si>
  <si>
    <t>+436643824893;+436643824893</t>
  </si>
  <si>
    <t>hannes.reith@aon.at</t>
  </si>
  <si>
    <t>https://bilder.dasschnelle.at/DasSchnelle/50/5000/9905/061455/G_061455_P_906198662.adn.gif</t>
  </si>
  <si>
    <t>Preimesberger, Thomas, Dr., FA f Allgemeinmedizin • Bad Aussee • Steiermark</t>
  </si>
  <si>
    <t>Ärzte / f Allgemeinmedizin • Preimesberger, Thomas, Dr., Oppauerplatz 104, Bad Aussee • Kontakt über aktuelle Telefonnummern ☎ und Adressen ⚑ mit Karte, Routing, Öffnungszeiten, Homepage, E-Mail, vCard und Firmendaten.</t>
  </si>
  <si>
    <t>Oppauerplatz 104</t>
  </si>
  <si>
    <t>8990</t>
  </si>
  <si>
    <t>Bad Aussee</t>
  </si>
  <si>
    <t>47.60856</t>
  </si>
  <si>
    <t>13.78393</t>
  </si>
  <si>
    <t>+433622524110</t>
  </si>
  <si>
    <t>t.preimesberger@hotmail.com</t>
  </si>
  <si>
    <t>https://bilder.dasschnelle.at/DasSchnelle/50/5000/9905/044351/G_044351_P_906171766.adn.gif</t>
  </si>
  <si>
    <t>Neuser, Günter, Hörgeräteakustiker • Liezen • Steiermark</t>
  </si>
  <si>
    <t>Hörgeräte • Neuser, Günter, Hauptplatz 8, Liezen • Kontakt über aktuelle Telefonnummern ☎ und Adressen ⚑ mit Karte, Routing, Öffnungszeiten, Homepage, E-Mail, vCard und Firmendaten.</t>
  </si>
  <si>
    <t>Hauptplatz 8</t>
  </si>
  <si>
    <t>47.56739</t>
  </si>
  <si>
    <t>14.2423</t>
  </si>
  <si>
    <t>+43361222661</t>
  </si>
  <si>
    <t>office@xn--hrcentrum-07a.at</t>
  </si>
  <si>
    <t>https://bilder.dasschnelle.at/DasSchnelle/50/5000/9905/061443/G_061443_P_906174345.adn.gif</t>
  </si>
  <si>
    <t>Bacher &amp; Steininger Immobilienmakler KG, Immobilienmakler • Liezen • Steiermark</t>
  </si>
  <si>
    <t>Immobilienmakler • Bacher &amp; Steininger Immobilienmakler KG, Hauptplatz 3, Liezen • Kontakt über aktuelle Telefonnummern ☎ und Adressen ⚑ mit Karte, Routing, Öffnungszeiten, Homepage, E-Mail, vCard und Firmendaten.</t>
  </si>
  <si>
    <t>Hauptplatz 3</t>
  </si>
  <si>
    <t>47.56685</t>
  </si>
  <si>
    <t>14.24224</t>
  </si>
  <si>
    <t>+43361225080;+436764975673</t>
  </si>
  <si>
    <t>office@wohn4you.at</t>
  </si>
  <si>
    <t>https://bilder.dasschnelle.at/DasSchnelle/50/5000/9905/061443/G_061443_P_906178288.adn.gif</t>
  </si>
  <si>
    <t>Tierschutz Bezirk Liezen Tierheim Trieben • Trieben • Steiermark</t>
  </si>
  <si>
    <t>Tierheime • Tierschutz Bezirk Liezen Tierheim Trieben, Industriestraße 12, Trieben • Kontakt über aktuelle Telefonnummern ☎ und Adressen ⚑ mit Karte, Routing, Öffnungszeiten, Homepage, E-Mail, vCard und Firmendaten.</t>
  </si>
  <si>
    <t>Industriestraße 12</t>
  </si>
  <si>
    <t>8784</t>
  </si>
  <si>
    <t>Trieben</t>
  </si>
  <si>
    <t>47.49144</t>
  </si>
  <si>
    <t>14.48549</t>
  </si>
  <si>
    <t>+436503358895</t>
  </si>
  <si>
    <t>tierheim.trieben@aon.at</t>
  </si>
  <si>
    <t>https://bilder.dasschnelle.at/DasSchnelle/50/5000/9905/044879/G_044879_P_906181764.adn.gif</t>
  </si>
  <si>
    <t>Schnuderl, Melitta, Café-Rest • Liezen • Steiermark</t>
  </si>
  <si>
    <t>Cafés, Cafe-Restaurants • Schnuderl, Melitta, Ausseer Straße 33, Liezen • Kontakt über aktuelle Telefonnummern ☎ und Adressen ⚑ mit Karte, Routing, Öffnungszeiten, Homepage, E-Mail, vCard und Firmendaten.</t>
  </si>
  <si>
    <t>Ausseer Straße 33</t>
  </si>
  <si>
    <t>47.5692</t>
  </si>
  <si>
    <t>14.23885</t>
  </si>
  <si>
    <t>+433612226050</t>
  </si>
  <si>
    <t>m.schnuderl@aon.at</t>
  </si>
  <si>
    <t>https://bilder.dasschnelle.at/DasSchnelle/50/5000/9905/061443/G_061443_P_906203794.adn.gif</t>
  </si>
  <si>
    <t>Jansenberger, Heinrich, Saunabau u Tischlerei • Treglwang • Steiermark</t>
  </si>
  <si>
    <t>Saunabau u. -einrichtungen, Tischlereien • Jansenberger, Heinrich, Treglwang 29, Treglwang • Kontakt über aktuelle Telefonnummern ☎ und Adressen ⚑ mit Karte, Routing, Öffnungszeiten, Homepage, E-Mail, vCard und Firmendaten.</t>
  </si>
  <si>
    <t>Treglwang 29</t>
  </si>
  <si>
    <t>8782</t>
  </si>
  <si>
    <t>Treglwang</t>
  </si>
  <si>
    <t>47.4738465</t>
  </si>
  <si>
    <t>14.5917201</t>
  </si>
  <si>
    <t>+43361722730;+4336172624</t>
  </si>
  <si>
    <t>office@jansenberger.com</t>
  </si>
  <si>
    <t>https://bilder.dasschnelle.at/DasSchnelle/50/5000/9905/061465/G_061465_P_906199327.adn.gif</t>
  </si>
  <si>
    <t>Schupfer, Bernhard, Dachdeckerei u Spenglerei • Aigen im Ennstal • Steiermark</t>
  </si>
  <si>
    <t>Dachdeckerei u. Spenglerei • Schupfer, Bernhard, Ketten 93, Aigen im Ennstal • Kontakt über aktuelle Telefonnummern ☎ und Adressen ⚑ mit Karte, Routing, Öffnungszeiten, Homepage, E-Mail, vCard und Firmendaten.</t>
  </si>
  <si>
    <t>Ketten 93</t>
  </si>
  <si>
    <t>8943</t>
  </si>
  <si>
    <t>Aigen im Ennstal</t>
  </si>
  <si>
    <t>47.5283459</t>
  </si>
  <si>
    <t>14.1467683</t>
  </si>
  <si>
    <t>+436605691923</t>
  </si>
  <si>
    <t>office@schupferdach.at</t>
  </si>
  <si>
    <t>https://bilder.dasschnelle.at/DasSchnelle/50/5000/9905/044347/G_044347_P_906192385.adn.gif</t>
  </si>
  <si>
    <t>Leitner, Harald, Garten u Landschaftsbau • Ardning • Steiermark</t>
  </si>
  <si>
    <t>Garten- u. Landschaftsgestaltung • Leitner, Harald, Frauenberg 22, Ardning • Kontakt über aktuelle Telefonnummern ☎ und Adressen ⚑ mit Karte, Routing, Öffnungszeiten, Homepage, E-Mail, vCard und Firmendaten.</t>
  </si>
  <si>
    <t>Frauenberg 22</t>
  </si>
  <si>
    <t>8904</t>
  </si>
  <si>
    <t>Ardning</t>
  </si>
  <si>
    <t>47.5898313</t>
  </si>
  <si>
    <t>14.3921384</t>
  </si>
  <si>
    <t>+436642073786</t>
  </si>
  <si>
    <t>office@leitner-garten.at</t>
  </si>
  <si>
    <t>https://bilder.dasschnelle.at/DasSchnelle/50/5000/9905/044350/G_044350_P_906174402.adn.gif</t>
  </si>
  <si>
    <t>Arzbacher Manfred GesmbH, Erdbewegung • Schladming • Steiermark</t>
  </si>
  <si>
    <t>Erdbau • Arzbacher Manfred GesmbH, Salzburgerstraße 673, Schladming • Kontakt über aktuelle Telefonnummern ☎ und Adressen ⚑ mit Karte, Routing, Öffnungszeiten, Homepage, E-Mail, vCard und Firmendaten.</t>
  </si>
  <si>
    <t>Salzburgerstraße 673</t>
  </si>
  <si>
    <t>8970</t>
  </si>
  <si>
    <t>Schladming</t>
  </si>
  <si>
    <t>47.39104</t>
  </si>
  <si>
    <t>13.68146</t>
  </si>
  <si>
    <t>+433687233510;+43368722800</t>
  </si>
  <si>
    <t>office@arzbacher.at</t>
  </si>
  <si>
    <t>https://bilder.dasschnelle.at/DasSchnelle/50/5000/9905/061454/G_061454_P_906202023.adn.gif</t>
  </si>
  <si>
    <t>MWalser Vollwärmeschutz OG • Landeck • Tirol</t>
  </si>
  <si>
    <t>Vollwärmeschutz • MWalser Vollwärmeschutz OG, Hochgallmig 117/ 3, Landeck • Kontakt über aktuelle Telefonnummern ☎ und Adressen ⚑ mit Karte, Routing, Öffnungszeiten, Homepage, E-Mail, vCard und Firmendaten.</t>
  </si>
  <si>
    <t>Hochgallmig 117/ 3</t>
  </si>
  <si>
    <t>6500</t>
  </si>
  <si>
    <t>Landeck</t>
  </si>
  <si>
    <t>47.1142327</t>
  </si>
  <si>
    <t>10.5948558</t>
  </si>
  <si>
    <t>+4367684940982</t>
  </si>
  <si>
    <t>m.walser117@gmail.com</t>
  </si>
  <si>
    <t>https://bilder.dasschnelle.at/DasSchnelle/50/5000/9903/044574/G_044574_P_906121419.adn.gif</t>
  </si>
  <si>
    <t>Steiner, Heinrich, Haustechnik • Braunau • Oberösterreich</t>
  </si>
  <si>
    <t>Wärmepumpen • Steiner, Heinrich, Salzburger Vorstadt 22, Braunau • Kontakt über aktuelle Telefonnummern ☎ und Adressen ⚑ mit Karte, Routing, Öffnungszeiten, Homepage, E-Mail, vCard und Firmendaten.</t>
  </si>
  <si>
    <t>Salzburger Vorstadt 22</t>
  </si>
  <si>
    <t>5280</t>
  </si>
  <si>
    <t>Braunau</t>
  </si>
  <si>
    <t>48.2562887</t>
  </si>
  <si>
    <t>13.0355317</t>
  </si>
  <si>
    <t>+43772265915</t>
  </si>
  <si>
    <t>office@h-steiner.com</t>
  </si>
  <si>
    <t>https://bilder.dasschnelle.at/DasSchnelle/50/5000/9872/044551/G_044551_P_906218282.adn.gif</t>
  </si>
  <si>
    <t>Schlögl &amp; Auer GesmbH, Autospenglereien • Himmellindach • Oberösterreich</t>
  </si>
  <si>
    <t>Autospenglereien • Schlögl &amp; Auer GesmbH, Industriezeile 34, Himmellindach • Kontakt über aktuelle Telefonnummern ☎ und Adressen ⚑ mit Karte, Routing, Öffnungszeiten, Homepage, E-Mail, vCard und Firmendaten.</t>
  </si>
  <si>
    <t>Industriezeile 34</t>
  </si>
  <si>
    <t>Himmellindach</t>
  </si>
  <si>
    <t>48.2469100</t>
  </si>
  <si>
    <t>13.0633300</t>
  </si>
  <si>
    <t>+437722873070</t>
  </si>
  <si>
    <t>+43772287823</t>
  </si>
  <si>
    <t>office@schloegl-auer.at</t>
  </si>
  <si>
    <t>https://bilder.dasschnelle.at/DasSchnelle/50/5000/9872/044551/I_044551_P_905967133_L_0036262404_1.png</t>
  </si>
  <si>
    <t>https://bilder.dasschnelle.at/DasSchnelle/50/5000/9872/044551/I_044551_P_905967133_B_0036262404_1.gal.png?height=90&amp;width=121;https://bilder.dasschnelle.at/DasSchnelle/50/5000/9872/044551/I_044551_P_905967133_B_0036262404_2.gal.png?height=90&amp;width=121;https://bilder.dasschnelle.at/DasSchnelle/50/5000/9872/044551/I_044551_P_905967133_B_0036262404_3.gal.png?height=90&amp;width=121;https://bilder.dasschnelle.at/DasSchnelle/50/5000/9872/044551/I_044551_P_905967133_B_0036262404_4.gal.png?height=90&amp;width=121</t>
  </si>
  <si>
    <t>Schenett, Kurt, Malerei • Braunau am Inn • Oberösterreich</t>
  </si>
  <si>
    <t>Malereibetriebe • Schenett, Kurt, Himmellindach 8 Stg 1, Braunau am Inn • Kontakt über aktuelle Telefonnummern ☎ und Adressen ⚑ mit Karte, Routing, Öffnungszeiten, Homepage, E-Mail, vCard und Firmendaten.</t>
  </si>
  <si>
    <t>Himmellindach 8 Stg 1</t>
  </si>
  <si>
    <t>Braunau am Inn</t>
  </si>
  <si>
    <t>48.2336014</t>
  </si>
  <si>
    <t>13.0582128</t>
  </si>
  <si>
    <t>+43772262260</t>
  </si>
  <si>
    <t>malerei.schenett@aon.at</t>
  </si>
  <si>
    <t>Weinbrenner, Dietmar, Gasthaus • Schalchen • Oberösterreich</t>
  </si>
  <si>
    <t>Gastgewerbe - Gasthöfe • Weinbrenner, Dietmar, Hauptstraße 25, Schalchen • Kontakt über aktuelle Telefonnummern ☎ und Adressen ⚑ mit Karte, Routing, Öffnungszeiten, Homepage, E-Mail, vCard und Firmendaten.</t>
  </si>
  <si>
    <t>Hauptstraße 25</t>
  </si>
  <si>
    <t>5231</t>
  </si>
  <si>
    <t>Schalchen</t>
  </si>
  <si>
    <t>48.12088</t>
  </si>
  <si>
    <t>13.16061</t>
  </si>
  <si>
    <t>+4377423006;+436645364501</t>
  </si>
  <si>
    <t>info@gasthausbraeu.at</t>
  </si>
  <si>
    <t>https://bilder.dasschnelle.at/DasSchnelle/50/5000/9872/044797/G_044797_P_906234719.adn.gif</t>
  </si>
  <si>
    <t>Seidl, Margit, Schuhhaus • Uttendorf • Oberösterreich</t>
  </si>
  <si>
    <t>Schuhfachgeschäft • Seidl, Margit, Uttendorf 69, Uttendorf • Kontakt über aktuelle Telefonnummern ☎ und Adressen ⚑ mit Karte, Routing, Öffnungszeiten, Homepage, E-Mail, vCard und Firmendaten.</t>
  </si>
  <si>
    <t>Uttendorf 69</t>
  </si>
  <si>
    <t>5261</t>
  </si>
  <si>
    <t>Uttendorf</t>
  </si>
  <si>
    <t>48.1552259</t>
  </si>
  <si>
    <t>13.1180723</t>
  </si>
  <si>
    <t>+4377246270</t>
  </si>
  <si>
    <t>office@gehvital.at</t>
  </si>
  <si>
    <t>https://bilder.dasschnelle.at/DasSchnelle/50/5000/9872/044769/G_044769_P_906192391.adn.gif</t>
  </si>
  <si>
    <t>Zagler, Alois, Neturladen • Braunau am Inn • Oberösterreich</t>
  </si>
  <si>
    <t>Naturkost • Zagler, Alois, Salzburger Vorstadt 28, Braunau am Inn • Kontakt über aktuelle Telefonnummern ☎ und Adressen ⚑ mit Karte, Routing, Öffnungszeiten, Homepage, E-Mail, vCard und Firmendaten.</t>
  </si>
  <si>
    <t>Salzburger Vorstadt 28</t>
  </si>
  <si>
    <t>48.2561289</t>
  </si>
  <si>
    <t>13.0358207</t>
  </si>
  <si>
    <t>+437722845970</t>
  </si>
  <si>
    <t>https://bilder.dasschnelle.at/DasSchnelle/50/5000/9872/044551/G_044551_P_906254367.adn.gif</t>
  </si>
  <si>
    <t>Elektro Luger GmbH, Elektro • Braunau • Oberösterreich</t>
  </si>
  <si>
    <t>Elektrogeräte u. -bedarf • Elektro Luger GmbH, Salzburger Straße 53, Braunau • Kontakt über aktuelle Telefonnummern ☎ und Adressen ⚑ mit Karte, Routing, Öffnungszeiten, Homepage, E-Mail, vCard und Firmendaten.</t>
  </si>
  <si>
    <t>Salzburger Straße 53</t>
  </si>
  <si>
    <t>48.2508063</t>
  </si>
  <si>
    <t>13.0363616</t>
  </si>
  <si>
    <t>+43772262779;+436643546969</t>
  </si>
  <si>
    <t>j.luger@elektro-luger-gmbh.at</t>
  </si>
  <si>
    <t>https://bilder.dasschnelle.at/DasSchnelle/50/5000/9872/044551/I_044551_P_905995549_L_0036738154_1.png</t>
  </si>
  <si>
    <t>https://bilder.dasschnelle.at/DasSchnelle/50/5000/9872/044551/I_044551_P_905995549_B_0036738154_1.gal.png?height=260&amp;width=355;https://bilder.dasschnelle.at/DasSchnelle/50/5000/9872/044551/G_044551_P_906230715.adn.gif</t>
  </si>
  <si>
    <t>Preiss, Gerhard, Glaserei • Altheim • Oberösterreich</t>
  </si>
  <si>
    <t>Glasereien • Preiss, Gerhard, Stadtplatz 15, Altheim • Kontakt über aktuelle Telefonnummern ☎ und Adressen ⚑ mit Karte, Routing, Öffnungszeiten, Homepage, E-Mail, vCard und Firmendaten.</t>
  </si>
  <si>
    <t>Stadtplatz 15</t>
  </si>
  <si>
    <t>4950</t>
  </si>
  <si>
    <t>Altheim</t>
  </si>
  <si>
    <t>48.2496</t>
  </si>
  <si>
    <t>13.23161</t>
  </si>
  <si>
    <t>+43772342503</t>
  </si>
  <si>
    <t>glaserei-preiss@a1.net</t>
  </si>
  <si>
    <t>https://bilder.dasschnelle.at/DasSchnelle/50/5000/9872/044548/I_044548_P_905941502_L_0036262449_1.png</t>
  </si>
  <si>
    <t>https://bilder.dasschnelle.at/DasSchnelle/50/5000/9872/044548/I_044548_P_905941502_B_0036262449_1.gal.png?height=448&amp;width=600;https://bilder.dasschnelle.at/DasSchnelle/50/5000/9872/044548/I_044548_P_905941502_B_0036262449_2.gal.png?height=448&amp;width=600;https://bilder.dasschnelle.at/DasSchnelle/50/5000/9872/044548/I_044548_P_905941502_B_0036262449_3.gal.png?height=448&amp;width=600;https://bilder.dasschnelle.at/DasSchnelle/50/5000/9872/044548/I_044548_P_905941502_B_0036262449_4.gal.png?height=448&amp;width=600</t>
  </si>
  <si>
    <t>Hintermayr GmbH, Bauplanung • Mattighofen • Oberösterreich</t>
  </si>
  <si>
    <t>Bauträger • Hintermayr GmbH, Rosengasse 17, Mattighofen • Kontakt über aktuelle Telefonnummern ☎ und Adressen ⚑ mit Karte, Routing, Öffnungszeiten, Homepage, E-Mail, vCard und Firmendaten.</t>
  </si>
  <si>
    <t>Rosengasse 17</t>
  </si>
  <si>
    <t>5230</t>
  </si>
  <si>
    <t>Mattighofen</t>
  </si>
  <si>
    <t>48.10194</t>
  </si>
  <si>
    <t>13.14896</t>
  </si>
  <si>
    <t>+4377425590;+43774230218</t>
  </si>
  <si>
    <t>office@hintermayr.at</t>
  </si>
  <si>
    <t>https://bilder.dasschnelle.at/DasSchnelle/50/5000/9872/044777/I_044777_P_905941536_L_0036738156_1.png</t>
  </si>
  <si>
    <t>Ginzinger, Birgit, Kfz Werkstätte u AVIA-Tankst • Weng im Innkreis • Oberösterreich</t>
  </si>
  <si>
    <t>Autoreparaturen • Ginzinger, Birgit, Elling 2, Weng im Innkreis • Kontakt über aktuelle Telefonnummern ☎ und Adressen ⚑ mit Karte, Routing, Öffnungszeiten, Homepage, E-Mail, vCard und Firmendaten.</t>
  </si>
  <si>
    <t>Elling 2</t>
  </si>
  <si>
    <t>4952</t>
  </si>
  <si>
    <t>Weng im Innkreis</t>
  </si>
  <si>
    <t>48.2527579</t>
  </si>
  <si>
    <t>13.1624952</t>
  </si>
  <si>
    <t>+4377235602;+4377235604</t>
  </si>
  <si>
    <t>office@ginzinger-weng.at</t>
  </si>
  <si>
    <t>https://bilder.dasschnelle.at/DasSchnelle/50/5000/9872/044802/G_044802_P_906197591.adn.gif</t>
  </si>
  <si>
    <t>Eder-Heizung Sanitär GmbH. • Eggelsberg • Oberösterreich</t>
  </si>
  <si>
    <t>Installationsunternehmen • Eder-Heizung Sanitär GmbH., Gundertshausen 70, Eggelsberg • Kontakt über aktuelle Telefonnummern ☎ und Adressen ⚑ mit Karte, Routing, Öffnungszeiten, Homepage, E-Mail, vCard und Firmendaten.</t>
  </si>
  <si>
    <t>Gundertshausen 70</t>
  </si>
  <si>
    <t>5142</t>
  </si>
  <si>
    <t>Eggelsberg</t>
  </si>
  <si>
    <t>48.0876729</t>
  </si>
  <si>
    <t>12.9969420</t>
  </si>
  <si>
    <t>+4377482168</t>
  </si>
  <si>
    <t>office@eder-heizung.com</t>
  </si>
  <si>
    <t>https://bilder.dasschnelle.at/DasSchnelle/50/5000/9872/044553/G_044553_P_906197593.adn.gif</t>
  </si>
  <si>
    <t>Landfahrschule • Aspach • Oberösterreich</t>
  </si>
  <si>
    <t>Fahrschulen • Landfahrschule, Marktplatz 11, Aspach • Kontakt über aktuelle Telefonnummern ☎ und Adressen ⚑ mit Karte, Routing, Öffnungszeiten, Homepage, E-Mail, vCard und Firmendaten.</t>
  </si>
  <si>
    <t>Marktplatz 11</t>
  </si>
  <si>
    <t>5252</t>
  </si>
  <si>
    <t>Aspach</t>
  </si>
  <si>
    <t>48.20809</t>
  </si>
  <si>
    <t>13.4864</t>
  </si>
  <si>
    <t>+43775520504</t>
  </si>
  <si>
    <t>office@landfahrschule.at</t>
  </si>
  <si>
    <t>https://bilder.dasschnelle.at/DasSchnelle/50/5000/9872/044549/G_044549_P_906280474.adn.gif</t>
  </si>
  <si>
    <t>Bodingbauer, Gerald, Dr., FA f Zahnheilkunde • Braunau am Inn • Oberösterreich</t>
  </si>
  <si>
    <t>Ärzte / Fachärzte f. Zahn-, Mund u. Kieferheilkunde • Bodingbauer, Gerald, Dr., Palmplatz 4, Braunau am Inn • Kontakt über aktuelle Telefonnummern ☎ und Adressen ⚑ mit Karte, Routing, Öffnungszeiten, Homepage, E-Mail, vCard und Firmendaten.</t>
  </si>
  <si>
    <t>Palmplatz 4</t>
  </si>
  <si>
    <t>48.2576703</t>
  </si>
  <si>
    <t>13.0363336</t>
  </si>
  <si>
    <t>+43772262458</t>
  </si>
  <si>
    <t>https://bilder.dasschnelle.at/DasSchnelle/50/5000/9872/044551/G_044551_P_906280473.adn.gif</t>
  </si>
  <si>
    <t>Winklhofer Installationen • Schöngumprechting • Oberösterreich</t>
  </si>
  <si>
    <t>Installationen • Winklhofer Installationen, Schöngumprechting 15, Schöngumprechting • Kontakt über aktuelle Telefonnummern ☎ und Adressen ⚑ mit Karte, Routing, Öffnungszeiten, Homepage, E-Mail, vCard und Firmendaten.</t>
  </si>
  <si>
    <t>Schöngumprechting 15</t>
  </si>
  <si>
    <t>5201</t>
  </si>
  <si>
    <t>Schöngumprechting</t>
  </si>
  <si>
    <t>48.0336700</t>
  </si>
  <si>
    <t>13.0623500</t>
  </si>
  <si>
    <t>+436641201585</t>
  </si>
  <si>
    <t>gwh@winklhofer-installationen.at</t>
  </si>
  <si>
    <t>https://bilder.dasschnelle.at/DasSchnelle/50/5000/9872/044553/G_044553_P_906231426.adn.gif</t>
  </si>
  <si>
    <t>Lindlbauer Thomas GmbH, Transportunternehmen • Mauerkirchen • Oberösterreich</t>
  </si>
  <si>
    <t>Transportunternehmen • Lindlbauer Thomas GmbH, Bernhoferstraße 17, Mauerkirchen • Kontakt über aktuelle Telefonnummern ☎ und Adressen ⚑ mit Karte, Routing, Öffnungszeiten, Homepage, E-Mail, vCard und Firmendaten.</t>
  </si>
  <si>
    <t>Bernhoferstraße 17</t>
  </si>
  <si>
    <t>5270</t>
  </si>
  <si>
    <t>Mauerkirchen</t>
  </si>
  <si>
    <t>48.19269</t>
  </si>
  <si>
    <t>13.13137</t>
  </si>
  <si>
    <t>+436644030859;+436644453370;+436647975702;+436647975705;+436647975706</t>
  </si>
  <si>
    <t>office@lindlbauer-transporte.at</t>
  </si>
  <si>
    <t>https://bilder.dasschnelle.at/DasSchnelle/50/5000/9872/044778/I_044778_P_905950259_L_0036738084_1.png</t>
  </si>
  <si>
    <t>https://bilder.dasschnelle.at/DasSchnelle/50/5000/9872/044778/I_044778_P_905950259_B_0036738084_1.gal.png?height=600&amp;width=800;https://bilder.dasschnelle.at/DasSchnelle/50/5000/9872/044778/I_044778_P_905950259_B_0036738084_2.gal.png?height=600&amp;width=800;https://bilder.dasschnelle.at/DasSchnelle/50/5000/9872/044778/I_044778_P_905950259_B_0036738084_3.gal.png?height=600&amp;width=800;https://bilder.dasschnelle.at/DasSchnelle/50/5000/9872/044778/G_044778_P_906186528.adn.gif</t>
  </si>
  <si>
    <t>Bestattungshaus Werner Schröppel e.U. • Braunau • Oberösterreich</t>
  </si>
  <si>
    <t>Bestattungsunternehmen • Bestattungshaus Werner Schröppel e.U., Salzburger Straße 53, Braunau • Kontakt über aktuelle Telefonnummern ☎ und Adressen ⚑ mit Karte, Routing, Öffnungszeiten, Homepage, E-Mail, vCard und Firmendaten.</t>
  </si>
  <si>
    <t>+43772264108</t>
  </si>
  <si>
    <t>office@bestattungshaus-braunau.at</t>
  </si>
  <si>
    <t>https://bilder.dasschnelle.at/DasSchnelle/50/5000/9872/044551/I_044551_P_906022596_L_0037962863_1.png</t>
  </si>
  <si>
    <t>https://bilder.dasschnelle.at/DasSchnelle/50/5000/9872/044551/I_044551_P_906022596_B_0037962863_1.gal.png?height=450&amp;width=600;https://bilder.dasschnelle.at/DasSchnelle/50/5000/9872/044551/I_044551_P_906022596_B_0037962863_2.gal.png?height=400&amp;width=600;https://bilder.dasschnelle.at/DasSchnelle/50/5000/9872/044551/I_044551_P_906022596_B_0037962863_3.gal.png?height=450&amp;width=249;https://bilder.dasschnelle.at/DasSchnelle/50/5000/9872/044551/I_044551_P_906022596_B_0037962863_4.gal.png?height=450&amp;width=251</t>
  </si>
  <si>
    <t>Estermann &amp; Partner KEG, Rechtsanwälte • Mattighofen • Oberösterreich</t>
  </si>
  <si>
    <t>Rechtsanwälte • Estermann &amp; Partner KEG, Stadtplatz 6, Mattighofen • Kontakt über aktuelle Telefonnummern ☎ und Adressen ⚑ mit Karte, Routing, Öffnungszeiten, Homepage, E-Mail, vCard und Firmendaten.</t>
  </si>
  <si>
    <t>Stadtplatz 6</t>
  </si>
  <si>
    <t>48.10527</t>
  </si>
  <si>
    <t>13.1493</t>
  </si>
  <si>
    <t>+43774223190</t>
  </si>
  <si>
    <t>kanzlei@estermann-partner.at</t>
  </si>
  <si>
    <t>https://bilder.dasschnelle.at/DasSchnelle/50/5000/9872/044777/I_044777_P_906048947_L_0036263808_1.png</t>
  </si>
  <si>
    <t>https://bilder.dasschnelle.at/DasSchnelle/50/5000/9872/044777/I_044777_P_906048947_B_0036263808_1.gal.png?height=480&amp;width=720;https://bilder.dasschnelle.at/DasSchnelle/50/5000/9872/044777/I_044777_P_906048947_B_0036263808_2.gal.png?height=480&amp;width=720;https://bilder.dasschnelle.at/DasSchnelle/50/5000/9872/044777/I_044777_P_906048947_B_0036263808_3.gal.png?height=334&amp;width=600</t>
  </si>
  <si>
    <t>Huber, Kurt, Einrichtung • Weng i. Innkreis • Oberösterreich</t>
  </si>
  <si>
    <t>Möbelhandel • Huber, Kurt, Bauerding 10, Weng i. Innkreis • Kontakt über aktuelle Telefonnummern ☎ und Adressen ⚑ mit Karte, Routing, Öffnungszeiten, Homepage, E-Mail, vCard und Firmendaten.</t>
  </si>
  <si>
    <t>Bauerding 10</t>
  </si>
  <si>
    <t>Weng i. Innkreis</t>
  </si>
  <si>
    <t>48.2450245</t>
  </si>
  <si>
    <t>13.1827264</t>
  </si>
  <si>
    <t>+4377235049</t>
  </si>
  <si>
    <t>epartner.huber@aon.at</t>
  </si>
  <si>
    <t>https://bilder.dasschnelle.at/DasSchnelle/50/5000/9872/044802/I_044802_P_906027677_L_0035969937_1.png</t>
  </si>
  <si>
    <t>https://bilder.dasschnelle.at/DasSchnelle/50/5000/9872/044802/I_044802_P_906027677_B_0035969937_1.gal.png?height=416&amp;width=624;https://bilder.dasschnelle.at/DasSchnelle/50/5000/9872/044802/I_044802_P_906027677_B_0035969937_2.gal.png?height=694&amp;width=955;https://bilder.dasschnelle.at/DasSchnelle/50/5000/9872/044802/I_044802_P_906027677_B_0035969937_3.gal.png?height=830&amp;width=1178;https://bilder.dasschnelle.at/DasSchnelle/50/5000/9872/044802/I_044802_P_906027677_B_0035969937_4.gal.png?height=667&amp;width=1189</t>
  </si>
  <si>
    <t>Grießner, Wolfgang, Dr., FA f Augenheilkunde u Optometrie • Braunau am Inn • Oberösterreich</t>
  </si>
  <si>
    <t>Ärzte / Fachärzte f. Augenheilkunde u. Optometrie • Grießner, Wolfgang, Dr., Poststallgasse 6, Braunau am Inn • Kontakt über aktuelle Telefonnummern ☎ und Adressen ⚑ mit Karte, Routing, Öffnungszeiten, Homepage, E-Mail, vCard und Firmendaten.</t>
  </si>
  <si>
    <t>Poststallgasse 6</t>
  </si>
  <si>
    <t>48.2587883</t>
  </si>
  <si>
    <t>13.0337857</t>
  </si>
  <si>
    <t>+43772285334</t>
  </si>
  <si>
    <t>+4377228533421</t>
  </si>
  <si>
    <t>https://bilder.dasschnelle.at/DasSchnelle/50/5000/9872/044551/G_044551_P_906274082.adn.gif</t>
  </si>
  <si>
    <t>Blumenwerkstatt Creativ e. U. • Braunau am Inn • Oberösterreich</t>
  </si>
  <si>
    <t>Blumenhandel • Blumenwerkstatt Creativ e. U., Salzburger Vorstadt 19, Braunau am Inn • Kontakt über aktuelle Telefonnummern ☎ und Adressen ⚑ mit Karte, Routing, Öffnungszeiten, Homepage, E-Mail, vCard und Firmendaten.</t>
  </si>
  <si>
    <t>Salzburger Vorstadt 19</t>
  </si>
  <si>
    <t>48.2560883</t>
  </si>
  <si>
    <t>13.0361622</t>
  </si>
  <si>
    <t>+436503536607</t>
  </si>
  <si>
    <t>blumenwerkstatt-creativ@inext.at</t>
  </si>
  <si>
    <t>https://bilder.dasschnelle.at/DasSchnelle/50/5000/9872/044551/G_044551_P_906254366.adn.gif</t>
  </si>
  <si>
    <t>Dorninger, Ralph, Uhrmachermeister • Amstetten • Niederösterreich</t>
  </si>
  <si>
    <t>Uhrmacher • Dorninger, Ralph, Ardaggerstraße 84, Amstetten • Kontakt über aktuelle Telefonnummern ☎ und Adressen ⚑ mit Karte, Routing, Öffnungszeiten, Homepage, E-Mail, vCard und Firmendaten.</t>
  </si>
  <si>
    <t>Ardaggerstraße 84</t>
  </si>
  <si>
    <t>3300</t>
  </si>
  <si>
    <t>Amstetten</t>
  </si>
  <si>
    <t>48.13094</t>
  </si>
  <si>
    <t>14.86723</t>
  </si>
  <si>
    <t>+43747266023</t>
  </si>
  <si>
    <t>uhren.dorninger@aon.at</t>
  </si>
  <si>
    <t>https://bilder.dasschnelle.at/DasSchnelle/50/5000/9866/042062/G_042062_P_906147256.adn.gif</t>
  </si>
  <si>
    <t>Engertsberger, Dieter, Massagen • St. Valentin • Niederösterreich</t>
  </si>
  <si>
    <t>Massagen • Engertsberger, Dieter, Schubertviertel 10, St. Valentin • Kontakt über aktuelle Telefonnummern ☎ und Adressen ⚑ mit Karte, Routing, Öffnungszeiten, Homepage, E-Mail, vCard und Firmendaten.</t>
  </si>
  <si>
    <t>Schubertviertel 10</t>
  </si>
  <si>
    <t>4300</t>
  </si>
  <si>
    <t>St. Valentin</t>
  </si>
  <si>
    <t>48.17418</t>
  </si>
  <si>
    <t>14.5276</t>
  </si>
  <si>
    <t>+43743558737</t>
  </si>
  <si>
    <t>dieeng@gmx.at</t>
  </si>
  <si>
    <t>https://bilder.dasschnelle.at/DasSchnelle/50/5000/9866/041325/G_041325_P_906123901.adn.gif</t>
  </si>
  <si>
    <t>Aigner Werner, Bau • Euratsfeld • Niederösterreich</t>
  </si>
  <si>
    <t>Bauunternehmen • Aigner Werner, Lindenweg 6, Euratsfeld • Kontakt über aktuelle Telefonnummern ☎ und Adressen ⚑ mit Karte, Routing, Öffnungszeiten, Homepage, E-Mail, vCard und Firmendaten.</t>
  </si>
  <si>
    <t>Lindenweg 6</t>
  </si>
  <si>
    <t>3324</t>
  </si>
  <si>
    <t>Euratsfeld</t>
  </si>
  <si>
    <t>48.07819</t>
  </si>
  <si>
    <t>14.93621</t>
  </si>
  <si>
    <t>+436641548235</t>
  </si>
  <si>
    <t>bmstr.werner.aigner@gmail.com</t>
  </si>
  <si>
    <t>https://bilder.dasschnelle.at/DasSchnelle/50/5000/9866/041689/G_041689_P_906162760.adn.gif</t>
  </si>
  <si>
    <t>HOJAS GmbH, Autohandel • Waidhofen • Niederösterreich</t>
  </si>
  <si>
    <t>Autohandel • HOJAS GmbH, Weyrerstraße 90, Waidhofen • Kontakt über aktuelle Telefonnummern ☎ und Adressen ⚑ mit Karte, Routing, Öffnungszeiten, Homepage, E-Mail, vCard und Firmendaten.</t>
  </si>
  <si>
    <t>Weyrerstraße 90</t>
  </si>
  <si>
    <t>3340</t>
  </si>
  <si>
    <t>Waidhofen</t>
  </si>
  <si>
    <t>47.9481238</t>
  </si>
  <si>
    <t>14.7641729</t>
  </si>
  <si>
    <t>+437442524420;+43744255265</t>
  </si>
  <si>
    <t>+437442524424</t>
  </si>
  <si>
    <t>service@opel-hojas.at</t>
  </si>
  <si>
    <t>https://bilder.dasschnelle.at/DasSchnelle/50/5000/9866/042059/G_042059_P_906154899.adn.gif</t>
  </si>
  <si>
    <t>Hehenberger, Bettina, Fußpflege • Oed • Niederösterreich</t>
  </si>
  <si>
    <t>Fußpflege • Hehenberger, Bettina, Pyhra 77, Oed • Kontakt über aktuelle Telefonnummern ☎ und Adressen ⚑ mit Karte, Routing, Öffnungszeiten, Homepage, E-Mail, vCard und Firmendaten.</t>
  </si>
  <si>
    <t>Pyhra 77</t>
  </si>
  <si>
    <t>3312</t>
  </si>
  <si>
    <t>Oed</t>
  </si>
  <si>
    <t>48.11509</t>
  </si>
  <si>
    <t>14.74506</t>
  </si>
  <si>
    <t>+436642532561</t>
  </si>
  <si>
    <t>fusspflege.hehenberger@gmail.com</t>
  </si>
  <si>
    <t>https://bilder.dasschnelle.at/DasSchnelle/50/5000/9866/041319/G_041319_P_906123894.adn.gif</t>
  </si>
  <si>
    <t>Schweidler, Ernst, Dr., FA f Zahn-, Mund- u Kieferheilkunde • Amstetten • Niederösterreich</t>
  </si>
  <si>
    <t>Ärzte / Fachärzte f. Zahn-, Mund u. Kieferheilkunde • Schweidler, Ernst, Dr., Wiener Straße 9, Amstetten • Kontakt über aktuelle Telefonnummern ☎ und Adressen ⚑ mit Karte, Routing, Öffnungszeiten, Homepage, E-Mail, vCard und Firmendaten.</t>
  </si>
  <si>
    <t>Wiener Straße 9</t>
  </si>
  <si>
    <t>48.12283</t>
  </si>
  <si>
    <t>14.87569</t>
  </si>
  <si>
    <t>+43747264501</t>
  </si>
  <si>
    <t>+437472645014</t>
  </si>
  <si>
    <t>ordination@lachenistleben.at</t>
  </si>
  <si>
    <t>https://bilder.dasschnelle.at/DasSchnelle/50/5000/9866/042062/G_042062_P_906123860.adn.gif</t>
  </si>
  <si>
    <t>Wirt am Eck OG • Amstetten • Niederösterreich</t>
  </si>
  <si>
    <t>Gastgewerbe - Gasthöfe • Wirt am Eck OG, Hauptplatz 47, Amstetten • Kontakt über aktuelle Telefonnummern ☎ und Adressen ⚑ mit Karte, Routing, Öffnungszeiten, Homepage, E-Mail, vCard und Firmendaten.</t>
  </si>
  <si>
    <t>Hauptplatz 47</t>
  </si>
  <si>
    <t>48.12322</t>
  </si>
  <si>
    <t>14.87102</t>
  </si>
  <si>
    <t>+43747298205</t>
  </si>
  <si>
    <t>wirt@am-eck.at</t>
  </si>
  <si>
    <t>https://bilder.dasschnelle.at/DasSchnelle/50/5000/9866/042062/G_042062_P_906169858.adn.gif</t>
  </si>
  <si>
    <t>Frisiersalon Marion • Haag • Niederösterreich</t>
  </si>
  <si>
    <t>Frisiersalon • Frisiersalon Marion, Josef-Aigner-Straße 6, Haag • Kontakt über aktuelle Telefonnummern ☎ und Adressen ⚑ mit Karte, Routing, Öffnungszeiten, Homepage, E-Mail, vCard und Firmendaten.</t>
  </si>
  <si>
    <t>Josef-Aigner-Straße 6</t>
  </si>
  <si>
    <t>3350</t>
  </si>
  <si>
    <t>48.10577</t>
  </si>
  <si>
    <t>14.5745</t>
  </si>
  <si>
    <t>+43743442397</t>
  </si>
  <si>
    <t>johann.lindorfer@bmeier.gr.at</t>
  </si>
  <si>
    <t>https://bilder.dasschnelle.at/DasSchnelle/50/5000/9866/041691/G_041691_P_906123847.adn.gif</t>
  </si>
  <si>
    <t>Röcklinger, Rita  • Waidhofen • Niederösterreich</t>
  </si>
  <si>
    <t>Kosmetikstudios • Röcklinger, Rita, Hoher Markt 18, Waidhofen • Kontakt über aktuelle Telefonnummern ☎ und Adressen ⚑ mit Karte, Routing, Öffnungszeiten, Homepage, E-Mail, vCard und Firmendaten.</t>
  </si>
  <si>
    <t>Hoher Markt 18</t>
  </si>
  <si>
    <t>47.9596633</t>
  </si>
  <si>
    <t>14.7741425</t>
  </si>
  <si>
    <t>+43744252050;+43744252032</t>
  </si>
  <si>
    <t>rita@ganz-schoen.at</t>
  </si>
  <si>
    <t>https://bilder.dasschnelle.at/DasSchnelle/50/5000/9866/042059/G_042059_P_906123852.adn.gif</t>
  </si>
  <si>
    <t>Gruber, Franz, Bäckerei • Stephanshart • Niederösterreich</t>
  </si>
  <si>
    <t>Bäckereien • Gruber, Franz, Empfing 46, Stephanshart • Kontakt über aktuelle Telefonnummern ☎ und Adressen ⚑ mit Karte, Routing, Öffnungszeiten, Homepage, E-Mail, vCard und Firmendaten.</t>
  </si>
  <si>
    <t>Empfing 46</t>
  </si>
  <si>
    <t>3321</t>
  </si>
  <si>
    <t>Stephanshart</t>
  </si>
  <si>
    <t>48.16054</t>
  </si>
  <si>
    <t>14.80826</t>
  </si>
  <si>
    <t>+4374797230</t>
  </si>
  <si>
    <t>baeckerei.gruber.fr@aon.at</t>
  </si>
  <si>
    <t>https://bilder.dasschnelle.at/DasSchnelle/50/5000/9866/042063/G_042063_P_906131512.adn.gif</t>
  </si>
  <si>
    <t>Pruckner, Christoph, Schlosserei u Schmiede • Euratsfeld • Niederösterreich</t>
  </si>
  <si>
    <t>Schlossereien • Pruckner, Christoph, Schmiedberg 2, Euratsfeld • Kontakt über aktuelle Telefonnummern ☎ und Adressen ⚑ mit Karte, Routing, Öffnungszeiten, Homepage, E-Mail, vCard und Firmendaten.</t>
  </si>
  <si>
    <t>Schmiedberg 2</t>
  </si>
  <si>
    <t>48.0816</t>
  </si>
  <si>
    <t>14.9312</t>
  </si>
  <si>
    <t>+4374742250</t>
  </si>
  <si>
    <t>office@pruckner-christoph.at</t>
  </si>
  <si>
    <t>https://bilder.dasschnelle.at/DasSchnelle/50/5000/9866/041689/I_041689_P_905873864_L_0035994071_1.png</t>
  </si>
  <si>
    <t>https://bilder.dasschnelle.at/DasSchnelle/50/5000/9866/041689/I_041689_P_905873864_B_0035994071_1.gal.png?height=533&amp;width=800;https://bilder.dasschnelle.at/DasSchnelle/50/5000/9866/041689/I_041689_P_905873864_B_0035994071_2.gal.png?height=522&amp;width=800;https://bilder.dasschnelle.at/DasSchnelle/50/5000/9866/041689/I_041689_P_905873864_B_0035994071_3.gal.png?height=533&amp;width=800;https://bilder.dasschnelle.at/DasSchnelle/50/5000/9866/041689/I_041689_P_905873864_B_0035994071_4.gal.png?height=524&amp;width=800</t>
  </si>
  <si>
    <t>CM-Metallbau e.U. • Amstetten • Niederösterreich</t>
  </si>
  <si>
    <t>Metallbau • CM-Metallbau e.U., Peter-Mitterhofer-Straße 3, Amstetten • Kontakt über aktuelle Telefonnummern ☎ und Adressen ⚑ mit Karte, Routing, Öffnungszeiten, Homepage, E-Mail, vCard und Firmendaten.</t>
  </si>
  <si>
    <t>Peter-Mitterhofer-Straße 3</t>
  </si>
  <si>
    <t>48.07217</t>
  </si>
  <si>
    <t>14.75229</t>
  </si>
  <si>
    <t>+436509907829</t>
  </si>
  <si>
    <t>office@cm-metallbau.at</t>
  </si>
  <si>
    <t>https://bilder.dasschnelle.at/DasSchnelle/50/5000/9866/042064/G_042064_P_906123756.adn.gif</t>
  </si>
  <si>
    <t>Schuller Installateur &amp; Anlagenbau, Heizungstechnik • Waidhofen an der Ybbs • Niederösterreich</t>
  </si>
  <si>
    <t>Heizungstechnik, Lüftungsanlagen u. -technik • Schuller Installateur &amp; Anlagenbau, Ötscherblickstraße 1, Waidhofen an der Ybbs • Kontakt über aktuelle Telefonnummern ☎ und Adressen ⚑ mit Karte, Routing, Öffnungszeiten, Homepage, E-Mail, vCard und Firmendaten.</t>
  </si>
  <si>
    <t>Ötscherblickstraße 1</t>
  </si>
  <si>
    <t>Waidhofen an der Ybbs</t>
  </si>
  <si>
    <t>47.9949994</t>
  </si>
  <si>
    <t>14.8714513</t>
  </si>
  <si>
    <t>+436763189860</t>
  </si>
  <si>
    <t>office@schuller-anlagenbau.at</t>
  </si>
  <si>
    <t>https://bilder.dasschnelle.at/DasSchnelle/50/5000/9866/042059/G_042059_P_906162163.adn.gif</t>
  </si>
  <si>
    <t>INJOY, International Sports- &amp; Wellnessclubs • Amstetten • Niederösterreich</t>
  </si>
  <si>
    <t>Fitnesscenter • INJOY, Hauptplatz 6, Amstetten • Kontakt über aktuelle Telefonnummern ☎ und Adressen ⚑ mit Karte, Routing, Öffnungszeiten, Homepage, E-Mail, vCard und Firmendaten.</t>
  </si>
  <si>
    <t>Hauptplatz 6</t>
  </si>
  <si>
    <t>48.12275</t>
  </si>
  <si>
    <t>14.87377</t>
  </si>
  <si>
    <t>+436506536203</t>
  </si>
  <si>
    <t>office@injoy-amstetten.at</t>
  </si>
  <si>
    <t>https://bilder.dasschnelle.at/DasSchnelle/50/5000/9866/042062/G_042062_P_906124087.adn.gif</t>
  </si>
  <si>
    <t>Joker Möbelhandel Kerschbaumer • Ulmerfeld • Niederösterreich</t>
  </si>
  <si>
    <t>Tischlereien • Joker Möbelhandel Kerschbaumer, Freisingerstraße 26, Ulmerfeld • Kontakt über aktuelle Telefonnummern ☎ und Adressen ⚑ mit Karte, Routing, Öffnungszeiten, Homepage, E-Mail, vCard und Firmendaten.</t>
  </si>
  <si>
    <t>Freisingerstraße 26</t>
  </si>
  <si>
    <t>3363</t>
  </si>
  <si>
    <t>Ulmerfeld</t>
  </si>
  <si>
    <t>48.07834</t>
  </si>
  <si>
    <t>14.828</t>
  </si>
  <si>
    <t>+43747554929</t>
  </si>
  <si>
    <t>office@joker-moebel.at</t>
  </si>
  <si>
    <t>https://bilder.dasschnelle.at/DasSchnelle/50/5000/9866/041317/G_041317_P_906123757.adn.gif</t>
  </si>
  <si>
    <t>Raab, Martin, Säge- u Hobelwerke • Windhag • Niederösterreich</t>
  </si>
  <si>
    <t>Säge- u. Hobelwerke • Raab, Martin, St. Ägyder Straße 7, Windhag • Kontakt über aktuelle Telefonnummern ☎ und Adressen ⚑ mit Karte, Routing, Öffnungszeiten, Homepage, E-Mail, vCard und Firmendaten.</t>
  </si>
  <si>
    <t>St. Ägyder Straße 7</t>
  </si>
  <si>
    <t>Windhag</t>
  </si>
  <si>
    <t>47.98523</t>
  </si>
  <si>
    <t>14.86177</t>
  </si>
  <si>
    <t>+4374427241</t>
  </si>
  <si>
    <t>martin@wandersaege-raab.at</t>
  </si>
  <si>
    <t>https://bilder.dasschnelle.at/DasSchnelle/50/5000/9866/042059/G_042059_P_906123773.adn.gif</t>
  </si>
  <si>
    <t>Mitsubishi Auto-Hit-Kfz GmbH • St. Georgen am Ybbsfelde • Niederösterreich</t>
  </si>
  <si>
    <t>Autohandel • Mitsubishi Auto-Hit-Kfz GmbH, Gewerbestraße 17, St. Georgen am Ybbsfelde • Kontakt über aktuelle Telefonnummern ☎ und Adressen ⚑ mit Karte, Routing, Öffnungszeiten, Homepage, E-Mail, vCard und Firmendaten.</t>
  </si>
  <si>
    <t>Gewerbestraße 17</t>
  </si>
  <si>
    <t>3304</t>
  </si>
  <si>
    <t>St. Georgen am Ybbsfelde</t>
  </si>
  <si>
    <t>48.11574</t>
  </si>
  <si>
    <t>14.93735</t>
  </si>
  <si>
    <t>+43747265881</t>
  </si>
  <si>
    <t>office@kfz-autohit.at</t>
  </si>
  <si>
    <t>https://bilder.dasschnelle.at/DasSchnelle/50/5000/9866/042062/G_042062_P_906123819.adn.gif</t>
  </si>
  <si>
    <t>Manfred Grazer, Küchenstudio • Amstetten • Niederösterreich</t>
  </si>
  <si>
    <t>Küchenstudios • Manfred Grazer, Bahnhofstraße 8, Amstetten • Kontakt über aktuelle Telefonnummern ☎ und Adressen ⚑ mit Karte, Routing, Öffnungszeiten, Homepage, E-Mail, vCard und Firmendaten.</t>
  </si>
  <si>
    <t>Bahnhofstraße 8</t>
  </si>
  <si>
    <t>48.12317</t>
  </si>
  <si>
    <t>14.87831</t>
  </si>
  <si>
    <t>+43747263428</t>
  </si>
  <si>
    <t>office@kueche-grazer.at</t>
  </si>
  <si>
    <t>https://bilder.dasschnelle.at/DasSchnelle/50/5000/9866/042062/G_042062_P_906123959.adn.gif</t>
  </si>
  <si>
    <t>Ötscher Berufskleidung Götzl GmbH, Bekleidung • Amstetten • Niederösterreich</t>
  </si>
  <si>
    <t>Bekleidung • Ötscher Berufskleidung Götzl GmbH, Ötscherplatz 1, Amstetten • Kontakt über aktuelle Telefonnummern ☎ und Adressen ⚑ mit Karte, Routing, Öffnungszeiten, Homepage, E-Mail, vCard und Firmendaten.</t>
  </si>
  <si>
    <t>Ötscherplatz 1</t>
  </si>
  <si>
    <t>48.12274</t>
  </si>
  <si>
    <t>14.89092</t>
  </si>
  <si>
    <t>+43747264744</t>
  </si>
  <si>
    <t>info@oetscher.com</t>
  </si>
  <si>
    <t>https://bilder.dasschnelle.at/DasSchnelle/50/5000/9866/042062/G_042062_P_906123960.adn.gif</t>
  </si>
  <si>
    <t>Hatzmann - die Augenoptik • Waidhofen an der Ybbs • Niederösterreich</t>
  </si>
  <si>
    <t>Optik • Hatzmann - die Augenoptik, Unterer Stadtplatz 11, Waidhofen an der Ybbs • Kontakt über aktuelle Telefonnummern ☎ und Adressen ⚑ mit Karte, Routing, Öffnungszeiten, Homepage, E-Mail, vCard und Firmendaten.</t>
  </si>
  <si>
    <t>Unterer Stadtplatz 11</t>
  </si>
  <si>
    <t>47.9602083</t>
  </si>
  <si>
    <t>14.7737709</t>
  </si>
  <si>
    <t>+437442555560</t>
  </si>
  <si>
    <t>augenoptik@hatzmann.at</t>
  </si>
  <si>
    <t>https://bilder.dasschnelle.at/DasSchnelle/50/5000/9866/042059/I_042059_P_905873862_L_0035999020_1.png</t>
  </si>
  <si>
    <t>https://bilder.dasschnelle.at/DasSchnelle/50/5000/9866/042059/I_042059_P_905873862_B_0035999020_1.gal.png?height=800&amp;width=1200;https://bilder.dasschnelle.at/DasSchnelle/50/5000/9866/042059/I_042059_P_905873862_B_0035999020_2.gal.png?height=362&amp;width=800;https://bilder.dasschnelle.at/DasSchnelle/50/5000/9866/042059/I_042059_P_905873862_B_0035999020_3.gal.png?height=535&amp;width=800;https://bilder.dasschnelle.at/DasSchnelle/50/5000/9866/042059/I_042059_P_905873862_B_0035999020_4.gal.png?height=800&amp;width=1200</t>
  </si>
  <si>
    <t>M&amp;R Montagen • Thann • Niederösterreich</t>
  </si>
  <si>
    <t>Montagen u. Montagetechnik • M&amp;R Montagen, Thann 19, Thann • Kontakt über aktuelle Telefonnummern ☎ und Adressen ⚑ mit Karte, Routing, Öffnungszeiten, Homepage, E-Mail, vCard und Firmendaten.</t>
  </si>
  <si>
    <t>Thann 19</t>
  </si>
  <si>
    <t>3342</t>
  </si>
  <si>
    <t>Thann</t>
  </si>
  <si>
    <t>47.8783627</t>
  </si>
  <si>
    <t>14.8076525</t>
  </si>
  <si>
    <t>+436641219392</t>
  </si>
  <si>
    <t>mr-montagen@a1.net</t>
  </si>
  <si>
    <t>https://bilder.dasschnelle.at/DasSchnelle/50/5000/9866/041320/G_041320_P_906123962.adn.gif</t>
  </si>
  <si>
    <t>Pichler Anton GesmbH, Transportunternehmen • Schwarzenberg • Niederösterreich</t>
  </si>
  <si>
    <t>Transportunternehmen • Pichler Anton GesmbH, Schwarzenberg 49, Schwarzenberg • Kontakt über aktuelle Telefonnummern ☎ und Adressen ⚑ mit Karte, Routing, Öffnungszeiten, Homepage, E-Mail, vCard und Firmendaten.</t>
  </si>
  <si>
    <t>Schwarzenberg 49</t>
  </si>
  <si>
    <t>3341</t>
  </si>
  <si>
    <t>Schwarzenberg</t>
  </si>
  <si>
    <t>47.9464626</t>
  </si>
  <si>
    <t>14.8243576</t>
  </si>
  <si>
    <t>+437443888000</t>
  </si>
  <si>
    <t>+4374438880029</t>
  </si>
  <si>
    <t>pichler@antonpichler.at</t>
  </si>
  <si>
    <t>https://bilder.dasschnelle.at/DasSchnelle/50/5000/9866/042059/G_042059_P_906123966.adn.gif</t>
  </si>
  <si>
    <t>Kollermann-Grissenberger, Erwin, Mag., öffentl Notar • Amstetten • Niederösterreich</t>
  </si>
  <si>
    <t>Notare • Kollermann-Grissenberger, Erwin, Mag., Burgfriedstraße 17, Amstetten • Kontakt über aktuelle Telefonnummern ☎ und Adressen ⚑ mit Karte, Routing, Öffnungszeiten, Homepage, E-Mail, vCard und Firmendaten.</t>
  </si>
  <si>
    <t>Burgfriedstraße 17</t>
  </si>
  <si>
    <t>48.11697</t>
  </si>
  <si>
    <t>14.94939</t>
  </si>
  <si>
    <t>+437472686800</t>
  </si>
  <si>
    <t>office@notar-kollermann.at</t>
  </si>
  <si>
    <t>https://bilder.dasschnelle.at/DasSchnelle/50/5000/9866/042062/G_042062_P_906123866.adn.gif</t>
  </si>
  <si>
    <t>Esletzbichler Bus GmbH, Busunternehmen • Waidhofen • Niederösterreich</t>
  </si>
  <si>
    <t>Busunternehmen • Esletzbichler Bus GmbH, Wienerstraße 16, Waidhofen • Kontakt über aktuelle Telefonnummern ☎ und Adressen ⚑ mit Karte, Routing, Öffnungszeiten, Homepage, E-Mail, vCard und Firmendaten.</t>
  </si>
  <si>
    <t>Wienerstraße 16</t>
  </si>
  <si>
    <t>47.9681800</t>
  </si>
  <si>
    <t>14.7670313</t>
  </si>
  <si>
    <t>+43744254112;+436644522377;+4366488602992</t>
  </si>
  <si>
    <t>office@esletzbichler.at</t>
  </si>
  <si>
    <t>https://bilder.dasschnelle.at/DasSchnelle/50/5000/9866/042059/I_042059_P_905875893_L_0035994060_1.png</t>
  </si>
  <si>
    <t>https://bilder.dasschnelle.at/DasSchnelle/50/5000/9866/042059/I_042059_P_905875893_B_0035994060_1.gal.png?height=468&amp;width=624;https://bilder.dasschnelle.at/DasSchnelle/50/5000/9866/042059/I_042059_P_905875893_B_0035994060_2.gal.png?height=500&amp;width=1197;https://bilder.dasschnelle.at/DasSchnelle/50/5000/9866/042059/I_042059_P_905875893_B_0035994060_3.gal.png?height=279&amp;width=624;https://bilder.dasschnelle.at/DasSchnelle/50/5000/9866/042059/I_042059_P_905875893_B_0035994060_4.gal.png?height=500&amp;width=1137</t>
  </si>
  <si>
    <t>Dr. Josef Steiner, FA f. innere Medizin, Sportarzt • Waidhofen • Niederösterreich</t>
  </si>
  <si>
    <t>Ärzte / Fachärzte f. Innere Medizin • Dr. Josef Steiner, Weyrerstraße 5, Waidhofen • Kontakt über aktuelle Telefonnummern ☎ und Adressen ⚑ mit Karte, Routing, Öffnungszeiten, Homepage, E-Mail, vCard und Firmendaten.</t>
  </si>
  <si>
    <t>Weyrerstraße 5</t>
  </si>
  <si>
    <t>47.9582289</t>
  </si>
  <si>
    <t>14.7655409</t>
  </si>
  <si>
    <t>+436769248046</t>
  </si>
  <si>
    <t>dr.josef.steiner@gmx.net</t>
  </si>
  <si>
    <t>https://bilder.dasschnelle.at/DasSchnelle/50/5000/9866/042059/G_042059_P_906123902.adn.gif</t>
  </si>
  <si>
    <t>Wasinger Glas &amp; Metall Design GmbH, Glas • Seitenstetten • Niederösterreich</t>
  </si>
  <si>
    <t>Glas u. Service • Wasinger Glas &amp; Metall Design GmbH, Weberfeld 45 /5, Seitenstetten • Kontakt über aktuelle Telefonnummern ☎ und Adressen ⚑ mit Karte, Routing, Öffnungszeiten, Homepage, E-Mail, vCard und Firmendaten.</t>
  </si>
  <si>
    <t>Weberfeld 45 /5</t>
  </si>
  <si>
    <t>3353</t>
  </si>
  <si>
    <t>Seitenstetten</t>
  </si>
  <si>
    <t>48.03346</t>
  </si>
  <si>
    <t>14.6388</t>
  </si>
  <si>
    <t>+436507784777</t>
  </si>
  <si>
    <t>info@w-gm.at</t>
  </si>
  <si>
    <t>https://bilder.dasschnelle.at/DasSchnelle/50/5000/9866/041326/I_041326_P_905870621_L_0036031444_1.png</t>
  </si>
  <si>
    <t>https://bilder.dasschnelle.at/DasSchnelle/50/5000/9866/041326/I_041326_P_905870621_B_0036031444_1.gal.png?height=337&amp;width=600;https://bilder.dasschnelle.at/DasSchnelle/50/5000/9866/041326/I_041326_P_905870621_B_0036031444_2.gal.png?height=450&amp;width=600;https://bilder.dasschnelle.at/DasSchnelle/50/5000/9866/041326/I_041326_P_905870621_B_0036031444_3.gal.png?height=337&amp;width=600;https://bilder.dasschnelle.at/DasSchnelle/50/5000/9866/041326/I_041326_P_905870621_B_0036031444_4.gal.png?height=450&amp;width=600</t>
  </si>
  <si>
    <t>Katzensteiner, Weinzettel &amp; Wolfram • Waidhofen an der Ybbs • Niederösterreich</t>
  </si>
  <si>
    <t>Ärzte / Fachärzte f. Kinder u. Jugendheilkunde • Katzensteiner, Weinzettel &amp; Wolfram, Hauptplatz 19, Waidhofen an der Ybbs • Kontakt über aktuelle Telefonnummern ☎ und Adressen ⚑ mit Karte, Routing, Öffnungszeiten, Homepage, E-Mail, vCard und Firmendaten.</t>
  </si>
  <si>
    <t>Hauptplatz 19</t>
  </si>
  <si>
    <t>47.9581218</t>
  </si>
  <si>
    <t>14.7810134</t>
  </si>
  <si>
    <t>+4374425315620</t>
  </si>
  <si>
    <t>termine@kinderarzt-waidhofen.at</t>
  </si>
  <si>
    <t>https://bilder.dasschnelle.at/DasSchnelle/50/5000/9866/998311/G_998311_P_906123864.adn.gif</t>
  </si>
  <si>
    <t>Popp, Reinhard, Dr., Arzt für  Allgemeinmedizin • Amstetten • Niederösterreich</t>
  </si>
  <si>
    <t>Ärzte / f Allgemeinmedizin • Popp, Reinhard, Dr., Preinsbacher Straße 31, Amstetten • Kontakt über aktuelle Telefonnummern ☎ und Adressen ⚑ mit Karte, Routing, Öffnungszeiten, Homepage, E-Mail, vCard und Firmendaten.</t>
  </si>
  <si>
    <t>Preinsbacher Straße 31</t>
  </si>
  <si>
    <t>48.12536</t>
  </si>
  <si>
    <t>14.87973</t>
  </si>
  <si>
    <t>+43747225093;+43747228068</t>
  </si>
  <si>
    <t>reinhard.popp@gmail.com</t>
  </si>
  <si>
    <t>https://bilder.dasschnelle.at/DasSchnelle/50/5000/9866/042062/G_042062_P_906123870.adn.gif</t>
  </si>
  <si>
    <t>Dr.med. Tanja Keller-Neunteibl, FA f. Urologie • Amstetten • Niederösterreich</t>
  </si>
  <si>
    <t>Ärzte / Fachärzte f. Urologie • Dr.med. Tanja Keller-Neunteibl, Hauptplatz 19, Amstetten • Kontakt über aktuelle Telefonnummern ☎ und Adressen ⚑ mit Karte, Routing, Öffnungszeiten, Homepage, E-Mail, vCard und Firmendaten.</t>
  </si>
  <si>
    <t>14.87276</t>
  </si>
  <si>
    <t>+43747268256</t>
  </si>
  <si>
    <t>https://bilder.dasschnelle.at/DasSchnelle/50/5000/9866/998311/G_998311_P_906123873.adn.gif</t>
  </si>
  <si>
    <t>Höglinger, Johannes, Tapezierermeister • Ulmerfeld • Niederösterreich</t>
  </si>
  <si>
    <t>Raumausstatter, Tapezierer u. Dekorateure • Höglinger, Johannes, Freisingerstraße 13, Ulmerfeld • Kontakt über aktuelle Telefonnummern ☎ und Adressen ⚑ mit Karte, Routing, Öffnungszeiten, Homepage, E-Mail, vCard und Firmendaten.</t>
  </si>
  <si>
    <t>Freisingerstraße 13</t>
  </si>
  <si>
    <t>48.07861</t>
  </si>
  <si>
    <t>14.82672</t>
  </si>
  <si>
    <t>+437475522470</t>
  </si>
  <si>
    <t>office@hoeglinger-tapezierer.at</t>
  </si>
  <si>
    <t>https://bilder.dasschnelle.at/DasSchnelle/50/5000/9866/042062/G_042062_P_906123889.adn.gif</t>
  </si>
  <si>
    <t>Mayrhofer, Doris, Fußpflege • Neufurth • Niederösterreich</t>
  </si>
  <si>
    <t>Fußpflege • Mayrhofer, Doris, Am Sonnenweg 44, Neufurth • Kontakt über aktuelle Telefonnummern ☎ und Adressen ⚑ mit Karte, Routing, Öffnungszeiten, Homepage, E-Mail, vCard und Firmendaten.</t>
  </si>
  <si>
    <t>Am Sonnenweg 44</t>
  </si>
  <si>
    <t>Neufurth</t>
  </si>
  <si>
    <t>48.07814</t>
  </si>
  <si>
    <t>14.80881</t>
  </si>
  <si>
    <t>+436641528884</t>
  </si>
  <si>
    <t>https://bilder.dasschnelle.at/DasSchnelle/50/5000/9866/042062/G_042062_P_906127737.adn.gif</t>
  </si>
  <si>
    <t>Prinz Karosserie &amp; Lackiertechnik • Seitenstetten • Niederösterreich</t>
  </si>
  <si>
    <t>Karosseriebau • Prinz Karosserie &amp; Lackiertechnik, Gewerbepark Pölla 4, Seitenstetten • Kontakt über aktuelle Telefonnummern ☎ und Adressen ⚑ mit Karte, Routing, Öffnungszeiten, Homepage, E-Mail, vCard und Firmendaten.</t>
  </si>
  <si>
    <t>Gewerbepark Pölla 4</t>
  </si>
  <si>
    <t>48.04152</t>
  </si>
  <si>
    <t>14.63328</t>
  </si>
  <si>
    <t>+43747743565</t>
  </si>
  <si>
    <t>karosserie-prinz@a1.net</t>
  </si>
  <si>
    <t>https://bilder.dasschnelle.at/DasSchnelle/50/5000/9866/041326/G_041326_P_906123670.adn.gif</t>
  </si>
  <si>
    <t>KFZ- Technik Robitza • Hof am Leithaberge • Niederösterreich</t>
  </si>
  <si>
    <t>Autohandel • KFZ- Technik Robitza, Obere Hauptstraße 53, Hof am Leithaberge • Kontakt über aktuelle Telefonnummern ☎ und Adressen ⚑ mit Karte, Routing, Öffnungszeiten, Homepage, E-Mail, vCard und Firmendaten.</t>
  </si>
  <si>
    <t>Obere Hauptstraße 53</t>
  </si>
  <si>
    <t>2451</t>
  </si>
  <si>
    <t>Hof am Leithaberge</t>
  </si>
  <si>
    <t>47.9192</t>
  </si>
  <si>
    <t>16.55996</t>
  </si>
  <si>
    <t>+4321688276</t>
  </si>
  <si>
    <t>office@kfz-robitza.at</t>
  </si>
  <si>
    <t>https://bilder.dasschnelle.at/DasSchnelle/50/5000/9873/041432/G_041432_P_906174358.adn.gif</t>
  </si>
  <si>
    <t>Neugebauer Josef, LeichenbestUntern • Bruck • Niederösterreich</t>
  </si>
  <si>
    <t>Bestattungsunternehmen • Neugebauer Josef, Pachfurther Straße 3, Bruck • Kontakt über aktuelle Telefonnummern ☎ und Adressen ⚑ mit Karte, Routing, Öffnungszeiten, Homepage, E-Mail, vCard und Firmendaten.</t>
  </si>
  <si>
    <t>Pachfurther Straße 3</t>
  </si>
  <si>
    <t>2460</t>
  </si>
  <si>
    <t>Bruck</t>
  </si>
  <si>
    <t>48.0281198</t>
  </si>
  <si>
    <t>16.7808989</t>
  </si>
  <si>
    <t>+43216262470;+43216269104</t>
  </si>
  <si>
    <t>office@bestattung-neugebauer.at</t>
  </si>
  <si>
    <t>https://bilder.dasschnelle.at/DasSchnelle/50/5000/9873/041435/G_041435_P_906178320.adn.gif</t>
  </si>
  <si>
    <t>Bastel Optik GmbH, Optik • Bruck • Niederösterreich</t>
  </si>
  <si>
    <t>Brillenfachhandel • Bastel Optik GmbH, Hauptplatz 1, Bruck • Kontakt über aktuelle Telefonnummern ☎ und Adressen ⚑ mit Karte, Routing, Öffnungszeiten, Homepage, E-Mail, vCard und Firmendaten.</t>
  </si>
  <si>
    <t>Hauptplatz 1</t>
  </si>
  <si>
    <t>48.0247514</t>
  </si>
  <si>
    <t>16.7784049</t>
  </si>
  <si>
    <t>+43216265063</t>
  </si>
  <si>
    <t>office@optik-bastel.at</t>
  </si>
  <si>
    <t>https://bilder.dasschnelle.at/DasSchnelle/50/5000/9873/041435/G_041435_P_906178319.adn.gif</t>
  </si>
  <si>
    <t>Altmann, Sonja, Notar • Bruck • Niederösterreich</t>
  </si>
  <si>
    <t>Notare • Altmann, Sonja, Altstadt 1 A, Bruck • Kontakt über aktuelle Telefonnummern ☎ und Adressen ⚑ mit Karte, Routing, Öffnungszeiten, Homepage, E-Mail, vCard und Firmendaten.</t>
  </si>
  <si>
    <t>Altstadt 1 A</t>
  </si>
  <si>
    <t>48.0216816</t>
  </si>
  <si>
    <t>16.7771075</t>
  </si>
  <si>
    <t>+43216262942</t>
  </si>
  <si>
    <t>office@notar-altmann.at</t>
  </si>
  <si>
    <t>https://bilder.dasschnelle.at/DasSchnelle/50/5000/9873/041435/G_041435_P_906203802.adn.gif</t>
  </si>
  <si>
    <t>Novak, Andreas, Tapezierer u Dekorateure • Prellenkirchen • Niederösterreich</t>
  </si>
  <si>
    <t>Tapezierer u. Dekorateure • Novak, Andreas, Kapellenweg 1, Prellenkirchen • Kontakt über aktuelle Telefonnummern ☎ und Adressen ⚑ mit Karte, Routing, Öffnungszeiten, Homepage, E-Mail, vCard und Firmendaten.</t>
  </si>
  <si>
    <t>Kapellenweg 1</t>
  </si>
  <si>
    <t>2472</t>
  </si>
  <si>
    <t>Prellenkirchen</t>
  </si>
  <si>
    <t>48.07526</t>
  </si>
  <si>
    <t>16.95808</t>
  </si>
  <si>
    <t>+43214525304;+436763551814;+436765292177</t>
  </si>
  <si>
    <t>novak.raum@aon.at</t>
  </si>
  <si>
    <t>https://bilder.dasschnelle.at/DasSchnelle/50/5000/9873/041446/G_041446_P_906183893.adn.gif</t>
  </si>
  <si>
    <t>Kladler, Norbert-Auto Kladler, Norbert • Hof • Niederösterreich</t>
  </si>
  <si>
    <t>Autohandel • Kladler, Norbert-Auto Kladler, Norbert, Feldgasse 7, Hof • Kontakt über aktuelle Telefonnummern ☎ und Adressen ⚑ mit Karte, Routing, Öffnungszeiten, Homepage, E-Mail, vCard und Firmendaten.</t>
  </si>
  <si>
    <t>Feldgasse 7</t>
  </si>
  <si>
    <t>Hof</t>
  </si>
  <si>
    <t>47.9461136</t>
  </si>
  <si>
    <t>16.5795412</t>
  </si>
  <si>
    <t>+436644742884;+43216863836</t>
  </si>
  <si>
    <t>office@auto-kladler.at</t>
  </si>
  <si>
    <t>https://bilder.dasschnelle.at/DasSchnelle/50/5000/9873/041442/G_041442_P_906206811.adn.gif</t>
  </si>
  <si>
    <t>Murlasits, Josef, Gartengestaltung • Bruck • Niederösterreich</t>
  </si>
  <si>
    <t>Garten- u. Landschaftsgestaltung • Murlasits, Josef, Semmelweisgasse 8, Bruck • Kontakt über aktuelle Telefonnummern ☎ und Adressen ⚑ mit Karte, Routing, Öffnungszeiten, Homepage, E-Mail, vCard und Firmendaten.</t>
  </si>
  <si>
    <t>Semmelweisgasse 8</t>
  </si>
  <si>
    <t>48.0295332</t>
  </si>
  <si>
    <t>16.7735083</t>
  </si>
  <si>
    <t>+436767041172</t>
  </si>
  <si>
    <t>office@murlasits.at</t>
  </si>
  <si>
    <t>https://bilder.dasschnelle.at/DasSchnelle/50/5000/9873/041435/G_041435_P_906172076.adn.gif</t>
  </si>
  <si>
    <t>Niefergall, Anna, Blumen • Hainburg an der Donau • Niederösterreich</t>
  </si>
  <si>
    <t>Blumenhandel • Niefergall, Anna, Ungarstraße 18, Hainburg an der Donau • Kontakt über aktuelle Telefonnummern ☎ und Adressen ⚑ mit Karte, Routing, Öffnungszeiten, Homepage, E-Mail, vCard und Firmendaten.</t>
  </si>
  <si>
    <t>Ungarstraße 18</t>
  </si>
  <si>
    <t>2410</t>
  </si>
  <si>
    <t>Hainburg an der Donau</t>
  </si>
  <si>
    <t>48.14731</t>
  </si>
  <si>
    <t>16.94393</t>
  </si>
  <si>
    <t>+43216562646;+436642815740</t>
  </si>
  <si>
    <t>anna.blumentraum@gmx.at</t>
  </si>
  <si>
    <t>https://bilder.dasschnelle.at/DasSchnelle/50/5000/9873/041439/G_041439_P_906190496.adn.gif</t>
  </si>
  <si>
    <t>Familypark • Sankt Margarethen im Burgenland • Burgenland</t>
  </si>
  <si>
    <t>Freizeitangebote u. -einrichtungen • Familypark, Märchenparkweg 1, Sankt Margarethen im Burgenland • Kontakt über aktuelle Telefonnummern ☎ und Adressen ⚑ mit Karte, Routing, Öffnungszeiten, Homepage, E-Mail, vCard und Firmendaten.</t>
  </si>
  <si>
    <t>Märchenparkweg 1</t>
  </si>
  <si>
    <t>7062</t>
  </si>
  <si>
    <t>Sankt Margarethen im Burgenland</t>
  </si>
  <si>
    <t>Burgenland</t>
  </si>
  <si>
    <t>47.8031100</t>
  </si>
  <si>
    <t>16.6065500</t>
  </si>
  <si>
    <t>+43268560707</t>
  </si>
  <si>
    <t>office@familypark.at</t>
  </si>
  <si>
    <t>https://bilder.dasschnelle.at/DasSchnelle/50/5000/9873/041435/I_041435_P_905987502_L_0036738197_1.png</t>
  </si>
  <si>
    <t>https://bilder.dasschnelle.at/DasSchnelle/50/5000/9873/041435/I_041435_P_905987502_B_0036738197_1.gal.png?height=424&amp;width=600;https://bilder.dasschnelle.at/DasSchnelle/50/5000/9873/041435/I_041435_P_905987502_B_0036738197_2.gal.png?height=399&amp;width=600;https://bilder.dasschnelle.at/DasSchnelle/50/5000/9873/041435/I_041435_P_905987502_B_0036738197_3.gal.png?height=450&amp;width=299;https://bilder.dasschnelle.at/DasSchnelle/50/5000/9873/041435/I_041435_P_905987502_B_0036738197_4.gal.png?height=400&amp;width=600</t>
  </si>
  <si>
    <t>Gaugg, Marion Christine, Dr., FA f Allgemeinmedizin • Bruckneudorf • Niederösterreich</t>
  </si>
  <si>
    <t>Ärzte / f Allgemeinmedizin • Gaugg, Marion Christine, Dr., Parndorferstraße 21 A, Bruckneudorf • Kontakt über aktuelle Telefonnummern ☎ und Adressen ⚑ mit Karte, Routing, Öffnungszeiten, Homepage, E-Mail, vCard und Firmendaten.</t>
  </si>
  <si>
    <t>Parndorferstraße 21 A</t>
  </si>
  <si>
    <t>Bruckneudorf</t>
  </si>
  <si>
    <t>48.01989</t>
  </si>
  <si>
    <t>16.78876</t>
  </si>
  <si>
    <t>+43216265771</t>
  </si>
  <si>
    <t>office@dr-gaugg.at</t>
  </si>
  <si>
    <t>https://bilder.dasschnelle.at/DasSchnelle/50/5000/9873/041605/G_041605_P_906219573.adn.gif</t>
  </si>
  <si>
    <t>Meszlenyi, Romana, Blumen • Halbturn • Burgenland</t>
  </si>
  <si>
    <t>Blumenhandel • Meszlenyi, Romana, Budapester Straße 22, Halbturn • Kontakt über aktuelle Telefonnummern ☎ und Adressen ⚑ mit Karte, Routing, Öffnungszeiten, Homepage, E-Mail, vCard und Firmendaten.</t>
  </si>
  <si>
    <t>Budapester Straße 22</t>
  </si>
  <si>
    <t>7131</t>
  </si>
  <si>
    <t>Halbturn</t>
  </si>
  <si>
    <t>47.86983</t>
  </si>
  <si>
    <t>16.97729</t>
  </si>
  <si>
    <t>+43217220198</t>
  </si>
  <si>
    <t>office@gruenwerkstatt.eu</t>
  </si>
  <si>
    <t>https://bilder.dasschnelle.at/DasSchnelle/50/5000/9873/041699/G_041699_P_906205676.adn.gif</t>
  </si>
  <si>
    <t>Maurovich, Herbert, Maler und Anstreicher • Kittsee • Burgenland</t>
  </si>
  <si>
    <t>Malereibetriebe • Maurovich, Herbert, Eisenstädter Straße 10, Kittsee • Kontakt über aktuelle Telefonnummern ☎ und Adressen ⚑ mit Karte, Routing, Öffnungszeiten, Homepage, E-Mail, vCard und Firmendaten.</t>
  </si>
  <si>
    <t>Eisenstädter Straße 10</t>
  </si>
  <si>
    <t>2421</t>
  </si>
  <si>
    <t>Kittsee</t>
  </si>
  <si>
    <t>48.09148</t>
  </si>
  <si>
    <t>17.05645</t>
  </si>
  <si>
    <t>+436641616155</t>
  </si>
  <si>
    <t>herbert.maurovich@gmx.at</t>
  </si>
  <si>
    <t>https://bilder.dasschnelle.at/DasSchnelle/50/5000/9873/041702/G_041702_P_906178322.adn.gif</t>
  </si>
  <si>
    <t>Strudler, Michael, Fahrradhandel • Podersdorf am See • Burgenland</t>
  </si>
  <si>
    <t>Fahrradfachhandel • Strudler, Michael, Satzgasse 22, Podersdorf am See • Kontakt über aktuelle Telefonnummern ☎ und Adressen ⚑ mit Karte, Routing, Öffnungszeiten, Homepage, E-Mail, vCard und Firmendaten.</t>
  </si>
  <si>
    <t>Satzgasse 22</t>
  </si>
  <si>
    <t>7141</t>
  </si>
  <si>
    <t>Podersdorf am See</t>
  </si>
  <si>
    <t>47.8512</t>
  </si>
  <si>
    <t>16.82649</t>
  </si>
  <si>
    <t>+436643551264</t>
  </si>
  <si>
    <t>strudler.agu@a1.net</t>
  </si>
  <si>
    <t>https://bilder.dasschnelle.at/DasSchnelle/50/5000/9873/041709/G_041709_P_906186517.adn.gif</t>
  </si>
  <si>
    <t>Hajdu &amp; Co. KG., Reifen • Kittsee • Burgenland</t>
  </si>
  <si>
    <t>Reifendienste • Hajdu &amp; Co. KG., Schulstraße 6, Kittsee • Kontakt über aktuelle Telefonnummern ☎ und Adressen ⚑ mit Karte, Routing, Öffnungszeiten, Homepage, E-Mail, vCard und Firmendaten.</t>
  </si>
  <si>
    <t>Schulstraße 6</t>
  </si>
  <si>
    <t>48.09606</t>
  </si>
  <si>
    <t>17.0626</t>
  </si>
  <si>
    <t>+43214343013</t>
  </si>
  <si>
    <t>reifenhajdu@aon.at</t>
  </si>
  <si>
    <t>https://bilder.dasschnelle.at/DasSchnelle/50/5000/9873/041702/G_041702_P_906174359.adn.gif</t>
  </si>
  <si>
    <t>Wimmer GesmbH, Bau- u Portalglaserei • Bruck • Niederösterreich</t>
  </si>
  <si>
    <t>Glasereien • Wimmer GesmbH, Burgenlandstraße 2, Bruck • Kontakt über aktuelle Telefonnummern ☎ und Adressen ⚑ mit Karte, Routing, Öffnungszeiten, Homepage, E-Mail, vCard und Firmendaten.</t>
  </si>
  <si>
    <t>Burgenlandstraße 2</t>
  </si>
  <si>
    <t>48.0244903</t>
  </si>
  <si>
    <t>16.7789517</t>
  </si>
  <si>
    <t>+432162626140;+43216262611</t>
  </si>
  <si>
    <t>+4321626261122</t>
  </si>
  <si>
    <t>glaswimmer@aon.at</t>
  </si>
  <si>
    <t>https://bilder.dasschnelle.at/DasSchnelle/50/5000/9873/041435/G_041435_P_906218287.adn.gif</t>
  </si>
  <si>
    <t>Spallinger, Eva-Ellen, Tierarzt • Zurndorf • Burgenland</t>
  </si>
  <si>
    <t>Tierärzte • Spallinger, Eva-Ellen, Leithagasse 52, Zurndorf • Kontakt über aktuelle Telefonnummern ☎ und Adressen ⚑ mit Karte, Routing, Öffnungszeiten, Homepage, E-Mail, vCard und Firmendaten.</t>
  </si>
  <si>
    <t>Leithagasse 52</t>
  </si>
  <si>
    <t>2424</t>
  </si>
  <si>
    <t>Zurndorf</t>
  </si>
  <si>
    <t>47.98843</t>
  </si>
  <si>
    <t>17.01</t>
  </si>
  <si>
    <t>+4369912424052</t>
  </si>
  <si>
    <t>vet@spallinger.at</t>
  </si>
  <si>
    <t>https://bilder.dasschnelle.at/DasSchnelle/50/5000/9873/041715/G_041715_P_906203784.adn.gif</t>
  </si>
  <si>
    <t>Hruby, Dagmar, Physiotherapie • Gols • Burgenland</t>
  </si>
  <si>
    <t>Physiotherapie • Hruby, Dagmar, Heideweg 12 /7, Gols • Kontakt über aktuelle Telefonnummern ☎ und Adressen ⚑ mit Karte, Routing, Öffnungszeiten, Homepage, E-Mail, vCard und Firmendaten.</t>
  </si>
  <si>
    <t>Heideweg 12 /7</t>
  </si>
  <si>
    <t>7122</t>
  </si>
  <si>
    <t>Gols</t>
  </si>
  <si>
    <t>47.88946</t>
  </si>
  <si>
    <t>16.9067</t>
  </si>
  <si>
    <t>+4366488395730</t>
  </si>
  <si>
    <t>dagmar@physiohruby.at</t>
  </si>
  <si>
    <t>https://bilder.dasschnelle.at/DasSchnelle/50/5000/9873/041698/G_041698_P_906226051.adn.gif</t>
  </si>
  <si>
    <t>Schmidt, Edith, Physiotherapie • Nickelsdorf • Burgenland</t>
  </si>
  <si>
    <t>Physiotherapie • Schmidt, Edith, Buchengasse 9, Nickelsdorf • Kontakt über aktuelle Telefonnummern ☎ und Adressen ⚑ mit Karte, Routing, Öffnungszeiten, Homepage, E-Mail, vCard und Firmendaten.</t>
  </si>
  <si>
    <t>Buchengasse 9</t>
  </si>
  <si>
    <t>2425</t>
  </si>
  <si>
    <t>Nickelsdorf</t>
  </si>
  <si>
    <t>47.93932</t>
  </si>
  <si>
    <t>17.06352</t>
  </si>
  <si>
    <t>+436802458045</t>
  </si>
  <si>
    <t>office@physio-pannonia.at</t>
  </si>
  <si>
    <t>https://bilder.dasschnelle.at/DasSchnelle/50/5000/9873/041705/G_041705_P_906205683.adn.gif</t>
  </si>
  <si>
    <t>Gschwendtner, Wolfgang, Dr.med., FA f Hals-, Nasen- u Ohrenkrankheiten • Frauenkirchen • Burgenland</t>
  </si>
  <si>
    <t>Ärzte / Fachärzte f. Hals-, Nasen u. Ohrenkrankheiten • Gschwendtner, Wolfgang, Dr.med., Hauptstraße 11 -13, Frauenkirchen • Kontakt über aktuelle Telefonnummern ☎ und Adressen ⚑ mit Karte, Routing, Öffnungszeiten, Homepage, E-Mail, vCard und Firmendaten.</t>
  </si>
  <si>
    <t>Hauptstraße 11 -13</t>
  </si>
  <si>
    <t>7132</t>
  </si>
  <si>
    <t>Frauenkirchen</t>
  </si>
  <si>
    <t>47.83654</t>
  </si>
  <si>
    <t>16.92552</t>
  </si>
  <si>
    <t>+4321722939</t>
  </si>
  <si>
    <t>https://bilder.dasschnelle.at/DasSchnelle/50/5000/9873/041696/G_041696_P_906206818.adn.gif</t>
  </si>
  <si>
    <t>Radics, Andreas, Mag., Steuerberater • Neusiedl am See • Burgenland</t>
  </si>
  <si>
    <t>Steuerberater • Radics, Andreas, Mag., Obere Hauptstraße 18 -20/6, Neusiedl am See • Kontakt über aktuelle Telefonnummern ☎ und Adressen ⚑ mit Karte, Routing, Öffnungszeiten, Homepage, E-Mail, vCard und Firmendaten.</t>
  </si>
  <si>
    <t>Obere Hauptstraße 18 -20/6</t>
  </si>
  <si>
    <t>7100</t>
  </si>
  <si>
    <t>Neusiedl am See</t>
  </si>
  <si>
    <t>47.9499889</t>
  </si>
  <si>
    <t>16.8396397</t>
  </si>
  <si>
    <t>+43216740916</t>
  </si>
  <si>
    <t>radics@radics-steuerberatung.at</t>
  </si>
  <si>
    <t>https://bilder.dasschnelle.at/DasSchnelle/50/5000/9873/041704/G_041704_P_906207719.adn.gif</t>
  </si>
  <si>
    <t>Ing. Gisch Lorenz GmbH, EDV • Neusiedl • Burgenland</t>
  </si>
  <si>
    <t>EDV-Dienstleistungen • Ing. Gisch Lorenz GmbH, Untere Hauptstraße 64, Neusiedl • Kontakt über aktuelle Telefonnummern ☎ und Adressen ⚑ mit Karte, Routing, Öffnungszeiten, Homepage, E-Mail, vCard und Firmendaten.</t>
  </si>
  <si>
    <t>Untere Hauptstraße 64</t>
  </si>
  <si>
    <t>Neusiedl</t>
  </si>
  <si>
    <t>47.9455200</t>
  </si>
  <si>
    <t>16.8476199</t>
  </si>
  <si>
    <t>+4321678088</t>
  </si>
  <si>
    <t>office@gischedv.at</t>
  </si>
  <si>
    <t>https://bilder.dasschnelle.at/DasSchnelle/50/5000/9873/041704/G_041704_P_906174361.adn.gif</t>
  </si>
  <si>
    <t>Kummer, Martin, Elektro • Mönchhof • Burgenland</t>
  </si>
  <si>
    <t>Elektrogeräte u. -bedarf • Kummer, Martin, Am Schranken 5, Mönchhof • Kontakt über aktuelle Telefonnummern ☎ und Adressen ⚑ mit Karte, Routing, Öffnungszeiten, Homepage, E-Mail, vCard und Firmendaten.</t>
  </si>
  <si>
    <t>Am Schranken 5</t>
  </si>
  <si>
    <t>7123</t>
  </si>
  <si>
    <t>Mönchhof</t>
  </si>
  <si>
    <t>47.88682</t>
  </si>
  <si>
    <t>16.93715</t>
  </si>
  <si>
    <t>+43217380797</t>
  </si>
  <si>
    <t>+43217380166</t>
  </si>
  <si>
    <t>elektro.kummer@bnet.at</t>
  </si>
  <si>
    <t>https://bilder.dasschnelle.at/DasSchnelle/50/5000/9873/041703/G_041703_P_906206813.adn.gif</t>
  </si>
  <si>
    <t>Roman Nagl e.U., Installateur • Heiligenkreuz • Niederösterreich</t>
  </si>
  <si>
    <t>Installationsunternehmen • Roman Nagl e.U., Priefamtann 34 /1, Heiligenkreuz • Kontakt über aktuelle Telefonnummern ☎ und Adressen ⚑ mit Karte, Routing, Öffnungszeiten, Homepage, E-Mail, vCard und Firmendaten.</t>
  </si>
  <si>
    <t>Priefamtann 34 /1</t>
  </si>
  <si>
    <t>2532</t>
  </si>
  <si>
    <t>Heiligenkreuz</t>
  </si>
  <si>
    <t>48.0612</t>
  </si>
  <si>
    <t>16.1207</t>
  </si>
  <si>
    <t>+436643147953</t>
  </si>
  <si>
    <t>office@installationen-nagl.at</t>
  </si>
  <si>
    <t>https://bilder.dasschnelle.at/DasSchnelle/50/5000/9870/041345/G_041345_P_906057439.adn.gif</t>
  </si>
  <si>
    <t>HD Baumeister • Baden • Niederösterreich</t>
  </si>
  <si>
    <t>Maler, Anstreicher u. Lackierer • HD Baumeister, Gewerbestraße 6, Baden • Kontakt über aktuelle Telefonnummern ☎ und Adressen ⚑ mit Karte, Routing, Öffnungszeiten, Homepage, E-Mail, vCard und Firmendaten.</t>
  </si>
  <si>
    <t>Gewerbestraße 6</t>
  </si>
  <si>
    <t>2500</t>
  </si>
  <si>
    <t>Baden</t>
  </si>
  <si>
    <t>47.9740954</t>
  </si>
  <si>
    <t>16.2790582</t>
  </si>
  <si>
    <t>+432252254471</t>
  </si>
  <si>
    <t>office@hd-baumeister.at</t>
  </si>
  <si>
    <t>https://bilder.dasschnelle.at/DasSchnelle/50/5000/9870/041339/I_041339_P_906029538_L_0037301913_1.png</t>
  </si>
  <si>
    <t>https://bilder.dasschnelle.at/DasSchnelle/50/5000/9870/041339/I_041339_P_906029538_B_0037301913_1.gal.png?height=399&amp;width=600;https://bilder.dasschnelle.at/DasSchnelle/50/5000/9870/041339/I_041339_P_906029538_B_0037301913_2.gal.png?height=399&amp;width=600;https://bilder.dasschnelle.at/DasSchnelle/50/5000/9870/041339/I_041339_P_906029538_B_0037301913_3.gal.png?height=283&amp;width=420;https://bilder.dasschnelle.at/DasSchnelle/50/5000/9870/041339/I_041339_P_906029538_B_0037301913_4.gal.png?height=400&amp;width=600</t>
  </si>
  <si>
    <t>Kult &amp; Bad Badplanung u. Installation Gas-Wasser-Heizung • Baden • Niederösterreich</t>
  </si>
  <si>
    <t>Bäderstudios • Kult &amp; Bad Badplanung u. Installation Gas-Wasser-Heizung, Pfarrgasse 16 A, Baden • Kontakt über aktuelle Telefonnummern ☎ und Adressen ⚑ mit Karte, Routing, Öffnungszeiten, Homepage, E-Mail, vCard und Firmendaten.</t>
  </si>
  <si>
    <t>Pfarrgasse 16 A</t>
  </si>
  <si>
    <t>48.00922</t>
  </si>
  <si>
    <t>16.23608</t>
  </si>
  <si>
    <t>+432252252625</t>
  </si>
  <si>
    <t>office@kultundbad.at</t>
  </si>
  <si>
    <t>https://bilder.dasschnelle.at/DasSchnelle/50/5000/9870/041339/G_041339_P_906052960.adn.gif</t>
  </si>
  <si>
    <t>Degeorgi Helmuth GmbH, Bauspenglerei-Dachdeckerei • Baden • Niederösterreich</t>
  </si>
  <si>
    <t>Bauspenglereien • Degeorgi Helmuth GmbH, Am Hörmbach 11, Baden • Kontakt über aktuelle Telefonnummern ☎ und Adressen ⚑ mit Karte, Routing, Öffnungszeiten, Homepage, E-Mail, vCard und Firmendaten.</t>
  </si>
  <si>
    <t>Am Hörmbach 11</t>
  </si>
  <si>
    <t>47.9855128</t>
  </si>
  <si>
    <t>16.2642790</t>
  </si>
  <si>
    <t>+43225287985</t>
  </si>
  <si>
    <t>helmuth@degeorgi.at</t>
  </si>
  <si>
    <t>https://bilder.dasschnelle.at/DasSchnelle/50/5000/9870/041339/G_041339_P_906034951.adn.gif</t>
  </si>
  <si>
    <t>Dance Studio Zehender KEG • Baden • Niederösterreich</t>
  </si>
  <si>
    <t>Tanzschulen • Dance Studio Zehender KEG, Kaiser Franz Joseph-Ring 11, Baden • Kontakt über aktuelle Telefonnummern ☎ und Adressen ⚑ mit Karte, Routing, Öffnungszeiten, Homepage, E-Mail, vCard und Firmendaten.</t>
  </si>
  <si>
    <t>Kaiser Franz Joseph-Ring 11</t>
  </si>
  <si>
    <t>48.00395</t>
  </si>
  <si>
    <t>16.23789</t>
  </si>
  <si>
    <t>+432252252263;+436607612113</t>
  </si>
  <si>
    <t>office@tanzwelt.at</t>
  </si>
  <si>
    <t>https://bilder.dasschnelle.at/DasSchnelle/50/5000/9870/041339/G_041339_P_906061866.adn.gif</t>
  </si>
  <si>
    <t>Herbich, Robert, Dr.med., FA für Innere Medizin • Baden • Niederösterreich</t>
  </si>
  <si>
    <t>Ärzte / Fachärzte f. Innere Medizin • Herbich, Robert, Dr.med., Palffygasse 1, Baden • Kontakt über aktuelle Telefonnummern ☎ und Adressen ⚑ mit Karte, Routing, Öffnungszeiten, Homepage, E-Mail, vCard und Firmendaten.</t>
  </si>
  <si>
    <t>Palffygasse 1</t>
  </si>
  <si>
    <t>48.0049887</t>
  </si>
  <si>
    <t>16.2431718</t>
  </si>
  <si>
    <t>+43225241564</t>
  </si>
  <si>
    <t>https://bilder.dasschnelle.at/DasSchnelle/50/5000/9870/041339/G_041339_P_906042355.adn.gif</t>
  </si>
  <si>
    <t>Kläranlage des Abwasserverbandes Trumau-Schönau, Abwasseraufbereitungsanlagen • Trumau • Niederösterreich</t>
  </si>
  <si>
    <t>Abwasseraufbereitungsanlagen • Kläranlage des Abwasserverbandes Trumau-Schönau, Dr. Körner-Straße 90, Trumau • Kontakt über aktuelle Telefonnummern ☎ und Adressen ⚑ mit Karte, Routing, Öffnungszeiten, Homepage, E-Mail, vCard und Firmendaten.</t>
  </si>
  <si>
    <t>Dr. Körner-Straße 90</t>
  </si>
  <si>
    <t>2521</t>
  </si>
  <si>
    <t>Trumau</t>
  </si>
  <si>
    <t>48.0054410</t>
  </si>
  <si>
    <t>16.3544787</t>
  </si>
  <si>
    <t>+4322537519;+436644554143</t>
  </si>
  <si>
    <t>+432253872620</t>
  </si>
  <si>
    <t>office@gav-trumau-schoenau.at</t>
  </si>
  <si>
    <t>https://bilder.dasschnelle.at/DasSchnelle/50/5000/9870/041363/G_041363_P_906260349.adn.gif</t>
  </si>
  <si>
    <t>Kinderarztpraxis Dr. Günter Ullreich,Dr. Manfred Weiss &amp; Dr. Karin Moser, Ärzte / Fachärzte f Kinder-u Jugendheilkunde • Tribuswinkel • Niederösterreich</t>
  </si>
  <si>
    <t>Ärzte / Fachärzte f. Kinder u. Jugendheilkunde • Kinderarztpraxis Dr. Günter Ullreich,Dr. Manfred Weiss &amp; Dr. Karin Moser, Schloßallee 5, Tribuswinkel • Kontakt über aktuelle Telefonnummern ☎ und Adressen ⚑ mit Karte, Routing, Öffnungszeiten, Homepage, E-Mail, vCard und Firmendaten.</t>
  </si>
  <si>
    <t>Schloßallee 5</t>
  </si>
  <si>
    <t>2512</t>
  </si>
  <si>
    <t>Tribuswinkel</t>
  </si>
  <si>
    <t>48.00603</t>
  </si>
  <si>
    <t>16.27326</t>
  </si>
  <si>
    <t>+43225257110</t>
  </si>
  <si>
    <t>office@diekinderaerzte.at</t>
  </si>
  <si>
    <t>https://bilder.dasschnelle.at/DasSchnelle/50/5000/9870/041362/G_041362_P_906268561.adn.gif</t>
  </si>
  <si>
    <t>Schneider, Gabriela, Dr. med. dent., Ärzte / Fachärzte f Zahn-, Mund-u Kieferheilkunde • Sooß • Niederösterreich</t>
  </si>
  <si>
    <t>Ärzte / Fachärzte f. Zahn-, Mund u. Kieferheilkunde • Schneider, Gabriela, Dr. med. dent., Hauptstraße 54, Sooß • Kontakt über aktuelle Telefonnummern ☎ und Adressen ⚑ mit Karte, Routing, Öffnungszeiten, Homepage, E-Mail, vCard und Firmendaten.</t>
  </si>
  <si>
    <t>Hauptstraße 54</t>
  </si>
  <si>
    <t>2504</t>
  </si>
  <si>
    <t>Sooß</t>
  </si>
  <si>
    <t>47.98465</t>
  </si>
  <si>
    <t>16.2148</t>
  </si>
  <si>
    <t>+432252256500</t>
  </si>
  <si>
    <t>praxis@zahnaerztin-sooss.at</t>
  </si>
  <si>
    <t>https://bilder.dasschnelle.at/DasSchnelle/50/5000/9870/041359/G_041359_P_906273404.adn.gif</t>
  </si>
  <si>
    <t>BAADER Johannes GesmbH, Gebäudereinigung • Tribuswinkel • Niederösterreich</t>
  </si>
  <si>
    <t>Gebäudereinigung • BAADER Johannes GesmbH, Bartensteinplatz 3, Tribuswinkel • Kontakt über aktuelle Telefonnummern ☎ und Adressen ⚑ mit Karte, Routing, Öffnungszeiten, Homepage, E-Mail, vCard und Firmendaten.</t>
  </si>
  <si>
    <t>Bartensteinplatz 3</t>
  </si>
  <si>
    <t>48.00505</t>
  </si>
  <si>
    <t>16.27036</t>
  </si>
  <si>
    <t>+43225249748</t>
  </si>
  <si>
    <t>jbaadergmbh@gmx.at</t>
  </si>
  <si>
    <t>https://bilder.dasschnelle.at/DasSchnelle/50/5000/9870/041362/I_041362_P_906030507_L_0036738902_1.png</t>
  </si>
  <si>
    <t>https://bilder.dasschnelle.at/DasSchnelle/50/5000/9870/041362/I_041362_P_906030507_B_0036738902_1.gal.png?height=360&amp;width=720;https://bilder.dasschnelle.at/DasSchnelle/50/5000/9870/041362/I_041362_P_906030507_B_0036738902_2.gal.png?height=360&amp;width=720;https://bilder.dasschnelle.at/DasSchnelle/50/5000/9870/041362/I_041362_P_906030507_B_0036738902_3.gal.png?height=360&amp;width=720;https://bilder.dasschnelle.at/DasSchnelle/50/5000/9870/041362/I_041362_P_906030507_B_0036738902_4.gal.png?height=360&amp;width=720</t>
  </si>
  <si>
    <t>TB ELEKTROTECHNIK LTD. • Bad Vöslau • Niederösterreich</t>
  </si>
  <si>
    <t>Elektrotechnik • TB ELEKTROTECHNIK LTD., Konrad Poll-Straße 12, Bad Vöslau • Kontakt über aktuelle Telefonnummern ☎ und Adressen ⚑ mit Karte, Routing, Öffnungszeiten, Homepage, E-Mail, vCard und Firmendaten.</t>
  </si>
  <si>
    <t>Konrad Poll-Straße 12</t>
  </si>
  <si>
    <t>2540</t>
  </si>
  <si>
    <t>Bad Vöslau</t>
  </si>
  <si>
    <t>47.9625606</t>
  </si>
  <si>
    <t>16.2177573</t>
  </si>
  <si>
    <t>+432252251897</t>
  </si>
  <si>
    <t>tb-elektrotechnik@inode.at</t>
  </si>
  <si>
    <t>https://bilder.dasschnelle.at/DasSchnelle/50/5000/9870/041338/I_041338_P_906019883_B_0036262374_1.gal.png?height=720&amp;width=720</t>
  </si>
  <si>
    <t>Cepko Alexander KG, Bestattung • Alland • Niederösterreich</t>
  </si>
  <si>
    <t>Bestattungsunternehmen • Cepko Alexander KG, Hauptstraße 153, Alland • Kontakt über aktuelle Telefonnummern ☎ und Adressen ⚑ mit Karte, Routing, Öffnungszeiten, Homepage, E-Mail, vCard und Firmendaten.</t>
  </si>
  <si>
    <t>Hauptstraße 153</t>
  </si>
  <si>
    <t>2534</t>
  </si>
  <si>
    <t>Alland</t>
  </si>
  <si>
    <t>48.05724</t>
  </si>
  <si>
    <t>16.07671</t>
  </si>
  <si>
    <t>+4322582234</t>
  </si>
  <si>
    <t>bestattung@cepko.at</t>
  </si>
  <si>
    <t>https://bilder.dasschnelle.at/DasSchnelle/50/5000/9870/041336/G_041336_P_906250271.adn.gif</t>
  </si>
  <si>
    <t>Smalyuk, Nataliya, Dr., FA f Augenheilkunde u Optometrie • Traiskirchen • Niederösterreich</t>
  </si>
  <si>
    <t>Ärzte / Fachärzte f. Augenheilkunde u. Optometrie • Smalyuk, Nataliya, Dr., Hauptplatz 17D Stg 2, Traiskirchen • Kontakt über aktuelle Telefonnummern ☎ und Adressen ⚑ mit Karte, Routing, Öffnungszeiten, Homepage, E-Mail, vCard und Firmendaten.</t>
  </si>
  <si>
    <t>Hauptplatz 17D Stg 2</t>
  </si>
  <si>
    <t>2514</t>
  </si>
  <si>
    <t>Traiskirchen</t>
  </si>
  <si>
    <t>48.0134736</t>
  </si>
  <si>
    <t>16.2941737</t>
  </si>
  <si>
    <t>+43225256002</t>
  </si>
  <si>
    <t>smalyuk@aon.at</t>
  </si>
  <si>
    <t>https://bilder.dasschnelle.at/DasSchnelle/50/5000/9870/041362/G_041362_P_906289709.adn.gif</t>
  </si>
  <si>
    <t>Rupsch GmbH, Gas-Wasser-Heizung • Leobersdorf • Niederösterreich</t>
  </si>
  <si>
    <t>Gasinstallationen • Rupsch GmbH, Südbahnstraße 5, Leobersdorf • Kontakt über aktuelle Telefonnummern ☎ und Adressen ⚑ mit Karte, Routing, Öffnungszeiten, Homepage, E-Mail, vCard und Firmendaten.</t>
  </si>
  <si>
    <t>Südbahnstraße 5</t>
  </si>
  <si>
    <t>2544</t>
  </si>
  <si>
    <t>Leobersdorf</t>
  </si>
  <si>
    <t>47.93135</t>
  </si>
  <si>
    <t>16.21868</t>
  </si>
  <si>
    <t>+43225662238</t>
  </si>
  <si>
    <t>+43225663156</t>
  </si>
  <si>
    <t>office@rupsch.at</t>
  </si>
  <si>
    <t>https://bilder.dasschnelle.at/DasSchnelle/50/5000/9870/041350/G_041350_P_906258927.adn.gif</t>
  </si>
  <si>
    <t>Schindler`s Montage Service • Traiskirchen • Niederösterreich</t>
  </si>
  <si>
    <t>Montagen u. Montagetechnik • Schindler`s Montage Service, Pfaffstättner Straße 31 B, Traiskirchen • Kontakt über aktuelle Telefonnummern ☎ und Adressen ⚑ mit Karte, Routing, Öffnungszeiten, Homepage, E-Mail, vCard und Firmendaten.</t>
  </si>
  <si>
    <t>Pfaffstättner Straße 31 B</t>
  </si>
  <si>
    <t>48.02881</t>
  </si>
  <si>
    <t>16.30251</t>
  </si>
  <si>
    <t>+436505377100</t>
  </si>
  <si>
    <t>schindler.montage@aon.at</t>
  </si>
  <si>
    <t>https://bilder.dasschnelle.at/DasSchnelle/50/5000/9870/041362/I_041362_P_906034958_L_0036738903_1.png</t>
  </si>
  <si>
    <t>https://bilder.dasschnelle.at/DasSchnelle/50/5000/9870/041362/I_041362_P_906034958_B_0036738903_1.gal.png?height=545&amp;width=720;https://bilder.dasschnelle.at/DasSchnelle/50/5000/9870/041362/I_041362_P_906034958_B_0036738903_2.gal.png?height=462&amp;width=720;https://bilder.dasschnelle.at/DasSchnelle/50/5000/9870/041362/I_041362_P_906034958_B_0036738903_3.gal.png?height=631&amp;width=720;https://bilder.dasschnelle.at/DasSchnelle/50/5000/9870/041362/I_041362_P_906034958_B_0036738903_4.gal.png?height=640&amp;width=720</t>
  </si>
  <si>
    <t>Frisiersalon Margit, Friseure • Baden • Niederösterreich</t>
  </si>
  <si>
    <t>Friseure • Frisiersalon Margit, Brusattiplatz 4, Baden • Kontakt über aktuelle Telefonnummern ☎ und Adressen ⚑ mit Karte, Routing, Öffnungszeiten, Homepage, E-Mail, vCard und Firmendaten.</t>
  </si>
  <si>
    <t>Brusattiplatz 4</t>
  </si>
  <si>
    <t>48.00837</t>
  </si>
  <si>
    <t>16.23009</t>
  </si>
  <si>
    <t>+43225241618</t>
  </si>
  <si>
    <t>frisiersalonmargit@gmx.at</t>
  </si>
  <si>
    <t>https://bilder.dasschnelle.at/DasSchnelle/50/5000/9870/041339/G_041339_P_906250272.adn.gif</t>
  </si>
  <si>
    <t>Junghofer Installationen GmbH, Sanitär- u Heizungsanlagen • Traiskirchen • Niederösterreich</t>
  </si>
  <si>
    <t>Installationsunternehmen • Junghofer Installationen GmbH, Anton Wildgans-Gasse 7, Traiskirchen • Kontakt über aktuelle Telefonnummern ☎ und Adressen ⚑ mit Karte, Routing, Öffnungszeiten, Homepage, E-Mail, vCard und Firmendaten.</t>
  </si>
  <si>
    <t>Anton Wildgans-Gasse 7</t>
  </si>
  <si>
    <t>48.02208</t>
  </si>
  <si>
    <t>16.29022</t>
  </si>
  <si>
    <t>+43225253439</t>
  </si>
  <si>
    <t>+43225253175</t>
  </si>
  <si>
    <t>office@junghofer.at</t>
  </si>
  <si>
    <t>https://bilder.dasschnelle.at/DasSchnelle/50/5000/9870/041362/G_041362_P_906257925.adn.gif</t>
  </si>
  <si>
    <t>Catomio, Istvan, Dr. med., FA f Urologie • Ebreichsdorf • Niederösterreich</t>
  </si>
  <si>
    <t>Ärzte / Fachärzte f. Urologie • Catomio, Istvan, Dr. med., Wiener Straße 35-35 Stg 5, Ebreichsdorf • Kontakt über aktuelle Telefonnummern ☎ und Adressen ⚑ mit Karte, Routing, Öffnungszeiten, Homepage, E-Mail, vCard und Firmendaten.</t>
  </si>
  <si>
    <t>Wiener Straße 35-35 Stg 5</t>
  </si>
  <si>
    <t>2483</t>
  </si>
  <si>
    <t>Ebreichsdorf</t>
  </si>
  <si>
    <t>47.9723846</t>
  </si>
  <si>
    <t>16.3974625</t>
  </si>
  <si>
    <t>+436641036186</t>
  </si>
  <si>
    <t>istvan.catomio@aon.at</t>
  </si>
  <si>
    <t>https://bilder.dasschnelle.at/DasSchnelle/50/5000/9870/041341/G_041341_P_906274683.adn.gif</t>
  </si>
  <si>
    <t>Wöhrer Elektro GmbH, Elektrounternehmen • Leobersdorf • Niederösterreich</t>
  </si>
  <si>
    <t>Elektrounternehmen • Wöhrer Elektro GmbH, Hauptschulplatz 3, Leobersdorf • Kontakt über aktuelle Telefonnummern ☎ und Adressen ⚑ mit Karte, Routing, Öffnungszeiten, Homepage, E-Mail, vCard und Firmendaten.</t>
  </si>
  <si>
    <t>Hauptschulplatz 3</t>
  </si>
  <si>
    <t>47.9297100</t>
  </si>
  <si>
    <t>16.2155000</t>
  </si>
  <si>
    <t>+43225662293;+436641828459;+436643577665</t>
  </si>
  <si>
    <t>+43225664439</t>
  </si>
  <si>
    <t>info@elektro-woehrer.at</t>
  </si>
  <si>
    <t>https://bilder.dasschnelle.at/DasSchnelle/50/5000/9870/041350/G_041350_P_906257917.adn.gif</t>
  </si>
  <si>
    <t>Mauk, Manuel, Entsorgungen • Kottingbrunn • Niederösterreich</t>
  </si>
  <si>
    <t>Entsorgungen • Mauk, Manuel, Gewerbestraße 6 -8, Kottingbrunn • Kontakt über aktuelle Telefonnummern ☎ und Adressen ⚑ mit Karte, Routing, Öffnungszeiten, Homepage, E-Mail, vCard und Firmendaten.</t>
  </si>
  <si>
    <t>Gewerbestraße 6 -8</t>
  </si>
  <si>
    <t>2542</t>
  </si>
  <si>
    <t>Kottingbrunn</t>
  </si>
  <si>
    <t>47.9512998</t>
  </si>
  <si>
    <t>16.219259</t>
  </si>
  <si>
    <t>+436642124676</t>
  </si>
  <si>
    <t>office@mauk-entsorgungen-handel.at</t>
  </si>
  <si>
    <t>https://bilder.dasschnelle.at/DasSchnelle/50/5000/9870/041349/G_041349_P_906277484.adn.gif</t>
  </si>
  <si>
    <t>Ruhdorfer, Christina, DDr., FA f Zahn-, Mund- u Kieferheilkunde • Traiskirchen • Niederösterreich</t>
  </si>
  <si>
    <t>Ärzte / Fachärzte f. Zahn-, Mund u. Kieferheilkunde • Ruhdorfer, Christina, DDr., Schwechatstraße 49 /1/8, Traiskirchen • Kontakt über aktuelle Telefonnummern ☎ und Adressen ⚑ mit Karte, Routing, Öffnungszeiten, Homepage, E-Mail, vCard und Firmendaten.</t>
  </si>
  <si>
    <t>Schwechatstraße 49 /1/8</t>
  </si>
  <si>
    <t>48.01951</t>
  </si>
  <si>
    <t>16.3232</t>
  </si>
  <si>
    <t>+43225252693</t>
  </si>
  <si>
    <t>dr.ruhdorfer@inode.at</t>
  </si>
  <si>
    <t>https://bilder.dasschnelle.at/DasSchnelle/50/5000/9870/041362/G_041362_P_906275310.adn.gif</t>
  </si>
  <si>
    <t>Wutzlhofer Thomas GmbH, Malermeister • Tattendorf • Niederösterreich</t>
  </si>
  <si>
    <t>Malereibetriebe • Wutzlhofer Thomas GmbH, Johann Landauer Straße 5, Tattendorf • Kontakt über aktuelle Telefonnummern ☎ und Adressen ⚑ mit Karte, Routing, Öffnungszeiten, Homepage, E-Mail, vCard und Firmendaten.</t>
  </si>
  <si>
    <t>Johann Landauer Straße 5</t>
  </si>
  <si>
    <t>2523</t>
  </si>
  <si>
    <t>Tattendorf</t>
  </si>
  <si>
    <t>47.95399</t>
  </si>
  <si>
    <t>16.29986</t>
  </si>
  <si>
    <t>+43225381990</t>
  </si>
  <si>
    <t>office@wutzlhofer.com</t>
  </si>
  <si>
    <t>https://bilder.dasschnelle.at/DasSchnelle/50/5000/9870/041360/G_041360_P_906258945.adn.gif</t>
  </si>
  <si>
    <t>Göschl GesmbH, Metallbau • Kottingbrunn • Niederösterreich</t>
  </si>
  <si>
    <t>Metallbau • Göschl GesmbH, Industriestraße 6, Kottingbrunn • Kontakt über aktuelle Telefonnummern ☎ und Adressen ⚑ mit Karte, Routing, Öffnungszeiten, Homepage, E-Mail, vCard und Firmendaten.</t>
  </si>
  <si>
    <t>Industriestraße 6</t>
  </si>
  <si>
    <t>47.94963</t>
  </si>
  <si>
    <t>16.22046</t>
  </si>
  <si>
    <t>+432252715850</t>
  </si>
  <si>
    <t>+43225277237</t>
  </si>
  <si>
    <t>office@goeschl-metallbau.at</t>
  </si>
  <si>
    <t>https://bilder.dasschnelle.at/DasSchnelle/50/5000/9870/041349/G_041349_P_906267276.adn.gif</t>
  </si>
  <si>
    <t>Schwarzott GmbH, Tischlerei • Baden • Niederösterreich</t>
  </si>
  <si>
    <t>Tischlereien • Schwarzott GmbH, Wiener Straße 13 -21, Baden • Kontakt über aktuelle Telefonnummern ☎ und Adressen ⚑ mit Karte, Routing, Öffnungszeiten, Homepage, E-Mail, vCard und Firmendaten.</t>
  </si>
  <si>
    <t>Wiener Straße 13 -21</t>
  </si>
  <si>
    <t>48.0101358</t>
  </si>
  <si>
    <t>16.2421152</t>
  </si>
  <si>
    <t>+432252895340</t>
  </si>
  <si>
    <t>einrichtungshaus@schwarzott.at</t>
  </si>
  <si>
    <t>https://bilder.dasschnelle.at/DasSchnelle/50/5000/9870/041339/G_041339_P_906265953.adn.gif</t>
  </si>
  <si>
    <t>Vollnhofer, Almuth, Friseure • Leobersdorf • Niederösterreich</t>
  </si>
  <si>
    <t>Friseure • Vollnhofer, Almuth, Hauptstraße 37, Leobersdorf • Kontakt über aktuelle Telefonnummern ☎ und Adressen ⚑ mit Karte, Routing, Öffnungszeiten, Homepage, E-Mail, vCard und Firmendaten.</t>
  </si>
  <si>
    <t>Hauptstraße 37</t>
  </si>
  <si>
    <t>47.92675</t>
  </si>
  <si>
    <t>16.21623</t>
  </si>
  <si>
    <t>+43225665160</t>
  </si>
  <si>
    <t>almuth.vollnhofer@gmail.com</t>
  </si>
  <si>
    <t>https://bilder.dasschnelle.at/DasSchnelle/50/5000/9870/041350/G_041350_P_906261749.adn.gif</t>
  </si>
  <si>
    <t>Swiatek, Caroline, Dr., Zahnärzte • Oberwaltersdorf • Niederösterreich</t>
  </si>
  <si>
    <t>Ärzte / Fachärzte f. Zahn-, Mund u. Kieferheilkunde • Swiatek, Caroline, Dr., Hauptstraße 17, Oberwaltersdorf • Kontakt über aktuelle Telefonnummern ☎ und Adressen ⚑ mit Karte, Routing, Öffnungszeiten, Homepage, E-Mail, vCard und Firmendaten.</t>
  </si>
  <si>
    <t>Hauptstraße 17</t>
  </si>
  <si>
    <t>2522</t>
  </si>
  <si>
    <t>Oberwaltersdorf</t>
  </si>
  <si>
    <t>47.97667</t>
  </si>
  <si>
    <t>16.32306</t>
  </si>
  <si>
    <t>+43225320199</t>
  </si>
  <si>
    <t>office@zahnarztdrswiatek.at</t>
  </si>
  <si>
    <t>https://bilder.dasschnelle.at/DasSchnelle/50/5000/9870/041352/G_041352_P_906269889.adn.gif</t>
  </si>
  <si>
    <t>Wimmer, Martin, Tischlerei • Bad Vöslau • Niederösterreich</t>
  </si>
  <si>
    <t>Tischlereien • Wimmer, Martin, Steinbruchgasse 69, Bad Vöslau • Kontakt über aktuelle Telefonnummern ☎ und Adressen ⚑ mit Karte, Routing, Öffnungszeiten, Homepage, E-Mail, vCard und Firmendaten.</t>
  </si>
  <si>
    <t>Steinbruchgasse 69</t>
  </si>
  <si>
    <t>47.96472</t>
  </si>
  <si>
    <t>16.1847</t>
  </si>
  <si>
    <t>+436769490891</t>
  </si>
  <si>
    <t>mobilertischler@aon.at</t>
  </si>
  <si>
    <t>https://bilder.dasschnelle.at/DasSchnelle/50/5000/9870/041338/G_041338_P_906258946.adn.gif</t>
  </si>
  <si>
    <t>EDOK Elektrotechnik • Baden • Niederösterreich</t>
  </si>
  <si>
    <t>Elektrotechnik • EDOK Elektrotechnik, Kiebitzmühlgasse 17, Baden • Kontakt über aktuelle Telefonnummern ☎ und Adressen ⚑ mit Karte, Routing, Öffnungszeiten, Homepage, E-Mail, vCard und Firmendaten.</t>
  </si>
  <si>
    <t>Kiebitzmühlgasse 17</t>
  </si>
  <si>
    <t>47.97863</t>
  </si>
  <si>
    <t>16.27469</t>
  </si>
  <si>
    <t>+436764285490</t>
  </si>
  <si>
    <t>office@edok.at</t>
  </si>
  <si>
    <t>https://bilder.dasschnelle.at/DasSchnelle/50/5000/9870/041339/I_041339_P_906059722_L_0036253122_1.png</t>
  </si>
  <si>
    <t>https://bilder.dasschnelle.at/DasSchnelle/50/5000/9870/041339/I_041339_P_906059722_B_0036253122_1.gal.png?height=405&amp;width=540;https://bilder.dasschnelle.at/DasSchnelle/50/5000/9870/041339/I_041339_P_906059722_B_0036253122_2.gal.png?height=405&amp;width=540;https://bilder.dasschnelle.at/DasSchnelle/50/5000/9870/041339/I_041339_P_906059722_B_0036253122_3.gal.png?height=405&amp;width=540;https://bilder.dasschnelle.at/DasSchnelle/50/5000/9870/041339/I_041339_P_906059722_B_0036253122_4.gal.png?height=405&amp;width=540</t>
  </si>
  <si>
    <t>Unterberger, Martin, DI, Tierärzte • Enzesfeld-Lindabrunn • Niederösterreich</t>
  </si>
  <si>
    <t>Tierärzte • Unterberger, Martin, DI, Wiener Neustädterstraße 64, Enzesfeld-Lindabrunn • Kontakt über aktuelle Telefonnummern ☎ und Adressen ⚑ mit Karte, Routing, Öffnungszeiten, Homepage, E-Mail, vCard und Firmendaten.</t>
  </si>
  <si>
    <t>Wiener Neustädterstraße 64</t>
  </si>
  <si>
    <t>2551</t>
  </si>
  <si>
    <t>Enzesfeld-Lindabrunn</t>
  </si>
  <si>
    <t>47.91555</t>
  </si>
  <si>
    <t>16.18733</t>
  </si>
  <si>
    <t>+432256824922</t>
  </si>
  <si>
    <t>tierarztpraxisunterberger@gmx.at</t>
  </si>
  <si>
    <t>https://bilder.dasschnelle.at/DasSchnelle/50/5000/9871/041342/G_041342_P_906288647.adn.gif</t>
  </si>
  <si>
    <t>Pertiller, Alois, Heizöle • Berndorf bei Salzburg • Salzburg</t>
  </si>
  <si>
    <t>Heizöle • Pertiller, Alois, Haunsbergstraße 6, Berndorf bei Salzburg • Kontakt über aktuelle Telefonnummern ☎ und Adressen ⚑ mit Karte, Routing, Öffnungszeiten, Homepage, E-Mail, vCard und Firmendaten.</t>
  </si>
  <si>
    <t>Haunsbergstraße 6</t>
  </si>
  <si>
    <t>5165</t>
  </si>
  <si>
    <t>Berndorf bei Salzburg</t>
  </si>
  <si>
    <t>Salzburg</t>
  </si>
  <si>
    <t>47.99627</t>
  </si>
  <si>
    <t>13.06055</t>
  </si>
  <si>
    <t>+4362178118;+43621729066</t>
  </si>
  <si>
    <t>+43621720101</t>
  </si>
  <si>
    <t>oel.pertiller@sbg.at</t>
  </si>
  <si>
    <t>https://bilder.dasschnelle.at/DasSchnelle/50/5000/9871/041340/G_041340_P_906222339.adn.gif</t>
  </si>
  <si>
    <t>Cepko Alexander KG • Altenmarkt an der Triesting • Niederösterreich</t>
  </si>
  <si>
    <t>Bestattungsunternehmen • Cepko Alexander KG, Altenmarkt an der Triesting 62, Altenmarkt an der Triesting • Kontakt über aktuelle Telefonnummern ☎ und Adressen ⚑ mit Karte, Routing, Öffnungszeiten, Homepage, E-Mail, vCard und Firmendaten.</t>
  </si>
  <si>
    <t>Altenmarkt an der Triesting 62</t>
  </si>
  <si>
    <t>2571</t>
  </si>
  <si>
    <t>Altenmarkt an der Triesting</t>
  </si>
  <si>
    <t>48.0154209</t>
  </si>
  <si>
    <t>15.9949395</t>
  </si>
  <si>
    <t>+4326732238;+436601480383;+436643457697;+436645232136</t>
  </si>
  <si>
    <t>https://bilder.dasschnelle.at/DasSchnelle/50/5000/9871/041337/G_041337_P_906282734.adn.gif</t>
  </si>
  <si>
    <t>Ing. Thomas Birbamer e.U., Internormfenster • Berndorf • Niederösterreich</t>
  </si>
  <si>
    <t>Tischlereien • Ing. Thomas Birbamer e.U., Essentherstraße 67, Berndorf • Kontakt über aktuelle Telefonnummern ☎ und Adressen ⚑ mit Karte, Routing, Öffnungszeiten, Homepage, E-Mail, vCard und Firmendaten.</t>
  </si>
  <si>
    <t>Essentherstraße 67</t>
  </si>
  <si>
    <t>2560</t>
  </si>
  <si>
    <t>Berndorf</t>
  </si>
  <si>
    <t>47.9363866</t>
  </si>
  <si>
    <t>16.1029632</t>
  </si>
  <si>
    <t>+436642303545</t>
  </si>
  <si>
    <t>office@birbamer-fenster.at</t>
  </si>
  <si>
    <t>https://bilder.dasschnelle.at/DasSchnelle/50/5000/9871/041340/G_041340_P_906282739.adn.gif</t>
  </si>
  <si>
    <t>GESTRA Spiel- u Freizeiteinrichtungen GmbH, Spielplatzeinrichtungen u -geräte • Waldneukirchen • Oberösterreich</t>
  </si>
  <si>
    <t>Spielplatzeinrichtungen u. -geräte • GESTRA Spiel- u Freizeiteinrichtungen GmbH, Wimbergstraße 12 A, Waldneukirchen • Kontakt über aktuelle Telefonnummern ☎ und Adressen ⚑ mit Karte, Routing, Öffnungszeiten, Homepage, E-Mail, vCard und Firmendaten.</t>
  </si>
  <si>
    <t>Wimbergstraße 12 A</t>
  </si>
  <si>
    <t>4595</t>
  </si>
  <si>
    <t>Waldneukirchen</t>
  </si>
  <si>
    <t>48.02056</t>
  </si>
  <si>
    <t>14.254</t>
  </si>
  <si>
    <t>+4372583195;+4372582164</t>
  </si>
  <si>
    <t>+4372583181</t>
  </si>
  <si>
    <t>office@gestra.at</t>
  </si>
  <si>
    <t>https://bilder.dasschnelle.at/DasSchnelle/50/5000/9867/042823/I_042823_P_905951333_L_0036253116_1.png</t>
  </si>
  <si>
    <t>https://bilder.dasschnelle.at/DasSchnelle/50/5000/9867/042823/I_042823_P_905951333_B_0036253116_1.gal.png?height=446&amp;width=600;https://bilder.dasschnelle.at/DasSchnelle/50/5000/9867/042823/I_042823_P_905951333_B_0036253116_2.gal.png?height=449&amp;width=600;https://bilder.dasschnelle.at/DasSchnelle/50/5000/9867/042823/I_042823_P_905951333_B_0036253116_3.gal.png?height=449&amp;width=600;https://bilder.dasschnelle.at/DasSchnelle/50/5000/9867/042823/I_042823_P_905951333_B_0036253116_4.gal.png?height=337&amp;width=600</t>
  </si>
  <si>
    <t>Gmainer, Barbara, Wolle, Handarbeiten • Bad Hall • Oberösterreich</t>
  </si>
  <si>
    <t>Handarbeiten • Gmainer, Barbara, Bahnhofstraße 1, Bad Hall • Kontakt über aktuelle Telefonnummern ☎ und Adressen ⚑ mit Karte, Routing, Öffnungszeiten, Homepage, E-Mail, vCard und Firmendaten.</t>
  </si>
  <si>
    <t>Bahnhofstraße 1</t>
  </si>
  <si>
    <t>4540</t>
  </si>
  <si>
    <t>Bad Hall</t>
  </si>
  <si>
    <t>48.0355300</t>
  </si>
  <si>
    <t>14.2080100</t>
  </si>
  <si>
    <t>+43725821214</t>
  </si>
  <si>
    <t>frau-wolle@gmx.at</t>
  </si>
  <si>
    <t>https://bilder.dasschnelle.at/DasSchnelle/50/5000/9867/042808/G_042808_P_906178294.adn.gif</t>
  </si>
  <si>
    <t>INSTEC Installationstechnik GmbH, Installationstechnik • St. Wolfgang im Salzkammergut • Oberösterreich</t>
  </si>
  <si>
    <t>Installationstechnik • INSTEC Installationstechnik GmbH, Schwarzenbach 77 Zentra, St. Wolfgang im Salzkammergut • Kontakt über aktuelle Telefonnummern ☎ und Adressen ⚑ mit Karte, Routing, Öffnungszeiten, Homepage, E-Mail, vCard und Firmendaten.</t>
  </si>
  <si>
    <t>Schwarzenbach 77 Zentra</t>
  </si>
  <si>
    <t>5360</t>
  </si>
  <si>
    <t>St. Wolfgang im Salzkammergut</t>
  </si>
  <si>
    <t>47.7283262</t>
  </si>
  <si>
    <t>13.4891295</t>
  </si>
  <si>
    <t>+43613820490;+43613820388</t>
  </si>
  <si>
    <t>+43613820499</t>
  </si>
  <si>
    <t>office@instec.at</t>
  </si>
  <si>
    <t>https://bilder.dasschnelle.at/DasSchnelle/50/5000/9868/041804/I_041804_P_906007394_L_0036242956_1.png</t>
  </si>
  <si>
    <t>https://bilder.dasschnelle.at/DasSchnelle/50/5000/9868/041804/I_041804_P_906007394_B_0036242956_1.gal.png?height=973&amp;width=650;https://bilder.dasschnelle.at/DasSchnelle/50/5000/9868/041804/I_041804_P_906007394_B_0036242956_2.gal.png?height=467&amp;width=700;https://bilder.dasschnelle.at/DasSchnelle/50/5000/9868/041804/I_041804_P_906007394_B_0036242956_3.gal.png?height=456&amp;width=700;https://bilder.dasschnelle.at/DasSchnelle/50/5000/9868/041804/I_041804_P_906007394_B_0036242956_4.gal.png?height=466&amp;width=700;https://bilder.dasschnelle.at/DasSchnelle/50/5000/9868/041804/G_041804_P_906242039.adn.gif</t>
  </si>
  <si>
    <t>Bernhard Herzog KG, Transporte &amp; Erdbau • Berndorf • Niederösterreich</t>
  </si>
  <si>
    <t>Transportunternehmen • Bernhard Herzog KG, Untere Ödlitzer Straße 52, Berndorf • Kontakt über aktuelle Telefonnummern ☎ und Adressen ⚑ mit Karte, Routing, Öffnungszeiten, Homepage, E-Mail, vCard und Firmendaten.</t>
  </si>
  <si>
    <t>Untere Ödlitzer Straße 52</t>
  </si>
  <si>
    <t>47.94175</t>
  </si>
  <si>
    <t>16.14575</t>
  </si>
  <si>
    <t>+436765016574</t>
  </si>
  <si>
    <t>transporte.herzog@aon.at</t>
  </si>
  <si>
    <t>https://bilder.dasschnelle.at/DasSchnelle/50/5000/9871/041340/G_041340_P_906290489.adn.gif</t>
  </si>
  <si>
    <t>Fürst, Gabriele, Energetiker • Berndorf • Niederösterreich</t>
  </si>
  <si>
    <t>Energetik • Fürst, Gabriele, Neufeldweg 25, Berndorf • Kontakt über aktuelle Telefonnummern ☎ und Adressen ⚑ mit Karte, Routing, Öffnungszeiten, Homepage, E-Mail, vCard und Firmendaten.</t>
  </si>
  <si>
    <t>Neufeldweg 25</t>
  </si>
  <si>
    <t>47.9366</t>
  </si>
  <si>
    <t>16.14248</t>
  </si>
  <si>
    <t>+43267283011</t>
  </si>
  <si>
    <t>office@lbsvital.at</t>
  </si>
  <si>
    <t>https://bilder.dasschnelle.at/DasSchnelle/50/5000/9871/041340/G_041340_P_906291944.adn.gif</t>
  </si>
  <si>
    <t>Käfmüller, Reinhold, Sport 2000, Sport • Bad Aussee • Steiermark</t>
  </si>
  <si>
    <t>Sportartikel u. -geräte • Käfmüller, Reinhold, Sport 2000, Ischler Straße 121, Bad Aussee • Kontakt über aktuelle Telefonnummern ☎ und Adressen ⚑ mit Karte, Routing, Öffnungszeiten, Homepage, E-Mail, vCard und Firmendaten.</t>
  </si>
  <si>
    <t>Ischler Straße 121</t>
  </si>
  <si>
    <t>47.60932</t>
  </si>
  <si>
    <t>13.78252</t>
  </si>
  <si>
    <t>+43362254911</t>
  </si>
  <si>
    <t>fun-sport@aon.at</t>
  </si>
  <si>
    <t>https://bilder.dasschnelle.at/DasSchnelle/50/5000/9868/044351/G_044351_P_906257913.adn.gif</t>
  </si>
  <si>
    <t>Kohnhauser, Lorenz, Dr.med.dent., Zahnarzt • Sankt Gilgen • Salzburg</t>
  </si>
  <si>
    <t>Ärzte / Zahnärzte • Kohnhauser, Lorenz, Dr.med.dent., Schwarzenbrunnerstraße 3, Sankt Gilgen • Kontakt über aktuelle Telefonnummern ☎ und Adressen ⚑ mit Karte, Routing, Öffnungszeiten, Homepage, E-Mail, vCard und Firmendaten.</t>
  </si>
  <si>
    <t>Schwarzenbrunnerstraße 3</t>
  </si>
  <si>
    <t>5340</t>
  </si>
  <si>
    <t>Sankt Gilgen</t>
  </si>
  <si>
    <t>47.76657</t>
  </si>
  <si>
    <t>13.36407</t>
  </si>
  <si>
    <t>+43622727063</t>
  </si>
  <si>
    <t>l.kohnhauser@aon.at</t>
  </si>
  <si>
    <t>https://bilder.dasschnelle.at/DasSchnelle/50/5000/9868/043326/G_043326_P_906216915.adn.gif</t>
  </si>
  <si>
    <t>Stummer Erdbau- u TransportgmbH • Au • Oberösterreich</t>
  </si>
  <si>
    <t>Erdbau, Transportunternehmen • Stummer Erdbau- u TransportgmbH, Au • Kontakt über aktuelle Telefonnummern ☎ und Adressen ⚑ mit Karte, Routing, Öffnungszeiten, Homepage, E-Mail, vCard und Firmendaten.</t>
  </si>
  <si>
    <t>4822</t>
  </si>
  <si>
    <t>Au</t>
  </si>
  <si>
    <t>47.6201920</t>
  </si>
  <si>
    <t>13.6281480</t>
  </si>
  <si>
    <t>+4361358411</t>
  </si>
  <si>
    <t>+436135841121</t>
  </si>
  <si>
    <t>office@stummer.cc</t>
  </si>
  <si>
    <t>https://bilder.dasschnelle.at/DasSchnelle/50/5000/9868/041789/I_041789_P_906004333_L_0036242889_1.png</t>
  </si>
  <si>
    <t>https://bilder.dasschnelle.at/DasSchnelle/50/5000/9868/041789/I_041789_P_906004333_B_0036242889_1.gal.png?height=310&amp;width=456;https://bilder.dasschnelle.at/DasSchnelle/50/5000/9868/041789/I_041789_P_906004333_B_0036242889_2.gal.png?height=249&amp;width=456;https://bilder.dasschnelle.at/DasSchnelle/50/5000/9868/041789/I_041789_P_906004333_B_0036242889_3.gal.png?height=304&amp;width=405;https://bilder.dasschnelle.at/DasSchnelle/50/5000/9868/041789/I_041789_P_906004333_B_0036242889_4.gal.png?height=365&amp;width=720</t>
  </si>
  <si>
    <t>Frisiersalon Fuchs • Goisern • Oberösterreich</t>
  </si>
  <si>
    <t>Friseure • Frisiersalon Fuchs, Dr.-Matthia-Promenade 1, Goisern • Kontakt über aktuelle Telefonnummern ☎ und Adressen ⚑ mit Karte, Routing, Öffnungszeiten, Homepage, E-Mail, vCard und Firmendaten.</t>
  </si>
  <si>
    <t>Dr.-Matthia-Promenade 1</t>
  </si>
  <si>
    <t>Goisern</t>
  </si>
  <si>
    <t>47.6411625</t>
  </si>
  <si>
    <t>13.6161798</t>
  </si>
  <si>
    <t>+4361358589</t>
  </si>
  <si>
    <t>fuchs-gerald@a1.net</t>
  </si>
  <si>
    <t>https://bilder.dasschnelle.at/DasSchnelle/50/5000/9868/041789/G_041789_P_906242154.adn.gif</t>
  </si>
  <si>
    <t>Schmaranzer, Daniel, Säge- u Hobelwerke • Bad Goisern • Oberösterreich</t>
  </si>
  <si>
    <t>Säge- u. Hobelwerke • Schmaranzer, Daniel, Stambach 5, Bad Goisern • Kontakt über aktuelle Telefonnummern ☎ und Adressen ⚑ mit Karte, Routing, Öffnungszeiten, Homepage, E-Mail, vCard und Firmendaten.</t>
  </si>
  <si>
    <t>Stambach 5</t>
  </si>
  <si>
    <t>Bad Goisern</t>
  </si>
  <si>
    <t>47.6311998</t>
  </si>
  <si>
    <t>13.6258917</t>
  </si>
  <si>
    <t>+4361358217;+436643734590</t>
  </si>
  <si>
    <t>+4361356443</t>
  </si>
  <si>
    <t>saegewerk@schmaranzer.net</t>
  </si>
  <si>
    <t>https://bilder.dasschnelle.at/DasSchnelle/50/5000/9868/041789/I_041789_P_906010652_L_0036242921_1.png</t>
  </si>
  <si>
    <t>https://bilder.dasschnelle.at/DasSchnelle/50/5000/9868/041789/G_041789_P_906245155.adn.gif</t>
  </si>
  <si>
    <t>Hillbrand, Thomas, Erdbewegung • Grundlsee • Steiermark</t>
  </si>
  <si>
    <t>Erdbau • Hillbrand, Thomas, Gößl 201, Grundlsee • Kontakt über aktuelle Telefonnummern ☎ und Adressen ⚑ mit Karte, Routing, Öffnungszeiten, Homepage, E-Mail, vCard und Firmendaten.</t>
  </si>
  <si>
    <t>Gößl 201</t>
  </si>
  <si>
    <t>8993</t>
  </si>
  <si>
    <t>Grundlsee</t>
  </si>
  <si>
    <t>47.6399948</t>
  </si>
  <si>
    <t>13.9040072</t>
  </si>
  <si>
    <t>+436641522396</t>
  </si>
  <si>
    <t>jola.tom72@gmail.com</t>
  </si>
  <si>
    <t>https://bilder.dasschnelle.at/DasSchnelle/50/5000/9868/044359/I_044359_P_906009496_L_0036242764_1.png</t>
  </si>
  <si>
    <t>Hager Ing InstallationsgesmbH &amp; Co KG, Installationsunternehmen • Bad Ischl • Oberösterreich</t>
  </si>
  <si>
    <t>Installationsunternehmen • Hager Ing InstallationsgesmbH &amp; Co KG, Salzburger Straße 106, Bad Ischl • Kontakt über aktuelle Telefonnummern ☎ und Adressen ⚑ mit Karte, Routing, Öffnungszeiten, Homepage, E-Mail, vCard und Firmendaten.</t>
  </si>
  <si>
    <t>Salzburger Straße 106</t>
  </si>
  <si>
    <t>4820</t>
  </si>
  <si>
    <t>Bad Ischl</t>
  </si>
  <si>
    <t>47.71553</t>
  </si>
  <si>
    <t>13.56853</t>
  </si>
  <si>
    <t>+4361323030;+43613230310</t>
  </si>
  <si>
    <t>+43613230330</t>
  </si>
  <si>
    <t>office@hager-kg.at</t>
  </si>
  <si>
    <t>https://bilder.dasschnelle.at/DasSchnelle/50/5000/9868/041790/G_041790_P_906245838.adn.gif</t>
  </si>
  <si>
    <t>Zum Pfandl, Gasthäuser und Gasthöfe • Bad Ischl • Oberösterreich</t>
  </si>
  <si>
    <t>Gastgewerbe - Gasthöfe • Zum Pfandl, Salzburger Straße 101, Bad Ischl • Kontakt über aktuelle Telefonnummern ☎ und Adressen ⚑ mit Karte, Routing, Öffnungszeiten, Homepage, E-Mail, vCard und Firmendaten.</t>
  </si>
  <si>
    <t>Salzburger Straße 101</t>
  </si>
  <si>
    <t>47.71715</t>
  </si>
  <si>
    <t>13.59106</t>
  </si>
  <si>
    <t>+436132238750</t>
  </si>
  <si>
    <t>office@gasthof-pfandl.at</t>
  </si>
  <si>
    <t>https://bilder.dasschnelle.at/DasSchnelle/50/5000/9868/041790/G_041790_P_906249217.adn.gif</t>
  </si>
  <si>
    <t>Gruber, Madeleine, Kosmetik-Fußpflege • Bad Ischl • Oberösterreich</t>
  </si>
  <si>
    <t>Kosmetikstudios • Gruber, Madeleine, Hasnerallee 2, Bad Ischl • Kontakt über aktuelle Telefonnummern ☎ und Adressen ⚑ mit Karte, Routing, Öffnungszeiten, Homepage, E-Mail, vCard und Firmendaten.</t>
  </si>
  <si>
    <t>Hasnerallee 2</t>
  </si>
  <si>
    <t>47.7090715</t>
  </si>
  <si>
    <t>13.6173297</t>
  </si>
  <si>
    <t>+43613226376</t>
  </si>
  <si>
    <t>madl.gruber@gmail.com</t>
  </si>
  <si>
    <t>https://bilder.dasschnelle.at/DasSchnelle/50/5000/9868/041790/G_041790_P_906245164.adn.gif</t>
  </si>
  <si>
    <t>Schwarz, Wagendorffer &amp; Co, Elektrizitätswerk GmbH, Elektro • Bad Aussee • Steiermark</t>
  </si>
  <si>
    <t>Elektrizitätswerk • Schwarz, Wagendorffer &amp; Co, Elektrizitätswerk GmbH, Pratergasse 138, Bad Aussee • Kontakt über aktuelle Telefonnummern ☎ und Adressen ⚑ mit Karte, Routing, Öffnungszeiten, Homepage, E-Mail, vCard und Firmendaten.</t>
  </si>
  <si>
    <t>Pratergasse 138</t>
  </si>
  <si>
    <t>47.60717</t>
  </si>
  <si>
    <t>13.78528</t>
  </si>
  <si>
    <t>+433622520400;+4336225204021;+4336225204023;+4336225204026;+4336225204015</t>
  </si>
  <si>
    <t>+4336225204018</t>
  </si>
  <si>
    <t>office@ewerk.at</t>
  </si>
  <si>
    <t>https://bilder.dasschnelle.at/DasSchnelle/50/5000/9868/044351/I_044351_P_906009461_L_0036242861_1.png</t>
  </si>
  <si>
    <t>https://bilder.dasschnelle.at/DasSchnelle/50/5000/9868/044351/I_044351_P_906009461_B_0036242861_1.gal.png?height=700&amp;width=442;https://bilder.dasschnelle.at/DasSchnelle/50/5000/9868/044351/I_044351_P_906009461_B_0036242861_2.gal.png?height=783&amp;width=700;https://bilder.dasschnelle.at/DasSchnelle/50/5000/9868/044351/I_044351_P_906009461_B_0036242861_3.gal.png?height=700&amp;width=292;https://bilder.dasschnelle.at/DasSchnelle/50/5000/9868/044351/I_044351_P_906009461_B_0036242861_4.gal.png?height=456&amp;width=700;https://bilder.dasschnelle.at/DasSchnelle/50/5000/9868/044351/G_044351_P_906244476.adn.gif</t>
  </si>
  <si>
    <t>Höllwerth, Michael, Musikinstrumente u -zubehör • Goisern • Oberösterreich</t>
  </si>
  <si>
    <t>Musikinstrumente u. -zubehör • Höllwerth, Michael, Untere Marktstraße 9, Goisern • Kontakt über aktuelle Telefonnummern ☎ und Adressen ⚑ mit Karte, Routing, Öffnungszeiten, Homepage, E-Mail, vCard und Firmendaten.</t>
  </si>
  <si>
    <t>Untere Marktstraße 9</t>
  </si>
  <si>
    <t>47.64181</t>
  </si>
  <si>
    <t>13.61604</t>
  </si>
  <si>
    <t>+4361357044</t>
  </si>
  <si>
    <t>office@musikhaus-hoellwerth.at</t>
  </si>
  <si>
    <t>https://bilder.dasschnelle.at/DasSchnelle/50/5000/9868/041789/G_041789_P_906261748.adn.gif</t>
  </si>
  <si>
    <t>Mei-Lan, Chen, Restaurant • Bad Ischl • Oberösterreich</t>
  </si>
  <si>
    <t>Gastgewerbe - Gasthöfe • Mei-Lan, Chen, Rettenbachweg 1, Bad Ischl • Kontakt über aktuelle Telefonnummern ☎ und Adressen ⚑ mit Karte, Routing, Öffnungszeiten, Homepage, E-Mail, vCard und Firmendaten.</t>
  </si>
  <si>
    <t>Rettenbachweg 1</t>
  </si>
  <si>
    <t>47.71432</t>
  </si>
  <si>
    <t>13.62854</t>
  </si>
  <si>
    <t>+43613228063</t>
  </si>
  <si>
    <t>office@umeko.at</t>
  </si>
  <si>
    <t>https://bilder.dasschnelle.at/DasSchnelle/50/5000/9868/041790/G_041790_P_906245159.adn.gif</t>
  </si>
  <si>
    <t>Lichtenegger, Alfred, Glasereien • Bad Goisern • Oberösterreich</t>
  </si>
  <si>
    <t>Glasereien • Lichtenegger, Alfred, Untere Marktstraße 9, Bad Goisern • Kontakt über aktuelle Telefonnummern ☎ und Adressen ⚑ mit Karte, Routing, Öffnungszeiten, Homepage, E-Mail, vCard und Firmendaten.</t>
  </si>
  <si>
    <t>+4361356168;+436641806428</t>
  </si>
  <si>
    <t>+43613561684</t>
  </si>
  <si>
    <t>glas.lichtenegger@gmail.com</t>
  </si>
  <si>
    <t>https://bilder.dasschnelle.at/DasSchnelle/50/5000/9868/041789/G_041789_P_906246407.adn.gif</t>
  </si>
  <si>
    <t>Pölzleitner, Josef, Landtechnik • Bad Goisern am Hallstättersee • Oberösterreich</t>
  </si>
  <si>
    <t>Landtechnik • Pölzleitner, Josef, Josef-Putz-Straße 15, Bad Goisern am Hallstättersee • Kontakt über aktuelle Telefonnummern ☎ und Adressen ⚑ mit Karte, Routing, Öffnungszeiten, Homepage, E-Mail, vCard und Firmendaten.</t>
  </si>
  <si>
    <t>Josef-Putz-Straße 15</t>
  </si>
  <si>
    <t>Bad Goisern am Hallstättersee</t>
  </si>
  <si>
    <t>47.64321</t>
  </si>
  <si>
    <t>13.61847</t>
  </si>
  <si>
    <t>+436641809381</t>
  </si>
  <si>
    <t>ltp@aon.at</t>
  </si>
  <si>
    <t>https://bilder.dasschnelle.at/DasSchnelle/50/5000/9868/041789/G_041789_P_906245837.adn.gif</t>
  </si>
  <si>
    <t>Fashion Optik by Straubinger • Bad Ischl • Oberösterreich</t>
  </si>
  <si>
    <t>Optik • Fashion Optik by Straubinger, Kreuzplatz 6, Bad Ischl • Kontakt über aktuelle Telefonnummern ☎ und Adressen ⚑ mit Karte, Routing, Öffnungszeiten, Homepage, E-Mail, vCard und Firmendaten.</t>
  </si>
  <si>
    <t>Kreuzplatz 6</t>
  </si>
  <si>
    <t>47.71322</t>
  </si>
  <si>
    <t>13.62124</t>
  </si>
  <si>
    <t>+43613221988</t>
  </si>
  <si>
    <t>fashionoptik@a1.net</t>
  </si>
  <si>
    <t>https://bilder.dasschnelle.at/DasSchnelle/50/5000/9868/041790/G_041790_P_906245153.adn.gif</t>
  </si>
  <si>
    <t>Größwang, Roland, Mag., Rechtsanwalt • Bad Ischl • Oberösterreich</t>
  </si>
  <si>
    <t>Rechtsanwälte • Größwang, Roland, Mag., Pfarrgasse 5, Bad Ischl • Kontakt über aktuelle Telefonnummern ☎ und Adressen ⚑ mit Karte, Routing, Öffnungszeiten, Homepage, E-Mail, vCard und Firmendaten.</t>
  </si>
  <si>
    <t>Pfarrgasse 5</t>
  </si>
  <si>
    <t>47.71092</t>
  </si>
  <si>
    <t>13.62159</t>
  </si>
  <si>
    <t>+43613222677</t>
  </si>
  <si>
    <t>anwalt@groesswang.jetzt</t>
  </si>
  <si>
    <t>https://bilder.dasschnelle.at/DasSchnelle/50/5000/9868/041790/G_041790_P_906266663.adn.gif</t>
  </si>
  <si>
    <t>Chen, Yemao, Asia Restaurant • Bad Ischl • Oberösterreich</t>
  </si>
  <si>
    <t>Asia-Restaurants • Chen, Yemao, Salzburger Straße 82 /3, Bad Ischl • Kontakt über aktuelle Telefonnummern ☎ und Adressen ⚑ mit Karte, Routing, Öffnungszeiten, Homepage, E-Mail, vCard und Firmendaten.</t>
  </si>
  <si>
    <t>Salzburger Straße 82 /3</t>
  </si>
  <si>
    <t>47.71841</t>
  </si>
  <si>
    <t>13.59454</t>
  </si>
  <si>
    <t>+43613225345</t>
  </si>
  <si>
    <t>xianjinwu84@gmail.com</t>
  </si>
  <si>
    <t>https://bilder.dasschnelle.at/DasSchnelle/50/5000/9868/041790/G_041790_P_906249215.adn.gif</t>
  </si>
  <si>
    <t>Bau &amp; Möbeltischlerei Kasbichler • St. Wolfgang im Salzkammergut • Oberösterreich</t>
  </si>
  <si>
    <t>Tischlereien • Bau &amp; Möbeltischlerei Kasbichler, Schwarzenbach 3, St. Wolfgang im Salzkammergut • Kontakt über aktuelle Telefonnummern ☎ und Adressen ⚑ mit Karte, Routing, Öffnungszeiten, Homepage, E-Mail, vCard und Firmendaten.</t>
  </si>
  <si>
    <t>Schwarzenbach 3</t>
  </si>
  <si>
    <t>47.7307283</t>
  </si>
  <si>
    <t>13.4814402</t>
  </si>
  <si>
    <t>+436643487523</t>
  </si>
  <si>
    <t>g.appesbacher@gmx.at</t>
  </si>
  <si>
    <t>https://bilder.dasschnelle.at/DasSchnelle/50/5000/9868/041804/G_041804_P_906261736.adn.gif</t>
  </si>
  <si>
    <t>Cassel, Alexandra, Pizzeria Romana, Pizzeria • Bad Goisern am Hallstättersee • Oberösterreich</t>
  </si>
  <si>
    <t>Pizzerias • Cassel, Alexandra, Pizzeria Romana, Kirchengasse 8, Bad Goisern am Hallstättersee • Kontakt über aktuelle Telefonnummern ☎ und Adressen ⚑ mit Karte, Routing, Öffnungszeiten, Homepage, E-Mail, vCard und Firmendaten.</t>
  </si>
  <si>
    <t>Kirchengasse 8</t>
  </si>
  <si>
    <t>47.64273</t>
  </si>
  <si>
    <t>13.61671</t>
  </si>
  <si>
    <t>+4361358252</t>
  </si>
  <si>
    <t>alexcassel@aon.at</t>
  </si>
  <si>
    <t>https://bilder.dasschnelle.at/DasSchnelle/50/5000/9868/041789/G_041789_P_906246411.adn.gif</t>
  </si>
  <si>
    <t>Lindenthaler, Markus, Küchenkastl, Haushaltsartikel • Bad Ischl • Oberösterreich</t>
  </si>
  <si>
    <t>Haushaltsartikel • Lindenthaler, Markus, Küchenkastl, Kaiser-Franz-Josef-Straße 11, Bad Ischl • Kontakt über aktuelle Telefonnummern ☎ und Adressen ⚑ mit Karte, Routing, Öffnungszeiten, Homepage, E-Mail, vCard und Firmendaten.</t>
  </si>
  <si>
    <t>Kaiser-Franz-Josef-Straße 11</t>
  </si>
  <si>
    <t>47.71365</t>
  </si>
  <si>
    <t>13.6226</t>
  </si>
  <si>
    <t>+4366475024152;+43613222625;+4366475024150</t>
  </si>
  <si>
    <t>shop@kuechenkastl.at</t>
  </si>
  <si>
    <t>https://bilder.dasschnelle.at/DasSchnelle/50/5000/9868/041790/G_041790_P_906245167.adn.gif</t>
  </si>
  <si>
    <t>Gusenleitner, Gerhard, Malerei u Anstrich • Strobl • Salzburg</t>
  </si>
  <si>
    <t>Malereibetriebe • Gusenleitner, Gerhard, Eisenstraße 222, Strobl • Kontakt über aktuelle Telefonnummern ☎ und Adressen ⚑ mit Karte, Routing, Öffnungszeiten, Homepage, E-Mail, vCard und Firmendaten.</t>
  </si>
  <si>
    <t>Eisenstraße 222</t>
  </si>
  <si>
    <t>5350</t>
  </si>
  <si>
    <t>Strobl</t>
  </si>
  <si>
    <t>47.71503</t>
  </si>
  <si>
    <t>13.48369</t>
  </si>
  <si>
    <t>+43613773270</t>
  </si>
  <si>
    <t>malerei.gusenleitner@cablelink.at</t>
  </si>
  <si>
    <t>https://bilder.dasschnelle.at/DasSchnelle/50/5000/9868/043330/G_043330_P_906242046.adn.gif</t>
  </si>
  <si>
    <t>Pomberger, Peter, Tischlerei • Bad Goisern • Oberösterreich</t>
  </si>
  <si>
    <t>Tischlereien • Pomberger, Peter, Pichlern 11, Bad Goisern • Kontakt über aktuelle Telefonnummern ☎ und Adressen ⚑ mit Karte, Routing, Öffnungszeiten, Homepage, E-Mail, vCard und Firmendaten.</t>
  </si>
  <si>
    <t>Pichlern 11</t>
  </si>
  <si>
    <t>47.6403750</t>
  </si>
  <si>
    <t>13.6640600</t>
  </si>
  <si>
    <t>+436641117899</t>
  </si>
  <si>
    <t>office@tischlerei-pomberger.at</t>
  </si>
  <si>
    <t>https://bilder.dasschnelle.at/DasSchnelle/50/5000/9868/041789/G_041789_P_906242160.adn.gif</t>
  </si>
  <si>
    <t>Hippesroither Glaserei vorm Alois Stadler GesmbH &amp; Co KG, Glasereien • Bad Ischl • Oberösterreich</t>
  </si>
  <si>
    <t>Glasereien • Hippesroither Glaserei vorm Alois Stadler GesmbH &amp; Co KG, Auböckplatz 6, Bad Ischl • Kontakt über aktuelle Telefonnummern ☎ und Adressen ⚑ mit Karte, Routing, Öffnungszeiten, Homepage, E-Mail, vCard und Firmendaten.</t>
  </si>
  <si>
    <t>Auböckplatz 6</t>
  </si>
  <si>
    <t>47.7112</t>
  </si>
  <si>
    <t>13.62426</t>
  </si>
  <si>
    <t>+43613226533</t>
  </si>
  <si>
    <t>office@glas-hippesroither.com</t>
  </si>
  <si>
    <t>https://bilder.dasschnelle.at/DasSchnelle/50/5000/9868/041790/G_041790_P_906257677.adn.gif</t>
  </si>
  <si>
    <t>Unterberger, Christina, Friseur • Bad Goisern am Hallstättersee • Oberösterreich</t>
  </si>
  <si>
    <t>Friseure • Unterberger, Christina, Weißenbach 96, Bad Goisern am Hallstättersee • Kontakt über aktuelle Telefonnummern ☎ und Adressen ⚑ mit Karte, Routing, Öffnungszeiten, Homepage, E-Mail, vCard und Firmendaten.</t>
  </si>
  <si>
    <t>Weißenbach 96</t>
  </si>
  <si>
    <t>47.6666546</t>
  </si>
  <si>
    <t>13.6044006</t>
  </si>
  <si>
    <t>+436645422864</t>
  </si>
  <si>
    <t>office@friseurstudio-cu.at</t>
  </si>
  <si>
    <t>https://bilder.dasschnelle.at/DasSchnelle/50/5000/9868/041789/G_041789_P_906246403.adn.gif</t>
  </si>
  <si>
    <t>Puttinger, Christian, Dr.med., Frauenheilkunde • Bad Ischl • Oberösterreich</t>
  </si>
  <si>
    <t>Ärzte / Fachärzte f. Frauenheilkunde u. Geburtshilfe • Puttinger, Christian, Dr.med., Pfarrgasse 9, Bad Ischl • Kontakt über aktuelle Telefonnummern ☎ und Adressen ⚑ mit Karte, Routing, Öffnungszeiten, Homepage, E-Mail, vCard und Firmendaten.</t>
  </si>
  <si>
    <t>Pfarrgasse 9</t>
  </si>
  <si>
    <t>47.71118</t>
  </si>
  <si>
    <t>13.6218</t>
  </si>
  <si>
    <t>+436642304882</t>
  </si>
  <si>
    <t>ordination@drputtinger.at</t>
  </si>
  <si>
    <t>https://bilder.dasschnelle.at/DasSchnelle/50/5000/9868/041790/G_041790_P_906268557.adn.gif</t>
  </si>
  <si>
    <t>Agathawirt Landhotel • Bad Goisern • Oberösterreich</t>
  </si>
  <si>
    <t>Gastronomiebetriebe, Hotels • Agathawirt Landhotel, Sankt Agatha 10, Bad Goisern • Kontakt über aktuelle Telefonnummern ☎ und Adressen ⚑ mit Karte, Routing, Öffnungszeiten, Homepage, E-Mail, vCard und Firmendaten.</t>
  </si>
  <si>
    <t>Sankt Agatha 10</t>
  </si>
  <si>
    <t>47.6239253</t>
  </si>
  <si>
    <t>13.6443795</t>
  </si>
  <si>
    <t>+4361358341</t>
  </si>
  <si>
    <t>+4361357557</t>
  </si>
  <si>
    <t>office@agathawirt.at</t>
  </si>
  <si>
    <t>https://bilder.dasschnelle.at/DasSchnelle/50/5000/9868/041789/G_041789_P_906246118.adn.gif</t>
  </si>
  <si>
    <t>Gasperl, Andreas, Tischlerei • Grundlsee • Steiermark</t>
  </si>
  <si>
    <t>Tischlereien • Gasperl, Andreas, Untertressen 15, Grundlsee • Kontakt über aktuelle Telefonnummern ☎ und Adressen ⚑ mit Karte, Routing, Öffnungszeiten, Homepage, E-Mail, vCard und Firmendaten.</t>
  </si>
  <si>
    <t>Untertressen 15</t>
  </si>
  <si>
    <t>47.6223710</t>
  </si>
  <si>
    <t>13.8014071</t>
  </si>
  <si>
    <t>+436602118766</t>
  </si>
  <si>
    <t>andreas.gasperl@gmail.com</t>
  </si>
  <si>
    <t>https://bilder.dasschnelle.at/DasSchnelle/50/5000/9868/044359/G_044359_P_906249214.adn.gif</t>
  </si>
  <si>
    <t>Helm, Josef, Tapeziermeister • St. Wolfgang im Salzkammergut • Oberösterreich</t>
  </si>
  <si>
    <t>Raumausstatter • Helm, Josef, Markt 176, St. Wolfgang im Salzkammergut • Kontakt über aktuelle Telefonnummern ☎ und Adressen ⚑ mit Karte, Routing, Öffnungszeiten, Homepage, E-Mail, vCard und Firmendaten.</t>
  </si>
  <si>
    <t>Markt 176</t>
  </si>
  <si>
    <t>47.739</t>
  </si>
  <si>
    <t>13.44747</t>
  </si>
  <si>
    <t>+4361382229</t>
  </si>
  <si>
    <t>+43613822294</t>
  </si>
  <si>
    <t>firma.helm@aon.at</t>
  </si>
  <si>
    <t>https://bilder.dasschnelle.at/DasSchnelle/50/5000/9868/041804/G_041804_P_906257124.adn.gif</t>
  </si>
  <si>
    <t>Anna Maria Riedl Erdbau - Transporte - Taxi - Mietwagen • Strobl • Salzburg</t>
  </si>
  <si>
    <t>Erdbau, Transportunternehmen • Anna Maria Riedl Erdbau - Transporte - Taxi - Mietwagen, Alte Bundesstr. 9, Strobl • Kontakt über aktuelle Telefonnummern ☎ und Adressen ⚑ mit Karte, Routing, Öffnungszeiten, Homepage, E-Mail, vCard und Firmendaten.</t>
  </si>
  <si>
    <t>Alte Bundesstr. 9</t>
  </si>
  <si>
    <t>47.71308</t>
  </si>
  <si>
    <t>13.49951</t>
  </si>
  <si>
    <t>+4361377367</t>
  </si>
  <si>
    <t>https://bilder.dasschnelle.at/DasSchnelle/50/5000/9868/043330/G_043330_P_906257682.adn.gif</t>
  </si>
  <si>
    <t>Autohaus Limberger GmbH • Bad Goisern am Hallstättersee • Oberösterreich</t>
  </si>
  <si>
    <t>Autohandel • Autohaus Limberger GmbH, Obere Marktstraße 25, Bad Goisern am Hallstättersee • Kontakt über aktuelle Telefonnummern ☎ und Adressen ⚑ mit Karte, Routing, Öffnungszeiten, Homepage, E-Mail, vCard und Firmendaten.</t>
  </si>
  <si>
    <t>Obere Marktstraße 25</t>
  </si>
  <si>
    <t>47.63751</t>
  </si>
  <si>
    <t>13.61874</t>
  </si>
  <si>
    <t>+4361358603;+436646325122;+436649230707</t>
  </si>
  <si>
    <t>sabine@limberger.at</t>
  </si>
  <si>
    <t>https://bilder.dasschnelle.at/DasSchnelle/50/5000/9868/041789/G_041789_P_906242157.adn.gif</t>
  </si>
  <si>
    <t>TAXI Rastl • Obertraun • Oberösterreich</t>
  </si>
  <si>
    <t>Taxi • TAXI Rastl, Obertraun 70, Obertraun • Kontakt über aktuelle Telefonnummern ☎ und Adressen ⚑ mit Karte, Routing, Öffnungszeiten, Homepage, E-Mail, vCard und Firmendaten.</t>
  </si>
  <si>
    <t>Obertraun 70</t>
  </si>
  <si>
    <t>4831</t>
  </si>
  <si>
    <t>Obertraun</t>
  </si>
  <si>
    <t>47.5570899</t>
  </si>
  <si>
    <t>13.6886393</t>
  </si>
  <si>
    <t>+4369911754852</t>
  </si>
  <si>
    <t>office@rastl.co.at</t>
  </si>
  <si>
    <t>https://bilder.dasschnelle.at/DasSchnelle/50/5000/9868/041799/G_041799_P_906249953.adn.gif</t>
  </si>
  <si>
    <t>Haas, Richard, Holzmarkt-Sägewerk • Bad Aussee • Steiermark</t>
  </si>
  <si>
    <t>Baustoffhandel, Holzfachmärkte • Haas, Richard, Grundlseer Straße 11, Bad Aussee • Kontakt über aktuelle Telefonnummern ☎ und Adressen ⚑ mit Karte, Routing, Öffnungszeiten, Homepage, E-Mail, vCard und Firmendaten.</t>
  </si>
  <si>
    <t>Grundlseer Straße 11</t>
  </si>
  <si>
    <t>47.61833</t>
  </si>
  <si>
    <t>13.81953</t>
  </si>
  <si>
    <t>+43362252357</t>
  </si>
  <si>
    <t>+433622523574</t>
  </si>
  <si>
    <t>richard.haas@aon.at</t>
  </si>
  <si>
    <t>https://bilder.dasschnelle.at/DasSchnelle/50/5000/9868/044351/G_044351_P_906261127.adn.gif</t>
  </si>
  <si>
    <t>Föttinger-Girbl, Petra, Osteopathin • Strobl • Salzburg</t>
  </si>
  <si>
    <t>Osteopathie • Föttinger-Girbl, Petra, Eisenstraße 95, Strobl • Kontakt über aktuelle Telefonnummern ☎ und Adressen ⚑ mit Karte, Routing, Öffnungszeiten, Homepage, E-Mail, vCard und Firmendaten.</t>
  </si>
  <si>
    <t>Eisenstraße 95</t>
  </si>
  <si>
    <t>47.71618</t>
  </si>
  <si>
    <t>13.48111</t>
  </si>
  <si>
    <t>+436649255179</t>
  </si>
  <si>
    <t>petra.foettinger@aon.at</t>
  </si>
  <si>
    <t>https://bilder.dasschnelle.at/DasSchnelle/50/5000/9868/043330/G_043330_P_906218275.adn.gif</t>
  </si>
  <si>
    <t>Stollnberger, Thomas, Tapezierer u Raumausstatter • Bad Ischl • Oberösterreich</t>
  </si>
  <si>
    <t>Raumausstatter • Stollnberger, Thomas, Herrengasse 6, Bad Ischl • Kontakt über aktuelle Telefonnummern ☎ und Adressen ⚑ mit Karte, Routing, Öffnungszeiten, Homepage, E-Mail, vCard und Firmendaten.</t>
  </si>
  <si>
    <t>Herrengasse 6</t>
  </si>
  <si>
    <t>47.7130900</t>
  </si>
  <si>
    <t>13.6190100</t>
  </si>
  <si>
    <t>+43613223869</t>
  </si>
  <si>
    <t>+43613226786</t>
  </si>
  <si>
    <t>raum@stollnberger.at</t>
  </si>
  <si>
    <t>https://bilder.dasschnelle.at/DasSchnelle/50/5000/9868/041790/G_041790_P_906245165.adn.gif</t>
  </si>
  <si>
    <t>Eissalon Giovanni • Bad Ischl • Oberösterreich</t>
  </si>
  <si>
    <t>Eissalons • Eissalon Giovanni, Holzrechengasse 5, Bad Ischl • Kontakt über aktuelle Telefonnummern ☎ und Adressen ⚑ mit Karte, Routing, Öffnungszeiten, Homepage, E-Mail, vCard und Firmendaten.</t>
  </si>
  <si>
    <t>Holzrechengasse 5</t>
  </si>
  <si>
    <t>47.71395</t>
  </si>
  <si>
    <t>13.61901</t>
  </si>
  <si>
    <t>+43613223976</t>
  </si>
  <si>
    <t>+436132239764</t>
  </si>
  <si>
    <t>office@eis-giovanni.at</t>
  </si>
  <si>
    <t>https://bilder.dasschnelle.at/DasSchnelle/50/5000/9868/041790/G_041790_P_906263337.adn.gif</t>
  </si>
  <si>
    <t>Goja, Gabriele, Dr., Notar • Bad Ischl • Oberösterreich</t>
  </si>
  <si>
    <t>Notare • Goja, Gabriele, Dr., Pfarrgasse 5 /II, Bad Ischl • Kontakt über aktuelle Telefonnummern ☎ und Adressen ⚑ mit Karte, Routing, Öffnungszeiten, Homepage, E-Mail, vCard und Firmendaten.</t>
  </si>
  <si>
    <t>Pfarrgasse 5 /II</t>
  </si>
  <si>
    <t>+436132234870</t>
  </si>
  <si>
    <t>office.goja@notar-goja.at</t>
  </si>
  <si>
    <t>https://bilder.dasschnelle.at/DasSchnelle/50/5000/9868/041790/I_041790_P_906017279_L_0036250650_1.png</t>
  </si>
  <si>
    <t>https://bilder.dasschnelle.at/DasSchnelle/50/5000/9868/041790/I_041790_P_906017279_B_0036250650_1.gal.png?height=180&amp;width=360;https://bilder.dasschnelle.at/DasSchnelle/50/5000/9868/041790/I_041790_P_906017279_B_0036250650_2.gal.png?height=300&amp;width=600;https://bilder.dasschnelle.at/DasSchnelle/50/5000/9868/041790/I_041790_P_906017279_B_0036250650_3.gal.png?height=300&amp;width=600;https://bilder.dasschnelle.at/DasSchnelle/50/5000/9868/041790/I_041790_P_906017279_B_0036250650_4.gal.png?height=180&amp;width=360</t>
  </si>
  <si>
    <t>Krebber, Ansgar, Venen- u. Gesundheitszentrum, Dr., FA f Chirurgie • Bad Aussee • Steiermark</t>
  </si>
  <si>
    <t>Ärzte / Fachärzte f. Chirurgie • Krebber, Ansgar, Venen- u. Gesundheitszentrum, Dr., Altausseerstr. 356, Bad Aussee • Kontakt über aktuelle Telefonnummern ☎ und Adressen ⚑ mit Karte, Routing, Öffnungszeiten, Homepage, E-Mail, vCard und Firmendaten.</t>
  </si>
  <si>
    <t>Altausseerstr. 356</t>
  </si>
  <si>
    <t>47.4758111</t>
  </si>
  <si>
    <t>14.0195865</t>
  </si>
  <si>
    <t>+4369910489809</t>
  </si>
  <si>
    <t>krebber@aol.com</t>
  </si>
  <si>
    <t>https://bilder.dasschnelle.at/DasSchnelle/50/5000/9868/044351/G_044351_P_906230702.adn.gif</t>
  </si>
  <si>
    <t>Haarstudio Hedi, Friseur • Strobl • Salzburg</t>
  </si>
  <si>
    <t>Friseure, Haarinstitute • Haarstudio Hedi, Dr. Adalbert-Lederer-Allee 233, Strobl • Kontakt über aktuelle Telefonnummern ☎ und Adressen ⚑ mit Karte, Routing, Öffnungszeiten, Homepage, E-Mail, vCard und Firmendaten.</t>
  </si>
  <si>
    <t>Dr. Adalbert-Lederer-Allee 233</t>
  </si>
  <si>
    <t>47.71706</t>
  </si>
  <si>
    <t>13.48199</t>
  </si>
  <si>
    <t>+4361375962</t>
  </si>
  <si>
    <t>https://bilder.dasschnelle.at/DasSchnelle/50/5000/9868/043330/G_043330_P_906249960.adn.gif</t>
  </si>
  <si>
    <t>Preßl, Brigitte, Blumen • Altaussee • Steiermark</t>
  </si>
  <si>
    <t>Blumenhandel • Preßl, Brigitte, Altaussee 48, Altaussee • Kontakt über aktuelle Telefonnummern ☎ und Adressen ⚑ mit Karte, Routing, Öffnungszeiten, Homepage, E-Mail, vCard und Firmendaten.</t>
  </si>
  <si>
    <t>Altaussee 48</t>
  </si>
  <si>
    <t>8992</t>
  </si>
  <si>
    <t>Altaussee</t>
  </si>
  <si>
    <t>47.6394808</t>
  </si>
  <si>
    <t>13.7634497</t>
  </si>
  <si>
    <t>+43362271096</t>
  </si>
  <si>
    <t>blumeneck.pressl@gmail.com</t>
  </si>
  <si>
    <t>https://bilder.dasschnelle.at/DasSchnelle/50/5000/9868/044348/G_044348_P_906243495.adn.gif</t>
  </si>
  <si>
    <t>Hinterer Alois Metallbau GesmbH, Bau- u Portalschlosserei • Bad Ischl • Oberösterreich</t>
  </si>
  <si>
    <t>Metallbau • Hinterer Alois Metallbau GesmbH, Salzburger Straße 109, Bad Ischl • Kontakt über aktuelle Telefonnummern ☎ und Adressen ⚑ mit Karte, Routing, Öffnungszeiten, Homepage, E-Mail, vCard und Firmendaten.</t>
  </si>
  <si>
    <t>Salzburger Straße 109</t>
  </si>
  <si>
    <t>+436132235800</t>
  </si>
  <si>
    <t>+4361322797420</t>
  </si>
  <si>
    <t>office@metallbau-hinterer.at</t>
  </si>
  <si>
    <t>https://bilder.dasschnelle.at/DasSchnelle/50/5000/9868/041790/G_041790_P_906245174.adn.gif</t>
  </si>
  <si>
    <t>Hu Zimmerei Gmbh • Bad Goisern am Hallstättersee • Oberösterreich</t>
  </si>
  <si>
    <t>Zimmereien • Hu Zimmerei Gmbh, St. Agatha 118, Bad Goisern am Hallstättersee • Kontakt über aktuelle Telefonnummern ☎ und Adressen ⚑ mit Karte, Routing, Öffnungszeiten, Homepage, E-Mail, vCard und Firmendaten.</t>
  </si>
  <si>
    <t>St. Agatha 118</t>
  </si>
  <si>
    <t>47.6188203</t>
  </si>
  <si>
    <t>13.6417093</t>
  </si>
  <si>
    <t>+436135205520</t>
  </si>
  <si>
    <t>info@hu-zimmerei.at</t>
  </si>
  <si>
    <t>https://bilder.dasschnelle.at/DasSchnelle/50/5000/9868/041789/G_041789_P_906246413.adn.gif</t>
  </si>
  <si>
    <t>Kreßl, Hannes, Gaststätte • Gosau • Oberösterreich</t>
  </si>
  <si>
    <t>Gastgewerbe - Gasthöfe • Kreßl, Hannes, Gosauseestraße 80, Gosau • Kontakt über aktuelle Telefonnummern ☎ und Adressen ⚑ mit Karte, Routing, Öffnungszeiten, Homepage, E-Mail, vCard und Firmendaten.</t>
  </si>
  <si>
    <t>Gosauseestraße 80</t>
  </si>
  <si>
    <t>4824</t>
  </si>
  <si>
    <t>Gosau</t>
  </si>
  <si>
    <t>47.5841313</t>
  </si>
  <si>
    <t>13.5308669</t>
  </si>
  <si>
    <t>+4369912581752</t>
  </si>
  <si>
    <t>zeishof@aon.at</t>
  </si>
  <si>
    <t>Skischule Haim Büro, Ski- und Snowboardschule • Altaussee • Steiermark</t>
  </si>
  <si>
    <t>Schischulen • Skischule Haim Büro, Lichtersberg 83, Altaussee • Kontakt über aktuelle Telefonnummern ☎ und Adressen ⚑ mit Karte, Routing, Öffnungszeiten, Homepage, E-Mail, vCard und Firmendaten.</t>
  </si>
  <si>
    <t>Lichtersberg 83</t>
  </si>
  <si>
    <t>47.6612998</t>
  </si>
  <si>
    <t>13.7470671</t>
  </si>
  <si>
    <t>+43362271948</t>
  </si>
  <si>
    <t>haimschi@aon.at</t>
  </si>
  <si>
    <t>https://bilder.dasschnelle.at/DasSchnelle/50/5000/9868/044348/I_044348_P_906039080_L_0038374180_1.png</t>
  </si>
  <si>
    <t>https://bilder.dasschnelle.at/DasSchnelle/50/5000/9868/044348/I_044348_P_906039080_B_0038374180_1.gal.png?height=221&amp;width=400;https://bilder.dasschnelle.at/DasSchnelle/50/5000/9868/044348/I_044348_P_906039080_B_0038374180_2.gal.png?height=300&amp;width=400;https://bilder.dasschnelle.at/DasSchnelle/50/5000/9868/044348/I_044348_P_906039080_B_0038374180_3.gal.png?height=300&amp;width=400;https://bilder.dasschnelle.at/DasSchnelle/50/5000/9868/044348/I_044348_P_906039080_B_0038374180_4.gal.png?height=300&amp;width=400</t>
  </si>
  <si>
    <t>Pick Up Autozubehör &amp; Ersatzteile GmbH, KFZ-Handel u Ersatzteile • Bad Goisern • Oberösterreich</t>
  </si>
  <si>
    <t>Autoersatzteile u. -zubehör • Pick Up Autozubehör &amp; Ersatzteile GmbH, Gärtnerstraße 5, Bad Goisern • Kontakt über aktuelle Telefonnummern ☎ und Adressen ⚑ mit Karte, Routing, Öffnungszeiten, Homepage, E-Mail, vCard und Firmendaten.</t>
  </si>
  <si>
    <t>Gärtnerstraße 5</t>
  </si>
  <si>
    <t>47.64668</t>
  </si>
  <si>
    <t>13.61582</t>
  </si>
  <si>
    <t>+4361358939</t>
  </si>
  <si>
    <t>office@pickup-goisern.at</t>
  </si>
  <si>
    <t>https://bilder.dasschnelle.at/DasSchnelle/50/5000/9868/041789/G_041789_P_906242155.adn.gif</t>
  </si>
  <si>
    <t>Schüller kfz service • St. Wolfgang im Salzkammergut • Oberösterreich</t>
  </si>
  <si>
    <t>Autoreparaturen • Schüller kfz service, Schwarzenbach 76, St. Wolfgang im Salzkammergut • Kontakt über aktuelle Telefonnummern ☎ und Adressen ⚑ mit Karte, Routing, Öffnungszeiten, Homepage, E-Mail, vCard und Firmendaten.</t>
  </si>
  <si>
    <t>Schwarzenbach 76</t>
  </si>
  <si>
    <t>47.7250018</t>
  </si>
  <si>
    <t>13.4954079</t>
  </si>
  <si>
    <t>+436644016787</t>
  </si>
  <si>
    <t>office@kfz-schueller.at</t>
  </si>
  <si>
    <t>https://bilder.dasschnelle.at/DasSchnelle/50/5000/9868/041804/G_041804_P_906242045.adn.gif</t>
  </si>
  <si>
    <t>Kranabitl, Christof, Physiotherapeut • Bad Ischl • Oberösterreich</t>
  </si>
  <si>
    <t>Physiotherapie • Kranabitl, Christof, Lindaustraße 28, Bad Ischl • Kontakt über aktuelle Telefonnummern ☎ und Adressen ⚑ mit Karte, Routing, Öffnungszeiten, Homepage, E-Mail, vCard und Firmendaten.</t>
  </si>
  <si>
    <t>Lindaustraße 28</t>
  </si>
  <si>
    <t>47.69107</t>
  </si>
  <si>
    <t>13.64648</t>
  </si>
  <si>
    <t>+4369981267956</t>
  </si>
  <si>
    <t>therapie@schmerz-los.net</t>
  </si>
  <si>
    <t>https://bilder.dasschnelle.at/DasSchnelle/50/5000/9868/041790/G_041790_P_906249209.adn.gif</t>
  </si>
  <si>
    <t>Schwaighofer, Hans, Autohaus • Rußbach am Paß Gschütt • Salzburg</t>
  </si>
  <si>
    <t>Abschleppdienste • Schwaighofer, Hans, Schattau 70, Rußbach am Paß Gschütt • Kontakt über aktuelle Telefonnummern ☎ und Adressen ⚑ mit Karte, Routing, Öffnungszeiten, Homepage, E-Mail, vCard und Firmendaten.</t>
  </si>
  <si>
    <t>Schattau 70</t>
  </si>
  <si>
    <t>5442</t>
  </si>
  <si>
    <t>Rußbach am Paß Gschütt</t>
  </si>
  <si>
    <t>47.5891118</t>
  </si>
  <si>
    <t>13.4641191</t>
  </si>
  <si>
    <t>+436242204</t>
  </si>
  <si>
    <t>office@auto-schwaighofer.at</t>
  </si>
  <si>
    <t>https://bilder.dasschnelle.at/DasSchnelle/50/5000/9868/061452/G_061452_P_906261747.adn.gif</t>
  </si>
  <si>
    <t>Zwetti, Robert, TAXI Zwetti, Taxi • Bad Aussee • Steiermark</t>
  </si>
  <si>
    <t>Taxi • Zwetti, Robert, TAXI Zwetti, Waldbühelstraße 137, Bad Aussee • Kontakt über aktuelle Telefonnummern ☎ und Adressen ⚑ mit Karte, Routing, Öffnungszeiten, Homepage, E-Mail, vCard und Firmendaten.</t>
  </si>
  <si>
    <t>Waldbühelstraße 137</t>
  </si>
  <si>
    <t>47.59744</t>
  </si>
  <si>
    <t>13.79041</t>
  </si>
  <si>
    <t>+436763622600</t>
  </si>
  <si>
    <t>zwetti@aon.at</t>
  </si>
  <si>
    <t>https://bilder.dasschnelle.at/DasSchnelle/50/5000/9868/044351/G_044351_P_906261737.adn.gif</t>
  </si>
  <si>
    <t>Gmeiner, Birgit, Friseur • Bad Ischl • Oberösterreich</t>
  </si>
  <si>
    <t>Friseure, Kosmetikstudios • Gmeiner, Birgit, Kreuzplatz 22, Bad Ischl • Kontakt über aktuelle Telefonnummern ☎ und Adressen ⚑ mit Karte, Routing, Öffnungszeiten, Homepage, E-Mail, vCard und Firmendaten.</t>
  </si>
  <si>
    <t>Kreuzplatz 22</t>
  </si>
  <si>
    <t>47.71291</t>
  </si>
  <si>
    <t>13.62111</t>
  </si>
  <si>
    <t>+43613223654</t>
  </si>
  <si>
    <t>frisuren@birgit-gmeiner.at</t>
  </si>
  <si>
    <t>https://bilder.dasschnelle.at/DasSchnelle/50/5000/9868/041790/G_041790_P_906261742.adn.gif</t>
  </si>
  <si>
    <t>Stadler, Melissa, Beauty Eck, Kosmetik • St. Wolfgang im Salzkammergut • Oberösterreich</t>
  </si>
  <si>
    <t>Kosmetik • Stadler, Melissa, Beauty Eck, Sternallee 141, St. Wolfgang im Salzkammergut • Kontakt über aktuelle Telefonnummern ☎ und Adressen ⚑ mit Karte, Routing, Öffnungszeiten, Homepage, E-Mail, vCard und Firmendaten.</t>
  </si>
  <si>
    <t>Sternallee 141</t>
  </si>
  <si>
    <t>47.7406089</t>
  </si>
  <si>
    <t>13.4428191</t>
  </si>
  <si>
    <t>+4367762027090</t>
  </si>
  <si>
    <t>office@beauty-eck.at</t>
  </si>
  <si>
    <t>https://bilder.dasschnelle.at/DasSchnelle/50/5000/9868/041804/G_041804_P_906257681.adn.gif</t>
  </si>
  <si>
    <t>Reindl, Heinrich, Raumausstattung • Sankt Gilgen • Salzburg</t>
  </si>
  <si>
    <t>Raumausstatter • Reindl, Heinrich, Ischlerstraße 6, Sankt Gilgen • Kontakt über aktuelle Telefonnummern ☎ und Adressen ⚑ mit Karte, Routing, Öffnungszeiten, Homepage, E-Mail, vCard und Firmendaten.</t>
  </si>
  <si>
    <t>Ischlerstraße 6</t>
  </si>
  <si>
    <t>47.76632</t>
  </si>
  <si>
    <t>13.36726</t>
  </si>
  <si>
    <t>+4362272410</t>
  </si>
  <si>
    <t>office@raumausstattung-reindl.at</t>
  </si>
  <si>
    <t>https://bilder.dasschnelle.at/DasSchnelle/50/5000/9868/043326/G_043326_P_906245162.adn.gif</t>
  </si>
  <si>
    <t>Stadler GesmbH u Co KG, Erdbau • St. Wolfgang im Salzkammergut • Oberösterreich</t>
  </si>
  <si>
    <t>Transportunternehmen • Stadler GesmbH u Co KG, Au 87, St. Wolfgang im Salzkammergut • Kontakt über aktuelle Telefonnummern ☎ und Adressen ⚑ mit Karte, Routing, Öffnungszeiten, Homepage, E-Mail, vCard und Firmendaten.</t>
  </si>
  <si>
    <t>Au 87</t>
  </si>
  <si>
    <t>47.7379250</t>
  </si>
  <si>
    <t>13.4507659</t>
  </si>
  <si>
    <t>+436641632820</t>
  </si>
  <si>
    <t>+43613822884</t>
  </si>
  <si>
    <t>office@stadler-kies.at</t>
  </si>
  <si>
    <t>https://bilder.dasschnelle.at/DasSchnelle/50/5000/9868/041804/I_041804_P_906005406_L_0036177361_1.png</t>
  </si>
  <si>
    <t>https://bilder.dasschnelle.at/DasSchnelle/50/5000/9868/041804/I_041804_P_906005406_B_0036177361_1.gal.png?height=194&amp;width=259;https://bilder.dasschnelle.at/DasSchnelle/50/5000/9868/041804/I_041804_P_906005406_B_0036177361_2.gal.png?height=190&amp;width=266;https://bilder.dasschnelle.at/DasSchnelle/50/5000/9868/041804/I_041804_P_906005406_B_0036177361_3.gal.png?height=120&amp;width=419;https://bilder.dasschnelle.at/DasSchnelle/50/5000/9868/041804/I_041804_P_906005406_B_0036177361_4.gal.png?height=195&amp;width=240;https://bilder.dasschnelle.at/DasSchnelle/50/5000/9868/041804/G_041804_P_906240605.adn.gif</t>
  </si>
  <si>
    <t>Reichl, Wolfgang, KFZ • St. Wolfgang im Salzkammergut • Oberösterreich</t>
  </si>
  <si>
    <t>Autohandel • Reichl, Wolfgang, Schwarzenbach 74, St. Wolfgang im Salzkammergut • Kontakt über aktuelle Telefonnummern ☎ und Adressen ⚑ mit Karte, Routing, Öffnungszeiten, Homepage, E-Mail, vCard und Firmendaten.</t>
  </si>
  <si>
    <t>Schwarzenbach 74</t>
  </si>
  <si>
    <t>47.7351180</t>
  </si>
  <si>
    <t>13.4621694</t>
  </si>
  <si>
    <t>+436644079957</t>
  </si>
  <si>
    <t>werkstatt@kfz-service-reichl.at</t>
  </si>
  <si>
    <t>https://bilder.dasschnelle.at/DasSchnelle/50/5000/9868/041804/G_041804_P_906242044.adn.gif</t>
  </si>
  <si>
    <t>Van der Leest, Gerard, Physiotherapie • Bad Ischl • Oberösterreich</t>
  </si>
  <si>
    <t>Physiotherapie • Van der Leest, Gerard, Auböckplatz 12, Bad Ischl • Kontakt über aktuelle Telefonnummern ☎ und Adressen ⚑ mit Karte, Routing, Öffnungszeiten, Homepage, E-Mail, vCard und Firmendaten.</t>
  </si>
  <si>
    <t>Auböckplatz 12</t>
  </si>
  <si>
    <t>47.71059</t>
  </si>
  <si>
    <t>13.62285</t>
  </si>
  <si>
    <t>+43613224313</t>
  </si>
  <si>
    <t>https://bilder.dasschnelle.at/DasSchnelle/50/5000/9868/041790/G_041790_P_906249207.adn.gif</t>
  </si>
  <si>
    <t>Spreitzer, Edith, Unverblümt, Blumen • Bad Goisern • Oberösterreich</t>
  </si>
  <si>
    <t>Blumenhandel • Spreitzer, Edith, Unverblümt, Bahnhofstraße 1, Bad Goisern • Kontakt über aktuelle Telefonnummern ☎ und Adressen ⚑ mit Karte, Routing, Öffnungszeiten, Homepage, E-Mail, vCard und Firmendaten.</t>
  </si>
  <si>
    <t>47.64045</t>
  </si>
  <si>
    <t>13.6164</t>
  </si>
  <si>
    <t>+4361356457</t>
  </si>
  <si>
    <t>edith@unvrebluemt.co.at</t>
  </si>
  <si>
    <t>https://bilder.dasschnelle.at/DasSchnelle/50/5000/9868/041789/G_041789_P_906240614.adn.gif</t>
  </si>
  <si>
    <t>Riedl, Marlies, Taxi • Weißenbach • Salzburg</t>
  </si>
  <si>
    <t>Autovermietung, Erdbau, Taxi, Transportunternehmen • Riedl, Marlies, Alte Bundesstraße 9, Weißenbach • Kontakt über aktuelle Telefonnummern ☎ und Adressen ⚑ mit Karte, Routing, Öffnungszeiten, Homepage, E-Mail, vCard und Firmendaten.</t>
  </si>
  <si>
    <t>Alte Bundesstraße 9</t>
  </si>
  <si>
    <t>Weißenbach</t>
  </si>
  <si>
    <t>47.70922</t>
  </si>
  <si>
    <t>13.48909</t>
  </si>
  <si>
    <t>taxi.riedl@aon.at</t>
  </si>
  <si>
    <t>https://bilder.dasschnelle.at/DasSchnelle/50/5000/9868/043330/G_043330_P_906257676.adn.gif</t>
  </si>
  <si>
    <t>Camping Appesbach • St. Wolfgang im Salzkammergut • Oberösterreich</t>
  </si>
  <si>
    <t>Campingplätze • Camping Appesbach, Au 99, St. Wolfgang im Salzkammergut • Kontakt über aktuelle Telefonnummern ☎ und Adressen ⚑ mit Karte, Routing, Öffnungszeiten, Homepage, E-Mail, vCard und Firmendaten.</t>
  </si>
  <si>
    <t>Au 99</t>
  </si>
  <si>
    <t>47.7323477</t>
  </si>
  <si>
    <t>13.4634064</t>
  </si>
  <si>
    <t>+4361382206</t>
  </si>
  <si>
    <t>camping@appesbacher.at</t>
  </si>
  <si>
    <t>https://bilder.dasschnelle.at/DasSchnelle/50/5000/9868/041804/G_041804_P_906257121.adn.gif</t>
  </si>
  <si>
    <t>Wigo Druck GesmbH, Druck • Bad Ischl • Oberösterreich</t>
  </si>
  <si>
    <t>Druckereien, Grafikdesigner, Papier- u. Schreibwaren • Wigo Druck GesmbH, Salzburger Straße 32, Bad Ischl • Kontakt über aktuelle Telefonnummern ☎ und Adressen ⚑ mit Karte, Routing, Öffnungszeiten, Homepage, E-Mail, vCard und Firmendaten.</t>
  </si>
  <si>
    <t>Salzburger Straße 32</t>
  </si>
  <si>
    <t>47.71474</t>
  </si>
  <si>
    <t>13.61541</t>
  </si>
  <si>
    <t>+436132277360</t>
  </si>
  <si>
    <t>wigo@druckerei.at</t>
  </si>
  <si>
    <t>https://bilder.dasschnelle.at/DasSchnelle/50/5000/9868/041790/G_041790_P_906257924.adn.gif</t>
  </si>
  <si>
    <t>Schiendorfer, Ludwig, Metalltechnik • Bad Ischl • Oberösterreich</t>
  </si>
  <si>
    <t>Metallbau • Schiendorfer, Ludwig, Rosenkranzgasse 14, Bad Ischl • Kontakt über aktuelle Telefonnummern ☎ und Adressen ⚑ mit Karte, Routing, Öffnungszeiten, Homepage, E-Mail, vCard und Firmendaten.</t>
  </si>
  <si>
    <t>Rosenkranzgasse 14</t>
  </si>
  <si>
    <t>47.70381</t>
  </si>
  <si>
    <t>13.63035</t>
  </si>
  <si>
    <t>+43613223679</t>
  </si>
  <si>
    <t>ofice@metalltechnik-schiendorfer.at</t>
  </si>
  <si>
    <t>https://bilder.dasschnelle.at/DasSchnelle/50/5000/9868/041790/I_041790_P_906004171_L_0036242794_1.png</t>
  </si>
  <si>
    <t>https://bilder.dasschnelle.at/DasSchnelle/50/5000/9868/041790/I_041790_P_906004171_B_0036242794_1.gal.png?height=300&amp;width=600;https://bilder.dasschnelle.at/DasSchnelle/50/5000/9868/041790/I_041790_P_906004171_B_0036242794_2.gal.png?height=300&amp;width=600;https://bilder.dasschnelle.at/DasSchnelle/50/5000/9868/041790/I_041790_P_906004171_B_0036242794_3.gal.png?height=300&amp;width=600;https://bilder.dasschnelle.at/DasSchnelle/50/5000/9868/041790/I_041790_P_906004171_B_0036242794_4.gal.png?height=542&amp;width=800</t>
  </si>
  <si>
    <t>Gassner Tischlerei KG, Tischlereien • Bad Ischl • Oberösterreich</t>
  </si>
  <si>
    <t>Tischlereien • Gassner Tischlerei KG, Sattelaustraße 18, Bad Ischl • Kontakt über aktuelle Telefonnummern ☎ und Adressen ⚑ mit Karte, Routing, Öffnungszeiten, Homepage, E-Mail, vCard und Firmendaten.</t>
  </si>
  <si>
    <t>Sattelaustraße 18</t>
  </si>
  <si>
    <t>47.73059</t>
  </si>
  <si>
    <t>13.6588</t>
  </si>
  <si>
    <t>+436132244010</t>
  </si>
  <si>
    <t>+4361322440119</t>
  </si>
  <si>
    <t>info@tischlerei-gassner.at</t>
  </si>
  <si>
    <t>https://bilder.dasschnelle.at/DasSchnelle/50/5000/9868/041790/G_041790_P_906239834.adn.gif</t>
  </si>
  <si>
    <t>Lorenz Spezialaufbauten GmbH, Anhänger u Aufbauten • Bad Goisern • Oberösterreich</t>
  </si>
  <si>
    <t>Anhänger u. Aufbauten • Lorenz Spezialaufbauten GmbH, Au 182, Bad Goisern • Kontakt über aktuelle Telefonnummern ☎ und Adressen ⚑ mit Karte, Routing, Öffnungszeiten, Homepage, E-Mail, vCard und Firmendaten.</t>
  </si>
  <si>
    <t>Au 182</t>
  </si>
  <si>
    <t>47.6152797</t>
  </si>
  <si>
    <t>13.6303745</t>
  </si>
  <si>
    <t>+43613521402;+43613521401</t>
  </si>
  <si>
    <t>ulrike.gaisberger@spezialaufbauten.com</t>
  </si>
  <si>
    <t>https://bilder.dasschnelle.at/DasSchnelle/50/5000/9868/041789/G_041789_P_906237050.adn.gif</t>
  </si>
  <si>
    <t>Schilcherlandhof • Stainz • Steiermark</t>
  </si>
  <si>
    <t>Hotels • Schilcherlandhof, Hauptplatz 15, Stainz • Kontakt über aktuelle Telefonnummern ☎ und Adressen ⚑ mit Karte, Routing, Öffnungszeiten, Homepage, E-Mail, vCard und Firmendaten.</t>
  </si>
  <si>
    <t>Hauptplatz 15</t>
  </si>
  <si>
    <t>8510</t>
  </si>
  <si>
    <t>Stainz</t>
  </si>
  <si>
    <t>46.8935</t>
  </si>
  <si>
    <t>15.26567</t>
  </si>
  <si>
    <t>+4334632357</t>
  </si>
  <si>
    <t>info@schilcherlandhof.at</t>
  </si>
  <si>
    <t>https://bilder.dasschnelle.at/DasSchnelle/50/5000/9875/061377/G_061377_P_906253719.adn.gif</t>
  </si>
  <si>
    <t>Gasthof Josefiwirt • St.Josef • Steiermark</t>
  </si>
  <si>
    <t>Gastgewerbe - Gasthöfe • Gasthof Josefiwirt, Josef 109, St.Josef • Kontakt über aktuelle Telefonnummern ☎ und Adressen ⚑ mit Karte, Routing, Öffnungszeiten, Homepage, E-Mail, vCard und Firmendaten.</t>
  </si>
  <si>
    <t>Josef 109</t>
  </si>
  <si>
    <t>8503</t>
  </si>
  <si>
    <t>St.Josef</t>
  </si>
  <si>
    <t>46.9112992</t>
  </si>
  <si>
    <t>15.3374007</t>
  </si>
  <si>
    <t>+436606932922</t>
  </si>
  <si>
    <t>sasostevanovski033@gmail.com</t>
  </si>
  <si>
    <t>https://bilder.dasschnelle.at/DasSchnelle/50/5000/9875/045316/G_045316_P_906251336.adn.gif</t>
  </si>
  <si>
    <t>Lenhardt, Rudolf, Versicherung • Sankt Josef (Weststeiermark) • Steiermark</t>
  </si>
  <si>
    <t>Versicherungsberater • Lenhardt, Rudolf, Sankt Josef (Weststeiermark) • Kontakt über aktuelle Telefonnummern ☎ und Adressen ⚑ mit Karte, Routing, Öffnungszeiten, Homepage, E-Mail, vCard und Firmendaten.</t>
  </si>
  <si>
    <t>Sankt Josef (Weststeiermark)</t>
  </si>
  <si>
    <t>46.9106728</t>
  </si>
  <si>
    <t>15.3368906</t>
  </si>
  <si>
    <t>+43313681104</t>
  </si>
  <si>
    <t>rudolf.lenhardt@grawe.at</t>
  </si>
  <si>
    <t>https://bilder.dasschnelle.at/DasSchnelle/50/5000/9875/045316/G_045316_P_906213605.adn.gif</t>
  </si>
  <si>
    <t>Haring, Gärtnerei • Groß Sankt Florian • Steiermark</t>
  </si>
  <si>
    <t>Baumschulen, Gartenbau • Haring, Florianiring 14, Groß Sankt Florian • Kontakt über aktuelle Telefonnummern ☎ und Adressen ⚑ mit Karte, Routing, Öffnungszeiten, Homepage, E-Mail, vCard und Firmendaten.</t>
  </si>
  <si>
    <t>Florianiring 14</t>
  </si>
  <si>
    <t>8522</t>
  </si>
  <si>
    <t>Groß Sankt Florian</t>
  </si>
  <si>
    <t>46.82587</t>
  </si>
  <si>
    <t>15.30925</t>
  </si>
  <si>
    <t>+4334642292</t>
  </si>
  <si>
    <t>office@gaertnerei-haring.at</t>
  </si>
  <si>
    <t>https://bilder.dasschnelle.at/DasSchnelle/50/5000/9875/061469/I_061469_P_905996087_L_0038259882_1.png</t>
  </si>
  <si>
    <t>https://bilder.dasschnelle.at/DasSchnelle/50/5000/9875/061469/I_061469_P_905996087_B_0038259882_1.gal.png?height=399&amp;width=600;https://bilder.dasschnelle.at/DasSchnelle/50/5000/9875/061469/I_061469_P_905996087_B_0038259882_2.gal.png?height=396&amp;width=600;https://bilder.dasschnelle.at/DasSchnelle/50/5000/9875/061469/I_061469_P_905996087_B_0038259882_3.gal.png?height=450&amp;width=600;https://bilder.dasschnelle.at/DasSchnelle/50/5000/9875/061469/G_061469_P_906231136.adn.gif</t>
  </si>
  <si>
    <t>Sorger, Claudia, Sorgerhof • Frauental • Steiermark</t>
  </si>
  <si>
    <t>Hotels, Restaurants • Sorger, Claudia, Grazerstraße 260, Frauental • Kontakt über aktuelle Telefonnummern ☎ und Adressen ⚑ mit Karte, Routing, Öffnungszeiten, Homepage, E-Mail, vCard und Firmendaten.</t>
  </si>
  <si>
    <t>Grazerstraße 260</t>
  </si>
  <si>
    <t>8523</t>
  </si>
  <si>
    <t>Frauental</t>
  </si>
  <si>
    <t>46.8259680</t>
  </si>
  <si>
    <t>15.2563467</t>
  </si>
  <si>
    <t>+4334623279</t>
  </si>
  <si>
    <t>office@sorgerhof.at</t>
  </si>
  <si>
    <t>https://bilder.dasschnelle.at/DasSchnelle/50/5000/9875/045296/G_045296_P_906222344.adn.gif</t>
  </si>
  <si>
    <t>Steinbauer Friseur, Friseure • Stainz • Steiermark</t>
  </si>
  <si>
    <t>Friseure • Steinbauer Friseur, Grazer Straße 5, Stainz • Kontakt über aktuelle Telefonnummern ☎ und Adressen ⚑ mit Karte, Routing, Öffnungszeiten, Homepage, E-Mail, vCard und Firmendaten.</t>
  </si>
  <si>
    <t>Grazer Straße 5</t>
  </si>
  <si>
    <t>46.89465</t>
  </si>
  <si>
    <t>15.26434</t>
  </si>
  <si>
    <t>+4334632632</t>
  </si>
  <si>
    <t>friseur@team-steinbauer.at</t>
  </si>
  <si>
    <t>https://bilder.dasschnelle.at/DasSchnelle/50/5000/9875/061377/G_061377_P_906227576.adn.gif</t>
  </si>
  <si>
    <t>Norbert Safran, Allianz Versicherung • Preding • Steiermark</t>
  </si>
  <si>
    <t>Versicherungsunternehmen • Norbert Safran, Allianz Versicherung, Vitalplatz 1, Preding • Kontakt über aktuelle Telefonnummern ☎ und Adressen ⚑ mit Karte, Routing, Öffnungszeiten, Homepage, E-Mail, vCard und Firmendaten.</t>
  </si>
  <si>
    <t>Vitalplatz 1</t>
  </si>
  <si>
    <t>8504</t>
  </si>
  <si>
    <t>Preding</t>
  </si>
  <si>
    <t>46.8534624</t>
  </si>
  <si>
    <t>15.4115940</t>
  </si>
  <si>
    <t>+43318530770</t>
  </si>
  <si>
    <t>norbert.safran@allianz.at</t>
  </si>
  <si>
    <t>https://bilder.dasschnelle.at/DasSchnelle/50/5000/9875/045314/G_045314_P_906218279.adn.gif</t>
  </si>
  <si>
    <t>Kiefer, Harald, Romantikhof Kiefer, Restaurant • Eibiswald • Steiermark</t>
  </si>
  <si>
    <t>Gastgewerbe - Gasthöfe • Kiefer, Harald, Romantikhof Kiefer, Hörmsdorf 4, Eibiswald • Kontakt über aktuelle Telefonnummern ☎ und Adressen ⚑ mit Karte, Routing, Öffnungszeiten, Homepage, E-Mail, vCard und Firmendaten.</t>
  </si>
  <si>
    <t>Hörmsdorf 4</t>
  </si>
  <si>
    <t>8552</t>
  </si>
  <si>
    <t>Eibiswald</t>
  </si>
  <si>
    <t>46.6943361</t>
  </si>
  <si>
    <t>15.2630789</t>
  </si>
  <si>
    <t>+43346642270</t>
  </si>
  <si>
    <t>kiefer@romantikhof.at</t>
  </si>
  <si>
    <t>https://bilder.dasschnelle.at/DasSchnelle/50/5000/9875/061447/G_061447_P_906218280.adn.gif</t>
  </si>
  <si>
    <t>Schwab, Ilse, Steinmetzmeister • Wies • Steiermark</t>
  </si>
  <si>
    <t>Steinmetzbetriebe • Schwab, Ilse, Feldweg 7, Wies • Kontakt über aktuelle Telefonnummern ☎ und Adressen ⚑ mit Karte, Routing, Öffnungszeiten, Homepage, E-Mail, vCard und Firmendaten.</t>
  </si>
  <si>
    <t>Feldweg 7</t>
  </si>
  <si>
    <t>8551</t>
  </si>
  <si>
    <t>Wies</t>
  </si>
  <si>
    <t>46.71812</t>
  </si>
  <si>
    <t>15.27476</t>
  </si>
  <si>
    <t>+43346523280</t>
  </si>
  <si>
    <t>stein-schwab@aon.at</t>
  </si>
  <si>
    <t>https://bilder.dasschnelle.at/DasSchnelle/50/5000/9875/061464/G_061464_P_906214495.adn.gif</t>
  </si>
  <si>
    <t>Reiter, Bettina, Landhausmode • Deutschlandsberg • Steiermark</t>
  </si>
  <si>
    <t>Mode • Reiter, Bettina, Frauentalerstraße 24, Deutschlandsberg • Kontakt über aktuelle Telefonnummern ☎ und Adressen ⚑ mit Karte, Routing, Öffnungszeiten, Homepage, E-Mail, vCard und Firmendaten.</t>
  </si>
  <si>
    <t>Frauentalerstraße 24</t>
  </si>
  <si>
    <t>8530</t>
  </si>
  <si>
    <t>Deutschlandsberg</t>
  </si>
  <si>
    <t>46.81701</t>
  </si>
  <si>
    <t>15.21924</t>
  </si>
  <si>
    <t>+436645125043</t>
  </si>
  <si>
    <t>landhausmode.reiter@gmail.com</t>
  </si>
  <si>
    <t>https://bilder.dasschnelle.at/DasSchnelle/50/5000/9875/061379/I_061379_P_905974817_L_0036262219_1.png</t>
  </si>
  <si>
    <t>https://bilder.dasschnelle.at/DasSchnelle/50/5000/9875/061379/I_061379_P_905974817_B_0036262219_1.gal.png?height=378&amp;width=500;https://bilder.dasschnelle.at/DasSchnelle/50/5000/9875/061379/I_061379_P_905974817_B_0036262219_2.gal.png?height=572&amp;width=500;https://bilder.dasschnelle.at/DasSchnelle/50/5000/9875/061379/I_061379_P_905974817_B_0036262219_3.gal.png?height=376&amp;width=500</t>
  </si>
  <si>
    <t>Schmuck, Ernst, Minibaggerarbeiten • Stainz • Steiermark</t>
  </si>
  <si>
    <t>Minibagger • Schmuck, Ernst, Sauerbrunnstraße 43, Stainz • Kontakt über aktuelle Telefonnummern ☎ und Adressen ⚑ mit Karte, Routing, Öffnungszeiten, Homepage, E-Mail, vCard und Firmendaten.</t>
  </si>
  <si>
    <t>Sauerbrunnstraße 43</t>
  </si>
  <si>
    <t>46.89621</t>
  </si>
  <si>
    <t>15.25723</t>
  </si>
  <si>
    <t>+436764957859</t>
  </si>
  <si>
    <t>schmuck07@gmail.com</t>
  </si>
  <si>
    <t>https://bilder.dasschnelle.at/DasSchnelle/50/5000/9875/061377/G_061377_P_906213003.adn.gif</t>
  </si>
  <si>
    <t>Gasthaus-Cafe Stegtoni • Schamberg • Steiermark</t>
  </si>
  <si>
    <t>Gastgewerbe - Gasthöfe • Gasthaus-Cafe Stegtoni, Gamserstraße 18, Schamberg • Kontakt über aktuelle Telefonnummern ☎ und Adressen ⚑ mit Karte, Routing, Öffnungszeiten, Homepage, E-Mail, vCard und Firmendaten.</t>
  </si>
  <si>
    <t>Gamserstraße 18</t>
  </si>
  <si>
    <t>Schamberg</t>
  </si>
  <si>
    <t>46.8309600</t>
  </si>
  <si>
    <t>15.2589700</t>
  </si>
  <si>
    <t>+4366473849848</t>
  </si>
  <si>
    <t>stegtoni@speed.at</t>
  </si>
  <si>
    <t>https://bilder.dasschnelle.at/DasSchnelle/50/5000/9875/045296/G_045296_P_906249951.adn.gif</t>
  </si>
  <si>
    <t>People Optik e.U. • Deutschlandsberg • Steiermark</t>
  </si>
  <si>
    <t>Optik • People Optik e.U., Hauptplatz 17, Deutschlandsberg • Kontakt über aktuelle Telefonnummern ☎ und Adressen ⚑ mit Karte, Routing, Öffnungszeiten, Homepage, E-Mail, vCard und Firmendaten.</t>
  </si>
  <si>
    <t>Hauptplatz 17</t>
  </si>
  <si>
    <t>46.81469</t>
  </si>
  <si>
    <t>15.21457</t>
  </si>
  <si>
    <t>+43346220262</t>
  </si>
  <si>
    <t>ilse.aldrian@gmx.at</t>
  </si>
  <si>
    <t>https://bilder.dasschnelle.at/DasSchnelle/50/5000/9875/061379/G_061379_P_906222820.adn.gif</t>
  </si>
  <si>
    <t>Optik Scala GmbH • Deutschlandsberg • Steiermark</t>
  </si>
  <si>
    <t>Optik • Optik Scala GmbH, Frauentalerstraße 8, Deutschlandsberg • Kontakt über aktuelle Telefonnummern ☎ und Adressen ⚑ mit Karte, Routing, Öffnungszeiten, Homepage, E-Mail, vCard und Firmendaten.</t>
  </si>
  <si>
    <t>Frauentalerstraße 8</t>
  </si>
  <si>
    <t>46.81652</t>
  </si>
  <si>
    <t>15.21655</t>
  </si>
  <si>
    <t>+4334623134</t>
  </si>
  <si>
    <t>optik.scala@aon.at</t>
  </si>
  <si>
    <t>https://bilder.dasschnelle.at/DasSchnelle/50/5000/9875/061379/G_061379_P_906249205.adn.gif</t>
  </si>
  <si>
    <t>Sari, Haci Hüseyin • Lannach • Steiermark</t>
  </si>
  <si>
    <t>Gastgewerbe - Gasthöfe • Sari, Haci Hüseyin, Hauptplatz 1, Lannach • Kontakt über aktuelle Telefonnummern ☎ und Adressen ⚑ mit Karte, Routing, Öffnungszeiten, Homepage, E-Mail, vCard und Firmendaten.</t>
  </si>
  <si>
    <t>8502</t>
  </si>
  <si>
    <t>Lannach</t>
  </si>
  <si>
    <t>46.94314</t>
  </si>
  <si>
    <t>15.3337</t>
  </si>
  <si>
    <t>+43313681604</t>
  </si>
  <si>
    <t>restaurant_mediterran@hotmail.com</t>
  </si>
  <si>
    <t>https://bilder.dasschnelle.at/DasSchnelle/50/5000/9875/045308/G_045308_P_906213005.adn.gif</t>
  </si>
  <si>
    <t>Haarstudio IWS • Stainz • Steiermark</t>
  </si>
  <si>
    <t>Friseure • Haarstudio IWS, Berggasse 1, Stainz • Kontakt über aktuelle Telefonnummern ☎ und Adressen ⚑ mit Karte, Routing, Öffnungszeiten, Homepage, E-Mail, vCard und Firmendaten.</t>
  </si>
  <si>
    <t>Berggasse 1</t>
  </si>
  <si>
    <t>46.89506</t>
  </si>
  <si>
    <t>15.26498</t>
  </si>
  <si>
    <t>+4334632281</t>
  </si>
  <si>
    <t>iws.stainz@gmail.com</t>
  </si>
  <si>
    <t>https://bilder.dasschnelle.at/DasSchnelle/50/5000/9875/061377/G_061377_P_906213604.adn.gif</t>
  </si>
  <si>
    <t>Restaurant Mamarosa • Deutschlandsberg • Steiermark</t>
  </si>
  <si>
    <t>Pizzerias, Restaurants • Restaurant Mamarosa, Hauptplatz 25, Deutschlandsberg • Kontakt über aktuelle Telefonnummern ☎ und Adressen ⚑ mit Karte, Routing, Öffnungszeiten, Homepage, E-Mail, vCard und Firmendaten.</t>
  </si>
  <si>
    <t>Hauptplatz 25</t>
  </si>
  <si>
    <t>46.81446</t>
  </si>
  <si>
    <t>15.21385</t>
  </si>
  <si>
    <t>+43346230357</t>
  </si>
  <si>
    <t>mesut.tunc1983@gmail.com</t>
  </si>
  <si>
    <t>https://bilder.dasschnelle.at/DasSchnelle/50/5000/9875/061379/G_061379_P_906254346.adn.gif</t>
  </si>
  <si>
    <t>Schnattls Restaurant • Groß St. Florian • Steiermark</t>
  </si>
  <si>
    <t>Restaurants • Schnattls Restaurant, Marktplatz 2, Groß St. Florian • Kontakt über aktuelle Telefonnummern ☎ und Adressen ⚑ mit Karte, Routing, Öffnungszeiten, Homepage, E-Mail, vCard und Firmendaten.</t>
  </si>
  <si>
    <t>Marktplatz 2</t>
  </si>
  <si>
    <t>Groß St. Florian</t>
  </si>
  <si>
    <t>46.82342</t>
  </si>
  <si>
    <t>15.3166</t>
  </si>
  <si>
    <t>+43346429410</t>
  </si>
  <si>
    <t>restaurant.schnattl@aon.at</t>
  </si>
  <si>
    <t>https://bilder.dasschnelle.at/DasSchnelle/50/5000/9875/061469/G_061469_P_906253718.adn.gif</t>
  </si>
  <si>
    <t>Hochkofler, Ulrike, Mag., Notar • Deutschlandsberg • Steiermark</t>
  </si>
  <si>
    <t>Notare • Hochkofler, Ulrike, Mag., Fabrikstraße 4, Deutschlandsberg • Kontakt über aktuelle Telefonnummern ☎ und Adressen ⚑ mit Karte, Routing, Öffnungszeiten, Homepage, E-Mail, vCard und Firmendaten.</t>
  </si>
  <si>
    <t>Fabrikstraße 4</t>
  </si>
  <si>
    <t>46.81616</t>
  </si>
  <si>
    <t>15.21582</t>
  </si>
  <si>
    <t>+4334622492</t>
  </si>
  <si>
    <t>notar@hochkofler.net</t>
  </si>
  <si>
    <t>https://bilder.dasschnelle.at/DasSchnelle/50/5000/9875/061379/G_061379_P_906249963.adn.gif</t>
  </si>
  <si>
    <t>Strohmeier-Reisen • Wettmannstätten • Steiermark</t>
  </si>
  <si>
    <t>Reisebüros • Strohmeier-Reisen, Wettmannstätten 30, Wettmannstätten • Kontakt über aktuelle Telefonnummern ☎ und Adressen ⚑ mit Karte, Routing, Öffnungszeiten, Homepage, E-Mail, vCard und Firmendaten.</t>
  </si>
  <si>
    <t>Wettmannstätten 30</t>
  </si>
  <si>
    <t>8521</t>
  </si>
  <si>
    <t>Wettmannstätten</t>
  </si>
  <si>
    <t>46.8311795</t>
  </si>
  <si>
    <t>15.3850384</t>
  </si>
  <si>
    <t>+433185612719</t>
  </si>
  <si>
    <t>info@strohmeier-reisen.at</t>
  </si>
  <si>
    <t>https://bilder.dasschnelle.at/DasSchnelle/50/5000/9875/045330/G_045330_P_906266791.adn.gif</t>
  </si>
  <si>
    <t>KFZ Schwaiger • Wies • Steiermark</t>
  </si>
  <si>
    <t>Autoreparaturen • KFZ Schwaiger, Am Bahnhof 14, Wies • Kontakt über aktuelle Telefonnummern ☎ und Adressen ⚑ mit Karte, Routing, Öffnungszeiten, Homepage, E-Mail, vCard und Firmendaten.</t>
  </si>
  <si>
    <t>Am Bahnhof 14</t>
  </si>
  <si>
    <t>46.7189900</t>
  </si>
  <si>
    <t>15.2596500</t>
  </si>
  <si>
    <t>+43346520009</t>
  </si>
  <si>
    <t>schwaigerhubert@hotmail.com</t>
  </si>
  <si>
    <t>https://bilder.dasschnelle.at/DasSchnelle/50/5000/9875/061464/G_061464_P_906252474.adn.gif</t>
  </si>
  <si>
    <t>Einrichtungsstudio Hasler • Deutschlandsberg • Steiermark</t>
  </si>
  <si>
    <t>Einrichtungshäuser • Einrichtungsstudio Hasler, Bad Gams 5, Deutschlandsberg • Kontakt über aktuelle Telefonnummern ☎ und Adressen ⚑ mit Karte, Routing, Öffnungszeiten, Homepage, E-Mail, vCard und Firmendaten.</t>
  </si>
  <si>
    <t>Bad Gams 5</t>
  </si>
  <si>
    <t>8524</t>
  </si>
  <si>
    <t>46.8696250</t>
  </si>
  <si>
    <t>15.2234050</t>
  </si>
  <si>
    <t>+43346320544;+436644402161</t>
  </si>
  <si>
    <t>office@einrichter-hasler.at</t>
  </si>
  <si>
    <t>https://bilder.dasschnelle.at/DasSchnelle/50/5000/9875/061379/G_061379_P_906253709.adn.gif</t>
  </si>
  <si>
    <t>Ableitner, Dieter, Dr., Facharzt f Innere Medizin • Deutschlandsberg • Steiermark</t>
  </si>
  <si>
    <t>Ärzte / Fachärzte f. Innere Medizin • Ableitner, Dieter, Dr., Unterer Platz 7, Deutschlandsberg • Kontakt über aktuelle Telefonnummern ☎ und Adressen ⚑ mit Karte, Routing, Öffnungszeiten, Homepage, E-Mail, vCard und Firmendaten.</t>
  </si>
  <si>
    <t>Unterer Platz 7</t>
  </si>
  <si>
    <t>46.8157401</t>
  </si>
  <si>
    <t>15.216712</t>
  </si>
  <si>
    <t>+43346220544</t>
  </si>
  <si>
    <t>office@dr-ableitner.at</t>
  </si>
  <si>
    <t>https://bilder.dasschnelle.at/DasSchnelle/50/5000/9875/061379/G_061379_P_906251333.adn.gif</t>
  </si>
  <si>
    <t>Grgic Installationen • Pernegg • Steiermark</t>
  </si>
  <si>
    <t>Klempnereien, Installationen • Grgic Installationen, Robert-Stolz-Siedlung 6, Pernegg • Kontakt über aktuelle Telefonnummern ☎ und Adressen ⚑ mit Karte, Routing, Öffnungszeiten, Homepage, E-Mail, vCard und Firmendaten.</t>
  </si>
  <si>
    <t>Robert-Stolz-Siedlung 6</t>
  </si>
  <si>
    <t>8132</t>
  </si>
  <si>
    <t>Pernegg</t>
  </si>
  <si>
    <t>47.3593383</t>
  </si>
  <si>
    <t>15.3455984</t>
  </si>
  <si>
    <t>+436601248880</t>
  </si>
  <si>
    <t>slavko.grgic@hotmail.com</t>
  </si>
  <si>
    <t>https://bilder.dasschnelle.at/DasSchnelle/50/5000/9874/045284/G_045284_P_906236004.adn.gif</t>
  </si>
  <si>
    <t>Kaiser Helga Dr Öffentliche Notarin &amp; Partner, Notariat • Bruck an der Mur • Steiermark</t>
  </si>
  <si>
    <t>Notare • Kaiser Helga Dr Öffentliche Notarin &amp; Partner, Hoher Markt 3, Bruck an der Mur • Kontakt über aktuelle Telefonnummern ☎ und Adressen ⚑ mit Karte, Routing, Öffnungszeiten, Homepage, E-Mail, vCard und Firmendaten.</t>
  </si>
  <si>
    <t>Hoher Markt 3</t>
  </si>
  <si>
    <t>8600</t>
  </si>
  <si>
    <t>Bruck an der Mur</t>
  </si>
  <si>
    <t>47.41143</t>
  </si>
  <si>
    <t>15.26929</t>
  </si>
  <si>
    <t>+43386251430</t>
  </si>
  <si>
    <t>+43386256069</t>
  </si>
  <si>
    <t>office@notariat-bruck.at</t>
  </si>
  <si>
    <t>https://bilder.dasschnelle.at/DasSchnelle/50/5000/9874/061404/G_061404_P_906282726.adn.gif</t>
  </si>
  <si>
    <t>Zeman Installationen GmbH, Installationsunternehmen • Au bei Turnau • Steiermark</t>
  </si>
  <si>
    <t>Installationsunternehmen • Zeman Installationen GmbH, Au 146, Au bei Turnau • Kontakt über aktuelle Telefonnummern ☎ und Adressen ⚑ mit Karte, Routing, Öffnungszeiten, Homepage, E-Mail, vCard und Firmendaten.</t>
  </si>
  <si>
    <t>Au 146</t>
  </si>
  <si>
    <t>8624</t>
  </si>
  <si>
    <t>Au bei Turnau</t>
  </si>
  <si>
    <t>47.5687428</t>
  </si>
  <si>
    <t>15.3156588</t>
  </si>
  <si>
    <t>+43386324050;+436643365466</t>
  </si>
  <si>
    <t>+43386324057</t>
  </si>
  <si>
    <t>office@mein-hausinstallateur.at</t>
  </si>
  <si>
    <t>https://bilder.dasschnelle.at/DasSchnelle/50/5000/9874/045292/G_045292_P_906212179.adn.gif</t>
  </si>
  <si>
    <t>DSW Daten- u Steuerservice WirtschaftstreuhandgesmbH • Bruck an der Mur • Steiermark</t>
  </si>
  <si>
    <t>Steuerberater • DSW Daten- u Steuerservice WirtschaftstreuhandgesmbH, Fridrich-Allee 1 a, Bruck an der Mur • Kontakt über aktuelle Telefonnummern ☎ und Adressen ⚑ mit Karte, Routing, Öffnungszeiten, Homepage, E-Mail, vCard und Firmendaten.</t>
  </si>
  <si>
    <t>Fridrich-Allee 1 a</t>
  </si>
  <si>
    <t>47.41012</t>
  </si>
  <si>
    <t>15.26636</t>
  </si>
  <si>
    <t>+4338625183232</t>
  </si>
  <si>
    <t>office@meinsteuerberater.at</t>
  </si>
  <si>
    <t>https://bilder.dasschnelle.at/DasSchnelle/50/5000/9874/061404/G_061404_P_906288648.adn.gif</t>
  </si>
  <si>
    <t>Mühlbacher, Angelika, Dr.med., Ärztin für Allgemeinmedizin • Sankt Marein im Mürztal • Steiermark</t>
  </si>
  <si>
    <t>Ärzte / f Allgemeinmedizin • Mühlbacher, Angelika, Dr.med., Bahnhofstraße 12, Sankt Marein im Mürztal • Kontakt über aktuelle Telefonnummern ☎ und Adressen ⚑ mit Karte, Routing, Öffnungszeiten, Homepage, E-Mail, vCard und Firmendaten.</t>
  </si>
  <si>
    <t>8641</t>
  </si>
  <si>
    <t>Sankt Marein im Mürztal</t>
  </si>
  <si>
    <t>47.47231</t>
  </si>
  <si>
    <t>15.3729</t>
  </si>
  <si>
    <t>+4338642210</t>
  </si>
  <si>
    <t>praxis@hausaerztin.cc</t>
  </si>
  <si>
    <t>https://bilder.dasschnelle.at/DasSchnelle/50/5000/9874/061430/G_061430_P_906278665.adn.gif</t>
  </si>
  <si>
    <t>Schwarz, Gabriele, Dr., FA f. Allgemeinmedizin • Sankt Lorenzen im Mürztal • Steiermark</t>
  </si>
  <si>
    <t>Ärzte / f Allgemeinmedizin • Schwarz, Gabriele, Dr., Hauptstraße 4, Sankt Lorenzen im Mürztal • Kontakt über aktuelle Telefonnummern ☎ und Adressen ⚑ mit Karte, Routing, Öffnungszeiten, Homepage, E-Mail, vCard und Firmendaten.</t>
  </si>
  <si>
    <t>Hauptstraße 4</t>
  </si>
  <si>
    <t>8642</t>
  </si>
  <si>
    <t>Sankt Lorenzen im Mürztal</t>
  </si>
  <si>
    <t>47.48274</t>
  </si>
  <si>
    <t>15.37008</t>
  </si>
  <si>
    <t>+43386423390</t>
  </si>
  <si>
    <t>dr-gabriele-schwarz@web.de</t>
  </si>
  <si>
    <t>https://bilder.dasschnelle.at/DasSchnelle/50/5000/9874/045287/G_045287_P_906288646.adn.gif</t>
  </si>
  <si>
    <t>Holzinger, Wolfgang, Mag., Steuerberatung • Eferding • Oberösterreich</t>
  </si>
  <si>
    <t>Steuerberater • Holzinger, Wolfgang, Mag., Simbach 7, Eferding • Kontakt über aktuelle Telefonnummern ☎ und Adressen ⚑ mit Karte, Routing, Öffnungszeiten, Homepage, E-Mail, vCard und Firmendaten.</t>
  </si>
  <si>
    <t>Simbach 7</t>
  </si>
  <si>
    <t>4070</t>
  </si>
  <si>
    <t>Eferding</t>
  </si>
  <si>
    <t>48.2777545</t>
  </si>
  <si>
    <t>14.0205635</t>
  </si>
  <si>
    <t>+43727239790</t>
  </si>
  <si>
    <t>office@holzinger.at</t>
  </si>
  <si>
    <t>https://bilder.dasschnelle.at/DasSchnelle/50/5000/9876/044805/G_044805_P_906273401.adn.gif</t>
  </si>
  <si>
    <t>Arthofer Hans GesmbH &amp; Co KG Büro, Transportbeton • Hartkirchen • Oberösterreich</t>
  </si>
  <si>
    <t>Transportbeton • Arthofer Hans GesmbH &amp; Co KG Büro, Deinhamerstraße 1, Hartkirchen • Kontakt über aktuelle Telefonnummern ☎ und Adressen ⚑ mit Karte, Routing, Öffnungszeiten, Homepage, E-Mail, vCard und Firmendaten.</t>
  </si>
  <si>
    <t>Deinhamerstraße 1</t>
  </si>
  <si>
    <t>4081</t>
  </si>
  <si>
    <t>Hartkirchen</t>
  </si>
  <si>
    <t>48.36055</t>
  </si>
  <si>
    <t>14.00596</t>
  </si>
  <si>
    <t>+43727362430</t>
  </si>
  <si>
    <t>office@arthofer-bau.at</t>
  </si>
  <si>
    <t>https://bilder.dasschnelle.at/DasSchnelle/50/5000/9876/044808/I_044808_P_906002440_L_0036250740_1.png</t>
  </si>
  <si>
    <t>https://bilder.dasschnelle.at/DasSchnelle/50/5000/9876/044808/I_044808_P_906002440_B_0036250740_1.gal.png?height=194&amp;width=259;https://bilder.dasschnelle.at/DasSchnelle/50/5000/9876/044808/I_044808_P_906002440_B_0036250740_2.gal.png?height=275&amp;width=183;https://bilder.dasschnelle.at/DasSchnelle/50/5000/9876/044808/I_044808_P_906002440_B_0036250740_3.gal.png?height=194&amp;width=259;https://bilder.dasschnelle.at/DasSchnelle/50/5000/9876/044808/I_044808_P_906002440_B_0036250740_4.gal.png?height=183&amp;width=276</t>
  </si>
  <si>
    <t>Lohr, Gerald, Dr.med., FA f Innere Medizin • Eferding • Oberösterreich</t>
  </si>
  <si>
    <t>Ärzte / Fachärzte f. Innere Medizin • Lohr, Gerald, Dr.med., Stephan-Fadinger-Straße 2, Eferding • Kontakt über aktuelle Telefonnummern ☎ und Adressen ⚑ mit Karte, Routing, Öffnungszeiten, Homepage, E-Mail, vCard und Firmendaten.</t>
  </si>
  <si>
    <t>Stephan-Fadinger-Straße 2</t>
  </si>
  <si>
    <t>48.31013</t>
  </si>
  <si>
    <t>14.02417</t>
  </si>
  <si>
    <t>+43727275780</t>
  </si>
  <si>
    <t>ordination@internist-lohr.at</t>
  </si>
  <si>
    <t>https://bilder.dasschnelle.at/DasSchnelle/50/5000/9876/044805/G_044805_P_906266661.adn.gif</t>
  </si>
  <si>
    <t>Scherl, Maximilian, Autoglas • Eferding • Oberösterreich</t>
  </si>
  <si>
    <t>Autoglashandel • Scherl, Maximilian, Schiferplatz 22, Eferding • Kontakt über aktuelle Telefonnummern ☎ und Adressen ⚑ mit Karte, Routing, Öffnungszeiten, Homepage, E-Mail, vCard und Firmendaten.</t>
  </si>
  <si>
    <t>Schiferplatz 22</t>
  </si>
  <si>
    <t>48.3391360</t>
  </si>
  <si>
    <t>13.9572227</t>
  </si>
  <si>
    <t>+436645363931</t>
  </si>
  <si>
    <t>office@ms-autoglas.at</t>
  </si>
  <si>
    <t>https://bilder.dasschnelle.at/DasSchnelle/50/5000/9876/044805/G_044805_P_906234716.adn.gif</t>
  </si>
  <si>
    <t>Elektrotechnik Gruber GmbH • Eferding • Oberösterreich</t>
  </si>
  <si>
    <t>Elektrotechnik • Elektrotechnik Gruber GmbH, Unterer Graben 4, Eferding • Kontakt über aktuelle Telefonnummern ☎ und Adressen ⚑ mit Karte, Routing, Öffnungszeiten, Homepage, E-Mail, vCard und Firmendaten.</t>
  </si>
  <si>
    <t>Unterer Graben 4</t>
  </si>
  <si>
    <t>48.30723</t>
  </si>
  <si>
    <t>14.02369</t>
  </si>
  <si>
    <t>+43727265650</t>
  </si>
  <si>
    <t>office@elektro-gruber.at</t>
  </si>
  <si>
    <t>https://bilder.dasschnelle.at/DasSchnelle/50/5000/9876/044805/G_044805_P_906232919.adn.gif</t>
  </si>
  <si>
    <t>Doppelbauer, Jürgen, Glasdoctor, Glaserei • Alkoven • Oberösterreich</t>
  </si>
  <si>
    <t>Glasereien • Doppelbauer, Jürgen, Glasdoctor, Gewerbestraße 1, Alkoven • Kontakt über aktuelle Telefonnummern ☎ und Adressen ⚑ mit Karte, Routing, Öffnungszeiten, Homepage, E-Mail, vCard und Firmendaten.</t>
  </si>
  <si>
    <t>Gewerbestraße 1</t>
  </si>
  <si>
    <t>4072</t>
  </si>
  <si>
    <t>Alkoven</t>
  </si>
  <si>
    <t>48.29089</t>
  </si>
  <si>
    <t>14.13525</t>
  </si>
  <si>
    <t>+436602504994</t>
  </si>
  <si>
    <t>office@glasdoctor.at</t>
  </si>
  <si>
    <t>https://bilder.dasschnelle.at/DasSchnelle/50/5000/9876/044803/G_044803_P_906236030.adn.gif</t>
  </si>
  <si>
    <t>Ettinger, Tanja, Wirtshaus Tilli, Gasthaus • Haibach ob der Donau • Oberösterreich</t>
  </si>
  <si>
    <t>Gastgewerbe - Gasthöfe • Ettinger, Tanja, Wirtshaus Tilli, Staufstraße 1, Haibach ob der Donau • Kontakt über aktuelle Telefonnummern ☎ und Adressen ⚑ mit Karte, Routing, Öffnungszeiten, Homepage, E-Mail, vCard und Firmendaten.</t>
  </si>
  <si>
    <t>Staufstraße 1</t>
  </si>
  <si>
    <t>4083</t>
  </si>
  <si>
    <t>Haibach ob der Donau</t>
  </si>
  <si>
    <t>48.40923</t>
  </si>
  <si>
    <t>13.91687</t>
  </si>
  <si>
    <t>+43727920063</t>
  </si>
  <si>
    <t>office@wirtshaus-tilli.at</t>
  </si>
  <si>
    <t>https://bilder.dasschnelle.at/DasSchnelle/50/5000/9876/044807/G_044807_P_906236038.adn.gif</t>
  </si>
  <si>
    <t>Doplbauer GmbH, Raumausstattung • Eferding • Oberösterreich</t>
  </si>
  <si>
    <t>Raumausstatter • Doplbauer GmbH, Stadtplatz 23, Eferding • Kontakt über aktuelle Telefonnummern ☎ und Adressen ⚑ mit Karte, Routing, Öffnungszeiten, Homepage, E-Mail, vCard und Firmendaten.</t>
  </si>
  <si>
    <t>Stadtplatz 23</t>
  </si>
  <si>
    <t>48.30875</t>
  </si>
  <si>
    <t>14.02306</t>
  </si>
  <si>
    <t>+4372726662</t>
  </si>
  <si>
    <t>offic@doplbauer.at</t>
  </si>
  <si>
    <t>https://bilder.dasschnelle.at/DasSchnelle/50/5000/9876/044805/G_044805_P_906246124.adn.gif</t>
  </si>
  <si>
    <t>Sardest, Nesihe, Dr., FA f Allgemeinmedizin • Eferding • Oberösterreich</t>
  </si>
  <si>
    <t>Ärzte / f Allgemeinmedizin • Sardest, Nesihe, Dr., Unterer Graben 4, Eferding • Kontakt über aktuelle Telefonnummern ☎ und Adressen ⚑ mit Karte, Routing, Öffnungszeiten, Homepage, E-Mail, vCard und Firmendaten.</t>
  </si>
  <si>
    <t>+4372724315</t>
  </si>
  <si>
    <t>https://bilder.dasschnelle.at/DasSchnelle/50/5000/9876/044805/G_044805_P_906274081.adn.gif</t>
  </si>
  <si>
    <t>Langmayr, Karl, Landgasthof • Eferding • Oberösterreich</t>
  </si>
  <si>
    <t>Gastgewerbe - Gasthöfe, Gastronomiebetriebe, Pensionen • Langmayr, Karl, Brandstatt 4, Eferding • Kontakt über aktuelle Telefonnummern ☎ und Adressen ⚑ mit Karte, Routing, Öffnungszeiten, Homepage, E-Mail, vCard und Firmendaten.</t>
  </si>
  <si>
    <t>Brandstatt 4</t>
  </si>
  <si>
    <t>48.3361003</t>
  </si>
  <si>
    <t>14.0240482</t>
  </si>
  <si>
    <t>+4372722324;+436641427172;+4372723111</t>
  </si>
  <si>
    <t>+437272311153</t>
  </si>
  <si>
    <t>gasthof@dieplinger.at</t>
  </si>
  <si>
    <t>https://bilder.dasschnelle.at/DasSchnelle/50/5000/9876/044811/I_044811_P_906009404_L_0036253885_1.png</t>
  </si>
  <si>
    <t>https://bilder.dasschnelle.at/DasSchnelle/50/5000/9876/044811/I_044811_P_906009404_B_0036253885_1.gal.png?height=466&amp;width=700;https://bilder.dasschnelle.at/DasSchnelle/50/5000/9876/044811/I_044811_P_906009404_B_0036253885_2.gal.png?height=468&amp;width=700;https://bilder.dasschnelle.at/DasSchnelle/50/5000/9876/044811/I_044811_P_906009404_B_0036253885_3.gal.png?height=466&amp;width=700;https://bilder.dasschnelle.at/DasSchnelle/50/5000/9876/044811/I_044811_P_906009404_B_0036253885_4.gal.png?height=467&amp;width=700</t>
  </si>
  <si>
    <t>Kidjemet, Stefan, Metalltechnik • Alkoven • Oberösterreich</t>
  </si>
  <si>
    <t>Metallbau • Kidjemet, Stefan, Berghamerstraße 83, Alkoven • Kontakt über aktuelle Telefonnummern ☎ und Adressen ⚑ mit Karte, Routing, Öffnungszeiten, Homepage, E-Mail, vCard und Firmendaten.</t>
  </si>
  <si>
    <t>Berghamerstraße 83</t>
  </si>
  <si>
    <t>48.29279</t>
  </si>
  <si>
    <t>14.12898</t>
  </si>
  <si>
    <t>+43727464503;+4366473787637;+43727420041</t>
  </si>
  <si>
    <t>metall.kidjemet@gmx.at</t>
  </si>
  <si>
    <t>https://bilder.dasschnelle.at/DasSchnelle/50/5000/9876/044803/G_044803_P_906253712.adn.gif</t>
  </si>
  <si>
    <t>Schabetsberger, Gerhard, Installationen • Eferding • Oberösterreich</t>
  </si>
  <si>
    <t>Installationsunternehmen • Schabetsberger, Gerhard, Waschpoint 41, Eferding • Kontakt über aktuelle Telefonnummern ☎ und Adressen ⚑ mit Karte, Routing, Öffnungszeiten, Homepage, E-Mail, vCard und Firmendaten.</t>
  </si>
  <si>
    <t>Waschpoint 41</t>
  </si>
  <si>
    <t>48.3214690</t>
  </si>
  <si>
    <t>14.0192296</t>
  </si>
  <si>
    <t>+4372723521;+436641607046</t>
  </si>
  <si>
    <t>g.schabetsberger@gmx.net</t>
  </si>
  <si>
    <t>https://bilder.dasschnelle.at/DasSchnelle/50/5000/9876/044811/I_044811_P_906017507_L_0036253240_1.png</t>
  </si>
  <si>
    <t>Riffert Metallwaren • Eferding • Oberösterreich</t>
  </si>
  <si>
    <t>Metallwaren • Riffert Metallwaren, Hinzenbach 7, Eferding • Kontakt über aktuelle Telefonnummern ☎ und Adressen ⚑ mit Karte, Routing, Öffnungszeiten, Homepage, E-Mail, vCard und Firmendaten.</t>
  </si>
  <si>
    <t>Hinzenbach 7</t>
  </si>
  <si>
    <t>48.3087869</t>
  </si>
  <si>
    <t>14.0069444</t>
  </si>
  <si>
    <t>+4372722438</t>
  </si>
  <si>
    <t>office@metallwaren-riffert.at</t>
  </si>
  <si>
    <t>https://bilder.dasschnelle.at/DasSchnelle/50/5000/9876/044805/G_044805_P_906242047.adn.gif</t>
  </si>
  <si>
    <t>Klapfenböck Johann Transport GmbH • Alkoven • Oberösterreich</t>
  </si>
  <si>
    <t>Transportunternehmen • Klapfenböck Johann Transport GmbH, Strass 15, Alkoven • Kontakt über aktuelle Telefonnummern ☎ und Adressen ⚑ mit Karte, Routing, Öffnungszeiten, Homepage, E-Mail, vCard und Firmendaten.</t>
  </si>
  <si>
    <t>Strass 15</t>
  </si>
  <si>
    <t>48.2881730</t>
  </si>
  <si>
    <t>14.0819602</t>
  </si>
  <si>
    <t>+4372747040</t>
  </si>
  <si>
    <t>office@klapfenboeck.at</t>
  </si>
  <si>
    <t>https://bilder.dasschnelle.at/DasSchnelle/50/5000/9876/044803/I_044803_P_906048983_L_0036256238_1.png</t>
  </si>
  <si>
    <t>https://bilder.dasschnelle.at/DasSchnelle/50/5000/9876/044803/I_044803_P_906048983_B_0036256238_1.gal.png?height=537&amp;width=720;https://bilder.dasschnelle.at/DasSchnelle/50/5000/9876/044803/I_044803_P_906048983_B_0036256238_2.gal.png?height=537&amp;width=720;https://bilder.dasschnelle.at/DasSchnelle/50/5000/9876/044803/I_044803_P_906048983_B_0036256238_3.gal.png?height=537&amp;width=720;https://bilder.dasschnelle.at/DasSchnelle/50/5000/9876/044803/I_044803_P_906048983_B_0036256238_4.gal.png?height=275&amp;width=720</t>
  </si>
  <si>
    <t>Lehner, Harald, Sonnenschutzanlagen • Eferding • Oberösterreich</t>
  </si>
  <si>
    <t>Baustoffhandel, Sonnenschutzanlagen • Lehner, Harald, Unterschaden 26, Eferding • Kontakt über aktuelle Telefonnummern ☎ und Adressen ⚑ mit Karte, Routing, Öffnungszeiten, Homepage, E-Mail, vCard und Firmendaten.</t>
  </si>
  <si>
    <t>Unterschaden 26</t>
  </si>
  <si>
    <t>48.3162551</t>
  </si>
  <si>
    <t>14.0438718</t>
  </si>
  <si>
    <t>+4372725586</t>
  </si>
  <si>
    <t>lehnerharald@gmx.at</t>
  </si>
  <si>
    <t>https://bilder.dasschnelle.at/DasSchnelle/50/5000/9876/044805/G_044805_P_906246123.adn.gif</t>
  </si>
  <si>
    <t>Pühringer, Silvia, Gasthof • Haibach ob der Donau • Oberösterreich</t>
  </si>
  <si>
    <t>Gastgewerbe - Gasthöfe • Pühringer, Silvia, Moos 2, Haibach ob der Donau • Kontakt über aktuelle Telefonnummern ☎ und Adressen ⚑ mit Karte, Routing, Öffnungszeiten, Homepage, E-Mail, vCard und Firmendaten.</t>
  </si>
  <si>
    <t>Moos 2</t>
  </si>
  <si>
    <t>48.4047599</t>
  </si>
  <si>
    <t>13.8977889</t>
  </si>
  <si>
    <t>+4372798522;+436606069676</t>
  </si>
  <si>
    <t>info@gasthof-silvia.at</t>
  </si>
  <si>
    <t>https://bilder.dasschnelle.at/DasSchnelle/50/5000/9876/044807/I_044807_P_906002447_L_0036253125_1.png</t>
  </si>
  <si>
    <t>https://bilder.dasschnelle.at/DasSchnelle/50/5000/9876/044807/I_044807_P_906002447_B_0036253125_1.gal.png?height=174&amp;width=600;https://bilder.dasschnelle.at/DasSchnelle/50/5000/9876/044807/I_044807_P_906002447_B_0036253125_2.gal.png?height=399&amp;width=600;https://bilder.dasschnelle.at/DasSchnelle/50/5000/9876/044807/I_044807_P_906002447_B_0036253125_3.gal.png?height=320&amp;width=600;https://bilder.dasschnelle.at/DasSchnelle/50/5000/9876/044807/I_044807_P_906002447_B_0036253125_4.gal.png?height=450&amp;width=600</t>
  </si>
  <si>
    <t>Berisha e.U., Malerei • Eferding • Oberösterreich</t>
  </si>
  <si>
    <t>Malereibetriebe • Berisha e.U., Wagrein 76, Eferding • Kontakt über aktuelle Telefonnummern ☎ und Adressen ⚑ mit Karte, Routing, Öffnungszeiten, Homepage, E-Mail, vCard und Firmendaten.</t>
  </si>
  <si>
    <t>Wagrein 76</t>
  </si>
  <si>
    <t>48.3079455</t>
  </si>
  <si>
    <t>14.0085528</t>
  </si>
  <si>
    <t>+436645594257</t>
  </si>
  <si>
    <t>office@berishamalerei.at</t>
  </si>
  <si>
    <t>https://bilder.dasschnelle.at/DasSchnelle/50/5000/9876/044805/I_044805_P_906042342_L_0038338581_1.png</t>
  </si>
  <si>
    <t>https://bilder.dasschnelle.at/DasSchnelle/50/5000/9876/044805/I_044805_P_906042342_B_0038338581_1.gal.png?height=720&amp;width=540;https://bilder.dasschnelle.at/DasSchnelle/50/5000/9876/044805/I_044805_P_906042342_B_0038338581_2.gal.png?height=720&amp;width=540;https://bilder.dasschnelle.at/DasSchnelle/50/5000/9876/044805/I_044805_P_906042342_B_0038338581_3.gal.png?height=720&amp;width=540;https://bilder.dasschnelle.at/DasSchnelle/50/5000/9876/044805/I_044805_P_906042342_B_0038338581_4.gal.png?height=720&amp;width=540;https://bilder.dasschnelle.at/DasSchnelle/50/5000/9876/044805/G_044805_P_906268560.adn.gif</t>
  </si>
  <si>
    <t>Bestattung Neumayr • Eferding • Oberösterreich</t>
  </si>
  <si>
    <t>Bestattungsunternehmen • Bestattung Neumayr, Schaumburgerstraße 14, Eferding • Kontakt über aktuelle Telefonnummern ☎ und Adressen ⚑ mit Karte, Routing, Öffnungszeiten, Homepage, E-Mail, vCard und Firmendaten.</t>
  </si>
  <si>
    <t>Schaumburgerstraße 14</t>
  </si>
  <si>
    <t>48.31022</t>
  </si>
  <si>
    <t>14.02136</t>
  </si>
  <si>
    <t>+43724270539</t>
  </si>
  <si>
    <t>office@bestattung-neumayr.at</t>
  </si>
  <si>
    <t>https://bilder.dasschnelle.at/DasSchnelle/50/5000/9876/044805/G_044805_P_906234723.adn.gif</t>
  </si>
  <si>
    <t>Taxi Hammer • Alkoven • Oberösterreich</t>
  </si>
  <si>
    <t>Taxi • Taxi Hammer, Im Kleefeld 26, Alkoven • Kontakt über aktuelle Telefonnummern ☎ und Adressen ⚑ mit Karte, Routing, Öffnungszeiten, Homepage, E-Mail, vCard und Firmendaten.</t>
  </si>
  <si>
    <t>Im Kleefeld 26</t>
  </si>
  <si>
    <t>48.28816</t>
  </si>
  <si>
    <t>14.13843</t>
  </si>
  <si>
    <t>+43727420909</t>
  </si>
  <si>
    <t>taxi.hammer@gmx.at</t>
  </si>
  <si>
    <t>https://bilder.dasschnelle.at/DasSchnelle/50/5000/9876/044803/G_044803_P_906232918.adn.gif</t>
  </si>
  <si>
    <t>Grabner, Franz, Zimmerei • Stroheim • Oberösterreich</t>
  </si>
  <si>
    <t>Zimmereien • Grabner, Franz, Stroheim 53, Stroheim • Kontakt über aktuelle Telefonnummern ☎ und Adressen ⚑ mit Karte, Routing, Öffnungszeiten, Homepage, E-Mail, vCard und Firmendaten.</t>
  </si>
  <si>
    <t>Stroheim 53</t>
  </si>
  <si>
    <t>4074</t>
  </si>
  <si>
    <t>Stroheim</t>
  </si>
  <si>
    <t>48.3398140</t>
  </si>
  <si>
    <t>13.9589869</t>
  </si>
  <si>
    <t>+4372726866</t>
  </si>
  <si>
    <t>grabner-zimmerei@aon.at</t>
  </si>
  <si>
    <t>https://bilder.dasschnelle.at/DasSchnelle/50/5000/9876/044814/I_044814_P_906005485_L_0036256142_1.png</t>
  </si>
  <si>
    <t>https://bilder.dasschnelle.at/DasSchnelle/50/5000/9876/044814/I_044814_P_906005485_B_0036256142_1.gal.png?height=150&amp;width=200;https://bilder.dasschnelle.at/DasSchnelle/50/5000/9876/044814/I_044814_P_906005485_B_0036256142_2.gal.png?height=450&amp;width=600;https://bilder.dasschnelle.at/DasSchnelle/50/5000/9876/044814/I_044814_P_906005485_B_0036256142_3.gal.png?height=450&amp;width=600;https://bilder.dasschnelle.at/DasSchnelle/50/5000/9876/044814/I_044814_P_906005485_B_0036256142_4.gal.png?height=150&amp;width=200</t>
  </si>
  <si>
    <t>Köberl, Robert, Fahrschule • Alkoven • Oberösterreich</t>
  </si>
  <si>
    <t>Fahrschulen • Köberl, Robert, Hochfeldstraße 1, Alkoven • Kontakt über aktuelle Telefonnummern ☎ und Adressen ⚑ mit Karte, Routing, Öffnungszeiten, Homepage, E-Mail, vCard und Firmendaten.</t>
  </si>
  <si>
    <t>Hochfeldstraße 1</t>
  </si>
  <si>
    <t>48.28892</t>
  </si>
  <si>
    <t>14.11833</t>
  </si>
  <si>
    <t>+43727464747</t>
  </si>
  <si>
    <t>info@fahrschule-myfriends.at</t>
  </si>
  <si>
    <t>https://bilder.dasschnelle.at/DasSchnelle/50/5000/9876/044803/I_044803_P_906005487_L_0036253082_1.png</t>
  </si>
  <si>
    <t>https://bilder.dasschnelle.at/DasSchnelle/50/5000/9876/044803/I_044803_P_906005487_B_0036253082_1.gal.png?height=225&amp;width=300;https://bilder.dasschnelle.at/DasSchnelle/50/5000/9876/044803/I_044803_P_906005487_B_0036253082_2.gal.png?height=225&amp;width=300;https://bilder.dasschnelle.at/DasSchnelle/50/5000/9876/044803/I_044803_P_906005487_B_0036253082_3.gal.png?height=505&amp;width=1000;https://bilder.dasschnelle.at/DasSchnelle/50/5000/9876/044803/I_044803_P_906005487_B_0036253082_4.gal.png?height=168&amp;width=300</t>
  </si>
  <si>
    <t>Maderbacher, Eva, Garten- u Landschaftsgestaltung • Alkoven • Oberösterreich</t>
  </si>
  <si>
    <t>Garten- u. Landschaftsgestaltung • Maderbacher, Eva, Alkovnerstraße 32, Alkoven • Kontakt über aktuelle Telefonnummern ☎ und Adressen ⚑ mit Karte, Routing, Öffnungszeiten, Homepage, E-Mail, vCard und Firmendaten.</t>
  </si>
  <si>
    <t>Alkovnerstraße 32</t>
  </si>
  <si>
    <t>48.2864794</t>
  </si>
  <si>
    <t>14.1435545</t>
  </si>
  <si>
    <t>+4372746442</t>
  </si>
  <si>
    <t>eva.maderbacher@gmx.at</t>
  </si>
  <si>
    <t>https://bilder.dasschnelle.at/DasSchnelle/50/5000/9876/044803/G_044803_P_906240621.adn.gif</t>
  </si>
  <si>
    <t>Toferer Adolf GmbH &amp; Co KG, VW Händler • Eferding • Oberösterreich</t>
  </si>
  <si>
    <t>Autohandel, Autoreparaturen • Toferer Adolf GmbH &amp; Co KG, Bahnhofstraße 57, Eferding • Kontakt über aktuelle Telefonnummern ☎ und Adressen ⚑ mit Karte, Routing, Öffnungszeiten, Homepage, E-Mail, vCard und Firmendaten.</t>
  </si>
  <si>
    <t>Bahnhofstraße 57</t>
  </si>
  <si>
    <t>48.29909</t>
  </si>
  <si>
    <t>14.01375</t>
  </si>
  <si>
    <t>+43727225560;+436643800356</t>
  </si>
  <si>
    <t>+4372723057</t>
  </si>
  <si>
    <t>adolf.toferer@autohaus.at</t>
  </si>
  <si>
    <t>https://bilder.dasschnelle.at/DasSchnelle/50/5000/9876/044805/G_044805_P_906240642.adn.gif</t>
  </si>
  <si>
    <t>Danhofer, Markus, Installateur • Eferding • Oberösterreich</t>
  </si>
  <si>
    <t>Energietechnik, Heizungstechnik, Solaranlagen • Danhofer, Markus, Inn 19, Eferding • Kontakt über aktuelle Telefonnummern ☎ und Adressen ⚑ mit Karte, Routing, Öffnungszeiten, Homepage, E-Mail, vCard und Firmendaten.</t>
  </si>
  <si>
    <t>Inn 19</t>
  </si>
  <si>
    <t>48.2980491</t>
  </si>
  <si>
    <t>14.0517769</t>
  </si>
  <si>
    <t>+4372724174</t>
  </si>
  <si>
    <t>et.danhofer@a1.net</t>
  </si>
  <si>
    <t>Steinkellner Reifen HandelsgesmbH • Enns • Oberösterreich</t>
  </si>
  <si>
    <t>Reifendienste • Steinkellner Reifen HandelsgesmbH, Steyrer Straße 80 B, Enns • Kontakt über aktuelle Telefonnummern ☎ und Adressen ⚑ mit Karte, Routing, Öffnungszeiten, Homepage, E-Mail, vCard und Firmendaten.</t>
  </si>
  <si>
    <t>Steyrer Straße 80 B</t>
  </si>
  <si>
    <t>4470</t>
  </si>
  <si>
    <t>Enns</t>
  </si>
  <si>
    <t>48.18665</t>
  </si>
  <si>
    <t>14.47814</t>
  </si>
  <si>
    <t>+43722384327</t>
  </si>
  <si>
    <t>office@steinkellner-reifen.at</t>
  </si>
  <si>
    <t>https://bilder.dasschnelle.at/DasSchnelle/50/5000/9877/046105/G_046105_P_906188550.adn.gif</t>
  </si>
  <si>
    <t>Ableidinger-Schachinger, Christine, Supervision • Enns • Oberösterreich</t>
  </si>
  <si>
    <t>Supervision • Ableidinger-Schachinger, Christine, Mühlenstraße 15, Enns • Kontakt über aktuelle Telefonnummern ☎ und Adressen ⚑ mit Karte, Routing, Öffnungszeiten, Homepage, E-Mail, vCard und Firmendaten.</t>
  </si>
  <si>
    <t>Mühlenstraße 15</t>
  </si>
  <si>
    <t>48.22383</t>
  </si>
  <si>
    <t>14.46761</t>
  </si>
  <si>
    <t>+436767234300</t>
  </si>
  <si>
    <t>christine.ableidinger@gmx.net</t>
  </si>
  <si>
    <t>https://bilder.dasschnelle.at/DasSchnelle/50/5000/9877/046105/G_046105_P_906202830.adn.gif</t>
  </si>
  <si>
    <t>Steiner, Peter-Josef, Versicherungsmakler • Enns • Oberösterreich</t>
  </si>
  <si>
    <t>Versicherungsmakler • Steiner, Peter-Josef, Dr. Karl Renner-Straße 9, Enns • Kontakt über aktuelle Telefonnummern ☎ und Adressen ⚑ mit Karte, Routing, Öffnungszeiten, Homepage, E-Mail, vCard und Firmendaten.</t>
  </si>
  <si>
    <t>Dr. Karl Renner-Straße 9</t>
  </si>
  <si>
    <t>48.2158606</t>
  </si>
  <si>
    <t>14.4683479</t>
  </si>
  <si>
    <t>+43722381200</t>
  </si>
  <si>
    <t>finanzvers@promakler.at</t>
  </si>
  <si>
    <t>https://bilder.dasschnelle.at/DasSchnelle/50/5000/9877/046105/G_046105_P_906173409.adn.gif</t>
  </si>
  <si>
    <t>Hubert Neundlinger   • Asten • Oberösterreich</t>
  </si>
  <si>
    <t>Sonnen u. Insektenschutz • Hubert Neundlinger, Margaritenstraße 24 A, Asten • Kontakt über aktuelle Telefonnummern ☎ und Adressen ⚑ mit Karte, Routing, Öffnungszeiten, Homepage, E-Mail, vCard und Firmendaten.</t>
  </si>
  <si>
    <t>Margaritenstraße 24 A</t>
  </si>
  <si>
    <t>4481</t>
  </si>
  <si>
    <t>Asten</t>
  </si>
  <si>
    <t>48.21368</t>
  </si>
  <si>
    <t>14.42688</t>
  </si>
  <si>
    <t>+43676844533333</t>
  </si>
  <si>
    <t>office@neunsonnen.at</t>
  </si>
  <si>
    <t>https://bilder.dasschnelle.at/DasSchnelle/50/5000/9877/046103/I_046103_P_905942731_L_0036234696_1.png</t>
  </si>
  <si>
    <t>https://bilder.dasschnelle.at/DasSchnelle/50/5000/9877/046103/I_046103_P_905942731_B_0036234696_1.gal.png?height=450&amp;width=600;https://bilder.dasschnelle.at/DasSchnelle/50/5000/9877/046103/I_046103_P_905942731_B_0036234696_2.gal.png?height=450&amp;width=600;https://bilder.dasschnelle.at/DasSchnelle/50/5000/9877/046103/I_046103_P_905942731_B_0036234696_3.gal.png?height=450&amp;width=600;https://bilder.dasschnelle.at/DasSchnelle/50/5000/9877/046103/I_046103_P_905942731_B_0036234696_4.gal.png?height=450&amp;width=600;https://bilder.dasschnelle.at/DasSchnelle/50/5000/9877/046103/G_046103_P_906179621.adn.gif</t>
  </si>
  <si>
    <t>Perndorfer H. GesmbH, Kfz-Meisterbetrieb • Enns • Oberösterreich</t>
  </si>
  <si>
    <t>Autoreparaturen • Perndorfer H. GesmbH, Dr. Körner-Straße 2, Enns • Kontakt über aktuelle Telefonnummern ☎ und Adressen ⚑ mit Karte, Routing, Öffnungszeiten, Homepage, E-Mail, vCard und Firmendaten.</t>
  </si>
  <si>
    <t>Dr. Körner-Straße 2</t>
  </si>
  <si>
    <t>48.21714</t>
  </si>
  <si>
    <t>14.43881</t>
  </si>
  <si>
    <t>+437223823770</t>
  </si>
  <si>
    <t>office@kfz-perndorfer.at</t>
  </si>
  <si>
    <t>https://bilder.dasschnelle.at/DasSchnelle/50/5000/9877/046105/G_046105_P_906173408.adn.gif</t>
  </si>
  <si>
    <t>Kneifel, Georg, Landschaftspflege • Hargelsberg • Oberösterreich</t>
  </si>
  <si>
    <t>Garten- u. Landschaftspflege • Kneifel, Georg, Sieding 16, Hargelsberg • Kontakt über aktuelle Telefonnummern ☎ und Adressen ⚑ mit Karte, Routing, Öffnungszeiten, Homepage, E-Mail, vCard und Firmendaten.</t>
  </si>
  <si>
    <t>Sieding 16</t>
  </si>
  <si>
    <t>4483</t>
  </si>
  <si>
    <t>Hargelsberg</t>
  </si>
  <si>
    <t>48.1354013</t>
  </si>
  <si>
    <t>14.4354881</t>
  </si>
  <si>
    <t>+4372257367</t>
  </si>
  <si>
    <t>david.kneifel@gmail.com</t>
  </si>
  <si>
    <t>https://bilder.dasschnelle.at/DasSchnelle/50/5000/9877/046106/G_046106_P_906192392.adn.gif</t>
  </si>
  <si>
    <t>Haareszeiten Salon, Friseur • Enns • Oberösterreich</t>
  </si>
  <si>
    <t>Friseure • Haareszeiten Salon, Wiener Straße 1, Enns • Kontakt über aktuelle Telefonnummern ☎ und Adressen ⚑ mit Karte, Routing, Öffnungszeiten, Homepage, E-Mail, vCard und Firmendaten.</t>
  </si>
  <si>
    <t>Wiener Straße 1</t>
  </si>
  <si>
    <t>48.21321</t>
  </si>
  <si>
    <t>14.47932</t>
  </si>
  <si>
    <t>+43722384043</t>
  </si>
  <si>
    <t>office@haareszeiten.at</t>
  </si>
  <si>
    <t>https://bilder.dasschnelle.at/DasSchnelle/50/5000/9877/046105/I_046105_P_905941504_L_0036240561_1.png</t>
  </si>
  <si>
    <t>https://bilder.dasschnelle.at/DasSchnelle/50/5000/9877/046105/I_046105_P_905941504_B_0036240561_1.gal.png?height=450&amp;width=299;https://bilder.dasschnelle.at/DasSchnelle/50/5000/9877/046105/I_046105_P_905941504_B_0036240561_2.gal.png?height=399&amp;width=600;https://bilder.dasschnelle.at/DasSchnelle/50/5000/9877/046105/I_046105_P_905941504_B_0036240561_3.gal.png?height=399&amp;width=600;https://bilder.dasschnelle.at/DasSchnelle/50/5000/9877/046105/I_046105_P_905941504_B_0036240561_4.gal.png?height=399&amp;width=600</t>
  </si>
  <si>
    <t>Brunner, Friedrich, Versicherungen • Enns • Oberösterreich</t>
  </si>
  <si>
    <t>Versicherungsunternehmen • Brunner, Friedrich, Dr. Enzinger-Straße 2, Enns • Kontakt über aktuelle Telefonnummern ☎ und Adressen ⚑ mit Karte, Routing, Öffnungszeiten, Homepage, E-Mail, vCard und Firmendaten.</t>
  </si>
  <si>
    <t>Dr. Enzinger-Straße 2</t>
  </si>
  <si>
    <t>48.21955</t>
  </si>
  <si>
    <t>14.48169</t>
  </si>
  <si>
    <t>+43722382487;+436644252140</t>
  </si>
  <si>
    <t>f-k.brunner@donauversicherung.at</t>
  </si>
  <si>
    <t>https://bilder.dasschnelle.at/DasSchnelle/50/5000/9877/046105/G_046105_P_906202828.adn.gif</t>
  </si>
  <si>
    <t>Matri, Veronika, Ennser-Taxi • Enns • Oberösterreich</t>
  </si>
  <si>
    <t>Taxi • Matri, Veronika, Feldstraße 13, Enns • Kontakt über aktuelle Telefonnummern ☎ und Adressen ⚑ mit Karte, Routing, Öffnungszeiten, Homepage, E-Mail, vCard und Firmendaten.</t>
  </si>
  <si>
    <t>Feldstraße 13</t>
  </si>
  <si>
    <t>48.22335</t>
  </si>
  <si>
    <t>14.46533</t>
  </si>
  <si>
    <t>+436641801711</t>
  </si>
  <si>
    <t>office@ennsertaxiveronika.at</t>
  </si>
  <si>
    <t>https://bilder.dasschnelle.at/DasSchnelle/50/5000/9877/046105/I_046105_P_905943957_L_0036250667_1.png</t>
  </si>
  <si>
    <t>https://bilder.dasschnelle.at/DasSchnelle/50/5000/9877/046105/I_046105_P_905943957_B_0036250667_1.gal.png?height=117&amp;width=600;https://bilder.dasschnelle.at/DasSchnelle/50/5000/9877/046105/I_046105_P_905943957_B_0036250667_2.gal.png?height=121&amp;width=600;https://bilder.dasschnelle.at/DasSchnelle/50/5000/9877/046105/I_046105_P_905943957_B_0036250667_3.gal.png?height=175&amp;width=600</t>
  </si>
  <si>
    <t>Jungwirth, Jürgen, Autolackierereien • Sankt Florian • Oberösterreich</t>
  </si>
  <si>
    <t>Autolackierereien, Malereibetriebe • Jungwirth, Jürgen, Linzer Straße 32, Sankt Florian • Kontakt über aktuelle Telefonnummern ☎ und Adressen ⚑ mit Karte, Routing, Öffnungszeiten, Homepage, E-Mail, vCard und Firmendaten.</t>
  </si>
  <si>
    <t>Linzer Straße 32</t>
  </si>
  <si>
    <t>4490</t>
  </si>
  <si>
    <t>Sankt Florian</t>
  </si>
  <si>
    <t>48.20392</t>
  </si>
  <si>
    <t>14.37309</t>
  </si>
  <si>
    <t>+4372244246</t>
  </si>
  <si>
    <t>office@lackiererei-jungwirth.at</t>
  </si>
  <si>
    <t>https://bilder.dasschnelle.at/DasSchnelle/50/5000/9877/046112/G_046112_P_906174353.adn.gif</t>
  </si>
  <si>
    <t>Niedermaier Petra Salon Petra, Friseure • Enns • Oberösterreich</t>
  </si>
  <si>
    <t>Friseure • Niedermaier Petra Salon Petra, Hanuschstraße 31, Enns • Kontakt über aktuelle Telefonnummern ☎ und Adressen ⚑ mit Karte, Routing, Öffnungszeiten, Homepage, E-Mail, vCard und Firmendaten.</t>
  </si>
  <si>
    <t>Hanuschstraße 31</t>
  </si>
  <si>
    <t>48.21831</t>
  </si>
  <si>
    <t>14.47731</t>
  </si>
  <si>
    <t>+43722385667</t>
  </si>
  <si>
    <t>petra.braunstein@gmx.net</t>
  </si>
  <si>
    <t>https://bilder.dasschnelle.at/DasSchnelle/50/5000/9877/046105/G_046105_P_906174395.adn.gif</t>
  </si>
  <si>
    <t>Ferge &amp; Partner ZT-OG, Vermessung • Enns • Oberösterreich</t>
  </si>
  <si>
    <t>Vermessungsbüros • Ferge &amp; Partner ZT-OG, Bräuergasse 12, Enns • Kontakt über aktuelle Telefonnummern ☎ und Adressen ⚑ mit Karte, Routing, Öffnungszeiten, Homepage, E-Mail, vCard und Firmendaten.</t>
  </si>
  <si>
    <t>Bräuergasse 12</t>
  </si>
  <si>
    <t>48.21406</t>
  </si>
  <si>
    <t>14.47736</t>
  </si>
  <si>
    <t>+43722382609</t>
  </si>
  <si>
    <t>office@ferge.at</t>
  </si>
  <si>
    <t>https://bilder.dasschnelle.at/DasSchnelle/50/5000/9877/046105/G_046105_P_906197583.adn.gif</t>
  </si>
  <si>
    <t>Fahrschule Grubhofer-Enns Inh Christian Rothbauer, Fahrschulen • Enns • Oberösterreich</t>
  </si>
  <si>
    <t>Fahrschulen • Fahrschule Grubhofer-Enns Inh Christian Rothbauer, Stadlgasse 4, Enns • Kontakt über aktuelle Telefonnummern ☎ und Adressen ⚑ mit Karte, Routing, Öffnungszeiten, Homepage, E-Mail, vCard und Firmendaten.</t>
  </si>
  <si>
    <t>Stadlgasse 4</t>
  </si>
  <si>
    <t>48.21672</t>
  </si>
  <si>
    <t>14.47691</t>
  </si>
  <si>
    <t>+43722382435</t>
  </si>
  <si>
    <t>+4372238243517</t>
  </si>
  <si>
    <t>fahrschule-grubhofer@aon.at</t>
  </si>
  <si>
    <t>https://bilder.dasschnelle.at/DasSchnelle/50/5000/9877/046105/G_046105_P_906185805.adn.gif</t>
  </si>
  <si>
    <t>Lehenbauer, Ernst, Mag., Rechtsanwälte • Enns • Oberösterreich</t>
  </si>
  <si>
    <t>Rechtsanwälte • Lehenbauer, Ernst, Mag., Hauptplatz 21, Enns • Kontakt über aktuelle Telefonnummern ☎ und Adressen ⚑ mit Karte, Routing, Öffnungszeiten, Homepage, E-Mail, vCard und Firmendaten.</t>
  </si>
  <si>
    <t>Hauptplatz 21</t>
  </si>
  <si>
    <t>48.21381</t>
  </si>
  <si>
    <t>14.47975</t>
  </si>
  <si>
    <t>+43722381010</t>
  </si>
  <si>
    <t>kanzlei@ra-lehenbauer.at</t>
  </si>
  <si>
    <t>https://bilder.dasschnelle.at/DasSchnelle/50/5000/9877/046105/G_046105_P_906162787.adn.gif</t>
  </si>
  <si>
    <t>Pühringer, Karl, Tischlerei • Unterweidlham • Oberösterreich</t>
  </si>
  <si>
    <t>Tischlereien • Pühringer, Karl, Unterweidlham • Kontakt über aktuelle Telefonnummern ☎ und Adressen ⚑ mit Karte, Routing, Öffnungszeiten, Homepage, E-Mail, vCard und Firmendaten.</t>
  </si>
  <si>
    <t>Unterweidlham</t>
  </si>
  <si>
    <t>48.1914354</t>
  </si>
  <si>
    <t>14.4115736</t>
  </si>
  <si>
    <t>+4372248430</t>
  </si>
  <si>
    <t>puehringer.karl@aon.at</t>
  </si>
  <si>
    <t>https://bilder.dasschnelle.at/DasSchnelle/50/5000/9877/046112/G_046112_P_906178323.adn.gif</t>
  </si>
  <si>
    <t>Grafendorfer, Gerald, Karosserie • Enns • Oberösterreich</t>
  </si>
  <si>
    <t>Karosseriebau • Grafendorfer, Gerald, Caracalla-Straße 16, Enns • Kontakt über aktuelle Telefonnummern ☎ und Adressen ⚑ mit Karte, Routing, Öffnungszeiten, Homepage, E-Mail, vCard und Firmendaten.</t>
  </si>
  <si>
    <t>Caracalla-Straße 16</t>
  </si>
  <si>
    <t>48.21915</t>
  </si>
  <si>
    <t>14.46302</t>
  </si>
  <si>
    <t>+43722381970</t>
  </si>
  <si>
    <t>office@grafendorfer.com</t>
  </si>
  <si>
    <t>https://bilder.dasschnelle.at/DasSchnelle/50/5000/9877/046105/I_046105_P_905935439_L_0036234685_1.png</t>
  </si>
  <si>
    <t>https://bilder.dasschnelle.at/DasSchnelle/50/5000/9877/046105/I_046105_P_905935439_B_0036234685_1.gal.png?height=589&amp;width=786;https://bilder.dasschnelle.at/DasSchnelle/50/5000/9877/046105/I_046105_P_905935439_B_0036234685_2.gal.png?height=384&amp;width=785;https://bilder.dasschnelle.at/DasSchnelle/50/5000/9877/046105/I_046105_P_905935439_B_0036234685_3.gal.png?height=189&amp;width=600;https://bilder.dasschnelle.at/DasSchnelle/50/5000/9877/046105/I_046105_P_905935439_B_0036234685_4.gal.png?height=438&amp;width=269</t>
  </si>
  <si>
    <t>THS Service KG, Autohandel • Weiz • Steiermark</t>
  </si>
  <si>
    <t>Autohandel • THS Service KG, Etzersdorf 151, Weiz • Kontakt über aktuelle Telefonnummern ☎ und Adressen ⚑ mit Karte, Routing, Öffnungszeiten, Homepage, E-Mail, vCard und Firmendaten.</t>
  </si>
  <si>
    <t>Etzersdorf 151</t>
  </si>
  <si>
    <t>8160</t>
  </si>
  <si>
    <t>Weiz</t>
  </si>
  <si>
    <t>47.1938686</t>
  </si>
  <si>
    <t>15.6954020</t>
  </si>
  <si>
    <t>+4331772614</t>
  </si>
  <si>
    <t>verkaut@autoschwab.at</t>
  </si>
  <si>
    <t>https://bilder.dasschnelle.at/DasSchnelle/50/5000/9944/061402/G_061402_P_906162774.adn.gif</t>
  </si>
  <si>
    <t>Zöhrer, Herbert, Sägewerk • Weiz • Steiermark</t>
  </si>
  <si>
    <t>Säge- u. Hobelwerke • Zöhrer, Herbert, Naas 29, Weiz • Kontakt über aktuelle Telefonnummern ☎ und Adressen ⚑ mit Karte, Routing, Öffnungszeiten, Homepage, E-Mail, vCard und Firmendaten.</t>
  </si>
  <si>
    <t>Naas 29</t>
  </si>
  <si>
    <t>47.2522569</t>
  </si>
  <si>
    <t>15.5935839</t>
  </si>
  <si>
    <t>+436641615216</t>
  </si>
  <si>
    <t>zoehrer.herbert@live.at</t>
  </si>
  <si>
    <t>https://bilder.dasschnelle.at/DasSchnelle/50/5000/9944/045611/G_045611_P_906156969.adn.gif</t>
  </si>
  <si>
    <t>Bauer, Christian, Dr.med., FA f Frauenheilkunde • Gleisdorf • Steiermark</t>
  </si>
  <si>
    <t>Ärzte / Fachärzte f. Frauenheilkunde u. Geburtshilfe • Bauer, Christian, Dr.med., Bürgergasse 25, Gleisdorf • Kontakt über aktuelle Telefonnummern ☎ und Adressen ⚑ mit Karte, Routing, Öffnungszeiten, Homepage, E-Mail, vCard und Firmendaten.</t>
  </si>
  <si>
    <t>Bürgergasse 25</t>
  </si>
  <si>
    <t>8200</t>
  </si>
  <si>
    <t>Gleisdorf</t>
  </si>
  <si>
    <t>47.10471</t>
  </si>
  <si>
    <t>15.70722</t>
  </si>
  <si>
    <t>+43311226513</t>
  </si>
  <si>
    <t>praxis@frauenarzt-bauer.at</t>
  </si>
  <si>
    <t>https://bilder.dasschnelle.at/DasSchnelle/50/5000/9944/061361/G_061361_P_906198485.adn.gif</t>
  </si>
  <si>
    <t>Eber, Nadja, Blumenhandel • Gleisdorf • Steiermark</t>
  </si>
  <si>
    <t>Blumenhandel • Eber, Nadja, Schillerstraße 20, Gleisdorf • Kontakt über aktuelle Telefonnummern ☎ und Adressen ⚑ mit Karte, Routing, Öffnungszeiten, Homepage, E-Mail, vCard und Firmendaten.</t>
  </si>
  <si>
    <t>Schillerstraße 20</t>
  </si>
  <si>
    <t>47.10304</t>
  </si>
  <si>
    <t>15.70763</t>
  </si>
  <si>
    <t>+4331125235</t>
  </si>
  <si>
    <t>blumen-eck@aon.at</t>
  </si>
  <si>
    <t>https://bilder.dasschnelle.at/DasSchnelle/50/5000/9944/061361/G_061361_P_906154319.adn.gif</t>
  </si>
  <si>
    <t>Pizzeria - Cafe - Bar Angela • Gleisdorf • Steiermark</t>
  </si>
  <si>
    <t>Pizzerias • Pizzeria - Cafe - Bar Angela, Ludersdorf 204, Gleisdorf • Kontakt über aktuelle Telefonnummern ☎ und Adressen ⚑ mit Karte, Routing, Öffnungszeiten, Homepage, E-Mail, vCard und Firmendaten.</t>
  </si>
  <si>
    <t>Ludersdorf 204</t>
  </si>
  <si>
    <t>47.1030136</t>
  </si>
  <si>
    <t>15.6838415</t>
  </si>
  <si>
    <t>+43311236252</t>
  </si>
  <si>
    <t>office@hotelcheckin.at</t>
  </si>
  <si>
    <t>https://bilder.dasschnelle.at/DasSchnelle/50/5000/9944/045607/G_045607_P_906167329.adn.gif</t>
  </si>
  <si>
    <t>Jessner, Alfred, Dr., FA f Orthopädie • Gleisdorf • Steiermark</t>
  </si>
  <si>
    <t>Ärzte / Fachärzte f. Orthopädie u. Orthopädische Chirurgie • Jessner, Alfred, Dr., Schillerstraße 13, Gleisdorf • Kontakt über aktuelle Telefonnummern ☎ und Adressen ⚑ mit Karte, Routing, Öffnungszeiten, Homepage, E-Mail, vCard und Firmendaten.</t>
  </si>
  <si>
    <t>Schillerstraße 13</t>
  </si>
  <si>
    <t>47.10289</t>
  </si>
  <si>
    <t>15.70935</t>
  </si>
  <si>
    <t>+43311251880</t>
  </si>
  <si>
    <t>office@a-jessner.at</t>
  </si>
  <si>
    <t>https://bilder.dasschnelle.at/DasSchnelle/50/5000/9944/061361/G_061361_P_906202840.adn.gif</t>
  </si>
  <si>
    <t>Jessner, Alfred, Dr., FA f Orthopädie • Weiz • Steiermark</t>
  </si>
  <si>
    <t>Ärzte / Fachärzte f. Orthopädie u. Orthopädische Chirurgie • Jessner, Alfred, Dr., Klammstraße 73, Weiz • Kontakt über aktuelle Telefonnummern ☎ und Adressen ⚑ mit Karte, Routing, Öffnungszeiten, Homepage, E-Mail, vCard und Firmendaten.</t>
  </si>
  <si>
    <t>Klammstraße 73</t>
  </si>
  <si>
    <t>47.22398</t>
  </si>
  <si>
    <t>15.61762</t>
  </si>
  <si>
    <t>+43317270570</t>
  </si>
  <si>
    <t>https://bilder.dasschnelle.at/DasSchnelle/50/5000/9944/061397/G_061397_P_906202841.adn.gif</t>
  </si>
  <si>
    <t>Apotheke Paracelsus Magpharm Roland Palten • Weiz • Steiermark</t>
  </si>
  <si>
    <t>Apotheken • Apotheke Paracelsus Magpharm Roland Palten, Birkfelder Straße 1, Weiz • Kontakt über aktuelle Telefonnummern ☎ und Adressen ⚑ mit Karte, Routing, Öffnungszeiten, Homepage, E-Mail, vCard und Firmendaten.</t>
  </si>
  <si>
    <t>Birkfelder Straße 1</t>
  </si>
  <si>
    <t>47.21712</t>
  </si>
  <si>
    <t>15.62668</t>
  </si>
  <si>
    <t>+43317236500</t>
  </si>
  <si>
    <t>office@paracelsus-weiz.at</t>
  </si>
  <si>
    <t>https://bilder.dasschnelle.at/DasSchnelle/50/5000/9944/061397/G_061397_P_906229987.adn.gif</t>
  </si>
  <si>
    <t>Hulfeld, Martin, MH Farbenschmiede • Passail • Steiermark</t>
  </si>
  <si>
    <t>Malereibetriebe • Hulfeld, Martin, MH Farbenschmiede, Hohenau 120, Passail • Kontakt über aktuelle Telefonnummern ☎ und Adressen ⚑ mit Karte, Routing, Öffnungszeiten, Homepage, E-Mail, vCard und Firmendaten.</t>
  </si>
  <si>
    <t>Hohenau 120</t>
  </si>
  <si>
    <t>8162</t>
  </si>
  <si>
    <t>Passail</t>
  </si>
  <si>
    <t>47.2901707</t>
  </si>
  <si>
    <t>15.5149416</t>
  </si>
  <si>
    <t>+43317923082</t>
  </si>
  <si>
    <t>office@farbenschmiede.at</t>
  </si>
  <si>
    <t>https://bilder.dasschnelle.at/DasSchnelle/50/5000/9944/061369/I_061369_P_905932440_L_0035974269_1.png</t>
  </si>
  <si>
    <t>https://bilder.dasschnelle.at/DasSchnelle/50/5000/9944/061369/I_061369_P_905932440_B_0035974269_1.gal.png?height=741&amp;width=1000;https://bilder.dasschnelle.at/DasSchnelle/50/5000/9944/061369/I_061369_P_905932440_B_0035974269_2.gal.png?height=543&amp;width=960;https://bilder.dasschnelle.at/DasSchnelle/50/5000/9944/061369/G_061369_P_906169854.adn.gif</t>
  </si>
  <si>
    <t>Kober, Alexandra, Buchbinderei • Ludersdorf</t>
  </si>
  <si>
    <t>Buchbindereien • Kober, Alexandra, Ludersdorf • Kontakt über aktuelle Telefonnummern ☎ und Adressen ⚑ mit Karte, Routing, Öffnungszeiten, Homepage, E-Mail, vCard und Firmendaten.</t>
  </si>
  <si>
    <t>Ludersdorf</t>
  </si>
  <si>
    <t>47.1241003</t>
  </si>
  <si>
    <t>15.6757915</t>
  </si>
  <si>
    <t>+43311233420</t>
  </si>
  <si>
    <t>office@schlossbuchbinderei.com</t>
  </si>
  <si>
    <t>https://bilder.dasschnelle.at/DasSchnelle/50/5000/9944/045607/I_045607_P_905935275_L_0035970061_1.png</t>
  </si>
  <si>
    <t>https://bilder.dasschnelle.at/DasSchnelle/50/5000/9944/045607/I_045607_P_905935275_B_0035970061_1.gal.png?height=400&amp;width=600;https://bilder.dasschnelle.at/DasSchnelle/50/5000/9944/045607/I_045607_P_905935275_B_0035970061_2.gal.png?height=382&amp;width=600;https://bilder.dasschnelle.at/DasSchnelle/50/5000/9944/045607/I_045607_P_905935275_B_0035970061_3.gal.png?height=450&amp;width=600;https://bilder.dasschnelle.at/DasSchnelle/50/5000/9944/045607/I_045607_P_905935275_B_0035970061_4.gal.png?height=375&amp;width=600</t>
  </si>
  <si>
    <t>Schlosstaverne GmbH, Gastgewerbe - Gasthöfe • Oberfladnitz-Thannhausen</t>
  </si>
  <si>
    <t>Gastgewerbe - Gasthöfe • Schlosstaverne GmbH, Schlossgasse 100, Oberfladnitz-Thannhausen • Kontakt über aktuelle Telefonnummern ☎ und Adressen ⚑ mit Karte, Routing, Öffnungszeiten, Homepage, E-Mail, vCard und Firmendaten.</t>
  </si>
  <si>
    <t>Schlossgasse 100</t>
  </si>
  <si>
    <t>Oberfladnitz-Thannhausen</t>
  </si>
  <si>
    <t>47.22742</t>
  </si>
  <si>
    <t>15.64051</t>
  </si>
  <si>
    <t>+4331723333</t>
  </si>
  <si>
    <t>office@schlosstaverne-thannhausen.at</t>
  </si>
  <si>
    <t>https://bilder.dasschnelle.at/DasSchnelle/50/5000/9944/045630/G_045630_P_906174340.adn.gif</t>
  </si>
  <si>
    <t>BVH Strempfl GmbH, Baumaschinenhandel • Pischelsdorf in der Steiermark • Steiermark</t>
  </si>
  <si>
    <t>Baumaschinenhandel • BVH Strempfl GmbH, Pischelsdorf in der Steiermark • Kontakt über aktuelle Telefonnummern ☎ und Adressen ⚑ mit Karte, Routing, Öffnungszeiten, Homepage, E-Mail, vCard und Firmendaten.</t>
  </si>
  <si>
    <t>8212</t>
  </si>
  <si>
    <t>Pischelsdorf in der Steiermark</t>
  </si>
  <si>
    <t>47.1737600</t>
  </si>
  <si>
    <t>15.7942800</t>
  </si>
  <si>
    <t>+43311351531;+436641310240;+436645032130</t>
  </si>
  <si>
    <t>bvh.strempfl@aon.at</t>
  </si>
  <si>
    <t>https://bilder.dasschnelle.at/DasSchnelle/50/5000/9944/061407/G_061407_P_906154895.adn.gif</t>
  </si>
  <si>
    <t>KLEINTIERPRAXIS WEIZ • Weiz • Steiermark</t>
  </si>
  <si>
    <t>Tierärzte • KLEINTIERPRAXIS WEIZ, Bahnhofstraße 22, Weiz • Kontakt über aktuelle Telefonnummern ☎ und Adressen ⚑ mit Karte, Routing, Öffnungszeiten, Homepage, E-Mail, vCard und Firmendaten.</t>
  </si>
  <si>
    <t>Bahnhofstraße 22</t>
  </si>
  <si>
    <t>47.21434</t>
  </si>
  <si>
    <t>15.62977</t>
  </si>
  <si>
    <t>+436641804626</t>
  </si>
  <si>
    <t>h.lehmann@inode.at</t>
  </si>
  <si>
    <t>https://bilder.dasschnelle.at/DasSchnelle/50/5000/9944/061397/G_061397_P_906197579.adn.gif</t>
  </si>
  <si>
    <t>Fensterhaus Reith GmbH • Passail • Steiermark</t>
  </si>
  <si>
    <t>Fensterhandel u. diverse Montagen • Fensterhaus Reith GmbH, Angerstraße 2, Passail • Kontakt über aktuelle Telefonnummern ☎ und Adressen ⚑ mit Karte, Routing, Öffnungszeiten, Homepage, E-Mail, vCard und Firmendaten.</t>
  </si>
  <si>
    <t>Angerstraße 2</t>
  </si>
  <si>
    <t>47.2814479</t>
  </si>
  <si>
    <t>15.5151417</t>
  </si>
  <si>
    <t>+43317923371;+436644427512</t>
  </si>
  <si>
    <t>reith@fensterhaus.at</t>
  </si>
  <si>
    <t>https://bilder.dasschnelle.at/DasSchnelle/50/5000/9944/061369/I_061369_P_905951890_L_0037366630_1.png</t>
  </si>
  <si>
    <t>https://bilder.dasschnelle.at/DasSchnelle/50/5000/9944/061369/I_061369_P_905951890_B_0037366630_1.gal.png?height=269&amp;width=356;https://bilder.dasschnelle.at/DasSchnelle/50/5000/9944/061369/I_061369_P_905951890_B_0037366630_2.gal.png?height=266&amp;width=354;https://bilder.dasschnelle.at/DasSchnelle/50/5000/9944/061369/I_061369_P_905951890_B_0037366630_3.gal.png?height=269&amp;width=359;https://bilder.dasschnelle.at/DasSchnelle/50/5000/9944/061369/I_061369_P_905951890_B_0037366630_4.gal.png?height=271&amp;width=359;https://bilder.dasschnelle.at/DasSchnelle/50/5000/9944/061369/G_061369_P_906192388.adn.gif</t>
  </si>
  <si>
    <t>Rahm, Franz, Tischlerei • Fünfing bei Sankt Ruprecht • Steiermark</t>
  </si>
  <si>
    <t>Montagen u. Montagetechnik, Tischlereien • Rahm, Franz, Winterdorf 97, Fünfing bei Sankt Ruprecht • Kontakt über aktuelle Telefonnummern ☎ und Adressen ⚑ mit Karte, Routing, Öffnungszeiten, Homepage, E-Mail, vCard und Firmendaten.</t>
  </si>
  <si>
    <t>Winterdorf 97</t>
  </si>
  <si>
    <t>8181</t>
  </si>
  <si>
    <t>Fünfing bei Sankt Ruprecht</t>
  </si>
  <si>
    <t>47.1343</t>
  </si>
  <si>
    <t>15.6601</t>
  </si>
  <si>
    <t>+43317832970;+436642301436</t>
  </si>
  <si>
    <t>office@tischlerei-rahm.at</t>
  </si>
  <si>
    <t>https://bilder.dasschnelle.at/DasSchnelle/50/5000/9944/061402/I_061402_P_905939047_L_0036250435_1.png</t>
  </si>
  <si>
    <t>https://bilder.dasschnelle.at/DasSchnelle/50/5000/9944/061402/I_061402_P_905939047_B_0036250435_1.gal.png?height=276&amp;width=276;https://bilder.dasschnelle.at/DasSchnelle/50/5000/9944/061402/I_061402_P_905939047_B_0036250435_2.gal.png?height=276&amp;width=276;https://bilder.dasschnelle.at/DasSchnelle/50/5000/9944/061402/I_061402_P_905939047_B_0036250435_3.gal.png?height=276&amp;width=276;https://bilder.dasschnelle.at/DasSchnelle/50/5000/9944/061402/I_061402_P_905939047_B_0036250435_4.gal.png?height=276&amp;width=276</t>
  </si>
  <si>
    <t>Frisör Fragner GmbH, Friseur • Weiz • Steiermark</t>
  </si>
  <si>
    <t>Friseure • Frisör Fragner GmbH, Birkfelder Straße 25, Weiz • Kontakt über aktuelle Telefonnummern ☎ und Adressen ⚑ mit Karte, Routing, Öffnungszeiten, Homepage, E-Mail, vCard und Firmendaten.</t>
  </si>
  <si>
    <t>Birkfelder Straße 25</t>
  </si>
  <si>
    <t>47.21852</t>
  </si>
  <si>
    <t>15.62907</t>
  </si>
  <si>
    <t>+4331722294</t>
  </si>
  <si>
    <t>rosenfelder@gmx.at</t>
  </si>
  <si>
    <t>https://bilder.dasschnelle.at/DasSchnelle/50/5000/9944/061397/G_061397_P_906162786.adn.gif</t>
  </si>
  <si>
    <t>Neuhold, Marco, Fliesen • Rollsdorf • Steiermark</t>
  </si>
  <si>
    <t>Fliesenfachhandel • Neuhold, Marco, Rollsdorf • Kontakt über aktuelle Telefonnummern ☎ und Adressen ⚑ mit Karte, Routing, Öffnungszeiten, Homepage, E-Mail, vCard und Firmendaten.</t>
  </si>
  <si>
    <t>Rollsdorf</t>
  </si>
  <si>
    <t>47.1849683</t>
  </si>
  <si>
    <t>15.7066181</t>
  </si>
  <si>
    <t>+43317725613;+436644030515</t>
  </si>
  <si>
    <t>office@fliesenblitz.at</t>
  </si>
  <si>
    <t>https://bilder.dasschnelle.at/DasSchnelle/50/5000/9944/061402/I_061402_P_905959833_L_0036252650_1.png</t>
  </si>
  <si>
    <t>https://bilder.dasschnelle.at/DasSchnelle/50/5000/9944/061402/I_061402_P_905959833_B_0036252650_1.gal.png?height=450&amp;width=337;https://bilder.dasschnelle.at/DasSchnelle/50/5000/9944/061402/I_061402_P_905959833_B_0036252650_2.gal.png?height=450&amp;width=337;https://bilder.dasschnelle.at/DasSchnelle/50/5000/9944/061402/I_061402_P_905959833_B_0036252650_3.gal.png?height=450&amp;width=600;https://bilder.dasschnelle.at/DasSchnelle/50/5000/9944/061402/I_061402_P_905959833_B_0036252650_4.gal.png?height=449&amp;width=600</t>
  </si>
  <si>
    <t>Absenger, Johannes, Installationsunternehmen • Gleisdorf • Steiermark</t>
  </si>
  <si>
    <t>Installationsunternehmen • Absenger, Johannes, Ungerdorf 239, Gleisdorf • Kontakt über aktuelle Telefonnummern ☎ und Adressen ⚑ mit Karte, Routing, Öffnungszeiten, Homepage, E-Mail, vCard und Firmendaten.</t>
  </si>
  <si>
    <t>Ungerdorf 239</t>
  </si>
  <si>
    <t>47.0949568</t>
  </si>
  <si>
    <t>15.6892198</t>
  </si>
  <si>
    <t>+436642505805</t>
  </si>
  <si>
    <t>office@h-absenger.at</t>
  </si>
  <si>
    <t>https://bilder.dasschnelle.at/DasSchnelle/50/5000/9944/061361/G_061361_P_906185814.adn.gif</t>
  </si>
  <si>
    <t>Feichtinger, Wolfgang, Konditor • Weiz • Steiermark</t>
  </si>
  <si>
    <t>Konditoreien • Feichtinger, Wolfgang, Mühlgasse 10, Weiz • Kontakt über aktuelle Telefonnummern ☎ und Adressen ⚑ mit Karte, Routing, Öffnungszeiten, Homepage, E-Mail, vCard und Firmendaten.</t>
  </si>
  <si>
    <t>Mühlgasse 10</t>
  </si>
  <si>
    <t>47.21649</t>
  </si>
  <si>
    <t>15.62517</t>
  </si>
  <si>
    <t>+4331722758</t>
  </si>
  <si>
    <t>office@konditorei-feichtinger.at</t>
  </si>
  <si>
    <t>https://bilder.dasschnelle.at/DasSchnelle/50/5000/9944/061397/G_061397_P_906162153.adn.gif</t>
  </si>
  <si>
    <t>Ambrosch, Gerhard, Dr., Ärzte / Fachärzte f Lungenkrankheiten • Weiz • Steiermark</t>
  </si>
  <si>
    <t>Ärzte / Fachärzte f. Lungenkrankheiten • Ambrosch, Gerhard, Dr., Hans-Sutter-Gasse 3, Weiz • Kontakt über aktuelle Telefonnummern ☎ und Adressen ⚑ mit Karte, Routing, Öffnungszeiten, Homepage, E-Mail, vCard und Firmendaten.</t>
  </si>
  <si>
    <t>Hans-Sutter-Gasse 3</t>
  </si>
  <si>
    <t>47.21482</t>
  </si>
  <si>
    <t>15.62528</t>
  </si>
  <si>
    <t>+433172387900</t>
  </si>
  <si>
    <t>ordination@lungeweiz.at</t>
  </si>
  <si>
    <t>https://bilder.dasschnelle.at/DasSchnelle/50/5000/9944/061397/G_061397_P_906188539.adn.gif</t>
  </si>
  <si>
    <t>Stumptner, Elisabeth, Logopädin • Birkfeld • Steiermark</t>
  </si>
  <si>
    <t>Logopädie • Stumptner, Elisabeth, Hauptplatz 7, Birkfeld • Kontakt über aktuelle Telefonnummern ☎ und Adressen ⚑ mit Karte, Routing, Öffnungszeiten, Homepage, E-Mail, vCard und Firmendaten.</t>
  </si>
  <si>
    <t>Hauptplatz 7</t>
  </si>
  <si>
    <t>8190</t>
  </si>
  <si>
    <t>Birkfeld</t>
  </si>
  <si>
    <t>47.35571</t>
  </si>
  <si>
    <t>15.69433</t>
  </si>
  <si>
    <t>+436641308313</t>
  </si>
  <si>
    <t>elisabeth_stumptner@gmx.at</t>
  </si>
  <si>
    <t>https://bilder.dasschnelle.at/DasSchnelle/50/5000/9944/061398/G_061398_P_906225927.adn.gif</t>
  </si>
  <si>
    <t>Zierler, Thomas, Taxi u Autobusse • Weiz • Steiermark</t>
  </si>
  <si>
    <t>Taxi • Zierler, Thomas, Flurgasse 36, Weiz • Kontakt über aktuelle Telefonnummern ☎ und Adressen ⚑ mit Karte, Routing, Öffnungszeiten, Homepage, E-Mail, vCard und Firmendaten.</t>
  </si>
  <si>
    <t>Flurgasse 36</t>
  </si>
  <si>
    <t>47.20394</t>
  </si>
  <si>
    <t>15.63129</t>
  </si>
  <si>
    <t>+4331724087;+43317238910</t>
  </si>
  <si>
    <t>offiche@taxi-zierler.at</t>
  </si>
  <si>
    <t>https://bilder.dasschnelle.at/DasSchnelle/50/5000/9944/061397/G_061397_P_906188536.adn.gif</t>
  </si>
  <si>
    <t>Fliesen Bürge GmbH • St. Margarethen an der Raab • Steiermark</t>
  </si>
  <si>
    <t>Fliesenfachhandel • Fliesen Bürge GmbH, Industriestraße 4, St. Margarethen an der Raab • Kontakt über aktuelle Telefonnummern ☎ und Adressen ⚑ mit Karte, Routing, Öffnungszeiten, Homepage, E-Mail, vCard und Firmendaten.</t>
  </si>
  <si>
    <t>Industriestraße 4</t>
  </si>
  <si>
    <t>8321</t>
  </si>
  <si>
    <t>St. Margarethen an der Raab</t>
  </si>
  <si>
    <t>47.04414</t>
  </si>
  <si>
    <t>15.74861</t>
  </si>
  <si>
    <t>+43311549399</t>
  </si>
  <si>
    <t>office@fliesen-buerge.at</t>
  </si>
  <si>
    <t>https://bilder.dasschnelle.at/DasSchnelle/50/5000/9944/045625/I_045625_P_905917009_L_0036252821_1.png</t>
  </si>
  <si>
    <t>https://bilder.dasschnelle.at/DasSchnelle/50/5000/9944/045625/I_045625_P_905917009_B_0036252821_1.gal.png?height=600&amp;width=600;https://bilder.dasschnelle.at/DasSchnelle/50/5000/9944/045625/I_045625_P_905917009_B_0036252821_2.gal.png?height=600&amp;width=600;https://bilder.dasschnelle.at/DasSchnelle/50/5000/9944/045625/I_045625_P_905917009_B_0036252821_3.gal.png?height=600&amp;width=600;https://bilder.dasschnelle.at/DasSchnelle/50/5000/9944/045625/I_045625_P_905917009_B_0036252821_4.gal.png?height=600&amp;width=600;https://bilder.dasschnelle.at/DasSchnelle/50/5000/9944/045625/G_045625_P_906153898.adn.gif</t>
  </si>
  <si>
    <t>Duller, Ursula, Dr., FA f Urologie • Gleisdorf • Steiermark</t>
  </si>
  <si>
    <t>Ärzte / Fachärzte f. Urologie • Duller, Ursula, Dr., Franz-Josef-Straße 17, Gleisdorf • Kontakt über aktuelle Telefonnummern ☎ und Adressen ⚑ mit Karte, Routing, Öffnungszeiten, Homepage, E-Mail, vCard und Firmendaten.</t>
  </si>
  <si>
    <t>Franz-Josef-Straße 17</t>
  </si>
  <si>
    <t>47.10274</t>
  </si>
  <si>
    <t>15.71312</t>
  </si>
  <si>
    <t>+43311236916</t>
  </si>
  <si>
    <t>uro.office@duller-uro.at</t>
  </si>
  <si>
    <t>https://bilder.dasschnelle.at/DasSchnelle/50/5000/9944/061361/G_061361_P_906229989.adn.gif</t>
  </si>
  <si>
    <t>FELBER Erich BÄCKEREI-CAFE-KONDITOREI-SCHOKOLADE, Bäckerei • Birkfeld • Steiermark</t>
  </si>
  <si>
    <t>Bäckereien • FELBER Erich BÄCKEREI-CAFE-KONDITOREI-SCHOKOLADE, Oberer Markt 2, Birkfeld • Kontakt über aktuelle Telefonnummern ☎ und Adressen ⚑ mit Karte, Routing, Öffnungszeiten, Homepage, E-Mail, vCard und Firmendaten.</t>
  </si>
  <si>
    <t>Oberer Markt 2</t>
  </si>
  <si>
    <t>47.35428</t>
  </si>
  <si>
    <t>15.69289</t>
  </si>
  <si>
    <t>+4331744546</t>
  </si>
  <si>
    <t>baeckerei-felber@aon.at</t>
  </si>
  <si>
    <t>https://bilder.dasschnelle.at/DasSchnelle/50/5000/9944/061398/G_061398_P_906162154.adn.gif</t>
  </si>
  <si>
    <t>Trausner, Brigitte, Immobilien • Gleisdorf • Steiermark</t>
  </si>
  <si>
    <t>Immobilien • Trausner, Brigitte, Ludwig-Binder-Straße 13, Gleisdorf • Kontakt über aktuelle Telefonnummern ☎ und Adressen ⚑ mit Karte, Routing, Öffnungszeiten, Homepage, E-Mail, vCard und Firmendaten.</t>
  </si>
  <si>
    <t>Ludwig-Binder-Straße 13</t>
  </si>
  <si>
    <t>47.10588</t>
  </si>
  <si>
    <t>15.70705</t>
  </si>
  <si>
    <t>+43311266930</t>
  </si>
  <si>
    <t>immo@trausner.at</t>
  </si>
  <si>
    <t>https://bilder.dasschnelle.at/DasSchnelle/50/5000/9944/061361/I_061361_P_905950233_L_0036252801_1.png</t>
  </si>
  <si>
    <t>https://bilder.dasschnelle.at/DasSchnelle/50/5000/9944/061361/I_061361_P_905950233_B_0036252801_1.gal.png?height=486&amp;width=400;https://bilder.dasschnelle.at/DasSchnelle/50/5000/9944/061361/I_061361_P_905950233_B_0036252801_2.gal.png?height=147&amp;width=400</t>
  </si>
  <si>
    <t>Narnhofer Elektro GmbH • Birkfeld • Steiermark</t>
  </si>
  <si>
    <t>Elektrogeräte u. -bedarf • Narnhofer Elektro GmbH, Hammerherrengasse 11, Birkfeld • Kontakt über aktuelle Telefonnummern ☎ und Adressen ⚑ mit Karte, Routing, Öffnungszeiten, Homepage, E-Mail, vCard und Firmendaten.</t>
  </si>
  <si>
    <t>Hammerherrengasse 11</t>
  </si>
  <si>
    <t>47.35758</t>
  </si>
  <si>
    <t>15.70025</t>
  </si>
  <si>
    <t>+43317430360</t>
  </si>
  <si>
    <t>office@narnhofer-elektro.at</t>
  </si>
  <si>
    <t>https://bilder.dasschnelle.at/DasSchnelle/50/5000/9944/061398/I_061398_P_905943764_L_0036233282_1.png</t>
  </si>
  <si>
    <t>https://bilder.dasschnelle.at/DasSchnelle/50/5000/9944/061398/I_061398_P_905943764_B_0036233282_1.gal.png?height=450&amp;width=600;https://bilder.dasschnelle.at/DasSchnelle/50/5000/9944/061398/G_061398_P_906181761.adn.gif</t>
  </si>
  <si>
    <t>Sajowitz Viktor GmbH, Dachdeckerei • Weiz • Steiermark</t>
  </si>
  <si>
    <t>Dachdeckereien • Sajowitz Viktor GmbH, Bundesstraße 48, Weiz • Kontakt über aktuelle Telefonnummern ☎ und Adressen ⚑ mit Karte, Routing, Öffnungszeiten, Homepage, E-Mail, vCard und Firmendaten.</t>
  </si>
  <si>
    <t>Bundesstraße 48</t>
  </si>
  <si>
    <t>47.1976</t>
  </si>
  <si>
    <t>15.64673</t>
  </si>
  <si>
    <t>+4331722339</t>
  </si>
  <si>
    <t>+433172233923</t>
  </si>
  <si>
    <t>office@sajowitzdach.at</t>
  </si>
  <si>
    <t>https://bilder.dasschnelle.at/DasSchnelle/50/5000/9944/061397/I_061397_P_905943770_L_0036250438_1.png</t>
  </si>
  <si>
    <t>https://bilder.dasschnelle.at/DasSchnelle/50/5000/9944/061397/I_061397_P_905943770_B_0036250438_1.gal.png?height=316&amp;width=364;https://bilder.dasschnelle.at/DasSchnelle/50/5000/9944/061397/I_061397_P_905943770_B_0036250438_2.gal.png?height=318&amp;width=365;https://bilder.dasschnelle.at/DasSchnelle/50/5000/9944/061397/I_061397_P_905943770_B_0036250438_3.gal.png?height=315&amp;width=361;https://bilder.dasschnelle.at/DasSchnelle/50/5000/9944/061397/I_061397_P_905943770_B_0036250438_4.gal.png?height=311&amp;width=356;https://bilder.dasschnelle.at/DasSchnelle/50/5000/9944/061397/G_061397_P_906181762.adn.gif</t>
  </si>
  <si>
    <t>Reifenhandel Krizmanic • Birkfeld • Steiermark</t>
  </si>
  <si>
    <t>Reifendienste, Reifenhandel • Reifenhandel Krizmanic, Bahnhofstraße 40, Birkfeld • Kontakt über aktuelle Telefonnummern ☎ und Adressen ⚑ mit Karte, Routing, Öffnungszeiten, Homepage, E-Mail, vCard und Firmendaten.</t>
  </si>
  <si>
    <t>Bahnhofstraße 40</t>
  </si>
  <si>
    <t>47.3532491</t>
  </si>
  <si>
    <t>15.7002878</t>
  </si>
  <si>
    <t>+436764872222</t>
  </si>
  <si>
    <t>ivo19@gmx.at</t>
  </si>
  <si>
    <t>https://bilder.dasschnelle.at/DasSchnelle/50/5000/9944/061398/I_061398_P_905944040_B_0038549823_1.gal.png?height=450&amp;width=600;https://bilder.dasschnelle.at/DasSchnelle/50/5000/9944/061398/I_061398_P_905944040_B_0038549823_2.gal.png?height=450&amp;width=600;https://bilder.dasschnelle.at/DasSchnelle/50/5000/9944/061398/I_061398_P_905944040_B_0038549823_3.gal.png?height=450&amp;width=600</t>
  </si>
  <si>
    <t>Immobilien • Gleisdorf • Steiermark</t>
  </si>
  <si>
    <t>Immobilien • Immobilien, Ludwig-Binder-Straße 13, Gleisdorf • Kontakt über aktuelle Telefonnummern ☎ und Adressen ⚑ mit Karte, Routing, Öffnungszeiten, Homepage, E-Mail, vCard und Firmendaten.</t>
  </si>
  <si>
    <t>marion.wagner@trausner.at</t>
  </si>
  <si>
    <t>https://bilder.dasschnelle.at/DasSchnelle/50/5000/9944/061361/I_061361_P_905950236_L_0036252861_1.png</t>
  </si>
  <si>
    <t>https://bilder.dasschnelle.at/DasSchnelle/50/5000/9944/061361/I_061361_P_905950236_B_0036252861_1.gal.png?height=220&amp;width=600;https://bilder.dasschnelle.at/DasSchnelle/50/5000/9944/061361/I_061361_P_905950236_B_0036252861_2.gal.png?height=220&amp;width=600;https://bilder.dasschnelle.at/DasSchnelle/50/5000/9944/061361/I_061361_P_905950236_B_0036252861_3.gal.png?height=220&amp;width=600;https://bilder.dasschnelle.at/DasSchnelle/50/5000/9944/061361/I_061361_P_905950236_B_0036252861_4.gal.png?height=220&amp;width=600;https://bilder.dasschnelle.at/DasSchnelle/50/5000/9944/061361/G_061361_P_906188534.adn.gif</t>
  </si>
  <si>
    <t>Pierer Bauunternehmen • Fladnitz an der Teichalm • Steiermark</t>
  </si>
  <si>
    <t>Baumaschinen u. -geräte • Pierer Bauunternehmen, Fladnitz an der Teichalm • Kontakt über aktuelle Telefonnummern ☎ und Adressen ⚑ mit Karte, Routing, Öffnungszeiten, Homepage, E-Mail, vCard und Firmendaten.</t>
  </si>
  <si>
    <t>8163</t>
  </si>
  <si>
    <t>Fladnitz an der Teichalm</t>
  </si>
  <si>
    <t>47.2802229</t>
  </si>
  <si>
    <t>15.4782773</t>
  </si>
  <si>
    <t>+43317927603</t>
  </si>
  <si>
    <t>+433179276033</t>
  </si>
  <si>
    <t>office@bauunternehmen-pierer.at</t>
  </si>
  <si>
    <t>https://bilder.dasschnelle.at/DasSchnelle/50/5000/9944/061366/G_061366_P_906203533.adn.gif</t>
  </si>
  <si>
    <t>Raumausstatter Daniel Maier • Mitterdorf an der Raab • Steiermark</t>
  </si>
  <si>
    <t>Raumgestaltung, Raumausstatter • Raumausstatter Daniel Maier, Hohenkogl 61, Mitterdorf an der Raab • Kontakt über aktuelle Telefonnummern ☎ und Adressen ⚑ mit Karte, Routing, Öffnungszeiten, Homepage, E-Mail, vCard und Firmendaten.</t>
  </si>
  <si>
    <t>Hohenkogl 61</t>
  </si>
  <si>
    <t>Mitterdorf an der Raab</t>
  </si>
  <si>
    <t>47.1808700</t>
  </si>
  <si>
    <t>15.5930700</t>
  </si>
  <si>
    <t>+436641563810</t>
  </si>
  <si>
    <t>office@maierdaniel.at</t>
  </si>
  <si>
    <t>https://bilder.dasschnelle.at/DasSchnelle/50/5000/9944/061402/I_061402_P_905948786_L_0038550451_1.png</t>
  </si>
  <si>
    <t>https://bilder.dasschnelle.at/DasSchnelle/50/5000/9944/061402/I_061402_P_905948786_B_0038550451_1.gal.png?height=542&amp;width=720;https://bilder.dasschnelle.at/DasSchnelle/50/5000/9944/061402/I_061402_P_905948786_B_0038550451_2.gal.png?height=720&amp;width=542;https://bilder.dasschnelle.at/DasSchnelle/50/5000/9944/061402/I_061402_P_905948786_B_0038550451_3.gal.png?height=720&amp;width=543;https://bilder.dasschnelle.at/DasSchnelle/50/5000/9944/061402/G_061402_P_906186519.adn.gif</t>
  </si>
  <si>
    <t>Delic Mensur • Attnang-Puchheim • Oberösterreich</t>
  </si>
  <si>
    <t>Fliesenfachhandel, Natursteine u. -platten • Delic Mensur, Vöcklabrucker Strasse 5b, Attnang-Puchheim • Kontakt über aktuelle Telefonnummern ☎ und Adressen ⚑ mit Karte, Routing, Öffnungszeiten, Homepage, E-Mail, vCard und Firmendaten.</t>
  </si>
  <si>
    <t>Vöcklabrucker Strasse 5b</t>
  </si>
  <si>
    <t>4800</t>
  </si>
  <si>
    <t>Attnang-Puchheim</t>
  </si>
  <si>
    <t>48.00867</t>
  </si>
  <si>
    <t>13.71972</t>
  </si>
  <si>
    <t>+4368181106745</t>
  </si>
  <si>
    <t>office@delic-fliesen.at</t>
  </si>
  <si>
    <t>https://bilder.dasschnelle.at/DasSchnelle/50/5000/9940/043069/I_043069_P_905868025_L_0038465034_1.png</t>
  </si>
  <si>
    <t>https://bilder.dasschnelle.at/DasSchnelle/50/5000/9940/043069/I_043069_P_905868025_B_0038465034_1.gal.png?height=333&amp;width=555;https://bilder.dasschnelle.at/DasSchnelle/50/5000/9940/043069/I_043069_P_905868025_B_0038465034_2.gal.png?height=683&amp;width=1024;https://bilder.dasschnelle.at/DasSchnelle/50/5000/9940/043069/I_043069_P_905868025_B_0038465034_3.gal.png?height=360&amp;width=600;https://bilder.dasschnelle.at/DasSchnelle/50/5000/9940/043069/I_043069_P_905868025_B_0038465034_4.gal.png?height=450&amp;width=600</t>
  </si>
  <si>
    <t>Tokrat, Ekrem  • Timelkam • Oberösterreich</t>
  </si>
  <si>
    <t>Pizzerias • Tokrat, Ekrem, Linzer Straße 22, Timelkam • Kontakt über aktuelle Telefonnummern ☎ und Adressen ⚑ mit Karte, Routing, Öffnungszeiten, Homepage, E-Mail, vCard und Firmendaten.</t>
  </si>
  <si>
    <t>Linzer Straße 22</t>
  </si>
  <si>
    <t>4850</t>
  </si>
  <si>
    <t>Timelkam</t>
  </si>
  <si>
    <t>48.00251</t>
  </si>
  <si>
    <t>13.61133</t>
  </si>
  <si>
    <t>+43767292634</t>
  </si>
  <si>
    <t>eko86@gmx.at</t>
  </si>
  <si>
    <t>https://bilder.dasschnelle.at/DasSchnelle/50/5000/9940/043552/G_043552_P_906123917.adn.gif</t>
  </si>
  <si>
    <t>Kern, Bianca, Kosmetik • Vöcklabruck • Oberösterreich</t>
  </si>
  <si>
    <t>Kosmetik • Kern, Bianca, Dr. Anton Bruckner-Straße 11, Vöcklabruck • Kontakt über aktuelle Telefonnummern ☎ und Adressen ⚑ mit Karte, Routing, Öffnungszeiten, Homepage, E-Mail, vCard und Firmendaten.</t>
  </si>
  <si>
    <t>Dr. Anton Bruckner-Straße 11</t>
  </si>
  <si>
    <t>4840</t>
  </si>
  <si>
    <t>Vöcklabruck</t>
  </si>
  <si>
    <t>48.00612</t>
  </si>
  <si>
    <t>13.65378</t>
  </si>
  <si>
    <t>+436769019458</t>
  </si>
  <si>
    <t>cosmetics@biancakern.at</t>
  </si>
  <si>
    <t>https://bilder.dasschnelle.at/DasSchnelle/50/5000/9940/043555/G_043555_P_906123872.adn.gif</t>
  </si>
  <si>
    <t>Asia Restaurant Kaili • Schöndorf • Oberösterreich</t>
  </si>
  <si>
    <t>Restaurants • Asia Restaurant Kaili, Linzer Straße 50, Schöndorf • Kontakt über aktuelle Telefonnummern ☎ und Adressen ⚑ mit Karte, Routing, Öffnungszeiten, Homepage, E-Mail, vCard und Firmendaten.</t>
  </si>
  <si>
    <t>Linzer Straße 50</t>
  </si>
  <si>
    <t>Schöndorf</t>
  </si>
  <si>
    <t>48.00292</t>
  </si>
  <si>
    <t>13.66844</t>
  </si>
  <si>
    <t>+43767220661</t>
  </si>
  <si>
    <t>kaili-restaurant@gmx.at</t>
  </si>
  <si>
    <t>https://bilder.dasschnelle.at/DasSchnelle/50/5000/9940/043555/G_043555_P_906123907.adn.gif</t>
  </si>
  <si>
    <t>Friseur Studio Elisabeth Hiptmair, Cornelia • Vöcklabruck • Oberösterreich</t>
  </si>
  <si>
    <t>Friseure • Friseur Studio Elisabeth Hiptmair, Cornelia, Dr. Anton Bruckner-Straße 11, Vöcklabruck • Kontakt über aktuelle Telefonnummern ☎ und Adressen ⚑ mit Karte, Routing, Öffnungszeiten, Homepage, E-Mail, vCard und Firmendaten.</t>
  </si>
  <si>
    <t>+43767226707</t>
  </si>
  <si>
    <t>el.hiptmair@gmail.at</t>
  </si>
  <si>
    <t>https://bilder.dasschnelle.at/DasSchnelle/50/5000/9940/043555/G_043555_P_906123768.adn.gif</t>
  </si>
  <si>
    <t>Kleemayr Zaun &amp; Tore GmbH, Zäune u Tore • Regau • Oberösterreich</t>
  </si>
  <si>
    <t>Metallbau, Tore • Kleemayr Zaun &amp; Tore GmbH, Hessestraße 4, Regau • Kontakt über aktuelle Telefonnummern ☎ und Adressen ⚑ mit Karte, Routing, Öffnungszeiten, Homepage, E-Mail, vCard und Firmendaten.</t>
  </si>
  <si>
    <t>Hessestraße 4</t>
  </si>
  <si>
    <t>4844</t>
  </si>
  <si>
    <t>Regau</t>
  </si>
  <si>
    <t>47.99436</t>
  </si>
  <si>
    <t>13.70864</t>
  </si>
  <si>
    <t>+43767464250</t>
  </si>
  <si>
    <t>+4376746425020</t>
  </si>
  <si>
    <t>office@kleemayr.at</t>
  </si>
  <si>
    <t>https://bilder.dasschnelle.at/DasSchnelle/50/5000/9940/043097/I_043097_P_905865354_L_0037237285_1.png</t>
  </si>
  <si>
    <t>https://bilder.dasschnelle.at/DasSchnelle/50/5000/9940/043097/I_043097_P_905865354_B_0037237285_1.gal.png?height=590&amp;width=800;https://bilder.dasschnelle.at/DasSchnelle/50/5000/9940/043097/I_043097_P_905865354_B_0037237285_2.gal.png?height=531&amp;width=800;https://bilder.dasschnelle.at/DasSchnelle/50/5000/9940/043097/I_043097_P_905865354_B_0037237285_3.gal.png?height=600&amp;width=800;https://bilder.dasschnelle.at/DasSchnelle/50/5000/9940/043097/I_043097_P_905865354_B_0037237285_4.gal.png?height=345&amp;width=460;https://bilder.dasschnelle.at/DasSchnelle/50/5000/9940/043097/G_043097_P_906123774.adn.gif</t>
  </si>
  <si>
    <t>Hemetsberger, Sabine, Friseur • Seewalchen am Attersee • Oberösterreich</t>
  </si>
  <si>
    <t>Friseure • Hemetsberger, Sabine, Anton-Bruckner-Straße 5 /1, Seewalchen am Attersee • Kontakt über aktuelle Telefonnummern ☎ und Adressen ⚑ mit Karte, Routing, Öffnungszeiten, Homepage, E-Mail, vCard und Firmendaten.</t>
  </si>
  <si>
    <t>Anton-Bruckner-Straße 5 /1</t>
  </si>
  <si>
    <t>4863</t>
  </si>
  <si>
    <t>Seewalchen am Attersee</t>
  </si>
  <si>
    <t>47.95578</t>
  </si>
  <si>
    <t>13.58461</t>
  </si>
  <si>
    <t>+4376628232</t>
  </si>
  <si>
    <t>lena.hemetsberger@jahoo.at</t>
  </si>
  <si>
    <t>https://bilder.dasschnelle.at/DasSchnelle/50/5000/9940/043105/G_043105_P_906123776.adn.gif</t>
  </si>
  <si>
    <t>Silke's Hairstyle-Shop, Hairstyle • Frankenburg am Hausruck • Oberösterreich</t>
  </si>
  <si>
    <t>Friseure • Silke's Hairstyle-Shop, Riegler Straße 10, Frankenburg am Hausruck • Kontakt über aktuelle Telefonnummern ☎ und Adressen ⚑ mit Karte, Routing, Öffnungszeiten, Homepage, E-Mail, vCard und Firmendaten.</t>
  </si>
  <si>
    <t>Riegler Straße 10</t>
  </si>
  <si>
    <t>4873</t>
  </si>
  <si>
    <t>Frankenburg am Hausruck</t>
  </si>
  <si>
    <t>48.06709</t>
  </si>
  <si>
    <t>13.49325</t>
  </si>
  <si>
    <t>+43768360222</t>
  </si>
  <si>
    <t>troppmayr_silke@gmx.at</t>
  </si>
  <si>
    <t>https://bilder.dasschnelle.at/DasSchnelle/50/5000/9940/043075/G_043075_P_906123656.adn.gif</t>
  </si>
  <si>
    <t>Friseur Lösch Inh. Regina Kaltenbrunner • Ampflwang • Oberösterreich</t>
  </si>
  <si>
    <t>Friseure • Friseur Lösch Inh. Regina Kaltenbrunner, Stelzhamerstraße 14, Ampflwang • Kontakt über aktuelle Telefonnummern ☎ und Adressen ⚑ mit Karte, Routing, Öffnungszeiten, Homepage, E-Mail, vCard und Firmendaten.</t>
  </si>
  <si>
    <t>Stelzhamerstraße 14</t>
  </si>
  <si>
    <t>4843</t>
  </si>
  <si>
    <t>Ampflwang</t>
  </si>
  <si>
    <t>48.0775549</t>
  </si>
  <si>
    <t>13.5984507</t>
  </si>
  <si>
    <t>+436804429664</t>
  </si>
  <si>
    <t>office@friseur-loesch.at</t>
  </si>
  <si>
    <t>https://bilder.dasschnelle.at/DasSchnelle/50/5000/9940/043561/G_043561_P_906123796.adn.gif</t>
  </si>
  <si>
    <t>Knopfcenter Vöcklabruck • Vöcklabruck • Oberösterreich</t>
  </si>
  <si>
    <t>Nähmaschinen u. -zubehör • Knopfcenter Vöcklabruck, Hinterstadt 5, Vöcklabruck • Kontakt über aktuelle Telefonnummern ☎ und Adressen ⚑ mit Karte, Routing, Öffnungszeiten, Homepage, E-Mail, vCard und Firmendaten.</t>
  </si>
  <si>
    <t>Hinterstadt 5</t>
  </si>
  <si>
    <t>48.00793</t>
  </si>
  <si>
    <t>13.65557</t>
  </si>
  <si>
    <t>+43767223862</t>
  </si>
  <si>
    <t>office@knopfcenter.voecklabruck.at</t>
  </si>
  <si>
    <t>https://bilder.dasschnelle.at/DasSchnelle/50/5000/9940/043555/G_043555_P_906125743.adn.gif</t>
  </si>
  <si>
    <t>Steiner, Doris, Beautysalon  • Vöcklamarkt • Oberösterreich</t>
  </si>
  <si>
    <t>Kosmetikstudios • Steiner, Doris, Beautysalon, Wultingergasse 20, Vöcklamarkt • Kontakt über aktuelle Telefonnummern ☎ und Adressen ⚑ mit Karte, Routing, Öffnungszeiten, Homepage, E-Mail, vCard und Firmendaten.</t>
  </si>
  <si>
    <t>Wultingergasse 20</t>
  </si>
  <si>
    <t>4870</t>
  </si>
  <si>
    <t>Vöcklamarkt</t>
  </si>
  <si>
    <t>48.00256</t>
  </si>
  <si>
    <t>13.48181</t>
  </si>
  <si>
    <t>+43768220213</t>
  </si>
  <si>
    <t>steiner.doris@aon.at</t>
  </si>
  <si>
    <t>https://bilder.dasschnelle.at/DasSchnelle/50/5000/9940/043556/G_043556_P_906123851.adn.gif</t>
  </si>
  <si>
    <t>Wallinger, Andreas • St. Georgen im Attergau • Oberösterreich</t>
  </si>
  <si>
    <t>Autoreparaturen, Landmaschinen, Landtechnik • Wallinger, Andreas, Alkersdorf 5 B, St. Georgen im Attergau • Kontakt über aktuelle Telefonnummern ☎ und Adressen ⚑ mit Karte, Routing, Öffnungszeiten, Homepage, E-Mail, vCard und Firmendaten.</t>
  </si>
  <si>
    <t>Alkersdorf 5 B</t>
  </si>
  <si>
    <t>4880</t>
  </si>
  <si>
    <t>St. Georgen im Attergau</t>
  </si>
  <si>
    <t>47.9334768</t>
  </si>
  <si>
    <t>13.5115298</t>
  </si>
  <si>
    <t>+43766720026</t>
  </si>
  <si>
    <t>wallinger-kfz@a1.net</t>
  </si>
  <si>
    <t>https://bilder.dasschnelle.at/DasSchnelle/50/5000/9940/043100/G_043100_P_906125853.adn.gif</t>
  </si>
  <si>
    <t>AHMED Auto Cleaner &amp; Cosmetic, Autopflege • Attnang-Puchheim • Oberösterreich</t>
  </si>
  <si>
    <t>Autopflege • AHMED Auto Cleaner &amp; Cosmetic, Feldstraße 12, Attnang-Puchheim • Kontakt über aktuelle Telefonnummern ☎ und Adressen ⚑ mit Karte, Routing, Öffnungszeiten, Homepage, E-Mail, vCard und Firmendaten.</t>
  </si>
  <si>
    <t>Feldstraße 12</t>
  </si>
  <si>
    <t>48.01344</t>
  </si>
  <si>
    <t>13.73011</t>
  </si>
  <si>
    <t>+4369917860787</t>
  </si>
  <si>
    <t>ahmedautocosmetic@yahoo.com</t>
  </si>
  <si>
    <t>https://bilder.dasschnelle.at/DasSchnelle/50/5000/9940/043069/G_043069_P_906123869.adn.gif</t>
  </si>
  <si>
    <t>Urbanz, Barbara, Dr., Frauenärztin • Schörfling • Oberösterreich</t>
  </si>
  <si>
    <t>Ärzte / Fachärzte f. Frauenheilkunde u. Geburtshilfe • Urbanz, Barbara, Dr., Hauptstraße 7 C, Schörfling • Kontakt über aktuelle Telefonnummern ☎ und Adressen ⚑ mit Karte, Routing, Öffnungszeiten, Homepage, E-Mail, vCard und Firmendaten.</t>
  </si>
  <si>
    <t>Hauptstraße 7 C</t>
  </si>
  <si>
    <t>4861</t>
  </si>
  <si>
    <t>Schörfling</t>
  </si>
  <si>
    <t>47.9459535</t>
  </si>
  <si>
    <t>13.5947038</t>
  </si>
  <si>
    <t>+43766280716</t>
  </si>
  <si>
    <t>ordination@gyn-urbanz.at</t>
  </si>
  <si>
    <t>https://bilder.dasschnelle.at/DasSchnelle/50/5000/9940/043103/G_043103_P_906123868.adn.gif</t>
  </si>
  <si>
    <t>Krischke, Gernot, Friseur  • Schörfling • Oberösterreich</t>
  </si>
  <si>
    <t>Friseure • Krischke, Gernot, Friseur, Marktplatz 14, Schörfling • Kontakt über aktuelle Telefonnummern ☎ und Adressen ⚑ mit Karte, Routing, Öffnungszeiten, Homepage, E-Mail, vCard und Firmendaten.</t>
  </si>
  <si>
    <t>Marktplatz 14</t>
  </si>
  <si>
    <t>47.9458006</t>
  </si>
  <si>
    <t>13.6044740</t>
  </si>
  <si>
    <t>+43766229364</t>
  </si>
  <si>
    <t>haarsache@drei.at</t>
  </si>
  <si>
    <t>https://bilder.dasschnelle.at/DasSchnelle/50/5000/9940/043103/G_043103_P_906123906.adn.gif</t>
  </si>
  <si>
    <t>Haus Berndt, Gregor, Gastronomie • Attersee am Attersee • Oberösterreich</t>
  </si>
  <si>
    <t>Cafés, Ferienwohnungen, Fremdenzimmer, Gastronomiebetriebe, Restaurants • Haus Berndt, Gregor, Aufham 11, Attersee am Attersee • Kontakt über aktuelle Telefonnummern ☎ und Adressen ⚑ mit Karte, Routing, Öffnungszeiten, Homepage, E-Mail, vCard und Firmendaten.</t>
  </si>
  <si>
    <t>Aufham 11</t>
  </si>
  <si>
    <t>4864</t>
  </si>
  <si>
    <t>Attersee am Attersee</t>
  </si>
  <si>
    <t>47.9061992</t>
  </si>
  <si>
    <t>13.5272695</t>
  </si>
  <si>
    <t>+4376667727</t>
  </si>
  <si>
    <t>office@haus-berndt.at</t>
  </si>
  <si>
    <t>https://bilder.dasschnelle.at/DasSchnelle/50/5000/9940/043068/G_043068_P_906123654.adn.gif</t>
  </si>
  <si>
    <t>Gashof Kreuzer, Franz • Abtsdorf • Oberösterreich</t>
  </si>
  <si>
    <t>Gastgewerbe - Gasthöfe, Pensionen • Gashof Kreuzer, Franz, Abtsdorf 34, Abtsdorf • Kontakt über aktuelle Telefonnummern ☎ und Adressen ⚑ mit Karte, Routing, Öffnungszeiten, Homepage, E-Mail, vCard und Firmendaten.</t>
  </si>
  <si>
    <t>Abtsdorf 34</t>
  </si>
  <si>
    <t>Abtsdorf</t>
  </si>
  <si>
    <t>47.9028216</t>
  </si>
  <si>
    <t>13.5165570</t>
  </si>
  <si>
    <t>+4376667939</t>
  </si>
  <si>
    <t>gh.kreuzer@gmx.net</t>
  </si>
  <si>
    <t>https://bilder.dasschnelle.at/DasSchnelle/50/5000/9940/043068/G_043068_P_906123655.adn.gif</t>
  </si>
  <si>
    <t>Gasthaus Rupp/Hofmann, Andrea • Frankenburg am Hausruck • Oberösterreich</t>
  </si>
  <si>
    <t>Gastgewerbe - Gasthöfe • Gasthaus Rupp/Hofmann, Andrea, Ottokönigen 19, Frankenburg am Hausruck • Kontakt über aktuelle Telefonnummern ☎ und Adressen ⚑ mit Karte, Routing, Öffnungszeiten, Homepage, E-Mail, vCard und Firmendaten.</t>
  </si>
  <si>
    <t>Ottokönigen 19</t>
  </si>
  <si>
    <t>48.0775488</t>
  </si>
  <si>
    <t>13.4499007</t>
  </si>
  <si>
    <t>+4376838374</t>
  </si>
  <si>
    <t>office@leitneralm.at</t>
  </si>
  <si>
    <t>https://bilder.dasschnelle.at/DasSchnelle/50/5000/9940/043075/G_043075_P_906123657.adn.gif</t>
  </si>
  <si>
    <t>Landgasthaus Doppelmühle • Emming • Oberösterreich</t>
  </si>
  <si>
    <t>Fremdenzimmer, Gastgewerbe - Gasthöfe • Landgasthaus Doppelmühle, Emming 13, Emming • Kontakt über aktuelle Telefonnummern ☎ und Adressen ⚑ mit Karte, Routing, Öffnungszeiten, Homepage, E-Mail, vCard und Firmendaten.</t>
  </si>
  <si>
    <t>Emming 13</t>
  </si>
  <si>
    <t>4892</t>
  </si>
  <si>
    <t>Emming</t>
  </si>
  <si>
    <t>48.0138751</t>
  </si>
  <si>
    <t>13.4248093</t>
  </si>
  <si>
    <t>+4376825111</t>
  </si>
  <si>
    <t>office@gasthaus-doppelmuehle.at</t>
  </si>
  <si>
    <t>https://bilder.dasschnelle.at/DasSchnelle/50/5000/9940/043074/G_043074_P_906123659.adn.gif</t>
  </si>
  <si>
    <t>Stefan &amp; Christine Aicher, Mostschenke • Straß im Attergau • Oberösterreich</t>
  </si>
  <si>
    <t>Gastgewerbe - Gasthöfe • Stefan &amp; Christine Aicher, Stöttham 9, Straß im Attergau • Kontakt über aktuelle Telefonnummern ☎ und Adressen ⚑ mit Karte, Routing, Öffnungszeiten, Homepage, E-Mail, vCard und Firmendaten.</t>
  </si>
  <si>
    <t>Stöttham 9</t>
  </si>
  <si>
    <t>4881</t>
  </si>
  <si>
    <t>Straß im Attergau</t>
  </si>
  <si>
    <t>47.9201662</t>
  </si>
  <si>
    <t>13.5066900</t>
  </si>
  <si>
    <t>+436767045673</t>
  </si>
  <si>
    <t>bleam@aon.at</t>
  </si>
  <si>
    <t>https://bilder.dasschnelle.at/DasSchnelle/50/5000/9940/043107/G_043107_P_906123658.adn.gif</t>
  </si>
  <si>
    <t>Pointner, Tanja, Fußpflege • Desselbrunn • Oberösterreich</t>
  </si>
  <si>
    <t>Fußpflege • Pointner, Tanja, Deutenham 13, Desselbrunn • Kontakt über aktuelle Telefonnummern ☎ und Adressen ⚑ mit Karte, Routing, Öffnungszeiten, Homepage, E-Mail, vCard und Firmendaten.</t>
  </si>
  <si>
    <t>Deutenham 13</t>
  </si>
  <si>
    <t>4693</t>
  </si>
  <si>
    <t>Desselbrunn</t>
  </si>
  <si>
    <t>48.0106739</t>
  </si>
  <si>
    <t>13.7516979</t>
  </si>
  <si>
    <t>+436607101324</t>
  </si>
  <si>
    <t>tausendfuessler.tp@gmail.at</t>
  </si>
  <si>
    <t>https://bilder.dasschnelle.at/DasSchnelle/50/5000/9940/043073/G_043073_P_906123828.adn.gif</t>
  </si>
  <si>
    <t>Rosenstube Seewalchen, Blumen • Seewalchen am Attersee • Oberösterreich</t>
  </si>
  <si>
    <t>Blumenhandel • Rosenstube Seewalchen, Hauptstraße 9, Seewalchen am Attersee • Kontakt über aktuelle Telefonnummern ☎ und Adressen ⚑ mit Karte, Routing, Öffnungszeiten, Homepage, E-Mail, vCard und Firmendaten.</t>
  </si>
  <si>
    <t>Hauptstraße 9</t>
  </si>
  <si>
    <t>47.95316</t>
  </si>
  <si>
    <t>13.58724</t>
  </si>
  <si>
    <t>+436769349747</t>
  </si>
  <si>
    <t>blumen@rosenstube-seewalchen.at</t>
  </si>
  <si>
    <t>https://bilder.dasschnelle.at/DasSchnelle/50/5000/9940/043105/I_043105_P_905867221_L_0035999373_1.png</t>
  </si>
  <si>
    <t>https://bilder.dasschnelle.at/DasSchnelle/50/5000/9940/043105/I_043105_P_905867221_B_0035999373_1.gal.png?height=254&amp;width=401;https://bilder.dasschnelle.at/DasSchnelle/50/5000/9940/043105/I_043105_P_905867221_B_0035999373_2.gal.png?height=254&amp;width=401;https://bilder.dasschnelle.at/DasSchnelle/50/5000/9940/043105/I_043105_P_905867221_B_0035999373_3.gal.png?height=254&amp;width=401;https://bilder.dasschnelle.at/DasSchnelle/50/5000/9940/043105/I_043105_P_905867221_B_0035999373_4.gal.png?height=254&amp;width=401</t>
  </si>
  <si>
    <t>Fischerwirt, Gsth • Parschallen • Oberösterreich</t>
  </si>
  <si>
    <t>Gastgewerbe - Gasthöfe • Fischerwirt, Parschallen • Kontakt über aktuelle Telefonnummern ☎ und Adressen ⚑ mit Karte, Routing, Öffnungszeiten, Homepage, E-Mail, vCard und Firmendaten.</t>
  </si>
  <si>
    <t>4865</t>
  </si>
  <si>
    <t>Parschallen</t>
  </si>
  <si>
    <t>47.8568107</t>
  </si>
  <si>
    <t>13.5261925</t>
  </si>
  <si>
    <t>+4376668096</t>
  </si>
  <si>
    <t>mandels@aon.at</t>
  </si>
  <si>
    <t>https://bilder.dasschnelle.at/DasSchnelle/50/5000/9940/043084/G_043084_P_906123904.adn.gif</t>
  </si>
  <si>
    <t>Dürnauerhof • Vöcklabruck • Oberösterreich</t>
  </si>
  <si>
    <t>Gastgewerbe - Gasthöfe • Dürnauerhof, Dürnauer Straße 108, Vöcklabruck • Kontakt über aktuelle Telefonnummern ☎ und Adressen ⚑ mit Karte, Routing, Öffnungszeiten, Homepage, E-Mail, vCard und Firmendaten.</t>
  </si>
  <si>
    <t>Dürnauer Straße 108</t>
  </si>
  <si>
    <t>47.99656</t>
  </si>
  <si>
    <t>13.63991</t>
  </si>
  <si>
    <t>+43767223647</t>
  </si>
  <si>
    <t>duernauerhof@asak.at</t>
  </si>
  <si>
    <t>https://bilder.dasschnelle.at/DasSchnelle/50/5000/9940/043555/G_043555_P_906123865.adn.gif</t>
  </si>
  <si>
    <t>Firma Schachreiter e.U., Treppenbau • Ottnang • Oberösterreich</t>
  </si>
  <si>
    <t>Tischlereien, Treppenbau • Firma Schachreiter e.U., Attnanger Straße 10, Ottnang • Kontakt über aktuelle Telefonnummern ☎ und Adressen ⚑ mit Karte, Routing, Öffnungszeiten, Homepage, E-Mail, vCard und Firmendaten.</t>
  </si>
  <si>
    <t>Attnanger Straße 10</t>
  </si>
  <si>
    <t>4901</t>
  </si>
  <si>
    <t>Ottnang</t>
  </si>
  <si>
    <t>48.0938432</t>
  </si>
  <si>
    <t>13.6617913</t>
  </si>
  <si>
    <t>+4376766446</t>
  </si>
  <si>
    <t>office@holztreppenbau-schachreiter.at</t>
  </si>
  <si>
    <t>https://bilder.dasschnelle.at/DasSchnelle/50/5000/9940/043088/G_043088_P_906124078.adn.gif</t>
  </si>
  <si>
    <t>Venenzentrum Wr. Neustadt • Wr. Neustadt • Niederösterreich</t>
  </si>
  <si>
    <t>Ärzte / Fachärzte f. Haut u. Geschlechtskrankheiten • Venenzentrum Wr. Neustadt, Grazerstrasse 42, Wr. Neustadt • Kontakt über aktuelle Telefonnummern ☎ und Adressen ⚑ mit Karte, Routing, Öffnungszeiten, Homepage, E-Mail, vCard und Firmendaten.</t>
  </si>
  <si>
    <t>Grazerstrasse 42</t>
  </si>
  <si>
    <t>2700</t>
  </si>
  <si>
    <t>Wr. Neustadt</t>
  </si>
  <si>
    <t>47.8179232</t>
  </si>
  <si>
    <t>16.2474195</t>
  </si>
  <si>
    <t>+43262227800</t>
  </si>
  <si>
    <t>praxis@dr-gharari.at</t>
  </si>
  <si>
    <t>https://bilder.dasschnelle.at/DasSchnelle/50/5000/9946/042060/G_042060_P_906227602.adn.gif</t>
  </si>
  <si>
    <t>KFZ-Technik Hanika GmbH • Katzelsdorf • Niederösterreich</t>
  </si>
  <si>
    <t>Autoreparaturen • KFZ-Technik Hanika GmbH, Gewerbepark 2, Katzelsdorf • Kontakt über aktuelle Telefonnummern ☎ und Adressen ⚑ mit Karte, Routing, Öffnungszeiten, Homepage, E-Mail, vCard und Firmendaten.</t>
  </si>
  <si>
    <t>Gewerbepark 2</t>
  </si>
  <si>
    <t>2801</t>
  </si>
  <si>
    <t>Katzelsdorf</t>
  </si>
  <si>
    <t>47.787</t>
  </si>
  <si>
    <t>16.2569</t>
  </si>
  <si>
    <t>+43262278333</t>
  </si>
  <si>
    <t>wss@tmo.at</t>
  </si>
  <si>
    <t>https://bilder.dasschnelle.at/DasSchnelle/50/5000/9946/044279/G_044279_P_906234712.adn.gif</t>
  </si>
  <si>
    <t>Grünraum Gartengestaltung GmbH, Gartengestaltung • Wiener Neustadt • Niederösterreich</t>
  </si>
  <si>
    <t>Garten- u. Landschaftsgestaltung • Grünraum Gartengestaltung GmbH, Fischauer Grenzweg 2, Wiener Neustadt • Kontakt über aktuelle Telefonnummern ☎ und Adressen ⚑ mit Karte, Routing, Öffnungszeiten, Homepage, E-Mail, vCard und Firmendaten.</t>
  </si>
  <si>
    <t>Fischauer Grenzweg 2</t>
  </si>
  <si>
    <t>Wiener Neustadt</t>
  </si>
  <si>
    <t>47.8173</t>
  </si>
  <si>
    <t>16.20073</t>
  </si>
  <si>
    <t>+43262290910</t>
  </si>
  <si>
    <t>office@gruenraum-gartengestaltung.at</t>
  </si>
  <si>
    <t>https://bilder.dasschnelle.at/DasSchnelle/50/5000/9946/042060/G_042060_P_906227542.adn.gif</t>
  </si>
  <si>
    <t>Malerbetrieb Neugebauer GmbH • Katzelsdorf • Niederösterreich</t>
  </si>
  <si>
    <t>Malereibetriebe • Malerbetrieb Neugebauer GmbH, Hauptstraße 9, Katzelsdorf • Kontakt über aktuelle Telefonnummern ☎ und Adressen ⚑ mit Karte, Routing, Öffnungszeiten, Homepage, E-Mail, vCard und Firmendaten.</t>
  </si>
  <si>
    <t>47.78384</t>
  </si>
  <si>
    <t>16.26957</t>
  </si>
  <si>
    <t>+436763018870</t>
  </si>
  <si>
    <t>office@maler-neugebauer.at</t>
  </si>
  <si>
    <t>https://bilder.dasschnelle.at/DasSchnelle/50/5000/9946/044279/G_044279_P_906234704.adn.gif</t>
  </si>
  <si>
    <t>CAFÉ - Restaurant Sabine • Bad Erlach • Niederösterreich</t>
  </si>
  <si>
    <t>Gastgewerbe - Gasthöfe • CAFÉ - Restaurant Sabine, Dorfgasse 11, Bad Erlach • Kontakt über aktuelle Telefonnummern ☎ und Adressen ⚑ mit Karte, Routing, Öffnungszeiten, Homepage, E-Mail, vCard und Firmendaten.</t>
  </si>
  <si>
    <t>Dorfgasse 11</t>
  </si>
  <si>
    <t>2822</t>
  </si>
  <si>
    <t>Bad Erlach</t>
  </si>
  <si>
    <t>47.72569</t>
  </si>
  <si>
    <t>16.21493</t>
  </si>
  <si>
    <t>+436645991988</t>
  </si>
  <si>
    <t>office@wirtin-sabine.at</t>
  </si>
  <si>
    <t>https://bilder.dasschnelle.at/DasSchnelle/50/5000/9946/044272/I_044272_P_905994653_L_0036262120_1.png</t>
  </si>
  <si>
    <t>https://bilder.dasschnelle.at/DasSchnelle/50/5000/9946/044272/I_044272_P_905994653_B_0036262120_1.gal.png?height=540&amp;width=720;https://bilder.dasschnelle.at/DasSchnelle/50/5000/9946/044272/I_044272_P_905994653_B_0036262120_2.gal.png?height=525&amp;width=700;https://bilder.dasschnelle.at/DasSchnelle/50/5000/9946/044272/I_044272_P_905994653_B_0036262120_3.gal.png?height=540&amp;width=720;https://bilder.dasschnelle.at/DasSchnelle/50/5000/9946/044272/I_044272_P_905994653_B_0036262120_4.gal.png?height=540&amp;width=720</t>
  </si>
  <si>
    <t>Meitz J GmbH, Dachdeckerei &amp; Spenglerei • Wöllersdorf • Niederösterreich</t>
  </si>
  <si>
    <t>Dachdeckerei u. Spenglerei • Meitz J GmbH, Kaplanstraße 2, Wöllersdorf • Kontakt über aktuelle Telefonnummern ☎ und Adressen ⚑ mit Karte, Routing, Öffnungszeiten, Homepage, E-Mail, vCard und Firmendaten.</t>
  </si>
  <si>
    <t>Kaplanstraße 2</t>
  </si>
  <si>
    <t>2752</t>
  </si>
  <si>
    <t>Wöllersdorf</t>
  </si>
  <si>
    <t>47.86448</t>
  </si>
  <si>
    <t>16.1944</t>
  </si>
  <si>
    <t>+43263345631</t>
  </si>
  <si>
    <t>info@meitz-dach.at</t>
  </si>
  <si>
    <t>https://bilder.dasschnelle.at/DasSchnelle/50/5000/9946/044502/G_044502_P_906222338.adn.gif</t>
  </si>
  <si>
    <t>Gradl, Thomas, Energetiker • St. Pölten • Niederösterreich</t>
  </si>
  <si>
    <t>Energetik • Gradl, Thomas, Schwaighofstraße 24, St. Pölten • Kontakt über aktuelle Telefonnummern ☎ und Adressen ⚑ mit Karte, Routing, Öffnungszeiten, Homepage, E-Mail, vCard und Firmendaten.</t>
  </si>
  <si>
    <t>Schwaighofstraße 24</t>
  </si>
  <si>
    <t>3100</t>
  </si>
  <si>
    <t>St. Pölten</t>
  </si>
  <si>
    <t>48.1898100</t>
  </si>
  <si>
    <t>15.6210400</t>
  </si>
  <si>
    <t>+436641425565</t>
  </si>
  <si>
    <t>praxis@energetiker-reiki-gradl.at</t>
  </si>
  <si>
    <t>https://bilder.dasschnelle.at/DasSchnelle/50/5000/9946/042060/I_042060_P_906013251_L_0038396503_1.png</t>
  </si>
  <si>
    <t>https://bilder.dasschnelle.at/DasSchnelle/50/5000/9946/042060/I_042060_P_906013251_B_0038396503_1.gal.png?height=300&amp;width=300;https://bilder.dasschnelle.at/DasSchnelle/50/5000/9946/042060/I_042060_P_906013251_B_0038396503_2.gal.png?height=520&amp;width=1095;https://bilder.dasschnelle.at/DasSchnelle/50/5000/9946/042060/I_042060_P_906013251_B_0038396503_3.gal.png?height=533&amp;width=800;https://bilder.dasschnelle.at/DasSchnelle/50/5000/9946/042060/I_042060_P_906013251_B_0038396503_4.gal.png?height=532&amp;width=800</t>
  </si>
  <si>
    <t>Weinzettl, Manfred, Bestattungsunternehmen • Reichenau an der Rax • Niederösterreich</t>
  </si>
  <si>
    <t>Bestattungsunternehmen • Weinzettl, Manfred, Georg Baumgartner-Straße 9, Reichenau an der Rax • Kontakt über aktuelle Telefonnummern ☎ und Adressen ⚑ mit Karte, Routing, Öffnungszeiten, Homepage, E-Mail, vCard und Firmendaten.</t>
  </si>
  <si>
    <t>Georg Baumgartner-Straße 9</t>
  </si>
  <si>
    <t>2651</t>
  </si>
  <si>
    <t>Reichenau an der Rax</t>
  </si>
  <si>
    <t>47.70292</t>
  </si>
  <si>
    <t>15.81808</t>
  </si>
  <si>
    <t>+43266620243</t>
  </si>
  <si>
    <t>office@bestattung-reichenau.at</t>
  </si>
  <si>
    <t>https://bilder.dasschnelle.at/DasSchnelle/50/5000/9946/044290/G_044290_P_906226722.adn.gif</t>
  </si>
  <si>
    <t>Kunz Otto GesmbH, Installation • Wiener Neustadt • Niederösterreich</t>
  </si>
  <si>
    <t>Installationsunternehmen • Kunz Otto GesmbH, Fischauer Gasse 221, Wiener Neustadt • Kontakt über aktuelle Telefonnummern ☎ und Adressen ⚑ mit Karte, Routing, Öffnungszeiten, Homepage, E-Mail, vCard und Firmendaten.</t>
  </si>
  <si>
    <t>Fischauer Gasse 221</t>
  </si>
  <si>
    <t>47.82304</t>
  </si>
  <si>
    <t>16.21466</t>
  </si>
  <si>
    <t>+43262226279;+43262221447</t>
  </si>
  <si>
    <t>+43262220040</t>
  </si>
  <si>
    <t>office@kunz.bz</t>
  </si>
  <si>
    <t>https://bilder.dasschnelle.at/DasSchnelle/50/5000/9946/042060/G_042060_P_906230718.adn.gif</t>
  </si>
  <si>
    <t>Zwinz GmbH, Karosseriebau • Miesenbach • Niederösterreich</t>
  </si>
  <si>
    <t>Karosseriebau • Zwinz GmbH, Nr 149, Miesenbach • Kontakt über aktuelle Telefonnummern ☎ und Adressen ⚑ mit Karte, Routing, Öffnungszeiten, Homepage, E-Mail, vCard und Firmendaten.</t>
  </si>
  <si>
    <t>Nr 149</t>
  </si>
  <si>
    <t>2761</t>
  </si>
  <si>
    <t>Miesenbach</t>
  </si>
  <si>
    <t>47.8521669</t>
  </si>
  <si>
    <t>15.9884581</t>
  </si>
  <si>
    <t>+4326328444</t>
  </si>
  <si>
    <t>k@zwinz.co.at</t>
  </si>
  <si>
    <t>https://bilder.dasschnelle.at/DasSchnelle/50/5000/9946/044287/G_044287_P_906222352.adn.gif</t>
  </si>
  <si>
    <t>Reisenzahn, Hans-Jürgen, Malereibetriebe • Katzelsdorf • Niederösterreich</t>
  </si>
  <si>
    <t>Malereibetriebe • Reisenzahn, Hans-Jürgen, Am Weinberg 9, Katzelsdorf • Kontakt über aktuelle Telefonnummern ☎ und Adressen ⚑ mit Karte, Routing, Öffnungszeiten, Homepage, E-Mail, vCard und Firmendaten.</t>
  </si>
  <si>
    <t>Am Weinberg 9</t>
  </si>
  <si>
    <t>47.75748</t>
  </si>
  <si>
    <t>16.27436</t>
  </si>
  <si>
    <t>+43262265699</t>
  </si>
  <si>
    <t>malermeister-reisenzahn@aon.at</t>
  </si>
  <si>
    <t>https://bilder.dasschnelle.at/DasSchnelle/50/5000/9946/044279/G_044279_P_906227597.adn.gif</t>
  </si>
  <si>
    <t>Murexin GmbH, Bauprodukte, Zentrale u Produktion • Wiener Neustadt • Niederösterreich</t>
  </si>
  <si>
    <t>Baubedarf • Murexin GmbH, Franz von Furtenbach-Straße 1, Wiener Neustadt • Kontakt über aktuelle Telefonnummern ☎ und Adressen ⚑ mit Karte, Routing, Öffnungszeiten, Homepage, E-Mail, vCard und Firmendaten.</t>
  </si>
  <si>
    <t>Franz von Furtenbach-Straße 1</t>
  </si>
  <si>
    <t>47.80389</t>
  </si>
  <si>
    <t>16.27108</t>
  </si>
  <si>
    <t>+432622274010;+43262229736;+43262224112;+43262227401173;+43262227401187</t>
  </si>
  <si>
    <t>info@murexin.com</t>
  </si>
  <si>
    <t>https://bilder.dasschnelle.at/DasSchnelle/50/5000/9946/042060/G_042060_P_906227543.adn.gif</t>
  </si>
  <si>
    <t>Fischer-Winkler Katja, Mag. • Gallneukirchen • Oberösterreich</t>
  </si>
  <si>
    <t>Tierärzte • Fischer-Winkler Katja, Mag., Gaisbacher Straße 36 c4, Gallneukirchen • Kontakt über aktuelle Telefonnummern ☎ und Adressen ⚑ mit Karte, Routing, Öffnungszeiten, Homepage, E-Mail, vCard und Firmendaten.</t>
  </si>
  <si>
    <t>Gaisbacher Straße 36 c4</t>
  </si>
  <si>
    <t>4210</t>
  </si>
  <si>
    <t>Gallneukirchen</t>
  </si>
  <si>
    <t>48.3478772</t>
  </si>
  <si>
    <t>14.4233597</t>
  </si>
  <si>
    <t>+43723561064</t>
  </si>
  <si>
    <t>cumana@aon.at</t>
  </si>
  <si>
    <t>https://bilder.dasschnelle.at/DasSchnelle/50/5000/9939/998340/G_998340_P_906121420.adn.gif</t>
  </si>
  <si>
    <t>Springer Gabriele, Physiotherapie • Gallneukirchen • Oberösterreich</t>
  </si>
  <si>
    <t>Physiotherapie • Springer Gabriele, Albert-Schweitzer-Weg 19, Gallneukirchen • Kontakt über aktuelle Telefonnummern ☎ und Adressen ⚑ mit Karte, Routing, Öffnungszeiten, Homepage, E-Mail, vCard und Firmendaten.</t>
  </si>
  <si>
    <t>Albert-Schweitzer-Weg 19</t>
  </si>
  <si>
    <t>48.36129</t>
  </si>
  <si>
    <t>14.41161</t>
  </si>
  <si>
    <t>+436802066772</t>
  </si>
  <si>
    <t>gabi_springer@gmx.at</t>
  </si>
  <si>
    <t>https://bilder.dasschnelle.at/DasSchnelle/50/5000/9939/042832/G_042832_P_906124083.adn.gif</t>
  </si>
  <si>
    <t>Birklbauer, Karl, Mag., Wirtschaftsprüfer &amp; Steuerberater • Bad Leonfelden • Oberösterreich</t>
  </si>
  <si>
    <t>Steuerberater • Birklbauer, Karl, Mag., Linzer Straße 4, Bad Leonfelden • Kontakt über aktuelle Telefonnummern ☎ und Adressen ⚑ mit Karte, Routing, Öffnungszeiten, Homepage, E-Mail, vCard und Firmendaten.</t>
  </si>
  <si>
    <t>Linzer Straße 4</t>
  </si>
  <si>
    <t>4190</t>
  </si>
  <si>
    <t>Bad Leonfelden</t>
  </si>
  <si>
    <t>48.52149</t>
  </si>
  <si>
    <t>14.29506</t>
  </si>
  <si>
    <t>+4372136339</t>
  </si>
  <si>
    <t>office@stb-birklbauer.at</t>
  </si>
  <si>
    <t>https://bilder.dasschnelle.at/DasSchnelle/50/5000/9939/042828/G_042828_P_906130566.adn.gif</t>
  </si>
  <si>
    <t>Bogner-Scherrer, Susanne, Dr.med., Ärzte / f Allgemeinmedizin • Bad Leonfelden • Oberösterreich</t>
  </si>
  <si>
    <t>Ärzte / f Allgemeinmedizin • Bogner-Scherrer, Susanne, Dr.med., Hauptplatz 6, Bad Leonfelden • Kontakt über aktuelle Telefonnummern ☎ und Adressen ⚑ mit Karte, Routing, Öffnungszeiten, Homepage, E-Mail, vCard und Firmendaten.</t>
  </si>
  <si>
    <t>48.52285</t>
  </si>
  <si>
    <t>14.29394</t>
  </si>
  <si>
    <t>+43721361138</t>
  </si>
  <si>
    <t>bogner-scherrer@medway.at</t>
  </si>
  <si>
    <t>https://bilder.dasschnelle.at/DasSchnelle/50/5000/9939/042828/G_042828_P_906121421.adn.gif</t>
  </si>
  <si>
    <t>Expert Klikon, Elektrotechnik • Altenberg bei Linz • Oberösterreich</t>
  </si>
  <si>
    <t>Elektrogeräte u. -bedarf, Elektrotechnik • Expert Klikon, Linzer Straße 3, Altenberg bei Linz • Kontakt über aktuelle Telefonnummern ☎ und Adressen ⚑ mit Karte, Routing, Öffnungszeiten, Homepage, E-Mail, vCard und Firmendaten.</t>
  </si>
  <si>
    <t>Linzer Straße 3</t>
  </si>
  <si>
    <t>4203</t>
  </si>
  <si>
    <t>Altenberg bei Linz</t>
  </si>
  <si>
    <t>48.37273</t>
  </si>
  <si>
    <t>14.34991</t>
  </si>
  <si>
    <t>+4372308300</t>
  </si>
  <si>
    <t>klikon-elektro@aon.at</t>
  </si>
  <si>
    <t>https://bilder.dasschnelle.at/DasSchnelle/50/5000/9939/042827/G_042827_P_906123769.adn.gif</t>
  </si>
  <si>
    <t>Prenneis, Christoph, Dr.med., FA f Kinder- u Jugendheilkunde • Gallneukirchen • Oberösterreich</t>
  </si>
  <si>
    <t>Ärzte / Fachärzte f. Kinder u. Jugendheilkunde • Prenneis, Christoph, Dr.med., Hauptstraße 47, Gallneukirchen • Kontakt über aktuelle Telefonnummern ☎ und Adressen ⚑ mit Karte, Routing, Öffnungszeiten, Homepage, E-Mail, vCard und Firmendaten.</t>
  </si>
  <si>
    <t>Hauptstraße 47</t>
  </si>
  <si>
    <t>48.35512</t>
  </si>
  <si>
    <t>14.41813</t>
  </si>
  <si>
    <t>+43723566688</t>
  </si>
  <si>
    <t>praxis@kinderarzt-prenneis.at</t>
  </si>
  <si>
    <t>https://bilder.dasschnelle.at/DasSchnelle/50/5000/9939/042832/G_042832_P_906129178.adn.gif</t>
  </si>
  <si>
    <t>T &amp; P Fliesen GmbH, Taurer &amp; Podesser • Baldramsdorf • Kärnten</t>
  </si>
  <si>
    <t>Fliesenfachhandel • T &amp; P Fliesen GmbH, Taurer &amp; Podesser, Rosenheim 30, Baldramsdorf • Kontakt über aktuelle Telefonnummern ☎ und Adressen ⚑ mit Karte, Routing, Öffnungszeiten, Homepage, E-Mail, vCard und Firmendaten.</t>
  </si>
  <si>
    <t>Rosenheim 30</t>
  </si>
  <si>
    <t>9805</t>
  </si>
  <si>
    <t>Baldramsdorf</t>
  </si>
  <si>
    <t>Kärnten</t>
  </si>
  <si>
    <t>46.8130500</t>
  </si>
  <si>
    <t>13.4159700</t>
  </si>
  <si>
    <t>+436644512793</t>
  </si>
  <si>
    <t>taurer@podesser.co.at</t>
  </si>
  <si>
    <t>https://bilder.dasschnelle.at/DasSchnelle/50/5000/9933/042153/G_042153_P_906123792.adn.gif</t>
  </si>
  <si>
    <t>Penker, Silvia, Fußpflege • Möllbrücke • Kärnten</t>
  </si>
  <si>
    <t>Fußpflege • Penker, Silvia, Am Römersteig 1, Möllbrücke • Kontakt über aktuelle Telefonnummern ☎ und Adressen ⚑ mit Karte, Routing, Öffnungszeiten, Homepage, E-Mail, vCard und Firmendaten.</t>
  </si>
  <si>
    <t>Am Römersteig 1</t>
  </si>
  <si>
    <t>9813</t>
  </si>
  <si>
    <t>Möllbrücke</t>
  </si>
  <si>
    <t>46.83642</t>
  </si>
  <si>
    <t>13.36926</t>
  </si>
  <si>
    <t>+4367761192008</t>
  </si>
  <si>
    <t>spenker@gmx.at</t>
  </si>
  <si>
    <t>https://bilder.dasschnelle.at/DasSchnelle/50/5000/9933/042160/G_042160_P_906299980.adn.gif</t>
  </si>
  <si>
    <t>John, Robert  • Lind im Drautal • Kärnten</t>
  </si>
  <si>
    <t>Physiotherapie • John, Robert, Lind im Drautal 207, Lind im Drautal • Kontakt über aktuelle Telefonnummern ☎ und Adressen ⚑ mit Karte, Routing, Öffnungszeiten, Homepage, E-Mail, vCard und Firmendaten.</t>
  </si>
  <si>
    <t>Lind im Drautal 207</t>
  </si>
  <si>
    <t>9753</t>
  </si>
  <si>
    <t>Lind im Drautal</t>
  </si>
  <si>
    <t>46.7715447</t>
  </si>
  <si>
    <t>13.3546865</t>
  </si>
  <si>
    <t>+43476820612</t>
  </si>
  <si>
    <t>office@physiogsund.at</t>
  </si>
  <si>
    <t>https://bilder.dasschnelle.at/DasSchnelle/50/5000/9933/042139/I_042139_P_906085030_L_0038061382_1.png</t>
  </si>
  <si>
    <t>https://bilder.dasschnelle.at/DasSchnelle/50/5000/9933/042139/I_042139_P_906085030_B_0038061382_1.gal.png?height=120&amp;width=940</t>
  </si>
  <si>
    <t>Hubertus-Apotheke e.U. Mag.pharm.Dr.A.Dominik Schantl, Apotheke • Spittal • Kärnten</t>
  </si>
  <si>
    <t>Apotheken • Hubertus-Apotheke e.U. Mag.pharm.Dr.A.Dominik Schantl, Tiroler Straße 14, Spittal • Kontakt über aktuelle Telefonnummern ☎ und Adressen ⚑ mit Karte, Routing, Öffnungszeiten, Homepage, E-Mail, vCard und Firmendaten.</t>
  </si>
  <si>
    <t>Tiroler Straße 14</t>
  </si>
  <si>
    <t>9800</t>
  </si>
  <si>
    <t>Spittal</t>
  </si>
  <si>
    <t>46.7989308</t>
  </si>
  <si>
    <t>13.4945219</t>
  </si>
  <si>
    <t>+4347622333</t>
  </si>
  <si>
    <t>office@hubertus-apotheke.at</t>
  </si>
  <si>
    <t>https://bilder.dasschnelle.at/DasSchnelle/50/5000/9933/998337/G_998337_P_906298015.adn.gif</t>
  </si>
  <si>
    <t>Eberharter Erwin KG, Heizung-Sanitäre-Reparaturdienst • Zellberg • Tirol</t>
  </si>
  <si>
    <t>Installationsunternehmen • Eberharter Erwin KG, Zellberg • Kontakt über aktuelle Telefonnummern ☎ und Adressen ⚑ mit Karte, Routing, Öffnungszeiten, Homepage, E-Mail, vCard und Firmendaten.</t>
  </si>
  <si>
    <t>6277</t>
  </si>
  <si>
    <t>Zellberg</t>
  </si>
  <si>
    <t>47.2439432</t>
  </si>
  <si>
    <t>11.8787553</t>
  </si>
  <si>
    <t>+4352824289</t>
  </si>
  <si>
    <t>+43528242894</t>
  </si>
  <si>
    <t>eberharterzellberg@aon.at</t>
  </si>
  <si>
    <t>https://bilder.dasschnelle.at/DasSchnelle/50/5000/9929/042856/G_042856_P_906174343.adn.gif</t>
  </si>
  <si>
    <t>Design Wohnen Kröll • Zell am Ziller • Tirol</t>
  </si>
  <si>
    <t>Designer • Design Wohnen Kröll, Talstraße 40, Zell am Ziller • Kontakt über aktuelle Telefonnummern ☎ und Adressen ⚑ mit Karte, Routing, Öffnungszeiten, Homepage, E-Mail, vCard und Firmendaten.</t>
  </si>
  <si>
    <t>Talstraße 40</t>
  </si>
  <si>
    <t>6280</t>
  </si>
  <si>
    <t>Zell am Ziller</t>
  </si>
  <si>
    <t>47.22286</t>
  </si>
  <si>
    <t>11.87992</t>
  </si>
  <si>
    <t>+436764042812</t>
  </si>
  <si>
    <t>info@wohnen-kroell.at</t>
  </si>
  <si>
    <t>https://bilder.dasschnelle.at/DasSchnelle/50/5000/9929/042855/G_042855_P_906162174.adn.gif</t>
  </si>
  <si>
    <t>Heiß, Alexander, Versicherungsagentur • Ramsau im Zillertal • Tirol</t>
  </si>
  <si>
    <t>Versicherungsagentur • Heiß, Alexander, Ramsau im Zillertal 210, Ramsau im Zillertal • Kontakt über aktuelle Telefonnummern ☎ und Adressen ⚑ mit Karte, Routing, Öffnungszeiten, Homepage, E-Mail, vCard und Firmendaten.</t>
  </si>
  <si>
    <t>Ramsau im Zillertal 210</t>
  </si>
  <si>
    <t>6284</t>
  </si>
  <si>
    <t>Ramsau im Zillertal</t>
  </si>
  <si>
    <t>47.2069855</t>
  </si>
  <si>
    <t>11.8698709</t>
  </si>
  <si>
    <t>+4352823302;+4366475126986;+436766309491</t>
  </si>
  <si>
    <t>info@heiss-vers.at</t>
  </si>
  <si>
    <t>https://bilder.dasschnelle.at/DasSchnelle/50/5000/9929/042632/G_042632_P_906161081.adn.gif</t>
  </si>
  <si>
    <t>Anfang-Schweiger, Johanna, Lebens- und Sozialberatung • Schwaz • Tirol</t>
  </si>
  <si>
    <t>Lebens- u. Sozialberatung • Anfang-Schweiger, Johanna, Rennhammergasse 28, Schwaz • Kontakt über aktuelle Telefonnummern ☎ und Adressen ⚑ mit Karte, Routing, Öffnungszeiten, Homepage, E-Mail, vCard und Firmendaten.</t>
  </si>
  <si>
    <t>Rennhammergasse 28</t>
  </si>
  <si>
    <t>6130</t>
  </si>
  <si>
    <t>Schwaz</t>
  </si>
  <si>
    <t>47.34718</t>
  </si>
  <si>
    <t>11.71655</t>
  </si>
  <si>
    <t>+436767517912</t>
  </si>
  <si>
    <t>lebensberatung.johanna@hotmail.com</t>
  </si>
  <si>
    <t>https://bilder.dasschnelle.at/DasSchnelle/50/5000/9929/042636/G_042636_P_906136218.adn.gif</t>
  </si>
  <si>
    <t>KORA Fliesen Rainer &amp; Komutzki OG, Fliesen • Ramsau im Zillertal • Tirol</t>
  </si>
  <si>
    <t>Fliesenfachhandel • KORA Fliesen Rainer &amp; Komutzki OG, Bichl 482, Ramsau im Zillertal • Kontakt über aktuelle Telefonnummern ☎ und Adressen ⚑ mit Karte, Routing, Öffnungszeiten, Homepage, E-Mail, vCard und Firmendaten.</t>
  </si>
  <si>
    <t>Bichl 482</t>
  </si>
  <si>
    <t>47.19571</t>
  </si>
  <si>
    <t>11.87149</t>
  </si>
  <si>
    <t>+43528255049</t>
  </si>
  <si>
    <t>+43528255053</t>
  </si>
  <si>
    <t>info@kora-fliesen.at</t>
  </si>
  <si>
    <t>https://bilder.dasschnelle.at/DasSchnelle/50/5000/9929/042632/G_042632_P_906163968.adn.gif</t>
  </si>
  <si>
    <t>Martin Wurm, Malerei-Anstrich-Fassaden • Fügen • Tirol</t>
  </si>
  <si>
    <t>Malereibetriebe • Martin Wurm, Hauptstraße 53, Fügen • Kontakt über aktuelle Telefonnummern ☎ und Adressen ⚑ mit Karte, Routing, Öffnungszeiten, Homepage, E-Mail, vCard und Firmendaten.</t>
  </si>
  <si>
    <t>Hauptstraße 53</t>
  </si>
  <si>
    <t>6263</t>
  </si>
  <si>
    <t>Fügen</t>
  </si>
  <si>
    <t>47.3484</t>
  </si>
  <si>
    <t>11.85003</t>
  </si>
  <si>
    <t>+43676847334847</t>
  </si>
  <si>
    <t>malerei.wurm@zline.at</t>
  </si>
  <si>
    <t>https://bilder.dasschnelle.at/DasSchnelle/50/5000/9929/042620/G_042620_P_906174396.adn.gif</t>
  </si>
  <si>
    <t>Petz, Alexander, Kälteanlagentechnik • Schwaz • Tirol</t>
  </si>
  <si>
    <t>Kältetechnik • Petz, Alexander, Fiecht Pax 33, Schwaz • Kontakt über aktuelle Telefonnummern ☎ und Adressen ⚑ mit Karte, Routing, Öffnungszeiten, Homepage, E-Mail, vCard und Firmendaten.</t>
  </si>
  <si>
    <t>Fiecht Pax 33</t>
  </si>
  <si>
    <t>47.3584031</t>
  </si>
  <si>
    <t>11.6989939</t>
  </si>
  <si>
    <t>+436642666846</t>
  </si>
  <si>
    <t>alex@kaelte-petz.at</t>
  </si>
  <si>
    <t>https://bilder.dasschnelle.at/DasSchnelle/50/5000/9929/042636/G_042636_P_906178324.adn.gif</t>
  </si>
  <si>
    <t>Schimanek Christian, Christian, Dr. • Ramsau im Zillertal • Tirol</t>
  </si>
  <si>
    <t>Ärzte / Fachärzte f. Orthopädie u. Orthopädische Chirurgie • Schimanek Christian, Christian, Dr., Ramsau im Zillertal 160, Ramsau im Zillertal • Kontakt über aktuelle Telefonnummern ☎ und Adressen ⚑ mit Karte, Routing, Öffnungszeiten, Homepage, E-Mail, vCard und Firmendaten.</t>
  </si>
  <si>
    <t>Ramsau im Zillertal 160</t>
  </si>
  <si>
    <t>47.2090290</t>
  </si>
  <si>
    <t>11.8732133</t>
  </si>
  <si>
    <t>+4352824939</t>
  </si>
  <si>
    <t>orthopaediezillertal@aon.at</t>
  </si>
  <si>
    <t>https://bilder.dasschnelle.at/DasSchnelle/50/5000/9929/042632/G_042632_P_906169867.adn.gif</t>
  </si>
  <si>
    <t>Fritzenwanker, Wilfried, Taxi • Aschau • Tirol</t>
  </si>
  <si>
    <t>Taxi • Fritzenwanker, Wilfried, Entenweg 4, Aschau • Kontakt über aktuelle Telefonnummern ☎ und Adressen ⚑ mit Karte, Routing, Öffnungszeiten, Homepage, E-Mail, vCard und Firmendaten.</t>
  </si>
  <si>
    <t>Entenweg 4</t>
  </si>
  <si>
    <t>6274</t>
  </si>
  <si>
    <t>Aschau</t>
  </si>
  <si>
    <t>47.2603128</t>
  </si>
  <si>
    <t>11.8929357</t>
  </si>
  <si>
    <t>+43528222184;+436643923826</t>
  </si>
  <si>
    <t>info@taxi-willi.at</t>
  </si>
  <si>
    <t>https://bilder.dasschnelle.at/DasSchnelle/50/5000/9929/042614/G_042614_P_906161084.adn.gif</t>
  </si>
  <si>
    <t>Lechner Franz Bau GmbH, Bau- Zimmer- &amp; Dachdeckermeister • Uderns • Tirol</t>
  </si>
  <si>
    <t>Zimmereien • Lechner Franz Bau GmbH, Gewerbestraße 10, Uderns • Kontakt über aktuelle Telefonnummern ☎ und Adressen ⚑ mit Karte, Routing, Öffnungszeiten, Homepage, E-Mail, vCard und Firmendaten.</t>
  </si>
  <si>
    <t>Gewerbestraße 10</t>
  </si>
  <si>
    <t>6271</t>
  </si>
  <si>
    <t>Uderns</t>
  </si>
  <si>
    <t>47.32707</t>
  </si>
  <si>
    <t>11.86742</t>
  </si>
  <si>
    <t>+43528863283</t>
  </si>
  <si>
    <t>+435288632834</t>
  </si>
  <si>
    <t>info@lechnerbau.at</t>
  </si>
  <si>
    <t>https://bilder.dasschnelle.at/DasSchnelle/50/5000/9929/042850/G_042850_P_906162753.adn.gif</t>
  </si>
  <si>
    <t>Schellhorn, Franz, Bau- u Möbeltischlerei • Distelberg • Tirol</t>
  </si>
  <si>
    <t>Tischlereien • Schellhorn, Franz, Gewerbestraße 1, Distelberg • Kontakt über aktuelle Telefonnummern ☎ und Adressen ⚑ mit Karte, Routing, Öffnungszeiten, Homepage, E-Mail, vCard und Firmendaten.</t>
  </si>
  <si>
    <t>Distelberg</t>
  </si>
  <si>
    <t>47.27185</t>
  </si>
  <si>
    <t>11.90033</t>
  </si>
  <si>
    <t>+43528255190</t>
  </si>
  <si>
    <t>tischlereischlellhorn@aon.at</t>
  </si>
  <si>
    <t>https://bilder.dasschnelle.at/DasSchnelle/50/5000/9929/042614/G_042614_P_906151754.adn.gif</t>
  </si>
  <si>
    <t>Brenn, Martin, Dachdeckerei • Schwaz • Tirol</t>
  </si>
  <si>
    <t>Dachdeckereien • Brenn, Martin, Dr.-Walter-Waizer-Straße 12, Schwaz • Kontakt über aktuelle Telefonnummern ☎ und Adressen ⚑ mit Karte, Routing, Öffnungszeiten, Homepage, E-Mail, vCard und Firmendaten.</t>
  </si>
  <si>
    <t>Dr.-Walter-Waizer-Straße 12</t>
  </si>
  <si>
    <t>47.34323</t>
  </si>
  <si>
    <t>11.70018</t>
  </si>
  <si>
    <t>+43524271233</t>
  </si>
  <si>
    <t>martin-f.1@a1.net</t>
  </si>
  <si>
    <t>https://bilder.dasschnelle.at/DasSchnelle/50/5000/9929/042636/G_042636_P_906147290.adn.gif</t>
  </si>
  <si>
    <t>Dreier, Michael, Raumausstatter • Stumm • Tirol</t>
  </si>
  <si>
    <t>Raumausstatter • Dreier, Michael, Ahrnbachstraße 22, Stumm • Kontakt über aktuelle Telefonnummern ☎ und Adressen ⚑ mit Karte, Routing, Öffnungszeiten, Homepage, E-Mail, vCard und Firmendaten.</t>
  </si>
  <si>
    <t>Ahrnbachstraße 22</t>
  </si>
  <si>
    <t>6275</t>
  </si>
  <si>
    <t>Stumm</t>
  </si>
  <si>
    <t>47.28636</t>
  </si>
  <si>
    <t>11.88838</t>
  </si>
  <si>
    <t>+436643637466</t>
  </si>
  <si>
    <t>+43528323634</t>
  </si>
  <si>
    <t>m.dreier@aon.at</t>
  </si>
  <si>
    <t>https://bilder.dasschnelle.at/DasSchnelle/50/5000/9929/042641/G_042641_P_906144793.adn.gif</t>
  </si>
  <si>
    <t>Schuster Peter GmbH, Spenglereien • Vomp • Tirol</t>
  </si>
  <si>
    <t>Spenglereien • Schuster Peter GmbH, Feldweg 6, Vomp • Kontakt über aktuelle Telefonnummern ☎ und Adressen ⚑ mit Karte, Routing, Öffnungszeiten, Homepage, E-Mail, vCard und Firmendaten.</t>
  </si>
  <si>
    <t>Feldweg 6</t>
  </si>
  <si>
    <t>6134</t>
  </si>
  <si>
    <t>Vomp</t>
  </si>
  <si>
    <t>47.34408</t>
  </si>
  <si>
    <t>11.6942</t>
  </si>
  <si>
    <t>+43524262963;+436642006577</t>
  </si>
  <si>
    <t>office@peter-schuster.at</t>
  </si>
  <si>
    <t>https://bilder.dasschnelle.at/DasSchnelle/50/5000/9929/042851/G_042851_P_906150994.adn.gif</t>
  </si>
  <si>
    <t>Taxi Steinlechner, Krankentransporte • Wattens • Tirol</t>
  </si>
  <si>
    <t>Taxi • Taxi Steinlechner, Riedweg 46, Wattens • Kontakt über aktuelle Telefonnummern ☎ und Adressen ⚑ mit Karte, Routing, Öffnungszeiten, Homepage, E-Mail, vCard und Firmendaten.</t>
  </si>
  <si>
    <t>Riedweg 46</t>
  </si>
  <si>
    <t>6112</t>
  </si>
  <si>
    <t>Wattens</t>
  </si>
  <si>
    <t>47.28901</t>
  </si>
  <si>
    <t>11.60067</t>
  </si>
  <si>
    <t>+43524266100</t>
  </si>
  <si>
    <t>office@taxi-steinlechner.at</t>
  </si>
  <si>
    <t>https://bilder.dasschnelle.at/DasSchnelle/50/5000/9929/042636/G_042636_P_906133844.adn.gif</t>
  </si>
  <si>
    <t>Moser, Ernst, Mag., öffentlicher Notar • Schwaz • Tirol</t>
  </si>
  <si>
    <t>Notare • Moser, Ernst, Mag., Ludwig-Penz-Straße 11, Schwaz • Kontakt über aktuelle Telefonnummern ☎ und Adressen ⚑ mit Karte, Routing, Öffnungszeiten, Homepage, E-Mail, vCard und Firmendaten.</t>
  </si>
  <si>
    <t>Ludwig-Penz-Straße 11</t>
  </si>
  <si>
    <t>47.34576</t>
  </si>
  <si>
    <t>11.71154</t>
  </si>
  <si>
    <t>+43524271600</t>
  </si>
  <si>
    <t>moser@notar-schwaz.at</t>
  </si>
  <si>
    <t>https://bilder.dasschnelle.at/DasSchnelle/50/5000/9929/042636/G_042636_P_906139734.adn.gif</t>
  </si>
  <si>
    <t>Malerei Gruber • Fügen • Tirol</t>
  </si>
  <si>
    <t>Malereibetriebe • Malerei Gruber, Gageringerstraße 32, Fügen • Kontakt über aktuelle Telefonnummern ☎ und Adressen ⚑ mit Karte, Routing, Öffnungszeiten, Homepage, E-Mail, vCard und Firmendaten.</t>
  </si>
  <si>
    <t>Gageringerstraße 32</t>
  </si>
  <si>
    <t>47.3646</t>
  </si>
  <si>
    <t>11.85016</t>
  </si>
  <si>
    <t>+436763091684</t>
  </si>
  <si>
    <t>info@malerei-zillertal.at</t>
  </si>
  <si>
    <t>https://bilder.dasschnelle.at/DasSchnelle/50/5000/9929/042620/G_042620_P_906154302.adn.gif</t>
  </si>
  <si>
    <t>Gruber, Thomas, Spenglerei • Mayrhofen • Tirol</t>
  </si>
  <si>
    <t>Spenglereien • Gruber, Thomas, Laubichl 124, Mayrhofen • Kontakt über aktuelle Telefonnummern ☎ und Adressen ⚑ mit Karte, Routing, Öffnungszeiten, Homepage, E-Mail, vCard und Firmendaten.</t>
  </si>
  <si>
    <t>Laubichl 124</t>
  </si>
  <si>
    <t>6290</t>
  </si>
  <si>
    <t>Mayrhofen</t>
  </si>
  <si>
    <t>47.1765500</t>
  </si>
  <si>
    <t>11.8697700</t>
  </si>
  <si>
    <t>+43528562021;+436642814956</t>
  </si>
  <si>
    <t>+43528562864</t>
  </si>
  <si>
    <t>spenglerei-gruber@aon.at</t>
  </si>
  <si>
    <t>https://bilder.dasschnelle.at/DasSchnelle/50/5000/9929/042630/G_042630_P_906147257.adn.gif</t>
  </si>
  <si>
    <t>Klocker, Ralph, Vollwärmeschutz • Fügen • Tirol</t>
  </si>
  <si>
    <t>Vollwärmeschutz • Klocker, Ralph, Schlossmühlgasse 6, Fügen • Kontakt über aktuelle Telefonnummern ☎ und Adressen ⚑ mit Karte, Routing, Öffnungszeiten, Homepage, E-Mail, vCard und Firmendaten.</t>
  </si>
  <si>
    <t>Schlossmühlgasse 6</t>
  </si>
  <si>
    <t>47.34591</t>
  </si>
  <si>
    <t>11.84647</t>
  </si>
  <si>
    <t>+43528864440</t>
  </si>
  <si>
    <t>info@klocker-bau.at</t>
  </si>
  <si>
    <t>https://bilder.dasschnelle.at/DasSchnelle/50/5000/9929/042620/G_042620_P_906171760.adn.gif</t>
  </si>
  <si>
    <t>Gramshammer GmbH, Handyzubehör • Strass im Zillertal • Tirol</t>
  </si>
  <si>
    <t>Handyzubehör • Gramshammer GmbH, Siedlung 56, Strass im Zillertal • Kontakt über aktuelle Telefonnummern ☎ und Adressen ⚑ mit Karte, Routing, Öffnungszeiten, Homepage, E-Mail, vCard und Firmendaten.</t>
  </si>
  <si>
    <t>Siedlung 56</t>
  </si>
  <si>
    <t>6261</t>
  </si>
  <si>
    <t>Strass im Zillertal</t>
  </si>
  <si>
    <t>47.39733</t>
  </si>
  <si>
    <t>11.82129</t>
  </si>
  <si>
    <t>+43524462190</t>
  </si>
  <si>
    <t>info@gramshammer.at</t>
  </si>
  <si>
    <t>https://bilder.dasschnelle.at/DasSchnelle/50/5000/9929/042640/G_042640_P_906151763.adn.gif</t>
  </si>
  <si>
    <t>Brennstoffvertrieb - Rahm e.U., Josef Rahm • Aschau • Tirol</t>
  </si>
  <si>
    <t>Brennstoffhandel • Brennstoffvertrieb - Rahm e.U., Josef Rahm, Dorfstraße 7, Aschau • Kontakt über aktuelle Telefonnummern ☎ und Adressen ⚑ mit Karte, Routing, Öffnungszeiten, Homepage, E-Mail, vCard und Firmendaten.</t>
  </si>
  <si>
    <t>Dorfstraße 7</t>
  </si>
  <si>
    <t>47.2694783</t>
  </si>
  <si>
    <t>11.8960626</t>
  </si>
  <si>
    <t>+4352822815</t>
  </si>
  <si>
    <t>info@brennstoffvertrieb-rahm.at</t>
  </si>
  <si>
    <t>https://bilder.dasschnelle.at/DasSchnelle/50/5000/9929/042614/G_042614_P_906147298.adn.gif</t>
  </si>
  <si>
    <t>West Design - Beschriftungen • Aschau • Tirol</t>
  </si>
  <si>
    <t>Beschriftungen • West Design - Beschriftungen, Gewerbestraße 5, Aschau • Kontakt über aktuelle Telefonnummern ☎ und Adressen ⚑ mit Karte, Routing, Öffnungszeiten, Homepage, E-Mail, vCard und Firmendaten.</t>
  </si>
  <si>
    <t>Gewerbestraße 5</t>
  </si>
  <si>
    <t>47.27213</t>
  </si>
  <si>
    <t>11.90008</t>
  </si>
  <si>
    <t>+4352824694</t>
  </si>
  <si>
    <t>info@westdesign.at</t>
  </si>
  <si>
    <t>https://bilder.dasschnelle.at/DasSchnelle/50/5000/9929/042614/G_042614_P_906151778.adn.gif</t>
  </si>
  <si>
    <t>Kainrath Georg GmbH &amp; CoKG, Installationsunternehmen • Jenbach • Tirol</t>
  </si>
  <si>
    <t>Installationsunternehmen • Kainrath Georg GmbH &amp; CoKG, Sieglstraße 1, Jenbach • Kontakt über aktuelle Telefonnummern ☎ und Adressen ⚑ mit Karte, Routing, Öffnungszeiten, Homepage, E-Mail, vCard und Firmendaten.</t>
  </si>
  <si>
    <t>Sieglstraße 1</t>
  </si>
  <si>
    <t>6200</t>
  </si>
  <si>
    <t>Jenbach</t>
  </si>
  <si>
    <t>47.39136</t>
  </si>
  <si>
    <t>11.77865</t>
  </si>
  <si>
    <t>+43524462289</t>
  </si>
  <si>
    <t>+43524463509</t>
  </si>
  <si>
    <t>info@georg-kainrath.at</t>
  </si>
  <si>
    <t>https://bilder.dasschnelle.at/DasSchnelle/50/5000/9929/042628/G_042628_P_906161078.adn.gif</t>
  </si>
  <si>
    <t>Fußpflegefachinstitut Haun Sigrid KG • Fügen • Tirol</t>
  </si>
  <si>
    <t>Fußpflege, Institute • Fußpflegefachinstitut Haun Sigrid KG, Hauptstraße 82, Fügen • Kontakt über aktuelle Telefonnummern ☎ und Adressen ⚑ mit Karte, Routing, Öffnungszeiten, Homepage, E-Mail, vCard und Firmendaten.</t>
  </si>
  <si>
    <t>Hauptstraße 82</t>
  </si>
  <si>
    <t>47.34537</t>
  </si>
  <si>
    <t>11.85021</t>
  </si>
  <si>
    <t>+436642636346</t>
  </si>
  <si>
    <t>https://bilder.dasschnelle.at/DasSchnelle/50/5000/9929/042620/G_042620_P_906136216.adn.gif</t>
  </si>
  <si>
    <t>Wartelsteiner, Helmut, Tapezierer - Raumausstatter • Fügen • Tirol</t>
  </si>
  <si>
    <t>Raumausstatter, Tapezierer • Wartelsteiner, Helmut, Nisslweg 1, Fügen • Kontakt über aktuelle Telefonnummern ☎ und Adressen ⚑ mit Karte, Routing, Öffnungszeiten, Homepage, E-Mail, vCard und Firmendaten.</t>
  </si>
  <si>
    <t>Nisslweg 1</t>
  </si>
  <si>
    <t>47.34805</t>
  </si>
  <si>
    <t>11.84912</t>
  </si>
  <si>
    <t>+43528863763;+436765283363</t>
  </si>
  <si>
    <t>sonnenheim@tmo.at</t>
  </si>
  <si>
    <t>https://bilder.dasschnelle.at/DasSchnelle/50/5000/9929/042620/G_042620_P_906153899.adn.gif</t>
  </si>
  <si>
    <t>Kröll, Helmut, Gärtnerei • Mayrhofen • Tirol</t>
  </si>
  <si>
    <t>Garten- u. Landschaftsgestaltung, Gärtnereien • Kröll, Helmut, Dornaustraße 600 B, Mayrhofen • Kontakt über aktuelle Telefonnummern ☎ und Adressen ⚑ mit Karte, Routing, Öffnungszeiten, Homepage, E-Mail, vCard und Firmendaten.</t>
  </si>
  <si>
    <t>Dornaustraße 600 B</t>
  </si>
  <si>
    <t>47.16743</t>
  </si>
  <si>
    <t>11.85896</t>
  </si>
  <si>
    <t>+43528564917</t>
  </si>
  <si>
    <t>+43528564916</t>
  </si>
  <si>
    <t>office@gartengestaltung-kroell.com</t>
  </si>
  <si>
    <t>https://bilder.dasschnelle.at/DasSchnelle/50/5000/9929/042630/G_042630_P_906147296.adn.gif</t>
  </si>
  <si>
    <t>Atelier der Kunst, gestalten-malen-beschriften-dekorieren • Fügen • Tirol</t>
  </si>
  <si>
    <t>Ateliers • Atelier der Kunst, Lindenweg 16, Fügen • Kontakt über aktuelle Telefonnummern ☎ und Adressen ⚑ mit Karte, Routing, Öffnungszeiten, Homepage, E-Mail, vCard und Firmendaten.</t>
  </si>
  <si>
    <t>Lindenweg 16</t>
  </si>
  <si>
    <t>47.3443</t>
  </si>
  <si>
    <t>11.84876</t>
  </si>
  <si>
    <t>+43528863020;+436641819282</t>
  </si>
  <si>
    <t>+435288630204</t>
  </si>
  <si>
    <t>rosengarten.fuegen@tirol.com</t>
  </si>
  <si>
    <t>https://bilder.dasschnelle.at/DasSchnelle/50/5000/9929/042620/G_042620_P_906154884.adn.gif</t>
  </si>
  <si>
    <t>Malerei Sillaber GmbH, Malerei • Schwaz • Tirol</t>
  </si>
  <si>
    <t>Malereibetriebe • Malerei Sillaber GmbH, Einfang 31, Schwaz • Kontakt über aktuelle Telefonnummern ☎ und Adressen ⚑ mit Karte, Routing, Öffnungszeiten, Homepage, E-Mail, vCard und Firmendaten.</t>
  </si>
  <si>
    <t>Einfang 31</t>
  </si>
  <si>
    <t>47.3589</t>
  </si>
  <si>
    <t>11.72125</t>
  </si>
  <si>
    <t>+43524262424;+436769458336</t>
  </si>
  <si>
    <t>info@malerei-sillaber.at</t>
  </si>
  <si>
    <t>https://bilder.dasschnelle.at/DasSchnelle/50/5000/9929/042636/G_042636_P_906144795.adn.gif</t>
  </si>
  <si>
    <t>Kofler, Christian, Holzdesign • Stumm • Tirol</t>
  </si>
  <si>
    <t>Holzverarbeitung • Kofler, Christian, Dorfstraße 18, Stumm • Kontakt über aktuelle Telefonnummern ☎ und Adressen ⚑ mit Karte, Routing, Öffnungszeiten, Homepage, E-Mail, vCard und Firmendaten.</t>
  </si>
  <si>
    <t>Dorfstraße 18</t>
  </si>
  <si>
    <t>47.29347</t>
  </si>
  <si>
    <t>11.88435</t>
  </si>
  <si>
    <t>+435283210310</t>
  </si>
  <si>
    <t>info@holzdesign.cc</t>
  </si>
  <si>
    <t>https://bilder.dasschnelle.at/DasSchnelle/50/5000/9929/042641/G_042641_P_906151745.adn.gif</t>
  </si>
  <si>
    <t>Keck, Eva, Mag., Kosmetikstudio • Schwaz • Tirol</t>
  </si>
  <si>
    <t>Kosmetikstudios • Keck, Eva, Mag., Rennhammergasse 15, Schwaz • Kontakt über aktuelle Telefonnummern ☎ und Adressen ⚑ mit Karte, Routing, Öffnungszeiten, Homepage, E-Mail, vCard und Firmendaten.</t>
  </si>
  <si>
    <t>Rennhammergasse 15</t>
  </si>
  <si>
    <t>47.34717</t>
  </si>
  <si>
    <t>11.71544</t>
  </si>
  <si>
    <t>+43524262652</t>
  </si>
  <si>
    <t>mag.e.keck@gmail.com</t>
  </si>
  <si>
    <t>https://bilder.dasschnelle.at/DasSchnelle/50/5000/9929/042636/G_042636_P_906177117.adn.gif</t>
  </si>
  <si>
    <t>Schwazer Silberbergwerk-BesucherführungsgesmbH, Restaurant • Schwaz • Tirol</t>
  </si>
  <si>
    <t>Restaurants • Schwazer Silberbergwerk-BesucherführungsgesmbH, Alte Landstraße 3 A, Schwaz • Kontakt über aktuelle Telefonnummern ☎ und Adressen ⚑ mit Karte, Routing, Öffnungszeiten, Homepage, E-Mail, vCard und Firmendaten.</t>
  </si>
  <si>
    <t>Alte Landstraße 3 A</t>
  </si>
  <si>
    <t>47.3533581</t>
  </si>
  <si>
    <t>11.7260693</t>
  </si>
  <si>
    <t>+435242723720</t>
  </si>
  <si>
    <t>+435242723724</t>
  </si>
  <si>
    <t>knappenkuchl@erlebnisgastro.at</t>
  </si>
  <si>
    <t>https://bilder.dasschnelle.at/DasSchnelle/50/5000/9929/042636/G_042636_P_906161898.adn.gif</t>
  </si>
  <si>
    <t>Achensee-Apotheke KG • Jenbach • Tirol</t>
  </si>
  <si>
    <t>Apotheken • Achensee-Apotheke KG, Achenseestraße 69, Jenbach • Kontakt über aktuelle Telefonnummern ☎ und Adressen ⚑ mit Karte, Routing, Öffnungszeiten, Homepage, E-Mail, vCard und Firmendaten.</t>
  </si>
  <si>
    <t>Achenseestraße 69</t>
  </si>
  <si>
    <t>47.39572</t>
  </si>
  <si>
    <t>11.77077</t>
  </si>
  <si>
    <t>+43524462500</t>
  </si>
  <si>
    <t>office@achensee-apotheke.at</t>
  </si>
  <si>
    <t>https://bilder.dasschnelle.at/DasSchnelle/50/5000/9929/042628/G_042628_P_906161096.adn.gif</t>
  </si>
  <si>
    <t>Fingerlos, Bernhard, Installationsunternehmen • Achenkirch • Tirol</t>
  </si>
  <si>
    <t>Installationsunternehmen • Fingerlos, Bernhard, Achenkirch 480 1, Achenkirch • Kontakt über aktuelle Telefonnummern ☎ und Adressen ⚑ mit Karte, Routing, Öffnungszeiten, Homepage, E-Mail, vCard und Firmendaten.</t>
  </si>
  <si>
    <t>Achenkirch 480 1</t>
  </si>
  <si>
    <t>6215</t>
  </si>
  <si>
    <t>Achenkirch</t>
  </si>
  <si>
    <t>47.5464873</t>
  </si>
  <si>
    <t>11.6544562</t>
  </si>
  <si>
    <t>+43524620150;+4366488737344</t>
  </si>
  <si>
    <t>+43524620300</t>
  </si>
  <si>
    <t>info@installateur-fingerlos.at</t>
  </si>
  <si>
    <t>https://bilder.dasschnelle.at/DasSchnelle/50/5000/9929/042613/G_042613_P_906156974.adn.gif</t>
  </si>
  <si>
    <t>Hechenblaickner KG, Raumausstattung-Tapezierer • Schwaz • Tirol</t>
  </si>
  <si>
    <t>Raumausstatter, Tapezierer • Hechenblaickner KG, Tannenberggasse 4, Schwaz • Kontakt über aktuelle Telefonnummern ☎ und Adressen ⚑ mit Karte, Routing, Öffnungszeiten, Homepage, E-Mail, vCard und Firmendaten.</t>
  </si>
  <si>
    <t>Tannenberggasse 4</t>
  </si>
  <si>
    <t>47.34741</t>
  </si>
  <si>
    <t>11.70838</t>
  </si>
  <si>
    <t>+435242624060;+436506240600;+436506240601;+436643584801</t>
  </si>
  <si>
    <t>+4352426240610</t>
  </si>
  <si>
    <t>info@hechenblaickner.at</t>
  </si>
  <si>
    <t>https://bilder.dasschnelle.at/DasSchnelle/50/5000/9929/042636/G_042636_P_906172099.adn.gif</t>
  </si>
  <si>
    <t>Mag. Daniel Ludwig, Rechtsanwalt • Schwaz • Tirol</t>
  </si>
  <si>
    <t>Rechtsanwälte • Mag. Daniel Ludwig, Münchner Straße 15, Schwaz • Kontakt über aktuelle Telefonnummern ☎ und Adressen ⚑ mit Karte, Routing, Öffnungszeiten, Homepage, E-Mail, vCard und Firmendaten.</t>
  </si>
  <si>
    <t>Münchner Straße 15</t>
  </si>
  <si>
    <t>47.3523</t>
  </si>
  <si>
    <t>11.70649</t>
  </si>
  <si>
    <t>+43524290134</t>
  </si>
  <si>
    <t>office@kanzlei-ludwig.at</t>
  </si>
  <si>
    <t>https://bilder.dasschnelle.at/DasSchnelle/50/5000/9929/042636/G_042636_P_906202842.adn.gif</t>
  </si>
  <si>
    <t>Rauchfangbau u Brandschutz GesmbH • Vomp • Tirol</t>
  </si>
  <si>
    <t>Brandschutz, Rauchfangkehrer • Rauchfangbau u Brandschutz GesmbH, Au 40, Vomp • Kontakt über aktuelle Telefonnummern ☎ und Adressen ⚑ mit Karte, Routing, Öffnungszeiten, Homepage, E-Mail, vCard und Firmendaten.</t>
  </si>
  <si>
    <t>Au 40</t>
  </si>
  <si>
    <t>47.35367</t>
  </si>
  <si>
    <t>11.69984</t>
  </si>
  <si>
    <t>+43524261006</t>
  </si>
  <si>
    <t>info@ofen-ober.at</t>
  </si>
  <si>
    <t>https://bilder.dasschnelle.at/DasSchnelle/50/5000/9929/042851/G_042851_P_906147254.adn.gif</t>
  </si>
  <si>
    <t>Eberl, Walter, Zimmerei • Schwendau • Tirol</t>
  </si>
  <si>
    <t>Zimmereien • Eberl, Walter, Kreuzlau 390 E, Schwendau • Kontakt über aktuelle Telefonnummern ☎ und Adressen ⚑ mit Karte, Routing, Öffnungszeiten, Homepage, E-Mail, vCard und Firmendaten.</t>
  </si>
  <si>
    <t>Kreuzlau 390 E</t>
  </si>
  <si>
    <t>Schwendau</t>
  </si>
  <si>
    <t>47.16843</t>
  </si>
  <si>
    <t>11.85868</t>
  </si>
  <si>
    <t>+43528564494</t>
  </si>
  <si>
    <t>+43528564439</t>
  </si>
  <si>
    <t>zimmerei.eberl@tirol.com</t>
  </si>
  <si>
    <t>https://bilder.dasschnelle.at/DasSchnelle/50/5000/9929/042637/G_042637_P_906144789.adn.gif</t>
  </si>
  <si>
    <t>Gröblacher, Reinhard, Trockenausbau • Mayrhofen • Tirol</t>
  </si>
  <si>
    <t>Trockenausbau • Gröblacher, Reinhard, Sportplatzstraße 300, Mayrhofen • Kontakt über aktuelle Telefonnummern ☎ und Adressen ⚑ mit Karte, Routing, Öffnungszeiten, Homepage, E-Mail, vCard und Firmendaten.</t>
  </si>
  <si>
    <t>Sportplatzstraße 300</t>
  </si>
  <si>
    <t>47.16533</t>
  </si>
  <si>
    <t>11.87007</t>
  </si>
  <si>
    <t>+43528564898</t>
  </si>
  <si>
    <t>tbg.oeg@aon.at</t>
  </si>
  <si>
    <t>https://bilder.dasschnelle.at/DasSchnelle/50/5000/9929/042630/G_042630_P_906177109.adn.gif</t>
  </si>
  <si>
    <t>Unterberger Automobil GmbH&amp;CoKG • Strass im Zillertal • Tirol</t>
  </si>
  <si>
    <t>Autohandel • Unterberger Automobil GmbH&amp;CoKG, An der Bundesstraße, Strass im Zillertal • Kontakt über aktuelle Telefonnummern ☎ und Adressen ⚑ mit Karte, Routing, Öffnungszeiten, Homepage, E-Mail, vCard und Firmendaten.</t>
  </si>
  <si>
    <t>An der Bundesstraße</t>
  </si>
  <si>
    <t>47.3979280</t>
  </si>
  <si>
    <t>11.8187537</t>
  </si>
  <si>
    <t>+43524461000</t>
  </si>
  <si>
    <t>info.strass@unterberger.cc</t>
  </si>
  <si>
    <t>https://bilder.dasschnelle.at/DasSchnelle/50/5000/9929/042640/G_042640_P_906147253.adn.gif</t>
  </si>
  <si>
    <t>Eder, Herbert, Vollwärmeschutz • Finkenberg • Tirol</t>
  </si>
  <si>
    <t>Vollwärmeschutz • Eder, Herbert, Finkenberg 500, Finkenberg • Kontakt über aktuelle Telefonnummern ☎ und Adressen ⚑ mit Karte, Routing, Öffnungszeiten, Homepage, E-Mail, vCard und Firmendaten.</t>
  </si>
  <si>
    <t>Finkenberg 500</t>
  </si>
  <si>
    <t>6292</t>
  </si>
  <si>
    <t>Finkenberg</t>
  </si>
  <si>
    <t>47.1566192</t>
  </si>
  <si>
    <t>11.8209860</t>
  </si>
  <si>
    <t>+436642814949</t>
  </si>
  <si>
    <t>info@vollwaermeschutz-eder.at</t>
  </si>
  <si>
    <t>https://bilder.dasschnelle.at/DasSchnelle/50/5000/9929/042619/G_042619_P_906163967.adn.gif</t>
  </si>
  <si>
    <t>Buchberger, Michael, Spenglerei • Stumm • Tirol</t>
  </si>
  <si>
    <t>Spenglereien • Buchberger, Michael, Acham 4, Stumm • Kontakt über aktuelle Telefonnummern ☎ und Adressen ⚑ mit Karte, Routing, Öffnungszeiten, Homepage, E-Mail, vCard und Firmendaten.</t>
  </si>
  <si>
    <t>Acham 4</t>
  </si>
  <si>
    <t>47.29304</t>
  </si>
  <si>
    <t>11.87931</t>
  </si>
  <si>
    <t>+436643027844</t>
  </si>
  <si>
    <t>info@spenglerei-buchberger.at</t>
  </si>
  <si>
    <t>https://bilder.dasschnelle.at/DasSchnelle/50/5000/9929/042641/G_042641_P_906166268.adn.gif</t>
  </si>
  <si>
    <t>Gruber, Andreas, Spenglerei Zillertal-Dach GmbH • Fügen • Tirol</t>
  </si>
  <si>
    <t>Spenglereien • Gruber, Andreas, Spenglerei Zillertal-Dach GmbH, Gießenweg 2, Fügen • Kontakt über aktuelle Telefonnummern ☎ und Adressen ⚑ mit Karte, Routing, Öffnungszeiten, Homepage, E-Mail, vCard und Firmendaten.</t>
  </si>
  <si>
    <t>Gießenweg 2</t>
  </si>
  <si>
    <t>47.33145</t>
  </si>
  <si>
    <t>11.86322</t>
  </si>
  <si>
    <t>+436643920140</t>
  </si>
  <si>
    <t>spenglerei@zillertal-dach.at</t>
  </si>
  <si>
    <t>https://bilder.dasschnelle.at/DasSchnelle/50/5000/9929/042620/G_042620_P_906172083.adn.gif</t>
  </si>
  <si>
    <t>MA Metallbau GmbH • Mayrhofen • Tirol</t>
  </si>
  <si>
    <t>Metallbau • MA Metallbau GmbH, Hollenzen 117, Mayrhofen • Kontakt über aktuelle Telefonnummern ☎ und Adressen ⚑ mit Karte, Routing, Öffnungszeiten, Homepage, E-Mail, vCard und Firmendaten.</t>
  </si>
  <si>
    <t>Hollenzen 117</t>
  </si>
  <si>
    <t>47.17847</t>
  </si>
  <si>
    <t>11.87016</t>
  </si>
  <si>
    <t>+43528564466</t>
  </si>
  <si>
    <t>info@ma-metallbau.at</t>
  </si>
  <si>
    <t>https://bilder.dasschnelle.at/DasSchnelle/50/5000/9929/042630/G_042630_P_906147255.adn.gif</t>
  </si>
  <si>
    <t>Bestattung Othmar Lechner GmbH, Bestattung • Schwaz • Tirol</t>
  </si>
  <si>
    <t>Bestattungsunternehmen • Bestattung Othmar Lechner GmbH, Husslstraße 40, Schwaz • Kontakt über aktuelle Telefonnummern ☎ und Adressen ⚑ mit Karte, Routing, Öffnungszeiten, Homepage, E-Mail, vCard und Firmendaten.</t>
  </si>
  <si>
    <t>Husslstraße 40</t>
  </si>
  <si>
    <t>47.35143</t>
  </si>
  <si>
    <t>11.71657</t>
  </si>
  <si>
    <t>+435242623510</t>
  </si>
  <si>
    <t>info@bestattung-lechner.at</t>
  </si>
  <si>
    <t>https://bilder.dasschnelle.at/DasSchnelle/50/5000/9929/042636/G_042636_P_906156973.adn.gif</t>
  </si>
  <si>
    <t>Schweiberer, Maximilian, Installationen • Fügen • Tirol</t>
  </si>
  <si>
    <t>Installationsunternehmen • Schweiberer, Maximilian, Kleinbodenerstraße 18, Fügen • Kontakt über aktuelle Telefonnummern ☎ und Adressen ⚑ mit Karte, Routing, Öffnungszeiten, Homepage, E-Mail, vCard und Firmendaten.</t>
  </si>
  <si>
    <t>Kleinbodenerstraße 18</t>
  </si>
  <si>
    <t>47.33305</t>
  </si>
  <si>
    <t>11.85477</t>
  </si>
  <si>
    <t>+43528862776</t>
  </si>
  <si>
    <t>+43528862774</t>
  </si>
  <si>
    <t>installationene@schweiberer.co.at</t>
  </si>
  <si>
    <t>https://bilder.dasschnelle.at/DasSchnelle/50/5000/9929/042620/G_042620_P_906161900.adn.gif</t>
  </si>
  <si>
    <t>Fischer GesmbH, Glaserei • Voitsberg • Steiermark</t>
  </si>
  <si>
    <t>Glasereien • Fischer GesmbH, Grazer Vorstadt 2, Voitsberg • Kontakt über aktuelle Telefonnummern ☎ und Adressen ⚑ mit Karte, Routing, Öffnungszeiten, Homepage, E-Mail, vCard und Firmendaten.</t>
  </si>
  <si>
    <t>Grazer Vorstadt 2</t>
  </si>
  <si>
    <t>8570</t>
  </si>
  <si>
    <t>Voitsberg</t>
  </si>
  <si>
    <t>47.0481</t>
  </si>
  <si>
    <t>15.15216</t>
  </si>
  <si>
    <t>+43314222306;+4366473301757;+4366473301759</t>
  </si>
  <si>
    <t>office@fischerglas.at</t>
  </si>
  <si>
    <t>https://bilder.dasschnelle.at/DasSchnelle/50/5000/9941/045375/G_045375_P_906166253.adn.gif</t>
  </si>
  <si>
    <t>Wieser, Bernd, Dr.med.univ., FA f Zahn-, Mund- und Kieferheilkunde • Köflach • Steiermark</t>
  </si>
  <si>
    <t>Ärzte / Fachärzte f. Zahn-, Mund u. Kieferheilkunde • Wieser, Bernd, Dr.med.univ., Bahnhofstraße 2, Köflach • Kontakt über aktuelle Telefonnummern ☎ und Adressen ⚑ mit Karte, Routing, Öffnungszeiten, Homepage, E-Mail, vCard und Firmendaten.</t>
  </si>
  <si>
    <t>Bahnhofstraße 2</t>
  </si>
  <si>
    <t>8580</t>
  </si>
  <si>
    <t>Köflach</t>
  </si>
  <si>
    <t>47.06421</t>
  </si>
  <si>
    <t>15.08355</t>
  </si>
  <si>
    <t>+43314471271</t>
  </si>
  <si>
    <t>lipizzahnerteam@gmx.at</t>
  </si>
  <si>
    <t>https://bilder.dasschnelle.at/DasSchnelle/50/5000/9941/061383/G_061383_P_906203783.adn.gif</t>
  </si>
  <si>
    <t>Müller, Rainer, Gastgewerbe - Gasthöfe • Bärnbach • Steiermark</t>
  </si>
  <si>
    <t>Gastgewerbe - Gasthöfe • Müller, Rainer, Afling 61, Bärnbach • Kontakt über aktuelle Telefonnummern ☎ und Adressen ⚑ mit Karte, Routing, Öffnungszeiten, Homepage, E-Mail, vCard und Firmendaten.</t>
  </si>
  <si>
    <t>Afling 61</t>
  </si>
  <si>
    <t>8572</t>
  </si>
  <si>
    <t>Bärnbach</t>
  </si>
  <si>
    <t>47.10762</t>
  </si>
  <si>
    <t>15.12005</t>
  </si>
  <si>
    <t>+43314261225;+436645182171;+436764601677</t>
  </si>
  <si>
    <t>rainermueller869@gmail.com</t>
  </si>
  <si>
    <t>https://bilder.dasschnelle.at/DasSchnelle/50/5000/9941/061376/G_061376_P_906178304.adn.gif</t>
  </si>
  <si>
    <t>Baumgartl, Irmgard, Fahrschule • Voitsberg • Steiermark</t>
  </si>
  <si>
    <t>Fahrschulen • Baumgartl, Irmgard, Conrad-von-Hötzendorf-Straße 46, Voitsberg • Kontakt über aktuelle Telefonnummern ☎ und Adressen ⚑ mit Karte, Routing, Öffnungszeiten, Homepage, E-Mail, vCard und Firmendaten.</t>
  </si>
  <si>
    <t>Conrad-von-Hötzendorf-Straße 46</t>
  </si>
  <si>
    <t>47.0536561</t>
  </si>
  <si>
    <t>15.1401633</t>
  </si>
  <si>
    <t>+433142239010</t>
  </si>
  <si>
    <t>voitsberg@baumgartl.at</t>
  </si>
  <si>
    <t>https://bilder.dasschnelle.at/DasSchnelle/50/5000/9941/045375/G_045375_P_906179622.adn.gif</t>
  </si>
  <si>
    <t>G&amp;G KFZ-Werkstätte GmbH, Kfz • Sankt Johann ob Hohenburg • Steiermark</t>
  </si>
  <si>
    <t>Kfz-Werkstätte • G&amp;G KFZ-Werkstätte GmbH, Industriepark Steinwand 1, Sankt Johann ob Hohenburg • Kontakt über aktuelle Telefonnummern ☎ und Adressen ⚑ mit Karte, Routing, Öffnungszeiten, Homepage, E-Mail, vCard und Firmendaten.</t>
  </si>
  <si>
    <t>Industriepark Steinwand 1</t>
  </si>
  <si>
    <t>8564</t>
  </si>
  <si>
    <t>Sankt Johann ob Hohenburg</t>
  </si>
  <si>
    <t>47.00733</t>
  </si>
  <si>
    <t>15.22154</t>
  </si>
  <si>
    <t>+43314320950</t>
  </si>
  <si>
    <t>office@ggkfzwerkstatt.at</t>
  </si>
  <si>
    <t>https://bilder.dasschnelle.at/DasSchnelle/50/5000/9941/061378/G_061378_P_906169859.adn.gif</t>
  </si>
  <si>
    <t>Magerl, Markus, Busunternehmen • Voitsberg • Steiermark</t>
  </si>
  <si>
    <t>Busunternehmen • Magerl, Markus, Kowaldstraße 7, Voitsberg • Kontakt über aktuelle Telefonnummern ☎ und Adressen ⚑ mit Karte, Routing, Öffnungszeiten, Homepage, E-Mail, vCard und Firmendaten.</t>
  </si>
  <si>
    <t>Kowaldstraße 7</t>
  </si>
  <si>
    <t>47.04512</t>
  </si>
  <si>
    <t>15.14598</t>
  </si>
  <si>
    <t>+43314222468</t>
  </si>
  <si>
    <t>office@magerl-reisen.at</t>
  </si>
  <si>
    <t>https://bilder.dasschnelle.at/DasSchnelle/50/5000/9941/045375/G_045375_P_906174406.adn.gif</t>
  </si>
  <si>
    <t>PRESCHAN HOLZBAU GmbH, Holzbau • Voitsberg • Steiermark</t>
  </si>
  <si>
    <t>Holzbau • PRESCHAN HOLZBAU GmbH, Ruhmannstraße 2, Voitsberg • Kontakt über aktuelle Telefonnummern ☎ und Adressen ⚑ mit Karte, Routing, Öffnungszeiten, Homepage, E-Mail, vCard und Firmendaten.</t>
  </si>
  <si>
    <t>Ruhmannstraße 2</t>
  </si>
  <si>
    <t>47.0363700</t>
  </si>
  <si>
    <t>15.1669600</t>
  </si>
  <si>
    <t>+43314228230</t>
  </si>
  <si>
    <t>office@holzbau-preschan.at</t>
  </si>
  <si>
    <t>https://bilder.dasschnelle.at/DasSchnelle/50/5000/9941/045375/G_045375_P_906174405.adn.gif</t>
  </si>
  <si>
    <t>PLANNER GmbH, Schuhhäuser • Voitsberg • Steiermark</t>
  </si>
  <si>
    <t>Orthopädie, Schuhfachgeschäft • PLANNER GmbH, Conrad-von-Hötzendorf-Straße 24, Voitsberg • Kontakt über aktuelle Telefonnummern ☎ und Adressen ⚑ mit Karte, Routing, Öffnungszeiten, Homepage, E-Mail, vCard und Firmendaten.</t>
  </si>
  <si>
    <t>Conrad-von-Hötzendorf-Straße 24</t>
  </si>
  <si>
    <t>47.05194</t>
  </si>
  <si>
    <t>15.14346</t>
  </si>
  <si>
    <t>+43314222740</t>
  </si>
  <si>
    <t>orthopaedie.planner@aon.at</t>
  </si>
  <si>
    <t>https://bilder.dasschnelle.at/DasSchnelle/50/5000/9941/045375/G_045375_P_906179608.adn.gif</t>
  </si>
  <si>
    <t>Rappold &amp; Partner, Haustechnik • Kleinsöding • Steiermark</t>
  </si>
  <si>
    <t>Haustechnik • Rappold &amp; Partner, Schulplatz 6, Kleinsöding • Kontakt über aktuelle Telefonnummern ☎ und Adressen ⚑ mit Karte, Routing, Öffnungszeiten, Homepage, E-Mail, vCard und Firmendaten.</t>
  </si>
  <si>
    <t>Schulplatz 6</t>
  </si>
  <si>
    <t>8561</t>
  </si>
  <si>
    <t>Kleinsöding</t>
  </si>
  <si>
    <t>46.99902</t>
  </si>
  <si>
    <t>15.28906</t>
  </si>
  <si>
    <t>+43313663351</t>
  </si>
  <si>
    <t>office@rappold-haustechnik.at</t>
  </si>
  <si>
    <t>https://bilder.dasschnelle.at/DasSchnelle/50/5000/9941/061378/I_061378_P_905950312_L_0036250429_1.png</t>
  </si>
  <si>
    <t>https://bilder.dasschnelle.at/DasSchnelle/50/5000/9941/061378/I_061378_P_905950312_B_0036250429_1.gal.png?height=397&amp;width=600;https://bilder.dasschnelle.at/DasSchnelle/50/5000/9941/061378/I_061378_P_905950312_B_0036250429_2.gal.png?height=337&amp;width=600;https://bilder.dasschnelle.at/DasSchnelle/50/5000/9941/061378/I_061378_P_905950312_B_0036250429_3.gal.png?height=450&amp;width=600;https://bilder.dasschnelle.at/DasSchnelle/50/5000/9941/061378/I_061378_P_905950312_B_0036250429_4.gal.png?height=450&amp;width=600</t>
  </si>
  <si>
    <t>Danilko, Lukas, Dr., Augenarzt • Lieboch • Steiermark</t>
  </si>
  <si>
    <t>Ärzte / Fachärzte f. Augenheilkunde u. Optometrie • Danilko, Lukas, Dr., Flurgasse 4 E, Lieboch • Kontakt über aktuelle Telefonnummern ☎ und Adressen ⚑ mit Karte, Routing, Öffnungszeiten, Homepage, E-Mail, vCard und Firmendaten.</t>
  </si>
  <si>
    <t>Flurgasse 4 E</t>
  </si>
  <si>
    <t>8501</t>
  </si>
  <si>
    <t>Lieboch</t>
  </si>
  <si>
    <t>46.9729252</t>
  </si>
  <si>
    <t>15.3357846</t>
  </si>
  <si>
    <t>+43313660944</t>
  </si>
  <si>
    <t>https://bilder.dasschnelle.at/DasSchnelle/50/5000/9941/042338/G_042338_P_906192377.adn.gif</t>
  </si>
  <si>
    <t>Meistermaler Schmied OG, Malerei • Köflach • Steiermark</t>
  </si>
  <si>
    <t>Malereibetriebe • Meistermaler Schmied OG, Grazerstraße 9 A, Köflach • Kontakt über aktuelle Telefonnummern ☎ und Adressen ⚑ mit Karte, Routing, Öffnungszeiten, Homepage, E-Mail, vCard und Firmendaten.</t>
  </si>
  <si>
    <t>Grazerstraße 9 A</t>
  </si>
  <si>
    <t>47.06424</t>
  </si>
  <si>
    <t>15.08711</t>
  </si>
  <si>
    <t>+43314470951;+436643985310</t>
  </si>
  <si>
    <t>+4331447095113</t>
  </si>
  <si>
    <t>meistermalerschmied@gmx.at</t>
  </si>
  <si>
    <t>https://bilder.dasschnelle.at/DasSchnelle/50/5000/9941/061383/G_061383_P_906171763.adn.gif</t>
  </si>
  <si>
    <t>Cafe Restaurant Lorber • Köflach • Steiermark</t>
  </si>
  <si>
    <t>Cafe-Restaurants • Cafe Restaurant Lorber, Packerstraße 14, Köflach • Kontakt über aktuelle Telefonnummern ☎ und Adressen ⚑ mit Karte, Routing, Öffnungszeiten, Homepage, E-Mail, vCard und Firmendaten.</t>
  </si>
  <si>
    <t>Packerstraße 14</t>
  </si>
  <si>
    <t>47.0612795</t>
  </si>
  <si>
    <t>15.0808369</t>
  </si>
  <si>
    <t>+4331442234</t>
  </si>
  <si>
    <t>renate.lorber1@gmail.com</t>
  </si>
  <si>
    <t>https://bilder.dasschnelle.at/DasSchnelle/50/5000/9941/061383/G_061383_P_906197595.adn.gif</t>
  </si>
  <si>
    <t>Zügner-Valeskini, Birgit, MMag. • Voitsberg • Steiermark</t>
  </si>
  <si>
    <t>Wirtschaftstreuhänder / Steuerberater • Zügner-Valeskini, Birgit, MMag., Burggasse 15, Voitsberg • Kontakt über aktuelle Telefonnummern ☎ und Adressen ⚑ mit Karte, Routing, Öffnungszeiten, Homepage, E-Mail, vCard und Firmendaten.</t>
  </si>
  <si>
    <t>Burggasse 15</t>
  </si>
  <si>
    <t>47.05094</t>
  </si>
  <si>
    <t>15.15011</t>
  </si>
  <si>
    <t>+43314228084</t>
  </si>
  <si>
    <t>info@online-steuerberater.at</t>
  </si>
  <si>
    <t>https://bilder.dasschnelle.at/DasSchnelle/50/5000/9941/045375/G_045375_P_906205681.adn.gif</t>
  </si>
  <si>
    <t>System-Haus.at, Computerservice • Rosental an der Kainach • Steiermark</t>
  </si>
  <si>
    <t>Computerfachhandel • System-Haus.at, Bergweg 5, Rosental an der Kainach • Kontakt über aktuelle Telefonnummern ☎ und Adressen ⚑ mit Karte, Routing, Öffnungszeiten, Homepage, E-Mail, vCard und Firmendaten.</t>
  </si>
  <si>
    <t>Bergweg 5</t>
  </si>
  <si>
    <t>8582</t>
  </si>
  <si>
    <t>Rosental an der Kainach</t>
  </si>
  <si>
    <t>47.04968</t>
  </si>
  <si>
    <t>15.14897</t>
  </si>
  <si>
    <t>+43314225255</t>
  </si>
  <si>
    <t>office@system-haus.at</t>
  </si>
  <si>
    <t>https://bilder.dasschnelle.at/DasSchnelle/50/5000/9941/045368/I_045375_P_905928084_L_0036240407_1.png</t>
  </si>
  <si>
    <t>https://bilder.dasschnelle.at/DasSchnelle/50/5000/9941/045368/I_045375_P_905928084_B_0036240407_1.gal.png?height=166&amp;width=248;https://bilder.dasschnelle.at/DasSchnelle/50/5000/9941/045368/I_045375_P_905928084_B_0036240407_2.gal.png?height=166&amp;width=249;https://bilder.dasschnelle.at/DasSchnelle/50/5000/9941/045368/I_045375_P_905928084_B_0036240407_3.gal.png?height=166&amp;width=248;https://bilder.dasschnelle.at/DasSchnelle/50/5000/9941/045368/I_045375_P_905928084_B_0036240407_4.gal.png?height=166&amp;width=249</t>
  </si>
  <si>
    <t>Kupferschmidt-Riedel, Brigitta, FA f Allgemeinmedizin • Ligist Markt • Steiermark</t>
  </si>
  <si>
    <t>Ärzte / f Allgemeinmedizin • Kupferschmidt-Riedel, Brigitta, Ligist Markt • Kontakt über aktuelle Telefonnummern ☎ und Adressen ⚑ mit Karte, Routing, Öffnungszeiten, Homepage, E-Mail, vCard und Firmendaten.</t>
  </si>
  <si>
    <t>8563</t>
  </si>
  <si>
    <t>Ligist Markt</t>
  </si>
  <si>
    <t>46.9916471</t>
  </si>
  <si>
    <t>15.2075538</t>
  </si>
  <si>
    <t>+436645944355</t>
  </si>
  <si>
    <t>office@homoeopathiedrkupferschmidt.at</t>
  </si>
  <si>
    <t>https://bilder.dasschnelle.at/DasSchnelle/50/5000/9941/045362/G_045362_P_906212189.adn.gif</t>
  </si>
  <si>
    <t>Taucher, Sabine, Kosmetikstudio • Voitsberg • Steiermark</t>
  </si>
  <si>
    <t>Kosmetikstudios • Taucher, Sabine, Grazer Vorstadt 65, Voitsberg • Kontakt über aktuelle Telefonnummern ☎ und Adressen ⚑ mit Karte, Routing, Öffnungszeiten, Homepage, E-Mail, vCard und Firmendaten.</t>
  </si>
  <si>
    <t>Grazer Vorstadt 65</t>
  </si>
  <si>
    <t>47.0428</t>
  </si>
  <si>
    <t>15.16203</t>
  </si>
  <si>
    <t>+436645517947</t>
  </si>
  <si>
    <t>kosmetiksabine@aon.at</t>
  </si>
  <si>
    <t>https://bilder.dasschnelle.at/DasSchnelle/50/5000/9941/045375/G_045375_P_906177110.adn.gif</t>
  </si>
  <si>
    <t>Alpha Vermögensberatungs GmbH, Vermögensberater • Rosental an der Kainach • Steiermark</t>
  </si>
  <si>
    <t>Vermögens- u. Anlagenberatung • Alpha Vermögensberatungs GmbH, Hauptstraße 12, Rosental an der Kainach • Kontakt über aktuelle Telefonnummern ☎ und Adressen ⚑ mit Karte, Routing, Öffnungszeiten, Homepage, E-Mail, vCard und Firmendaten.</t>
  </si>
  <si>
    <t>Hauptstraße 12</t>
  </si>
  <si>
    <t>47.05195</t>
  </si>
  <si>
    <t>15.12748</t>
  </si>
  <si>
    <t>+43314221119</t>
  </si>
  <si>
    <t>office@alpha-finanz.at</t>
  </si>
  <si>
    <t>https://bilder.dasschnelle.at/DasSchnelle/50/5000/9941/045368/G_045368_P_906171762.adn.gif</t>
  </si>
  <si>
    <t>Madlmayr, Josef, Installation • Laahen • Oberösterreich</t>
  </si>
  <si>
    <t>Installationsunternehmen • Madlmayr, Josef, Römerstraße 116, Laahen • Kontakt über aktuelle Telefonnummern ☎ und Adressen ⚑ mit Karte, Routing, Öffnungszeiten, Homepage, E-Mail, vCard und Firmendaten.</t>
  </si>
  <si>
    <t>Römerstraße 116</t>
  </si>
  <si>
    <t>4600</t>
  </si>
  <si>
    <t>Laahen</t>
  </si>
  <si>
    <t>48.16934</t>
  </si>
  <si>
    <t>14.0091</t>
  </si>
  <si>
    <t>+436645164110</t>
  </si>
  <si>
    <t>office@sanitaer-madlmayr.at</t>
  </si>
  <si>
    <t>https://bilder.dasschnelle.at/DasSchnelle/50/5000/9945/044547/I_044547_P_905927869_L_0036006149_1.png</t>
  </si>
  <si>
    <t>https://bilder.dasschnelle.at/DasSchnelle/50/5000/9945/044547/I_044547_P_905927869_B_0036006149_1.gal.png?height=400&amp;width=600;https://bilder.dasschnelle.at/DasSchnelle/50/5000/9945/044547/I_044547_P_905927869_B_0036006149_2.gal.png?height=323&amp;width=600;https://bilder.dasschnelle.at/DasSchnelle/50/5000/9945/044547/I_044547_P_905927869_B_0036006149_3.gal.png?height=367&amp;width=600</t>
  </si>
  <si>
    <t>Rader, Michael, Tapeziermeister • Thalheim bei Wels • Oberösterreich</t>
  </si>
  <si>
    <t>Tapezierer, Tapezierer u. Dekorateure • Rader, Michael, Reinberghof, Thalheim bei Wels • Kontakt über aktuelle Telefonnummern ☎ und Adressen ⚑ mit Karte, Routing, Öffnungszeiten, Homepage, E-Mail, vCard und Firmendaten.</t>
  </si>
  <si>
    <t>Reinberghof</t>
  </si>
  <si>
    <t>Thalheim bei Wels</t>
  </si>
  <si>
    <t>48.1512</t>
  </si>
  <si>
    <t>13.99884</t>
  </si>
  <si>
    <t>+43724272552</t>
  </si>
  <si>
    <t>michael.rader@speed.at</t>
  </si>
  <si>
    <t>https://bilder.dasschnelle.at/DasSchnelle/50/5000/9945/043584/G_043584_P_906151772.adn.gif</t>
  </si>
  <si>
    <t>Hillinger e.U., Daniela, Metalle • Sipbachzell • Oberösterreich</t>
  </si>
  <si>
    <t>Alteisen u. Altmetalle, Metallbau • Hillinger e.U., Daniela, Gewerbe Park Ost 10, Sipbachzell • Kontakt über aktuelle Telefonnummern ☎ und Adressen ⚑ mit Karte, Routing, Öffnungszeiten, Homepage, E-Mail, vCard und Firmendaten.</t>
  </si>
  <si>
    <t>Gewerbe Park Ost 10</t>
  </si>
  <si>
    <t>4621</t>
  </si>
  <si>
    <t>Sipbachzell</t>
  </si>
  <si>
    <t>48.11083</t>
  </si>
  <si>
    <t>14.10374</t>
  </si>
  <si>
    <t>+436644650429</t>
  </si>
  <si>
    <t>https://bilder.dasschnelle.at/DasSchnelle/50/5000/9945/043580/G_043580_P_906167344.adn.gif</t>
  </si>
  <si>
    <t>Geyrhofer Hans &amp; Sohn GesmbH, Autohaus • Wels • Oberösterreich</t>
  </si>
  <si>
    <t>Autohandel • Geyrhofer Hans &amp; Sohn GesmbH, Hans-Sachs-Straße 133, Wels • Kontakt über aktuelle Telefonnummern ☎ und Adressen ⚑ mit Karte, Routing, Öffnungszeiten, Homepage, E-Mail, vCard und Firmendaten.</t>
  </si>
  <si>
    <t>Hans-Sachs-Straße 133</t>
  </si>
  <si>
    <t>Wels</t>
  </si>
  <si>
    <t>48.17161</t>
  </si>
  <si>
    <t>14.04889</t>
  </si>
  <si>
    <t>+437242462370</t>
  </si>
  <si>
    <t>info@geyrhofer.bmw.at</t>
  </si>
  <si>
    <t>https://bilder.dasschnelle.at/DasSchnelle/50/5000/9945/044547/G_044547_P_906154311.adn.gif</t>
  </si>
  <si>
    <t>Wurm, Michaela, Blumen • Wels • Oberösterreich</t>
  </si>
  <si>
    <t>Blumenhandel • Wurm, Michaela, Dragonerstraße 54, Wels • Kontakt über aktuelle Telefonnummern ☎ und Adressen ⚑ mit Karte, Routing, Öffnungszeiten, Homepage, E-Mail, vCard und Firmendaten.</t>
  </si>
  <si>
    <t>Dragonerstraße 54</t>
  </si>
  <si>
    <t>48.15438</t>
  </si>
  <si>
    <t>14.00526</t>
  </si>
  <si>
    <t>+436644246347</t>
  </si>
  <si>
    <t>hallo@blumenbox.at</t>
  </si>
  <si>
    <t>https://bilder.dasschnelle.at/DasSchnelle/50/5000/9945/044547/I_044547_P_905915261_L_0036006241_1.png</t>
  </si>
  <si>
    <t>https://bilder.dasschnelle.at/DasSchnelle/50/5000/9945/044547/I_044547_P_905915261_B_0036006241_1.gal.png?height=600&amp;width=600;https://bilder.dasschnelle.at/DasSchnelle/50/5000/9945/044547/I_044547_P_905915261_B_0036006241_2.gal.png?height=600&amp;width=600;https://bilder.dasschnelle.at/DasSchnelle/50/5000/9945/044547/I_044547_P_905915261_B_0036006241_3.gal.png?height=600&amp;width=600;https://bilder.dasschnelle.at/DasSchnelle/50/5000/9945/044547/I_044547_P_905915261_B_0036006241_4.gal.png?height=600&amp;width=600</t>
  </si>
  <si>
    <t>Silber Josef e.U. Elektro-Welt, Elektrohandel • Wels • Oberösterreich</t>
  </si>
  <si>
    <t>Elektrohandel • Silber Josef e.U. Elektro-Welt, Ringstraße 5, Wels • Kontakt über aktuelle Telefonnummern ☎ und Adressen ⚑ mit Karte, Routing, Öffnungszeiten, Homepage, E-Mail, vCard und Firmendaten.</t>
  </si>
  <si>
    <t>Ringstraße 5</t>
  </si>
  <si>
    <t>48.15778</t>
  </si>
  <si>
    <t>14.02236</t>
  </si>
  <si>
    <t>+43724246678</t>
  </si>
  <si>
    <t>office@silber-elektrowelt.at</t>
  </si>
  <si>
    <t>https://bilder.dasschnelle.at/DasSchnelle/50/5000/9945/044547/G_044547_P_906150999.adn.gif</t>
  </si>
  <si>
    <t>HTU Dirisamer GmbH, Metallbearbeitung • Gunskirchen • Oberösterreich</t>
  </si>
  <si>
    <t>Metallbe- u. -verarbeitung • HTU Dirisamer GmbH, Liedering 4, Gunskirchen • Kontakt über aktuelle Telefonnummern ☎ und Adressen ⚑ mit Karte, Routing, Öffnungszeiten, Homepage, E-Mail, vCard und Firmendaten.</t>
  </si>
  <si>
    <t>Liedering 4</t>
  </si>
  <si>
    <t>4623</t>
  </si>
  <si>
    <t>Gunskirchen</t>
  </si>
  <si>
    <t>48.1585647</t>
  </si>
  <si>
    <t>13.9146650</t>
  </si>
  <si>
    <t>+43724620046</t>
  </si>
  <si>
    <t>office@htu-dirisamer.at</t>
  </si>
  <si>
    <t>https://bilder.dasschnelle.at/DasSchnelle/50/5000/9945/043569/G_043569_P_906156967.adn.gif</t>
  </si>
  <si>
    <t>Rene Täubel GmbH, Steinmetz • Wels • Oberösterreich</t>
  </si>
  <si>
    <t>Steinmetzbetriebe • Rene Täubel GmbH, Eferdinger Straße 56, Wels • Kontakt über aktuelle Telefonnummern ☎ und Adressen ⚑ mit Karte, Routing, Öffnungszeiten, Homepage, E-Mail, vCard und Firmendaten.</t>
  </si>
  <si>
    <t>Eferdinger Straße 56</t>
  </si>
  <si>
    <t>48.17119</t>
  </si>
  <si>
    <t>14.02631</t>
  </si>
  <si>
    <t>+43724244393</t>
  </si>
  <si>
    <t>steinmetz@taeubel.at</t>
  </si>
  <si>
    <t>https://bilder.dasschnelle.at/DasSchnelle/50/5000/9945/044547/I_044547_P_905914162_L_0036006176_1.png</t>
  </si>
  <si>
    <t>https://bilder.dasschnelle.at/DasSchnelle/50/5000/9945/044547/I_044547_P_905914162_B_0036006176_1.gal.png?height=450&amp;width=600;https://bilder.dasschnelle.at/DasSchnelle/50/5000/9945/044547/I_044547_P_905914162_B_0036006176_2.gal.png?height=400&amp;width=600;https://bilder.dasschnelle.at/DasSchnelle/50/5000/9945/044547/I_044547_P_905914162_B_0036006176_3.gal.png?height=400&amp;width=600;https://bilder.dasschnelle.at/DasSchnelle/50/5000/9945/044547/I_044547_P_905914162_B_0036006176_4.gal.png?height=600&amp;width=450</t>
  </si>
  <si>
    <t>Kransteiner GmbH, Blitzableiter u Blitzschutzanlagen • Bernardin • Oberösterreich</t>
  </si>
  <si>
    <t>Blitzableiter u. Blitzschutzanlagen • Kransteiner GmbH, Würzburgerstraße 4, Bernardin • Kontakt über aktuelle Telefonnummern ☎ und Adressen ⚑ mit Karte, Routing, Öffnungszeiten, Homepage, E-Mail, vCard und Firmendaten.</t>
  </si>
  <si>
    <t>Würzburgerstraße 4</t>
  </si>
  <si>
    <t>Bernardin</t>
  </si>
  <si>
    <t>48.1612</t>
  </si>
  <si>
    <t>14.00956</t>
  </si>
  <si>
    <t>+437242466010;+43724245235</t>
  </si>
  <si>
    <t>+4372424660190</t>
  </si>
  <si>
    <t>office@kransteiner.at</t>
  </si>
  <si>
    <t>https://bilder.dasschnelle.at/DasSchnelle/50/5000/9945/044547/I_044547_P_905914384_L_0036006324_1.png</t>
  </si>
  <si>
    <t>https://bilder.dasschnelle.at/DasSchnelle/50/5000/9945/044547/I_044547_P_905914384_B_0036006324_1.gal.png?height=333&amp;width=500;https://bilder.dasschnelle.at/DasSchnelle/50/5000/9945/044547/I_044547_P_905914384_B_0036006324_2.gal.png?height=384&amp;width=600;https://bilder.dasschnelle.at/DasSchnelle/50/5000/9945/044547/I_044547_P_905914384_B_0036006324_3.gal.png?height=600&amp;width=337;https://bilder.dasschnelle.at/DasSchnelle/50/5000/9945/044547/G_044547_P_906150991.adn.gif</t>
  </si>
  <si>
    <t>EA Service Scheiterbauer Andreas, Elektrohandel • Wels • Oberösterreich</t>
  </si>
  <si>
    <t>Elektrohandel • EA Service Scheiterbauer Andreas, Eferdinger Straße 26, Wels • Kontakt über aktuelle Telefonnummern ☎ und Adressen ⚑ mit Karte, Routing, Öffnungszeiten, Homepage, E-Mail, vCard und Firmendaten.</t>
  </si>
  <si>
    <t>Eferdinger Straße 26</t>
  </si>
  <si>
    <t>48.16939</t>
  </si>
  <si>
    <t>14.02571</t>
  </si>
  <si>
    <t>+43724247253</t>
  </si>
  <si>
    <t>office@ea-service.at</t>
  </si>
  <si>
    <t>https://bilder.dasschnelle.at/DasSchnelle/50/5000/9945/044547/G_044547_P_906143376.adn.gif</t>
  </si>
  <si>
    <t>Ranzmeir, Roland, Immobilienmakler • Laahen • Oberösterreich</t>
  </si>
  <si>
    <t>Immobilien, Vermögens- u. Anlagenberatung • Ranzmeir, Roland, Ziehrerstraße 7, Laahen • Kontakt über aktuelle Telefonnummern ☎ und Adressen ⚑ mit Karte, Routing, Öffnungszeiten, Homepage, E-Mail, vCard und Firmendaten.</t>
  </si>
  <si>
    <t>Ziehrerstraße 7</t>
  </si>
  <si>
    <t>48.17175</t>
  </si>
  <si>
    <t>14.00485</t>
  </si>
  <si>
    <t>+43724268978;+436767279030</t>
  </si>
  <si>
    <t>office@ranzmeir-immobilien.at</t>
  </si>
  <si>
    <t>https://bilder.dasschnelle.at/DasSchnelle/50/5000/9945/044547/G_044547_P_906156965.adn.gif</t>
  </si>
  <si>
    <t>Stockinger GmbH Schuhmode &amp; Orthopädie, Schuhe • Grieskirchen • Oberösterreich</t>
  </si>
  <si>
    <t>Orthopädische Schuhe, Schuhfachgeschäft • Stockinger GmbH Schuhmode &amp; Orthopädie, Steiffstraße 1, Grieskirchen • Kontakt über aktuelle Telefonnummern ☎ und Adressen ⚑ mit Karte, Routing, Öffnungszeiten, Homepage, E-Mail, vCard und Firmendaten.</t>
  </si>
  <si>
    <t>Steiffstraße 1</t>
  </si>
  <si>
    <t>4710</t>
  </si>
  <si>
    <t>Grieskirchen</t>
  </si>
  <si>
    <t>48.2336500</t>
  </si>
  <si>
    <t>13.8206800</t>
  </si>
  <si>
    <t>+437248637750</t>
  </si>
  <si>
    <t>wiesbauer@stockinger.co.at</t>
  </si>
  <si>
    <t>https://bilder.dasschnelle.at/DasSchnelle/50/5000/9945/043565/G_043565_P_906163973.adn.gif</t>
  </si>
  <si>
    <t>G&amp;O Installationstechnik Gmbh, Installationen • Wels • Oberösterreich</t>
  </si>
  <si>
    <t>Installationstechnik • G&amp;O Installationstechnik Gmbh, Wimpassinger Straße 4, Wels • Kontakt über aktuelle Telefonnummern ☎ und Adressen ⚑ mit Karte, Routing, Öffnungszeiten, Homepage, E-Mail, vCard und Firmendaten.</t>
  </si>
  <si>
    <t>Wimpassinger Straße 4</t>
  </si>
  <si>
    <t>48.16023</t>
  </si>
  <si>
    <t>14.00512</t>
  </si>
  <si>
    <t>+437242277900</t>
  </si>
  <si>
    <t>office@go-installationstechnik.at</t>
  </si>
  <si>
    <t>https://bilder.dasschnelle.at/DasSchnelle/50/5000/9945/044547/I_044547_P_905918277_L_0036006210_1.png</t>
  </si>
  <si>
    <t>https://bilder.dasschnelle.at/DasSchnelle/50/5000/9945/044547/G_044547_P_906154883.adn.gif</t>
  </si>
  <si>
    <t>Scheuchenstuhl, Andreas, Wohnstudio • Wels • Oberösterreich</t>
  </si>
  <si>
    <t>Möbelhandel • Scheuchenstuhl, Andreas, Stelzhamerstraße 6 A, Wels • Kontakt über aktuelle Telefonnummern ☎ und Adressen ⚑ mit Karte, Routing, Öffnungszeiten, Homepage, E-Mail, vCard und Firmendaten.</t>
  </si>
  <si>
    <t>Stelzhamerstraße 6 A</t>
  </si>
  <si>
    <t>48.1603463</t>
  </si>
  <si>
    <t>14.0263077</t>
  </si>
  <si>
    <t>+43724263369</t>
  </si>
  <si>
    <t>wohnstudio@scheuchenstuhl.at</t>
  </si>
  <si>
    <t>https://bilder.dasschnelle.at/DasSchnelle/50/5000/9945/044547/I_044547_P_905914392_L_0036006255_1.png</t>
  </si>
  <si>
    <t>https://bilder.dasschnelle.at/DasSchnelle/50/5000/9945/044547/I_044547_P_905914392_B_0036006255_1.gal.png?height=260&amp;width=286;https://bilder.dasschnelle.at/DasSchnelle/50/5000/9945/044547/I_044547_P_905914392_B_0036006255_2.gal.png?height=600&amp;width=600;https://bilder.dasschnelle.at/DasSchnelle/50/5000/9945/044547/I_044547_P_905914392_B_0036006255_3.gal.png?height=318&amp;width=398;https://bilder.dasschnelle.at/DasSchnelle/50/5000/9945/044547/G_044547_P_906150996.adn.gif</t>
  </si>
  <si>
    <t>MOLTO LUCE GmbH, Beleuchtung • Wels • Oberösterreich</t>
  </si>
  <si>
    <t>Beleuchtung • MOLTO LUCE GmbH, Europastraße 45, Wels • Kontakt über aktuelle Telefonnummern ☎ und Adressen ⚑ mit Karte, Routing, Öffnungszeiten, Homepage, E-Mail, vCard und Firmendaten.</t>
  </si>
  <si>
    <t>Europastraße 45</t>
  </si>
  <si>
    <t>48.14998</t>
  </si>
  <si>
    <t>13.99342</t>
  </si>
  <si>
    <t>+4372426980;+436766980735;+436649210665</t>
  </si>
  <si>
    <t>office@moltoluce.at</t>
  </si>
  <si>
    <t>https://bilder.dasschnelle.at/DasSchnelle/50/5000/9945/044547/G_044547_P_906167346.adn.gif</t>
  </si>
  <si>
    <t>Blitz-Blank-Reinigung, Reinigungsunternehmen • Wels • Oberösterreich</t>
  </si>
  <si>
    <t>Reinigungsanstalten • Blitz-Blank-Reinigung, Franz-Fritsch-Straße 11, Wels • Kontakt über aktuelle Telefonnummern ☎ und Adressen ⚑ mit Karte, Routing, Öffnungszeiten, Homepage, E-Mail, vCard und Firmendaten.</t>
  </si>
  <si>
    <t>Franz-Fritsch-Straße 11</t>
  </si>
  <si>
    <t>48.15523</t>
  </si>
  <si>
    <t>14.01052</t>
  </si>
  <si>
    <t>+43724220882740</t>
  </si>
  <si>
    <t>office@blitzblank.cc</t>
  </si>
  <si>
    <t>https://bilder.dasschnelle.at/DasSchnelle/50/5000/9945/044547/G_044547_P_906154878.adn.gif</t>
  </si>
  <si>
    <t>Höfinger, Alexia, Beauty Lounge &amp; Spa • Wels • Oberösterreich</t>
  </si>
  <si>
    <t>Kosmetik • Höfinger, Alexia, Ringstraße 17, Wels • Kontakt über aktuelle Telefonnummern ☎ und Adressen ⚑ mit Karte, Routing, Öffnungszeiten, Homepage, E-Mail, vCard und Firmendaten.</t>
  </si>
  <si>
    <t>Ringstraße 17</t>
  </si>
  <si>
    <t>48.15844</t>
  </si>
  <si>
    <t>14.02273</t>
  </si>
  <si>
    <t>+4366306005002</t>
  </si>
  <si>
    <t>info@alexiahoefinger.com</t>
  </si>
  <si>
    <t>https://bilder.dasschnelle.at/DasSchnelle/50/5000/9945/044547/G_044547_P_906179617.adn.gif</t>
  </si>
  <si>
    <t>Heitzinger, Christian, Installationsunternehmen • Wels • Oberösterreich</t>
  </si>
  <si>
    <t>Installationsunternehmen • Heitzinger, Christian, Vogelweiderstraße 5, Wels • Kontakt über aktuelle Telefonnummern ☎ und Adressen ⚑ mit Karte, Routing, Öffnungszeiten, Homepage, E-Mail, vCard und Firmendaten.</t>
  </si>
  <si>
    <t>Vogelweiderstraße 5</t>
  </si>
  <si>
    <t>48.16102</t>
  </si>
  <si>
    <t>14.01766</t>
  </si>
  <si>
    <t>+437242354499</t>
  </si>
  <si>
    <t>office@heitzinger-installationen.at</t>
  </si>
  <si>
    <t>https://bilder.dasschnelle.at/DasSchnelle/50/5000/9945/044547/G_044547_P_906166269.adn.gif</t>
  </si>
  <si>
    <t>Ellensohn, Florian, Installationen • Wels • Oberösterreich</t>
  </si>
  <si>
    <t>Installationsunternehmen • Ellensohn, Florian, Paracelsusstraße 69, Wels • Kontakt über aktuelle Telefonnummern ☎ und Adressen ⚑ mit Karte, Routing, Öffnungszeiten, Homepage, E-Mail, vCard und Firmendaten.</t>
  </si>
  <si>
    <t>Paracelsusstraße 69</t>
  </si>
  <si>
    <t>48.15675</t>
  </si>
  <si>
    <t>13.99825</t>
  </si>
  <si>
    <t>+436605129331</t>
  </si>
  <si>
    <t>office@ellensohn-installationen.com</t>
  </si>
  <si>
    <t>https://bilder.dasschnelle.at/DasSchnelle/50/5000/9945/044547/I_044547_P_905929993_L_0037097939_1.png</t>
  </si>
  <si>
    <t>Bogicevic, Rodoljub, Schwimmbadbau • Wels • Oberösterreich</t>
  </si>
  <si>
    <t>Schwimmbäder • Bogicevic, Rodoljub, Salzburger Straße 138, Wels • Kontakt über aktuelle Telefonnummern ☎ und Adressen ⚑ mit Karte, Routing, Öffnungszeiten, Homepage, E-Mail, vCard und Firmendaten.</t>
  </si>
  <si>
    <t>Salzburger Straße 138</t>
  </si>
  <si>
    <t>48.15661</t>
  </si>
  <si>
    <t>14.00368</t>
  </si>
  <si>
    <t>+437242277188;+43724229323</t>
  </si>
  <si>
    <t>dora-pool@hotmail.com</t>
  </si>
  <si>
    <t>https://bilder.dasschnelle.at/DasSchnelle/50/5000/9945/044547/G_044547_P_906162766.adn.gif</t>
  </si>
  <si>
    <t>Haigner Transport u Entsorgung GmbH, Transportunternehmen • Leithen • Oberösterreich</t>
  </si>
  <si>
    <t>Entsorgungen, Transportunternehmen • Haigner Transport u Entsorgung GmbH, Kiesstraße 25, Leithen • Kontakt über aktuelle Telefonnummern ☎ und Adressen ⚑ mit Karte, Routing, Öffnungszeiten, Homepage, E-Mail, vCard und Firmendaten.</t>
  </si>
  <si>
    <t>Kiesstraße 25</t>
  </si>
  <si>
    <t>4614</t>
  </si>
  <si>
    <t>Leithen</t>
  </si>
  <si>
    <t>48.19365</t>
  </si>
  <si>
    <t>14.14532</t>
  </si>
  <si>
    <t>+43724352254</t>
  </si>
  <si>
    <t>+43724351170</t>
  </si>
  <si>
    <t>office@haigner.co.at</t>
  </si>
  <si>
    <t>https://bilder.dasschnelle.at/DasSchnelle/50/5000/9945/043573/I_043573_P_905928007_L_0036006309_1.png</t>
  </si>
  <si>
    <t>https://bilder.dasschnelle.at/DasSchnelle/50/5000/9945/043573/I_043573_P_905928007_B_0036006309_1.gal.png?height=256&amp;width=600;https://bilder.dasschnelle.at/DasSchnelle/50/5000/9945/043573/I_043573_P_905928007_B_0036006309_2.gal.png?height=434&amp;width=600;https://bilder.dasschnelle.at/DasSchnelle/50/5000/9945/043573/I_043573_P_905928007_B_0036006309_3.gal.png?height=210&amp;width=280;https://bilder.dasschnelle.at/DasSchnelle/50/5000/9945/043573/I_043573_P_905928007_B_0036006309_4.gal.png?height=210&amp;width=280</t>
  </si>
  <si>
    <t>ND Beauty Lounge, Schönheitssalon • Wels • Oberösterreich</t>
  </si>
  <si>
    <t>Friseure, Kosmetikstudios • ND Beauty Lounge, Kaiser-Josef-Platz 34 a, Wels • Kontakt über aktuelle Telefonnummern ☎ und Adressen ⚑ mit Karte, Routing, Öffnungszeiten, Homepage, E-Mail, vCard und Firmendaten.</t>
  </si>
  <si>
    <t>Kaiser-Josef-Platz 34 a</t>
  </si>
  <si>
    <t>48.1590107</t>
  </si>
  <si>
    <t>14.0214598</t>
  </si>
  <si>
    <t>+436604174828</t>
  </si>
  <si>
    <t>office@beautylounge.at</t>
  </si>
  <si>
    <t>https://bilder.dasschnelle.at/DasSchnelle/50/5000/9945/044547/G_044547_P_906162762.adn.gif</t>
  </si>
  <si>
    <t>Reiter, Roland, Spenglerei &amp; Bedachungen • Buchkirchen • Oberösterreich</t>
  </si>
  <si>
    <t>Spenglereien • Reiter, Roland, Am Bachgrund 15, Buchkirchen • Kontakt über aktuelle Telefonnummern ☎ und Adressen ⚑ mit Karte, Routing, Öffnungszeiten, Homepage, E-Mail, vCard und Firmendaten.</t>
  </si>
  <si>
    <t>Am Bachgrund 15</t>
  </si>
  <si>
    <t>4611</t>
  </si>
  <si>
    <t>Buchkirchen</t>
  </si>
  <si>
    <t>48.2063</t>
  </si>
  <si>
    <t>14.05975</t>
  </si>
  <si>
    <t>+43</t>
  </si>
  <si>
    <t>roland-reiter@gmx.at</t>
  </si>
  <si>
    <t>https://bilder.dasschnelle.at/DasSchnelle/50/5000/9945/043565/G_043565_P_906139736.adn.gif</t>
  </si>
  <si>
    <t>Etzelsdorfer, Doris, Immobilien • Wels • Oberösterreich</t>
  </si>
  <si>
    <t>Immobilien • Etzelsdorfer, Doris, Traungasse 25, Wels • Kontakt über aktuelle Telefonnummern ☎ und Adressen ⚑ mit Karte, Routing, Öffnungszeiten, Homepage, E-Mail, vCard und Firmendaten.</t>
  </si>
  <si>
    <t>Traungasse 25</t>
  </si>
  <si>
    <t>48.15528</t>
  </si>
  <si>
    <t>14.02641</t>
  </si>
  <si>
    <t>+43724246364;+436643366186</t>
  </si>
  <si>
    <t>immobilien-fleck@aon.at</t>
  </si>
  <si>
    <t>https://bilder.dasschnelle.at/DasSchnelle/50/5000/9945/044547/I_044547_P_905927866_L_0036006121_1.png</t>
  </si>
  <si>
    <t>https://bilder.dasschnelle.at/DasSchnelle/50/5000/9945/044547/G_044547_P_906162788.adn.gif</t>
  </si>
  <si>
    <t>Semsii Service, Hausbesorgerdienste • Wels • Oberösterreich</t>
  </si>
  <si>
    <t>Garten- u. Landschaftsgestaltung, Hausbetreuung • Semsii Service, Brennereistraße 24, Wels • Kontakt über aktuelle Telefonnummern ☎ und Adressen ⚑ mit Karte, Routing, Öffnungszeiten, Homepage, E-Mail, vCard und Firmendaten.</t>
  </si>
  <si>
    <t>Brennereistraße 24</t>
  </si>
  <si>
    <t>48.16052</t>
  </si>
  <si>
    <t>14.01392</t>
  </si>
  <si>
    <t>+437242910687</t>
  </si>
  <si>
    <t>office@semsii.at</t>
  </si>
  <si>
    <t>https://bilder.dasschnelle.at/DasSchnelle/50/5000/9945/044547/G_044547_P_906144799.adn.gif</t>
  </si>
  <si>
    <t>Fußpflege Sunny Feet, Melisa Makelic • Wels • Oberösterreich</t>
  </si>
  <si>
    <t>Fußpflege • Fußpflege Sunny Feet, Melisa Makelic, Eisenhowerstraße 27, Wels • Kontakt über aktuelle Telefonnummern ☎ und Adressen ⚑ mit Karte, Routing, Öffnungszeiten, Homepage, E-Mail, vCard und Firmendaten.</t>
  </si>
  <si>
    <t>Eisenhowerstraße 27</t>
  </si>
  <si>
    <t>48.16111</t>
  </si>
  <si>
    <t>14.02091</t>
  </si>
  <si>
    <t>+43724254120;+436765175167</t>
  </si>
  <si>
    <t>melisa_makelic@hotmail.com</t>
  </si>
  <si>
    <t>https://bilder.dasschnelle.at/DasSchnelle/50/5000/9945/044547/G_044547_P_906198477.adn.gif</t>
  </si>
  <si>
    <t>Liman Reinigungs- u Umweltpflegeges • Wels • Oberösterreich</t>
  </si>
  <si>
    <t>Reinigungsanstalten • Liman Reinigungs- u Umweltpflegeges, Hans-Piber-Straße 11, Wels • Kontakt über aktuelle Telefonnummern ☎ und Adressen ⚑ mit Karte, Routing, Öffnungszeiten, Homepage, E-Mail, vCard und Firmendaten.</t>
  </si>
  <si>
    <t>Hans-Piber-Straße 11</t>
  </si>
  <si>
    <t>48.1897400</t>
  </si>
  <si>
    <t>14.0566300</t>
  </si>
  <si>
    <t>+437242421480</t>
  </si>
  <si>
    <t>karin.lindenbauer@liman.at</t>
  </si>
  <si>
    <t>https://bilder.dasschnelle.at/DasSchnelle/50/5000/9945/044547/G_044547_P_906151764.adn.gif</t>
  </si>
  <si>
    <t>Hoffmann, Jürgen, Installateur • Steinhaus • Oberösterreich</t>
  </si>
  <si>
    <t>Gasinstallationen • Hoffmann, Jürgen, Fischlhamerstraße 4, Steinhaus • Kontakt über aktuelle Telefonnummern ☎ und Adressen ⚑ mit Karte, Routing, Öffnungszeiten, Homepage, E-Mail, vCard und Firmendaten.</t>
  </si>
  <si>
    <t>Fischlhamerstraße 4</t>
  </si>
  <si>
    <t>4641</t>
  </si>
  <si>
    <t>Steinhaus</t>
  </si>
  <si>
    <t>48.12785</t>
  </si>
  <si>
    <t>14.00971</t>
  </si>
  <si>
    <t>+43724227321</t>
  </si>
  <si>
    <t>juergen.hoffmann.gas@gmail.com</t>
  </si>
  <si>
    <t>https://bilder.dasschnelle.at/DasSchnelle/50/5000/9945/043583/G_043583_P_906143380.adn.gif</t>
  </si>
  <si>
    <t>Optik - Bauer GesmbH • Wels • Oberösterreich</t>
  </si>
  <si>
    <t>Brillenfachhandel, Optik • Optik - Bauer GesmbH, Adlerstraße 1Traunpark, Wels • Kontakt über aktuelle Telefonnummern ☎ und Adressen ⚑ mit Karte, Routing, Öffnungszeiten, Homepage, E-Mail, vCard und Firmendaten.</t>
  </si>
  <si>
    <t>Adlerstraße 1Traunpark</t>
  </si>
  <si>
    <t>48.15922</t>
  </si>
  <si>
    <t>14.02817</t>
  </si>
  <si>
    <t>+43724263764</t>
  </si>
  <si>
    <t>https://bilder.dasschnelle.at/DasSchnelle/50/5000/9945/044547/G_044547_P_906162761.adn.gif</t>
  </si>
  <si>
    <t>VierA Versicherungsberatungs GmbH, Versicherungsberater • Wels • Oberösterreich</t>
  </si>
  <si>
    <t>Versicherungsberater • VierA Versicherungsberatungs GmbH, Grieskirchner Straße 112, Wels • Kontakt über aktuelle Telefonnummern ☎ und Adressen ⚑ mit Karte, Routing, Öffnungszeiten, Homepage, E-Mail, vCard und Firmendaten.</t>
  </si>
  <si>
    <t>Grieskirchner Straße 112</t>
  </si>
  <si>
    <t>48.17993</t>
  </si>
  <si>
    <t>14.01945</t>
  </si>
  <si>
    <t>+437242211710</t>
  </si>
  <si>
    <t>melanie.neuwirth@4a-berater.at</t>
  </si>
  <si>
    <t>https://bilder.dasschnelle.at/DasSchnelle/50/5000/9945/044547/I_044547_P_905918053_L_0035969677_1.png</t>
  </si>
  <si>
    <t>https://bilder.dasschnelle.at/DasSchnelle/50/5000/9945/044547/I_044547_P_905918053_B_0035969677_1.gal.png?height=399&amp;width=600</t>
  </si>
  <si>
    <t>SUN Asia Shop &amp; Imbiss • Wels • Oberösterreich</t>
  </si>
  <si>
    <t>Asia-Restaurants • SUN Asia Shop &amp; Imbiss, Salzburger Straße 67, Wels • Kontakt über aktuelle Telefonnummern ☎ und Adressen ⚑ mit Karte, Routing, Öffnungszeiten, Homepage, E-Mail, vCard und Firmendaten.</t>
  </si>
  <si>
    <t>Salzburger Straße 67</t>
  </si>
  <si>
    <t>48.1565</t>
  </si>
  <si>
    <t>14.00547</t>
  </si>
  <si>
    <t>+437242294738</t>
  </si>
  <si>
    <t>info@sun-asiashop.at</t>
  </si>
  <si>
    <t>https://bilder.dasschnelle.at/DasSchnelle/50/5000/9945/044547/G_044547_P_906166270.adn.gif</t>
  </si>
  <si>
    <t>Hubert, Reinhard, Anglerwelt, Fischereizubehör • Wels • Oberösterreich</t>
  </si>
  <si>
    <t>Angelgeräte u. Zubehör • Hubert, Reinhard, Anglerwelt, Eferdinger Straße 8, Wels • Kontakt über aktuelle Telefonnummern ☎ und Adressen ⚑ mit Karte, Routing, Öffnungszeiten, Homepage, E-Mail, vCard und Firmendaten.</t>
  </si>
  <si>
    <t>Eferdinger Straße 8</t>
  </si>
  <si>
    <t>48.16777</t>
  </si>
  <si>
    <t>14.02517</t>
  </si>
  <si>
    <t>+437242211048</t>
  </si>
  <si>
    <t>office@anglerinfo.at</t>
  </si>
  <si>
    <t>https://bilder.dasschnelle.at/DasSchnelle/50/5000/9945/044547/G_044547_P_906145706.adn.gif</t>
  </si>
  <si>
    <t>Hoffmann, Reinhold, Dach-Wand, Flachdach-Abdichtungen • Oberschauersberg • Oberösterreich</t>
  </si>
  <si>
    <t>Dachdeckereien • Hoffmann, Reinhold, Bachstraße 5, Oberschauersberg • Kontakt über aktuelle Telefonnummern ☎ und Adressen ⚑ mit Karte, Routing, Öffnungszeiten, Homepage, E-Mail, vCard und Firmendaten.</t>
  </si>
  <si>
    <t>Bachstraße 5</t>
  </si>
  <si>
    <t>Oberschauersberg</t>
  </si>
  <si>
    <t>48.1333522</t>
  </si>
  <si>
    <t>14.0078607</t>
  </si>
  <si>
    <t>+43724227849;+436644312014</t>
  </si>
  <si>
    <t>office@hoffmann-dach.at</t>
  </si>
  <si>
    <t>https://bilder.dasschnelle.at/DasSchnelle/50/5000/9945/043583/I_043583_P_905903702_L_0036006118_1.png</t>
  </si>
  <si>
    <t>https://bilder.dasschnelle.at/DasSchnelle/50/5000/9945/043583/G_043583_P_906139737.adn.gif</t>
  </si>
  <si>
    <t>W &amp; R Sicherheitstechnik GmbH • Wels • Oberösterreich</t>
  </si>
  <si>
    <t>Sicherheitstechnik • W &amp; R Sicherheitstechnik GmbH, Maria-Theresia-Straße 9, Wels • Kontakt über aktuelle Telefonnummern ☎ und Adressen ⚑ mit Karte, Routing, Öffnungszeiten, Homepage, E-Mail, vCard und Firmendaten.</t>
  </si>
  <si>
    <t>Maria-Theresia-Straße 9</t>
  </si>
  <si>
    <t>48.15627</t>
  </si>
  <si>
    <t>14.02039</t>
  </si>
  <si>
    <t>+437242207958</t>
  </si>
  <si>
    <t>https://bilder.dasschnelle.at/DasSchnelle/50/5000/9945/044547/G_044547_P_906166275.adn.gif</t>
  </si>
  <si>
    <t>Milijkovic, Naida, Friseure • Höllwiesen • Oberösterreich</t>
  </si>
  <si>
    <t>Friseure • Milijkovic, Naida, Oberfeldstraße 91, Höllwiesen • Kontakt über aktuelle Telefonnummern ☎ und Adressen ⚑ mit Karte, Routing, Öffnungszeiten, Homepage, E-Mail, vCard und Firmendaten.</t>
  </si>
  <si>
    <t>Oberfeldstraße 91</t>
  </si>
  <si>
    <t>Höllwiesen</t>
  </si>
  <si>
    <t>48.18232</t>
  </si>
  <si>
    <t>14.01431</t>
  </si>
  <si>
    <t>+43724250735</t>
  </si>
  <si>
    <t>frisuren.steininger@hotmail.com</t>
  </si>
  <si>
    <t>https://bilder.dasschnelle.at/DasSchnelle/50/5000/9945/044547/G_044547_P_906166271.adn.gif</t>
  </si>
  <si>
    <t>EHK-SOWI Eisenwaren-Haus- u Küchengeräte Großhandels GmbH, Küchen • Wels • Oberösterreich</t>
  </si>
  <si>
    <t>Baustoffhandel, Eisenwaren • EHK-SOWI Eisenwaren-Haus- u Küchengeräte Großhandels GmbH, Gärtnerstraße 11, Wels • Kontakt über aktuelle Telefonnummern ☎ und Adressen ⚑ mit Karte, Routing, Öffnungszeiten, Homepage, E-Mail, vCard und Firmendaten.</t>
  </si>
  <si>
    <t>Gärtnerstraße 11</t>
  </si>
  <si>
    <t>48.1672</t>
  </si>
  <si>
    <t>14.02741</t>
  </si>
  <si>
    <t>+43724245129;+43724245164</t>
  </si>
  <si>
    <t>+4372424512930</t>
  </si>
  <si>
    <t>office@schildmair.at</t>
  </si>
  <si>
    <t>https://bilder.dasschnelle.at/DasSchnelle/50/5000/9945/044547/G_044547_P_906141889.adn.gif</t>
  </si>
  <si>
    <t>HMW Huber Metall Werktstatt, Schlosserei • Wels • Oberösterreich</t>
  </si>
  <si>
    <t>Metallbe- u. -verarbeitung, Schlossereien • HMW Huber Metall Werktstatt, Gärtnerstraße 13, Wels • Kontakt über aktuelle Telefonnummern ☎ und Adressen ⚑ mit Karte, Routing, Öffnungszeiten, Homepage, E-Mail, vCard und Firmendaten.</t>
  </si>
  <si>
    <t>Gärtnerstraße 13</t>
  </si>
  <si>
    <t>48.16724</t>
  </si>
  <si>
    <t>14.0276</t>
  </si>
  <si>
    <t>+43724267569</t>
  </si>
  <si>
    <t>+437242207638</t>
  </si>
  <si>
    <t>office@hmw.cc</t>
  </si>
  <si>
    <t>https://bilder.dasschnelle.at/DasSchnelle/50/5000/9945/044547/I_044547_P_905906650_L_0036006150_1.png</t>
  </si>
  <si>
    <t>https://bilder.dasschnelle.at/DasSchnelle/50/5000/9945/044547/I_044547_P_905906650_B_0036006150_1.gal.png?height=450&amp;width=600;https://bilder.dasschnelle.at/DasSchnelle/50/5000/9945/044547/I_044547_P_905906650_B_0036006150_2.gal.png?height=600&amp;width=450;https://bilder.dasschnelle.at/DasSchnelle/50/5000/9945/044547/I_044547_P_905906650_B_0036006150_3.gal.png?height=450&amp;width=600;https://bilder.dasschnelle.at/DasSchnelle/50/5000/9945/044547/G_044547_P_906141892.adn.gif</t>
  </si>
  <si>
    <t>Auto Rainer GesmbH &amp; Co. KG, Autohaus • Wels • Oberösterreich</t>
  </si>
  <si>
    <t>Autohandel, Autoreparaturen • Auto Rainer GesmbH &amp; Co. KG, Camillo-Schulz-Straße 43, Wels • Kontakt über aktuelle Telefonnummern ☎ und Adressen ⚑ mit Karte, Routing, Öffnungszeiten, Homepage, E-Mail, vCard und Firmendaten.</t>
  </si>
  <si>
    <t>Camillo-Schulz-Straße 43</t>
  </si>
  <si>
    <t>48.1611073</t>
  </si>
  <si>
    <t>14.0083262</t>
  </si>
  <si>
    <t>+43724241664;+436643084733</t>
  </si>
  <si>
    <t>+43724226355</t>
  </si>
  <si>
    <t>office@mazda-rainer.at</t>
  </si>
  <si>
    <t>https://bilder.dasschnelle.at/DasSchnelle/50/5000/9945/044547/G_044547_P_906144800.adn.gif</t>
  </si>
  <si>
    <t>Immotreuhand Immobilienberatung Vermi, Immobilien • Wels • Oberösterreich</t>
  </si>
  <si>
    <t>Immobilien • Immotreuhand Immobilienberatung Vermi, Kaiser-Josef-Platz 33, Wels • Kontakt über aktuelle Telefonnummern ☎ und Adressen ⚑ mit Karte, Routing, Öffnungszeiten, Homepage, E-Mail, vCard und Firmendaten.</t>
  </si>
  <si>
    <t>Kaiser-Josef-Platz 33</t>
  </si>
  <si>
    <t>48.1590300</t>
  </si>
  <si>
    <t>14.0209400</t>
  </si>
  <si>
    <t>+43724241820</t>
  </si>
  <si>
    <t>it@immotreuhand.at</t>
  </si>
  <si>
    <t>https://bilder.dasschnelle.at/DasSchnelle/50/5000/9945/044547/G_044547_P_906145707.adn.gif</t>
  </si>
  <si>
    <t>Krauland, Peter, Fliesenverlegung • Sittersdorf • Kärnten</t>
  </si>
  <si>
    <t>Fliesen u. Plattenverlegungen • Krauland, Peter, Kristendorf 12, Sittersdorf • Kontakt über aktuelle Telefonnummern ☎ und Adressen ⚑ mit Karte, Routing, Öffnungszeiten, Homepage, E-Mail, vCard und Firmendaten.</t>
  </si>
  <si>
    <t>Kristendorf 12</t>
  </si>
  <si>
    <t>9133</t>
  </si>
  <si>
    <t>Sittersdorf</t>
  </si>
  <si>
    <t>46.5537588</t>
  </si>
  <si>
    <t>14.6485392</t>
  </si>
  <si>
    <t>+436644505660</t>
  </si>
  <si>
    <t>peter.krauland@a1.net</t>
  </si>
  <si>
    <t>https://bilder.dasschnelle.at/DasSchnelle/50/5000/9942/042036/G_042036_P_906260343.adn.gif</t>
  </si>
  <si>
    <t>Deutsch, Josef, Dr., FA f. Lingenkrankheiten • Völkermarkt • Kärnten</t>
  </si>
  <si>
    <t>Ärzte / Fachärzte f. Lungenkrankheiten • Deutsch, Josef, Dr., Hauptplatz 18, Völkermarkt • Kontakt über aktuelle Telefonnummern ☎ und Adressen ⚑ mit Karte, Routing, Öffnungszeiten, Homepage, E-Mail, vCard und Firmendaten.</t>
  </si>
  <si>
    <t>Hauptplatz 18</t>
  </si>
  <si>
    <t>9100</t>
  </si>
  <si>
    <t>Völkermarkt</t>
  </si>
  <si>
    <t>46.65833</t>
  </si>
  <si>
    <t>14.63337</t>
  </si>
  <si>
    <t>+43423251150</t>
  </si>
  <si>
    <t>office@lungenpraxis-deutsch.at</t>
  </si>
  <si>
    <t>https://bilder.dasschnelle.at/DasSchnelle/50/5000/9942/042037/G_042037_P_906212192.adn.gif</t>
  </si>
  <si>
    <t>Calabro, Gertraud, Pizzeria Don Carlo, Pizzeria • Völkermarkt • Kärnten</t>
  </si>
  <si>
    <t>Pizzerias • Calabro, Gertraud, Pizzeria Don Carlo, Herzog Bernhard-Platz 8, Völkermarkt • Kontakt über aktuelle Telefonnummern ☎ und Adressen ⚑ mit Karte, Routing, Öffnungszeiten, Homepage, E-Mail, vCard und Firmendaten.</t>
  </si>
  <si>
    <t>Herzog Bernhard-Platz 8</t>
  </si>
  <si>
    <t>46.6622542</t>
  </si>
  <si>
    <t>14.6336734</t>
  </si>
  <si>
    <t>+4342324235;+436642126201;+436642605131</t>
  </si>
  <si>
    <t>office@doncarlo.at</t>
  </si>
  <si>
    <t>https://bilder.dasschnelle.at/DasSchnelle/50/5000/9942/042037/G_042037_P_906261739.adn.gif</t>
  </si>
  <si>
    <t>Easy Drivers  • Völkermarkt • Kärnten</t>
  </si>
  <si>
    <t>Fahrschulen • Easy Drivers, Mettingerstraße 13, Völkermarkt • Kontakt über aktuelle Telefonnummern ☎ und Adressen ⚑ mit Karte, Routing, Öffnungszeiten, Homepage, E-Mail, vCard und Firmendaten.</t>
  </si>
  <si>
    <t>Mettingerstraße 13</t>
  </si>
  <si>
    <t>46.66052</t>
  </si>
  <si>
    <t>14.63244</t>
  </si>
  <si>
    <t>+4342324490</t>
  </si>
  <si>
    <t>voelkermarkt@easydrivers.at</t>
  </si>
  <si>
    <t>https://bilder.dasschnelle.at/DasSchnelle/50/5000/9942/042037/G_042037_P_906274085.adn.gif</t>
  </si>
  <si>
    <t>Pruntsch, Günter, Schlossereibetrieb • Völkermarkt • Kärnten</t>
  </si>
  <si>
    <t>Schlossereien • Pruntsch, Günter, Ratschitschach 17, Völkermarkt • Kontakt über aktuelle Telefonnummern ☎ und Adressen ⚑ mit Karte, Routing, Öffnungszeiten, Homepage, E-Mail, vCard und Firmendaten.</t>
  </si>
  <si>
    <t>Ratschitschach 17</t>
  </si>
  <si>
    <t>46.6452593</t>
  </si>
  <si>
    <t>14.6867284</t>
  </si>
  <si>
    <t>+43423251229</t>
  </si>
  <si>
    <t>schlosserei.pruntsch@aon.at</t>
  </si>
  <si>
    <t>https://bilder.dasschnelle.at/DasSchnelle/50/5000/9942/042037/G_042037_P_906257680.adn.gif</t>
  </si>
  <si>
    <t>Zuraj, Sebastijan, Dr.med., Augenarzt • Bleiburg • Kärnten</t>
  </si>
  <si>
    <t>Ärzte / Fachärzte f. Augenheilkunde u. Optometrie • Zuraj, Sebastijan, Dr.med., 10. Oktober Platz 20, Bleiburg • Kontakt über aktuelle Telefonnummern ☎ und Adressen ⚑ mit Karte, Routing, Öffnungszeiten, Homepage, E-Mail, vCard und Firmendaten.</t>
  </si>
  <si>
    <t>10. Oktober Platz 20</t>
  </si>
  <si>
    <t>9150</t>
  </si>
  <si>
    <t>Bleiburg</t>
  </si>
  <si>
    <t>46.5902572</t>
  </si>
  <si>
    <t>14.7984661</t>
  </si>
  <si>
    <t>+4342352072411</t>
  </si>
  <si>
    <t>info@augenarzt-bleiburg.at</t>
  </si>
  <si>
    <t>https://bilder.dasschnelle.at/DasSchnelle/50/5000/9942/998262/G_998262_P_906206801.adn.gif</t>
  </si>
  <si>
    <t>Kaltner, Petra, Energetik • Griffen • Kärnten</t>
  </si>
  <si>
    <t>Energetik • Kaltner, Petra, Pustritz 77, Griffen • Kontakt über aktuelle Telefonnummern ☎ und Adressen ⚑ mit Karte, Routing, Öffnungszeiten, Homepage, E-Mail, vCard und Firmendaten.</t>
  </si>
  <si>
    <t>Pustritz 77</t>
  </si>
  <si>
    <t>9112</t>
  </si>
  <si>
    <t>Griffen</t>
  </si>
  <si>
    <t>46.7445511</t>
  </si>
  <si>
    <t>14.7415157</t>
  </si>
  <si>
    <t>+43423322210;+436641273454</t>
  </si>
  <si>
    <t>petra@im-einklang-mit-mir.at</t>
  </si>
  <si>
    <t>Gärtnerei Messner • Griffen • Kärnten</t>
  </si>
  <si>
    <t>Gärtnereien • Gärtnerei Messner, Rosenweg 1, Griffen • Kontakt über aktuelle Telefonnummern ☎ und Adressen ⚑ mit Karte, Routing, Öffnungszeiten, Homepage, E-Mail, vCard und Firmendaten.</t>
  </si>
  <si>
    <t>Rosenweg 1</t>
  </si>
  <si>
    <t>46.70296</t>
  </si>
  <si>
    <t>14.73522</t>
  </si>
  <si>
    <t>+4342332366</t>
  </si>
  <si>
    <t>gaertnerei.messner@aon.at</t>
  </si>
  <si>
    <t>https://bilder.dasschnelle.at/DasSchnelle/50/5000/9942/042032/G_042032_P_906231147.adn.gif</t>
  </si>
  <si>
    <t>Galerie Magnet • Völkermarkt • Kärnten</t>
  </si>
  <si>
    <t>Galerie • Galerie Magnet, Hauptplatz 6, Völkermarkt • Kontakt über aktuelle Telefonnummern ☎ und Adressen ⚑ mit Karte, Routing, Öffnungszeiten, Homepage, E-Mail, vCard und Firmendaten.</t>
  </si>
  <si>
    <t>46.66002</t>
  </si>
  <si>
    <t>14.63426</t>
  </si>
  <si>
    <t>+4342322444</t>
  </si>
  <si>
    <t>buch.magnet@aon.at</t>
  </si>
  <si>
    <t>https://bilder.dasschnelle.at/DasSchnelle/50/5000/9942/042037/G_042037_P_906270915.adn.gif</t>
  </si>
  <si>
    <t>KFZ-J. Morri • Völkermarkt • Kärnten</t>
  </si>
  <si>
    <t>Autohandel • KFZ-J. Morri, Gurtschitschach 31, Völkermarkt • Kontakt über aktuelle Telefonnummern ☎ und Adressen ⚑ mit Karte, Routing, Öffnungszeiten, Homepage, E-Mail, vCard und Firmendaten.</t>
  </si>
  <si>
    <t>Gurtschitschach 31</t>
  </si>
  <si>
    <t>46.6384683</t>
  </si>
  <si>
    <t>14.6738820</t>
  </si>
  <si>
    <t>+436643351738</t>
  </si>
  <si>
    <t>kfz-j.morri@gmx.at</t>
  </si>
  <si>
    <t>Stornig, Martha, Dipl. Physiotherapeutin • Gattersdorf • Kärnten</t>
  </si>
  <si>
    <t>Physiotherapie • Stornig, Martha, Gattersdorf 25, Gattersdorf • Kontakt über aktuelle Telefonnummern ☎ und Adressen ⚑ mit Karte, Routing, Öffnungszeiten, Homepage, E-Mail, vCard und Firmendaten.</t>
  </si>
  <si>
    <t>Gattersdorf 25</t>
  </si>
  <si>
    <t>9102</t>
  </si>
  <si>
    <t>Gattersdorf</t>
  </si>
  <si>
    <t>46.7044996</t>
  </si>
  <si>
    <t>14.5836154</t>
  </si>
  <si>
    <t>+436503120301</t>
  </si>
  <si>
    <t>stornig.martha@gmail.com</t>
  </si>
  <si>
    <t>https://bilder.dasschnelle.at/DasSchnelle/50/5000/9942/042037/G_042037_P_906226721.adn.gif</t>
  </si>
  <si>
    <t>Poganitsch, Fejan &amp; Ragger Rechtsanwälte GmbH, Rechtsanwalt • Bleiburg • Kärnten</t>
  </si>
  <si>
    <t>Rechtsanwälte • Poganitsch, Fejan &amp; Ragger Rechtsanwälte GmbH, Graben 8, Bleiburg • Kontakt über aktuelle Telefonnummern ☎ und Adressen ⚑ mit Karte, Routing, Öffnungszeiten, Homepage, E-Mail, vCard und Firmendaten.</t>
  </si>
  <si>
    <t>Graben 8</t>
  </si>
  <si>
    <t>46.59059</t>
  </si>
  <si>
    <t>14.7965</t>
  </si>
  <si>
    <t>+43423520955</t>
  </si>
  <si>
    <t>office@poganitsch.at</t>
  </si>
  <si>
    <t>https://bilder.dasschnelle.at/DasSchnelle/50/5000/9942/042025/G_042025_P_906214491.adn.gif</t>
  </si>
  <si>
    <t>Vaupetitsch, Georg, Dr.med.univ.et med.dent., FA f Zahn-, Mund- u Kieferheilkunde • Völkermarkt • Kärnten</t>
  </si>
  <si>
    <t>Ärzte / Fachärzte f. Zahn-, Mund u. Kieferheilkunde • Vaupetitsch, Georg, Dr.med.univ.et med.dent., Umfahrungsstraße 25, Völkermarkt • Kontakt über aktuelle Telefonnummern ☎ und Adressen ⚑ mit Karte, Routing, Öffnungszeiten, Homepage, E-Mail, vCard und Firmendaten.</t>
  </si>
  <si>
    <t>Umfahrungsstraße 25</t>
  </si>
  <si>
    <t>46.66343</t>
  </si>
  <si>
    <t>14.6288</t>
  </si>
  <si>
    <t>+43423255586;+43423255562;+436641856503</t>
  </si>
  <si>
    <t>dr.georg.vaupetitsch@gmx.at</t>
  </si>
  <si>
    <t>https://bilder.dasschnelle.at/DasSchnelle/50/5000/9942/042037/G_042037_P_906222345.adn.gif</t>
  </si>
  <si>
    <t>Friseurstudio Ulli • Bleiburg • Kärnten</t>
  </si>
  <si>
    <t>Friseure • Friseurstudio Ulli, Koschatstraße 2, Bleiburg • Kontakt über aktuelle Telefonnummern ☎ und Adressen ⚑ mit Karte, Routing, Öffnungszeiten, Homepage, E-Mail, vCard und Firmendaten.</t>
  </si>
  <si>
    <t>Koschatstraße 2</t>
  </si>
  <si>
    <t>46.5897</t>
  </si>
  <si>
    <t>14.79551</t>
  </si>
  <si>
    <t>+4342354070</t>
  </si>
  <si>
    <t>ulli@friseurstudio.co.at</t>
  </si>
  <si>
    <t>https://bilder.dasschnelle.at/DasSchnelle/50/5000/9942/042025/G_042025_P_906230701.adn.gif</t>
  </si>
  <si>
    <t>GeKu Personal, Personalvermittlung • St. Kanzian am Klopeiner See • Kärnten</t>
  </si>
  <si>
    <t>Arbeitsvermittlung • GeKu Personal, Kirchweg 4, St. Kanzian am Klopeiner See • Kontakt über aktuelle Telefonnummern ☎ und Adressen ⚑ mit Karte, Routing, Öffnungszeiten, Homepage, E-Mail, vCard und Firmendaten.</t>
  </si>
  <si>
    <t>Kirchweg 4</t>
  </si>
  <si>
    <t>9122</t>
  </si>
  <si>
    <t>St. Kanzian am Klopeiner See</t>
  </si>
  <si>
    <t>46.6155</t>
  </si>
  <si>
    <t>14.57583</t>
  </si>
  <si>
    <t>+436641629555</t>
  </si>
  <si>
    <t>g.kummer@geku.at</t>
  </si>
  <si>
    <t>https://bilder.dasschnelle.at/DasSchnelle/50/5000/9942/042035/G_042035_P_906254368.adn.gif</t>
  </si>
  <si>
    <t>Schmautzer &amp; Pirker GmbH, Türsysteme • Griffen • Kärnten</t>
  </si>
  <si>
    <t>Türen • Schmautzer &amp; Pirker GmbH, Lind 3, Griffen • Kontakt über aktuelle Telefonnummern ☎ und Adressen ⚑ mit Karte, Routing, Öffnungszeiten, Homepage, E-Mail, vCard und Firmendaten.</t>
  </si>
  <si>
    <t>Lind 3</t>
  </si>
  <si>
    <t>46.6723229</t>
  </si>
  <si>
    <t>14.7739061</t>
  </si>
  <si>
    <t>+43423450160;+436644062206;+436644062207</t>
  </si>
  <si>
    <t>office@tuer-tortechnik.com</t>
  </si>
  <si>
    <t>https://bilder.dasschnelle.at/DasSchnelle/50/5000/9942/042032/G_042032_P_906240616.adn.gif</t>
  </si>
  <si>
    <t>Uster GmbH, Installationen • Kühnsdorf • Kärnten</t>
  </si>
  <si>
    <t>Installationsunternehmen • Uster GmbH, Nord 28, Kühnsdorf • Kontakt über aktuelle Telefonnummern ☎ und Adressen ⚑ mit Karte, Routing, Öffnungszeiten, Homepage, E-Mail, vCard und Firmendaten.</t>
  </si>
  <si>
    <t>Nord 28</t>
  </si>
  <si>
    <t>9125</t>
  </si>
  <si>
    <t>Kühnsdorf</t>
  </si>
  <si>
    <t>46.62461</t>
  </si>
  <si>
    <t>14.63388</t>
  </si>
  <si>
    <t>+4342328016</t>
  </si>
  <si>
    <t>office@uster.at</t>
  </si>
  <si>
    <t>https://bilder.dasschnelle.at/DasSchnelle/50/5000/9942/042027/I_042027_P_906013337_L_0035971230_1.png</t>
  </si>
  <si>
    <t>https://bilder.dasschnelle.at/DasSchnelle/50/5000/9942/042027/I_042027_P_906013337_B_0035971230_1.gal.png?height=497&amp;width=724;https://bilder.dasschnelle.at/DasSchnelle/50/5000/9942/042027/I_042027_P_906013337_B_0035971230_2.gal.png?height=390&amp;width=745;https://bilder.dasschnelle.at/DasSchnelle/50/5000/9942/042027/I_042027_P_906013337_B_0035971230_3.gal.png?height=407&amp;width=725;https://bilder.dasschnelle.at/DasSchnelle/50/5000/9942/042027/I_042027_P_906013337_B_0035971230_4.gal.png?height=464&amp;width=602</t>
  </si>
  <si>
    <t>Santer, Selina, Hafnermeisterin • Völkermarkt • Kärnten</t>
  </si>
  <si>
    <t>Hafner • Santer, Selina, Umfahrungsstraße 5, Völkermarkt • Kontakt über aktuelle Telefonnummern ☎ und Adressen ⚑ mit Karte, Routing, Öffnungszeiten, Homepage, E-Mail, vCard und Firmendaten.</t>
  </si>
  <si>
    <t>Umfahrungsstraße 5</t>
  </si>
  <si>
    <t>46.66198</t>
  </si>
  <si>
    <t>14.62059</t>
  </si>
  <si>
    <t>+4342322469;+436763800386</t>
  </si>
  <si>
    <t>office@santer-kachelofen.at</t>
  </si>
  <si>
    <t>https://bilder.dasschnelle.at/DasSchnelle/50/5000/9942/042037/I_042037_P_906035739_L_0035971021_1.png</t>
  </si>
  <si>
    <t>https://bilder.dasschnelle.at/DasSchnelle/50/5000/9942/042037/I_042037_P_906035739_B_0035971021_1.gal.png?height=720&amp;width=468;https://bilder.dasschnelle.at/DasSchnelle/50/5000/9942/042037/I_042037_P_906035739_B_0035971021_2.gal.png?height=720&amp;width=540;https://bilder.dasschnelle.at/DasSchnelle/50/5000/9942/042037/I_042037_P_906035739_B_0035971021_3.gal.png?height=617&amp;width=720;https://bilder.dasschnelle.at/DasSchnelle/50/5000/9942/042037/I_042037_P_906035739_B_0035971021_4.gal.png?height=720&amp;width=540;https://bilder.dasschnelle.at/DasSchnelle/50/5000/9942/042037/G_042037_P_906263341.adn.gif</t>
  </si>
  <si>
    <t>SKS KFZ Technik OG • Navis • Tirol</t>
  </si>
  <si>
    <t>Autohandel • SKS KFZ Technik OG, Außerweg 1, Navis • Kontakt über aktuelle Telefonnummern ☎ und Adressen ⚑ mit Karte, Routing, Öffnungszeiten, Homepage, E-Mail, vCard und Firmendaten.</t>
  </si>
  <si>
    <t>Außerweg 1</t>
  </si>
  <si>
    <t>6145</t>
  </si>
  <si>
    <t>Navis</t>
  </si>
  <si>
    <t>47.1258650</t>
  </si>
  <si>
    <t>11.4542843</t>
  </si>
  <si>
    <t>+43527321302</t>
  </si>
  <si>
    <t>office@sks-kfztechnik.at</t>
  </si>
  <si>
    <t>Transporte Helli • Schönberg im Stubaital • Tirol</t>
  </si>
  <si>
    <t>Transportunternehmen • Transporte Helli, Brennerautobahn 2, Schönberg im Stubaital • Kontakt über aktuelle Telefonnummern ☎ und Adressen ⚑ mit Karte, Routing, Öffnungszeiten, Homepage, E-Mail, vCard und Firmendaten.</t>
  </si>
  <si>
    <t>Brennerautobahn 2</t>
  </si>
  <si>
    <t>6141</t>
  </si>
  <si>
    <t>Schönberg im Stubaital</t>
  </si>
  <si>
    <t>47.18569</t>
  </si>
  <si>
    <t>11.4</t>
  </si>
  <si>
    <t>+436644431729</t>
  </si>
  <si>
    <t>info@transporte-helli.at</t>
  </si>
  <si>
    <t>https://bilder.dasschnelle.at/DasSchnelle/50/5000/9948/045913/G_045913_P_906137836.adn.gif</t>
  </si>
  <si>
    <t>HTL Transport &amp; Logistik GmbH • Stafflach • Tirol</t>
  </si>
  <si>
    <t>Transportunternehmen • HTL Transport &amp; Logistik GmbH, Stafflach 40, Stafflach • Kontakt über aktuelle Telefonnummern ☎ und Adressen ⚑ mit Karte, Routing, Öffnungszeiten, Homepage, E-Mail, vCard und Firmendaten.</t>
  </si>
  <si>
    <t>Stafflach 40</t>
  </si>
  <si>
    <t>6150</t>
  </si>
  <si>
    <t>Stafflach</t>
  </si>
  <si>
    <t>47.06881</t>
  </si>
  <si>
    <t>11.48499</t>
  </si>
  <si>
    <t>+4352795225</t>
  </si>
  <si>
    <t>office@wipptrans.at</t>
  </si>
  <si>
    <t>https://bilder.dasschnelle.at/DasSchnelle/50/5000/9948/045918/G_045918_P_906137190.adn.gif</t>
  </si>
  <si>
    <t>Möschl, Martin, EDV • Steinach • Tirol</t>
  </si>
  <si>
    <t>EDV-Dienstleistungen • Möschl, Martin, Brennerstraße 48, Steinach • Kontakt über aktuelle Telefonnummern ☎ und Adressen ⚑ mit Karte, Routing, Öffnungszeiten, Homepage, E-Mail, vCard und Firmendaten.</t>
  </si>
  <si>
    <t>Brennerstraße 48</t>
  </si>
  <si>
    <t>Steinach</t>
  </si>
  <si>
    <t>47.0908040</t>
  </si>
  <si>
    <t>11.4660910</t>
  </si>
  <si>
    <t>+4352786534</t>
  </si>
  <si>
    <t>info@moeschl-edv.at</t>
  </si>
  <si>
    <t>https://bilder.dasschnelle.at/DasSchnelle/50/5000/9948/045918/G_045918_P_906124621.adn.gif</t>
  </si>
  <si>
    <t>Fattor, Dietmar, Arch., Malereibetriebe • Steinach • Tirol</t>
  </si>
  <si>
    <t>Malereibetriebe • Fattor, Dietmar, Arch., Höhenweg 113, Steinach • Kontakt über aktuelle Telefonnummern ☎ und Adressen ⚑ mit Karte, Routing, Öffnungszeiten, Homepage, E-Mail, vCard und Firmendaten.</t>
  </si>
  <si>
    <t>Höhenweg 113</t>
  </si>
  <si>
    <t>47.0890200</t>
  </si>
  <si>
    <t>11.4711300</t>
  </si>
  <si>
    <t>+4352726455;+436641545017</t>
  </si>
  <si>
    <t>+4352722212</t>
  </si>
  <si>
    <t>office@fattor.at</t>
  </si>
  <si>
    <t>https://bilder.dasschnelle.at/DasSchnelle/50/5000/9948/045918/G_045918_P_906140435.adn.gif</t>
  </si>
  <si>
    <t>Wilberger, Harald, Glasveredelung • Fulpmes • Tirol</t>
  </si>
  <si>
    <t>Glas u. Service • Wilberger, Harald, Riehlstraße 3, Fulpmes • Kontakt über aktuelle Telefonnummern ☎ und Adressen ⚑ mit Karte, Routing, Öffnungszeiten, Homepage, E-Mail, vCard und Firmendaten.</t>
  </si>
  <si>
    <t>Riehlstraße 3</t>
  </si>
  <si>
    <t>6166</t>
  </si>
  <si>
    <t>Fulpmes</t>
  </si>
  <si>
    <t>47.15297</t>
  </si>
  <si>
    <t>11.34877</t>
  </si>
  <si>
    <t>+43522563991</t>
  </si>
  <si>
    <t>glaspunkt.wilberger@outlook.com</t>
  </si>
  <si>
    <t>https://bilder.dasschnelle.at/DasSchnelle/50/5000/9948/045876/G_045876_P_906112634.adn.gif</t>
  </si>
  <si>
    <t>Gumpold, Johann, Weine • Neustift im Stubaital • Tirol</t>
  </si>
  <si>
    <t>Weine • Gumpold, Johann, Dorf 38, Neustift im Stubaital • Kontakt über aktuelle Telefonnummern ☎ und Adressen ⚑ mit Karte, Routing, Öffnungszeiten, Homepage, E-Mail, vCard und Firmendaten.</t>
  </si>
  <si>
    <t>Dorf 38</t>
  </si>
  <si>
    <t>6167</t>
  </si>
  <si>
    <t>Neustift im Stubaital</t>
  </si>
  <si>
    <t>47.10944</t>
  </si>
  <si>
    <t>11.3046</t>
  </si>
  <si>
    <t>+4352262265;+436644039731</t>
  </si>
  <si>
    <t>johann.gumpold@aon.at</t>
  </si>
  <si>
    <t>https://bilder.dasschnelle.at/DasSchnelle/50/5000/9948/045897/G_045897_P_906123598.adn.gif</t>
  </si>
  <si>
    <t>Kocsis, Christian, Feuerschutz • Fulpmes • Tirol</t>
  </si>
  <si>
    <t>Feuerschutz • Kocsis, Christian, Industriegelände Zone A 2, Fulpmes • Kontakt über aktuelle Telefonnummern ☎ und Adressen ⚑ mit Karte, Routing, Öffnungszeiten, Homepage, E-Mail, vCard und Firmendaten.</t>
  </si>
  <si>
    <t>Industriegelände Zone A 2</t>
  </si>
  <si>
    <t>47.13565</t>
  </si>
  <si>
    <t>11.33972</t>
  </si>
  <si>
    <t>+436642106150</t>
  </si>
  <si>
    <t>christian.kocsis@aon.at</t>
  </si>
  <si>
    <t>https://bilder.dasschnelle.at/DasSchnelle/50/5000/9948/045876/G_045876_P_906134729.adn.gif</t>
  </si>
  <si>
    <t>Bäckerei Aste GmbH, Bäckerei • Matrei am Brenner • Tirol</t>
  </si>
  <si>
    <t>Bäckereien • Bäckerei Aste GmbH, Matrei am Brenner • Kontakt über aktuelle Telefonnummern ☎ und Adressen ⚑ mit Karte, Routing, Öffnungszeiten, Homepage, E-Mail, vCard und Firmendaten.</t>
  </si>
  <si>
    <t>6143</t>
  </si>
  <si>
    <t>Matrei am Brenner</t>
  </si>
  <si>
    <t>47.1328930</t>
  </si>
  <si>
    <t>11.4519958</t>
  </si>
  <si>
    <t>+4352736520;+4352736520;+4352736624;+4352736769</t>
  </si>
  <si>
    <t>+4352737473</t>
  </si>
  <si>
    <t>aste.brot@aon.at</t>
  </si>
  <si>
    <t>https://bilder.dasschnelle.at/DasSchnelle/50/5000/9948/045890/G_045890_P_906146786.adn.gif</t>
  </si>
  <si>
    <t>Eller, Thomas, Heizung, Sanitär • Außerschmirn • Tirol</t>
  </si>
  <si>
    <t>Installationsunternehmen, Sanitäranlagen u. -einrichtungen • Eller, Thomas, Aue 29, Außerschmirn • Kontakt über aktuelle Telefonnummern ☎ und Adressen ⚑ mit Karte, Routing, Öffnungszeiten, Homepage, E-Mail, vCard und Firmendaten.</t>
  </si>
  <si>
    <t>Aue 29</t>
  </si>
  <si>
    <t>6154</t>
  </si>
  <si>
    <t>Außerschmirn</t>
  </si>
  <si>
    <t>47.0728156</t>
  </si>
  <si>
    <t>11.5497767</t>
  </si>
  <si>
    <t>+4352795248;+436643435259</t>
  </si>
  <si>
    <t>tom.eller@gmx.at</t>
  </si>
  <si>
    <t>https://bilder.dasschnelle.at/DasSchnelle/50/5000/9948/045912/G_045912_P_906125745.adn.gif</t>
  </si>
  <si>
    <t>Eller, Karl-Heinz, Fliesendesign • Navis • Tirol</t>
  </si>
  <si>
    <t>Fliesenfachhandel • Eller, Karl-Heinz, Außerweg 214, Navis • Kontakt über aktuelle Telefonnummern ☎ und Adressen ⚑ mit Karte, Routing, Öffnungszeiten, Homepage, E-Mail, vCard und Firmendaten.</t>
  </si>
  <si>
    <t>Außerweg 214</t>
  </si>
  <si>
    <t>47.1316664</t>
  </si>
  <si>
    <t>11.5385319</t>
  </si>
  <si>
    <t>+436801270101</t>
  </si>
  <si>
    <t>eller@eller-fliesendesign.at</t>
  </si>
  <si>
    <t>https://bilder.dasschnelle.at/DasSchnelle/50/5000/9948/045896/G_045896_P_906125744.adn.gif</t>
  </si>
  <si>
    <t>Detassis KG, Wipptal Taxi • Vals • Tirol</t>
  </si>
  <si>
    <t>Taxi • Detassis KG, Vals 67, Vals • Kontakt über aktuelle Telefonnummern ☎ und Adressen ⚑ mit Karte, Routing, Öffnungszeiten, Homepage, E-Mail, vCard und Firmendaten.</t>
  </si>
  <si>
    <t>Vals 67</t>
  </si>
  <si>
    <t>Vals</t>
  </si>
  <si>
    <t>47.0604441</t>
  </si>
  <si>
    <t>11.5071794</t>
  </si>
  <si>
    <t>+436641223055</t>
  </si>
  <si>
    <t>info@wipptaltaxi.at</t>
  </si>
  <si>
    <t>https://bilder.dasschnelle.at/DasSchnelle/50/5000/9948/045925/G_045925_P_906124079.adn.gif</t>
  </si>
  <si>
    <t>Elektro Sykora GmbH, Elektrounternehmen • Schönberg im Stubaital • Tirol</t>
  </si>
  <si>
    <t>Elektrogeräte u. -bedarf • Elektro Sykora GmbH, Moosweg 5, Schönberg im Stubaital • Kontakt über aktuelle Telefonnummern ☎ und Adressen ⚑ mit Karte, Routing, Öffnungszeiten, Homepage, E-Mail, vCard und Firmendaten.</t>
  </si>
  <si>
    <t>Moosweg 5</t>
  </si>
  <si>
    <t>47.18069</t>
  </si>
  <si>
    <t>11.39715</t>
  </si>
  <si>
    <t>+436643445532</t>
  </si>
  <si>
    <t>office@elektro-sykora.at</t>
  </si>
  <si>
    <t>https://bilder.dasschnelle.at/DasSchnelle/50/5000/9948/045913/G_045913_P_906123760.adn.gif</t>
  </si>
  <si>
    <t>Elektro Peer GmbH, Elektroinstallationsunternehmen • Matrei am Brenner • Tirol</t>
  </si>
  <si>
    <t>Elektroinstallationsunternehmen • Elektro Peer GmbH, Brennerstraße 131 B, Matrei am Brenner • Kontakt über aktuelle Telefonnummern ☎ und Adressen ⚑ mit Karte, Routing, Öffnungszeiten, Homepage, E-Mail, vCard und Firmendaten.</t>
  </si>
  <si>
    <t>Brennerstraße 131 B</t>
  </si>
  <si>
    <t>47.1293660</t>
  </si>
  <si>
    <t>11.4519590</t>
  </si>
  <si>
    <t>+4352736338</t>
  </si>
  <si>
    <t>+43527377093</t>
  </si>
  <si>
    <t>shop@elektro-peer.tirol</t>
  </si>
  <si>
    <t>https://bilder.dasschnelle.at/DasSchnelle/50/5000/9948/045890/G_045890_P_906123837.adn.gif</t>
  </si>
  <si>
    <t>Schönherr &amp; Schönherr Steuerberatungs- u Unternehmensberatungs GmbH, Steuerberater • Neustift im Stubaital • Tirol</t>
  </si>
  <si>
    <t>Unternehmensberatung • Schönherr &amp; Schönherr Steuerberatungs- u Unternehmensberatungs GmbH, Außerrain 29, Neustift im Stubaital • Kontakt über aktuelle Telefonnummern ☎ und Adressen ⚑ mit Karte, Routing, Öffnungszeiten, Homepage, E-Mail, vCard und Firmendaten.</t>
  </si>
  <si>
    <t>Außerrain 29</t>
  </si>
  <si>
    <t>47.1251</t>
  </si>
  <si>
    <t>11.32541</t>
  </si>
  <si>
    <t>+4352263110</t>
  </si>
  <si>
    <t>office@schoenherr-schoenherr.at</t>
  </si>
  <si>
    <t>https://bilder.dasschnelle.at/DasSchnelle/50/5000/9948/045897/G_045897_P_906127319.adn.gif</t>
  </si>
  <si>
    <t>Freund, Albert, Spenglermeister • Gries am Brenner • Tirol</t>
  </si>
  <si>
    <t>Spenglereien • Freund, Albert, Gasse 409, Gries am Brenner • Kontakt über aktuelle Telefonnummern ☎ und Adressen ⚑ mit Karte, Routing, Öffnungszeiten, Homepage, E-Mail, vCard und Firmendaten.</t>
  </si>
  <si>
    <t>Gasse 409</t>
  </si>
  <si>
    <t>6156</t>
  </si>
  <si>
    <t>Gries am Brenner</t>
  </si>
  <si>
    <t>47.0395000</t>
  </si>
  <si>
    <t>11.4787044</t>
  </si>
  <si>
    <t>+4369910168520</t>
  </si>
  <si>
    <t>info@spenglerei-freund.at</t>
  </si>
  <si>
    <t>https://bilder.dasschnelle.at/DasSchnelle/50/5000/9948/045879/G_045879_P_906135905.adn.gif</t>
  </si>
  <si>
    <t>Schöpf Emanuel, Taxi und Mietwagen • Tirol</t>
  </si>
  <si>
    <t>Autovermietung, Taxi • Schöpf Emanuel • Kontakt über aktuelle Telefonnummern ☎ und Adressen ⚑ mit Karte, Routing, Öffnungszeiten, Homepage, E-Mail, vCard und Firmendaten.</t>
  </si>
  <si>
    <t>47.12847</t>
  </si>
  <si>
    <t>11.33742</t>
  </si>
  <si>
    <t>buero@taxi-schoepf.at</t>
  </si>
  <si>
    <t>https://bilder.dasschnelle.at/DasSchnelle/50/5000/9948/045897/G_045897_P_906158809.adn.gif</t>
  </si>
  <si>
    <t>Obojes, Hannes, Tapezierermeister • Matrei am Brenner • Tirol</t>
  </si>
  <si>
    <t>Raumausstatter, Tapezierer u. Dekorateure • Obojes, Hannes, Sportplatzsiedlung 35, Matrei am Brenner • Kontakt über aktuelle Telefonnummern ☎ und Adressen ⚑ mit Karte, Routing, Öffnungszeiten, Homepage, E-Mail, vCard und Firmendaten.</t>
  </si>
  <si>
    <t>Sportplatzsiedlung 35</t>
  </si>
  <si>
    <t>47.1333248</t>
  </si>
  <si>
    <t>11.4541108</t>
  </si>
  <si>
    <t>+4352736485</t>
  </si>
  <si>
    <t>wohngestaltung-obojes@aon.at</t>
  </si>
  <si>
    <t>https://bilder.dasschnelle.at/DasSchnelle/50/5000/9948/045890/G_045890_P_906108472.adn.gif</t>
  </si>
  <si>
    <t>Jenewein &amp; Fröhlich OG, Autoreparatur • Steinach • Tirol</t>
  </si>
  <si>
    <t>Autoreparaturen • Jenewein &amp; Fröhlich OG, Saxen 24, Steinach • Kontakt über aktuelle Telefonnummern ☎ und Adressen ⚑ mit Karte, Routing, Öffnungszeiten, Homepage, E-Mail, vCard und Firmendaten.</t>
  </si>
  <si>
    <t>Saxen 24</t>
  </si>
  <si>
    <t>47.07931</t>
  </si>
  <si>
    <t>11.47668</t>
  </si>
  <si>
    <t>+43527220031</t>
  </si>
  <si>
    <t>jenewein@kfz-steinach.at</t>
  </si>
  <si>
    <t>https://bilder.dasschnelle.at/DasSchnelle/50/5000/9948/045918/G_045918_P_906104189.adn.gif</t>
  </si>
  <si>
    <t>TP Metalltechnik und Design GmbH • Trins • Tirol</t>
  </si>
  <si>
    <t>Metallbau • TP Metalltechnik und Design GmbH, Rauth 19, Trins • Kontakt über aktuelle Telefonnummern ☎ und Adressen ⚑ mit Karte, Routing, Öffnungszeiten, Homepage, E-Mail, vCard und Firmendaten.</t>
  </si>
  <si>
    <t>Rauth 19</t>
  </si>
  <si>
    <t>6152</t>
  </si>
  <si>
    <t>Trins</t>
  </si>
  <si>
    <t>47.06566</t>
  </si>
  <si>
    <t>11.39063</t>
  </si>
  <si>
    <t>+436644429817</t>
  </si>
  <si>
    <t>peter.tost@gmx.at</t>
  </si>
  <si>
    <t>https://bilder.dasschnelle.at/DasSchnelle/50/5000/9948/045922/G_045922_P_906148317.adn.gif</t>
  </si>
  <si>
    <t>Spörr Ferdinand GesmbH &amp; Co KG, Baumärkte • Stafflach • Tirol</t>
  </si>
  <si>
    <t>Baumärkte • Spörr Ferdinand GesmbH &amp; Co KG, Harland 11 A, Stafflach • Kontakt über aktuelle Telefonnummern ☎ und Adressen ⚑ mit Karte, Routing, Öffnungszeiten, Homepage, E-Mail, vCard und Firmendaten.</t>
  </si>
  <si>
    <t>Harland 11 A</t>
  </si>
  <si>
    <t>47.0833616</t>
  </si>
  <si>
    <t>11.4729175</t>
  </si>
  <si>
    <t>+43527266360</t>
  </si>
  <si>
    <t>office@baumarkt-spoerr.at</t>
  </si>
  <si>
    <t>https://bilder.dasschnelle.at/DasSchnelle/50/5000/9948/045918/G_045918_P_906133422.adn.gif</t>
  </si>
  <si>
    <t>Wipptal-Apotheke Mag. pharm. Elisabeth Sterlacci e.U., Apotheke • Matrei am Brenner • Tirol</t>
  </si>
  <si>
    <t>Apotheken • Wipptal-Apotheke Mag. pharm. Elisabeth Sterlacci e.U., Matrei am Brenner 65, Matrei am Brenner • Kontakt über aktuelle Telefonnummern ☎ und Adressen ⚑ mit Karte, Routing, Öffnungszeiten, Homepage, E-Mail, vCard und Firmendaten.</t>
  </si>
  <si>
    <t>Matrei am Brenner 65</t>
  </si>
  <si>
    <t>47.1323480</t>
  </si>
  <si>
    <t>11.4524297</t>
  </si>
  <si>
    <t>+4352737300</t>
  </si>
  <si>
    <t>https://bilder.dasschnelle.at/DasSchnelle/50/5000/9948/045890/G_045890_P_906128835.adn.gif</t>
  </si>
  <si>
    <t>Volderauer, Klaus, Elektroinstallationsunternehmen • Neustift im Stubaital • Tirol</t>
  </si>
  <si>
    <t>Elektroinstallationsunternehmen • Volderauer, Klaus, Neder Ried 6, Neustift im Stubaital • Kontakt über aktuelle Telefonnummern ☎ und Adressen ⚑ mit Karte, Routing, Öffnungszeiten, Homepage, E-Mail, vCard und Firmendaten.</t>
  </si>
  <si>
    <t>Neder Ried 6</t>
  </si>
  <si>
    <t>47.12131</t>
  </si>
  <si>
    <t>11.32715</t>
  </si>
  <si>
    <t>+436641226904</t>
  </si>
  <si>
    <t>elektro.volderauer@a1.net</t>
  </si>
  <si>
    <t>https://bilder.dasschnelle.at/DasSchnelle/50/5000/9948/045897/G_045897_P_906128707.adn.gif</t>
  </si>
  <si>
    <t>Henökl, Konrad, Rauchfangkehrer • Steinach • Tirol</t>
  </si>
  <si>
    <t>Rauchfangkehrer • Henökl, Konrad, Erlach 133 A, Steinach • Kontakt über aktuelle Telefonnummern ☎ und Adressen ⚑ mit Karte, Routing, Öffnungszeiten, Homepage, E-Mail, vCard und Firmendaten.</t>
  </si>
  <si>
    <t>Erlach 133 A</t>
  </si>
  <si>
    <t>47.0942585</t>
  </si>
  <si>
    <t>11.4665395</t>
  </si>
  <si>
    <t>+4352722261</t>
  </si>
  <si>
    <t>office@wipptalkamin.at</t>
  </si>
  <si>
    <t>https://bilder.dasschnelle.at/DasSchnelle/50/5000/9948/045918/G_045918_P_906137196.adn.gif</t>
  </si>
  <si>
    <t>Almi Gastronomie GmbH, Gasthäuser und Gasthöfe • Obernberg am Brenner • Tirol</t>
  </si>
  <si>
    <t>Gastgewerbe - Gasthöfe • Almi Gastronomie GmbH, Außertal 30, Obernberg am Brenner • Kontakt über aktuelle Telefonnummern ☎ und Adressen ⚑ mit Karte, Routing, Öffnungszeiten, Homepage, E-Mail, vCard und Firmendaten.</t>
  </si>
  <si>
    <t>Außertal 30</t>
  </si>
  <si>
    <t>6157</t>
  </si>
  <si>
    <t>Obernberg am Brenner</t>
  </si>
  <si>
    <t>47.01637</t>
  </si>
  <si>
    <t>11.42213</t>
  </si>
  <si>
    <t>+43527487511</t>
  </si>
  <si>
    <t>+4352748751166</t>
  </si>
  <si>
    <t>info@almis-berghotel.at</t>
  </si>
  <si>
    <t>https://bilder.dasschnelle.at/DasSchnelle/50/5000/9948/045899/G_045899_P_906337512.adn.gif</t>
  </si>
  <si>
    <t>Auer Haustechnik &amp; Wellness GmbH, Heizung • Fulpmes • Tirol</t>
  </si>
  <si>
    <t>Heizungen • Auer Haustechnik &amp; Wellness GmbH, Industriegelände Zone A 16, Fulpmes • Kontakt über aktuelle Telefonnummern ☎ und Adressen ⚑ mit Karte, Routing, Öffnungszeiten, Homepage, E-Mail, vCard und Firmendaten.</t>
  </si>
  <si>
    <t>Industriegelände Zone A 16</t>
  </si>
  <si>
    <t>47.13364</t>
  </si>
  <si>
    <t>11.33967</t>
  </si>
  <si>
    <t>+43522562310</t>
  </si>
  <si>
    <t>info@auer-fulpmes.at</t>
  </si>
  <si>
    <t>https://bilder.dasschnelle.at/DasSchnelle/50/5000/9948/045876/G_045876_P_906140429.adn.gif</t>
  </si>
  <si>
    <t>Grasl, Franz, Schuhhaus u Reparatur • Matrei am Brenner • Tirol</t>
  </si>
  <si>
    <t>Fenster u. Türen, Schuhfachgeschäft • Grasl, Franz, Brennerstraße 39, Matrei am Brenner • Kontakt über aktuelle Telefonnummern ☎ und Adressen ⚑ mit Karte, Routing, Öffnungszeiten, Homepage, E-Mail, vCard und Firmendaten.</t>
  </si>
  <si>
    <t>Brennerstraße 39</t>
  </si>
  <si>
    <t>47.1303120</t>
  </si>
  <si>
    <t>11.4530165</t>
  </si>
  <si>
    <t>+4352736286</t>
  </si>
  <si>
    <t>schuhhsgrasl@gmx.at</t>
  </si>
  <si>
    <t>https://bilder.dasschnelle.at/DasSchnelle/50/5000/9948/045890/G_045890_P_906133451.adn.gif</t>
  </si>
  <si>
    <t>Penz, Markus, Bau- u Möbeltischlerei • Navis • Tirol</t>
  </si>
  <si>
    <t>Tischlereien • Penz, Markus, Unterweg 60, Navis • Kontakt über aktuelle Telefonnummern ☎ und Adressen ⚑ mit Karte, Routing, Öffnungszeiten, Homepage, E-Mail, vCard und Firmendaten.</t>
  </si>
  <si>
    <t>Unterweg 60</t>
  </si>
  <si>
    <t>47.1308750</t>
  </si>
  <si>
    <t>11.5375330</t>
  </si>
  <si>
    <t>+436602815212;+436642815212</t>
  </si>
  <si>
    <t>tischlerei.penz@aon.at</t>
  </si>
  <si>
    <t>https://bilder.dasschnelle.at/DasSchnelle/50/5000/9948/045896/G_045896_P_906107554.adn.gif</t>
  </si>
  <si>
    <t>Mair GmbH, Busreisen • Matrei am Brenner • Tirol</t>
  </si>
  <si>
    <t>Busunternehmen • Mair GmbH, Matrei am Brenner 26, Matrei am Brenner • Kontakt über aktuelle Telefonnummern ☎ und Adressen ⚑ mit Karte, Routing, Öffnungszeiten, Homepage, E-Mail, vCard und Firmendaten.</t>
  </si>
  <si>
    <t>Matrei am Brenner 26</t>
  </si>
  <si>
    <t>47.1316447</t>
  </si>
  <si>
    <t>11.4525292</t>
  </si>
  <si>
    <t>+4352736225</t>
  </si>
  <si>
    <t>info@busreisen-mair.tirol</t>
  </si>
  <si>
    <t>https://bilder.dasschnelle.at/DasSchnelle/50/5000/9948/045890/G_045890_P_906131337.adn.gif</t>
  </si>
  <si>
    <t>Rupert Muigg • Navis • Tirol</t>
  </si>
  <si>
    <t>Computerfachhandel • Rupert Muigg, Oberweg 89 2, Navis • Kontakt über aktuelle Telefonnummern ☎ und Adressen ⚑ mit Karte, Routing, Öffnungszeiten, Homepage, E-Mail, vCard und Firmendaten.</t>
  </si>
  <si>
    <t>Oberweg 89 2</t>
  </si>
  <si>
    <t>47.1276600</t>
  </si>
  <si>
    <t>11.5024700</t>
  </si>
  <si>
    <t>+436766143586</t>
  </si>
  <si>
    <t>office@computerservice-navis.at</t>
  </si>
  <si>
    <t>Müller, Hubert, Bau- u Möbeltischlerei • Fulpmes • Tirol</t>
  </si>
  <si>
    <t>Tischlereien • Müller, Hubert, Industriegelände Zone A 8, Fulpmes • Kontakt über aktuelle Telefonnummern ☎ und Adressen ⚑ mit Karte, Routing, Öffnungszeiten, Homepage, E-Mail, vCard und Firmendaten.</t>
  </si>
  <si>
    <t>Industriegelände Zone A 8</t>
  </si>
  <si>
    <t>47.13554</t>
  </si>
  <si>
    <t>11.33871</t>
  </si>
  <si>
    <t>+43522564443;+436645323428</t>
  </si>
  <si>
    <t>tischlerei.hc.mueller@aon.at</t>
  </si>
  <si>
    <t>https://bilder.dasschnelle.at/DasSchnelle/50/5000/9948/045876/G_045876_P_906123758.adn.gif</t>
  </si>
  <si>
    <t>Reymair, Hannes, Physiotherapeut • Steinach am Brenner • Tirol</t>
  </si>
  <si>
    <t>Physiotherapie • Reymair, Hannes, Hochacker 25, Steinach am Brenner • Kontakt über aktuelle Telefonnummern ☎ und Adressen ⚑ mit Karte, Routing, Öffnungszeiten, Homepage, E-Mail, vCard und Firmendaten.</t>
  </si>
  <si>
    <t>Hochacker 25</t>
  </si>
  <si>
    <t>Steinach am Brenner</t>
  </si>
  <si>
    <t>47.0858027</t>
  </si>
  <si>
    <t>11.4737002</t>
  </si>
  <si>
    <t>+4352722121</t>
  </si>
  <si>
    <t>therapie.reymair@aon.at</t>
  </si>
  <si>
    <t>https://bilder.dasschnelle.at/DasSchnelle/50/5000/9948/045918/G_045918_P_906123823.adn.gif</t>
  </si>
  <si>
    <t>Mayr, Stefan, Blumengeschäft • Neustift im Stubaital • Tirol</t>
  </si>
  <si>
    <t>Blumenhandel • Mayr, Stefan, Scheibe 37, Neustift im Stubaital • Kontakt über aktuelle Telefonnummern ☎ und Adressen ⚑ mit Karte, Routing, Öffnungszeiten, Homepage, E-Mail, vCard und Firmendaten.</t>
  </si>
  <si>
    <t>Scheibe 37</t>
  </si>
  <si>
    <t>47.10834</t>
  </si>
  <si>
    <t>11.30095</t>
  </si>
  <si>
    <t>+4352263477</t>
  </si>
  <si>
    <t>blumenmayr@gmx.at</t>
  </si>
  <si>
    <t>https://bilder.dasschnelle.at/DasSchnelle/50/5000/9948/045897/G_045897_P_906123836.adn.gif</t>
  </si>
  <si>
    <t>Gleinser, Mirella, Friseure • Neustift im Stubaital • Tirol</t>
  </si>
  <si>
    <t>Friseure • Gleinser, Mirella, Scheibe 7, Neustift im Stubaital • Kontakt über aktuelle Telefonnummern ☎ und Adressen ⚑ mit Karte, Routing, Öffnungszeiten, Homepage, E-Mail, vCard und Firmendaten.</t>
  </si>
  <si>
    <t>Scheibe 7</t>
  </si>
  <si>
    <t>47.10881</t>
  </si>
  <si>
    <t>11.30285</t>
  </si>
  <si>
    <t>+43522620164</t>
  </si>
  <si>
    <t>gleinser@friseurmirella.at</t>
  </si>
  <si>
    <t>https://bilder.dasschnelle.at/DasSchnelle/50/5000/9948/045897/G_045897_P_906123908.adn.gif</t>
  </si>
  <si>
    <t>Schmidt, Patrizia, Friseure • Fulpmes • Tirol</t>
  </si>
  <si>
    <t>Friseure • Schmidt, Patrizia, Clemens-Holzmeister-Straße 6, Fulpmes • Kontakt über aktuelle Telefonnummern ☎ und Adressen ⚑ mit Karte, Routing, Öffnungszeiten, Homepage, E-Mail, vCard und Firmendaten.</t>
  </si>
  <si>
    <t>Clemens-Holzmeister-Straße 6</t>
  </si>
  <si>
    <t>47.1498</t>
  </si>
  <si>
    <t>11.35079</t>
  </si>
  <si>
    <t>+436643534359</t>
  </si>
  <si>
    <t>patricia166@gmx.at</t>
  </si>
  <si>
    <t>https://bilder.dasschnelle.at/DasSchnelle/50/5000/9948/045876/G_045876_P_906123931.adn.gif</t>
  </si>
  <si>
    <t>Silbergasser, Markus, Tischlerei • Trins • Tirol</t>
  </si>
  <si>
    <t>Tischlereien • Silbergasser, Markus, Siedlung Galtschein 29 A, Trins • Kontakt über aktuelle Telefonnummern ☎ und Adressen ⚑ mit Karte, Routing, Öffnungszeiten, Homepage, E-Mail, vCard und Firmendaten.</t>
  </si>
  <si>
    <t>Siedlung Galtschein 29 A</t>
  </si>
  <si>
    <t>47.07487</t>
  </si>
  <si>
    <t>11.39903</t>
  </si>
  <si>
    <t>+436643763609</t>
  </si>
  <si>
    <t>markussilbergasser@aon.at</t>
  </si>
  <si>
    <t>https://bilder.dasschnelle.at/DasSchnelle/50/5000/9948/045922/G_045922_P_906151661.adn.gif</t>
  </si>
  <si>
    <t>Alexander Primus, Versicherung • Steinach • Tirol</t>
  </si>
  <si>
    <t>Versicherungsagentur • Alexander Primus, Brennerstraße 56, Steinach • Kontakt über aktuelle Telefonnummern ☎ und Adressen ⚑ mit Karte, Routing, Öffnungszeiten, Homepage, E-Mail, vCard und Firmendaten.</t>
  </si>
  <si>
    <t>Brennerstraße 56</t>
  </si>
  <si>
    <t>47.2647000</t>
  </si>
  <si>
    <t>11.4398700</t>
  </si>
  <si>
    <t>+436645434887</t>
  </si>
  <si>
    <t>alexander.primus@uniqa.at</t>
  </si>
  <si>
    <t>https://bilder.dasschnelle.at/DasSchnelle/50/5000/9948/045918/G_045918_P_906124619.adn.gif</t>
  </si>
  <si>
    <t>Marth, Philipp, Ing., Zimmerei • Schönberg im Stubaital • Tirol</t>
  </si>
  <si>
    <t>Holzbau, Zimmereien • Marth, Philipp, Ing., Römerstraße 6, Schönberg im Stubaital • Kontakt über aktuelle Telefonnummern ☎ und Adressen ⚑ mit Karte, Routing, Öffnungszeiten, Homepage, E-Mail, vCard und Firmendaten.</t>
  </si>
  <si>
    <t>Römerstraße 6</t>
  </si>
  <si>
    <t>47.1867</t>
  </si>
  <si>
    <t>11.40588</t>
  </si>
  <si>
    <t>+43522563825</t>
  </si>
  <si>
    <t>office@holzbau-marth.com</t>
  </si>
  <si>
    <t>https://bilder.dasschnelle.at/DasSchnelle/50/5000/9948/045913/G_045913_P_906130069.adn.gif</t>
  </si>
  <si>
    <t>Seitinger Franz GmbH &amp; Co KG, Containerdienste • Zell • Salzburg</t>
  </si>
  <si>
    <t>Entsorgungen, Kanal- u. Grubendienste • Seitinger Franz GmbH &amp; Co KG, Schüttbachweg 34, Zell • Kontakt über aktuelle Telefonnummern ☎ und Adressen ⚑ mit Karte, Routing, Öffnungszeiten, Homepage, E-Mail, vCard und Firmendaten.</t>
  </si>
  <si>
    <t>Schüttbachweg 34</t>
  </si>
  <si>
    <t>5700</t>
  </si>
  <si>
    <t>Zell</t>
  </si>
  <si>
    <t>47.3039000</t>
  </si>
  <si>
    <t>12.7950000</t>
  </si>
  <si>
    <t>+436542574180;+436641118400;+436641118500;+436642110334;+436642409663;+436643163240;+436644027292;+436644246650;+436649424250</t>
  </si>
  <si>
    <t>+436542574184</t>
  </si>
  <si>
    <t>office@seitinger.info</t>
  </si>
  <si>
    <t>https://bilder.dasschnelle.at/DasSchnelle/50/5000/9918/045587/I_045587_P_905891020_L_0036233044_1.png</t>
  </si>
  <si>
    <t>https://bilder.dasschnelle.at/DasSchnelle/50/5000/9918/045587/I_045587_P_905891020_B_0036233044_1.gal.png?height=225&amp;width=300;https://bilder.dasschnelle.at/DasSchnelle/50/5000/9918/045587/I_045587_P_905891020_B_0036233044_2.gal.png?height=468&amp;width=624;https://bilder.dasschnelle.at/DasSchnelle/50/5000/9918/045587/I_045587_P_905891020_B_0036233044_3.gal.png?height=468&amp;width=624;https://bilder.dasschnelle.at/DasSchnelle/50/5000/9918/045587/I_045587_P_905891020_B_0036233044_4.gal.png?height=359&amp;width=479</t>
  </si>
  <si>
    <t>Schösser Erdbau • Hollersbach im Pinzgau • Salzburg</t>
  </si>
  <si>
    <t>Erdbau • Schösser Erdbau, Grubing 33, Hollersbach im Pinzgau • Kontakt über aktuelle Telefonnummern ☎ und Adressen ⚑ mit Karte, Routing, Öffnungszeiten, Homepage, E-Mail, vCard und Firmendaten.</t>
  </si>
  <si>
    <t>Grubing 33</t>
  </si>
  <si>
    <t>5731</t>
  </si>
  <si>
    <t>Hollersbach im Pinzgau</t>
  </si>
  <si>
    <t>47.2826422</t>
  </si>
  <si>
    <t>12.4161540</t>
  </si>
  <si>
    <t>+436641511269</t>
  </si>
  <si>
    <t>h.schoesser@sbg.at</t>
  </si>
  <si>
    <t>https://bilder.dasschnelle.at/DasSchnelle/50/5000/9918/045564/G_045564_P_906136225.adn.gif</t>
  </si>
  <si>
    <t>Eitler Bau GmbH, Bauunternehmen • Saalfelden • Salzburg</t>
  </si>
  <si>
    <t>Bauunternehmen • Eitler Bau GmbH, Bahnhofstraße 63, Saalfelden • Kontakt über aktuelle Telefonnummern ☎ und Adressen ⚑ mit Karte, Routing, Öffnungszeiten, Homepage, E-Mail, vCard und Firmendaten.</t>
  </si>
  <si>
    <t>Bahnhofstraße 63</t>
  </si>
  <si>
    <t>5760</t>
  </si>
  <si>
    <t>Saalfelden</t>
  </si>
  <si>
    <t>47.42119</t>
  </si>
  <si>
    <t>12.83285</t>
  </si>
  <si>
    <t>+436582724900</t>
  </si>
  <si>
    <t>+4365827249014</t>
  </si>
  <si>
    <t>office@eitler-bau.at</t>
  </si>
  <si>
    <t>https://bilder.dasschnelle.at/DasSchnelle/50/5000/9918/045578/G_045578_P_906150989.adn.gif</t>
  </si>
  <si>
    <t>Hafner, Thomas, Lasertechnik • Zell • Salzburg</t>
  </si>
  <si>
    <t>Lasertechnik • Hafner, Thomas, Rosengasse 11, Zell • Kontakt über aktuelle Telefonnummern ☎ und Adressen ⚑ mit Karte, Routing, Öffnungszeiten, Homepage, E-Mail, vCard und Firmendaten.</t>
  </si>
  <si>
    <t>Rosengasse 11</t>
  </si>
  <si>
    <t>47.2936946</t>
  </si>
  <si>
    <t>12.7812635</t>
  </si>
  <si>
    <t>+43654220258;+4369917071098</t>
  </si>
  <si>
    <t>info@lasair.at</t>
  </si>
  <si>
    <t>https://bilder.dasschnelle.at/DasSchnelle/50/5000/9918/045587/I_045587_P_905964591_L_0036244080_1.png</t>
  </si>
  <si>
    <t>https://bilder.dasschnelle.at/DasSchnelle/50/5000/9918/045587/I_045587_P_905964591_B_0036244080_1.gal.png?height=221&amp;width=400;https://bilder.dasschnelle.at/DasSchnelle/50/5000/9918/045587/I_045587_P_905964591_B_0036244080_2.gal.png?height=184&amp;width=274;https://bilder.dasschnelle.at/DasSchnelle/50/5000/9918/045587/I_045587_P_905964591_B_0036244080_3.gal.png?height=266&amp;width=400;https://bilder.dasschnelle.at/DasSchnelle/50/5000/9918/045587/I_045587_P_905964591_B_0036244080_4.gal.png?height=123&amp;width=409</t>
  </si>
  <si>
    <t>Mayr Karl GmbH &amp; Co, Dachdeckereien • Bachwinkl • Salzburg</t>
  </si>
  <si>
    <t>Dachdeckereien • Mayr Karl GmbH &amp; Co, Georg-Scherer-Straße 6, Bachwinkl • Kontakt über aktuelle Telefonnummern ☎ und Adressen ⚑ mit Karte, Routing, Öffnungszeiten, Homepage, E-Mail, vCard und Firmendaten.</t>
  </si>
  <si>
    <t>Georg-Scherer-Straße 6</t>
  </si>
  <si>
    <t>Bachwinkl</t>
  </si>
  <si>
    <t>47.43524</t>
  </si>
  <si>
    <t>12.85121</t>
  </si>
  <si>
    <t>+436582733660;+436641812887;+43658221032</t>
  </si>
  <si>
    <t>+43658275208</t>
  </si>
  <si>
    <t>office@mayr-dach.at</t>
  </si>
  <si>
    <t>https://bilder.dasschnelle.at/DasSchnelle/50/5000/9918/045578/G_045578_P_906123934.adn.gif</t>
  </si>
  <si>
    <t>Monika Frisiersalon • Niedernsill • Salzburg</t>
  </si>
  <si>
    <t>Friseure • Monika Frisiersalon, Steindorferstraße 2, Niedernsill • Kontakt über aktuelle Telefonnummern ☎ und Adressen ⚑ mit Karte, Routing, Öffnungszeiten, Homepage, E-Mail, vCard und Firmendaten.</t>
  </si>
  <si>
    <t>Steindorferstraße 2</t>
  </si>
  <si>
    <t>5722</t>
  </si>
  <si>
    <t>Niedernsill</t>
  </si>
  <si>
    <t>47.28547</t>
  </si>
  <si>
    <t>12.64551</t>
  </si>
  <si>
    <t>+4365488050</t>
  </si>
  <si>
    <t>frisiersalon.monika@sbg.at</t>
  </si>
  <si>
    <t>https://bilder.dasschnelle.at/DasSchnelle/50/5000/9918/045574/G_045574_P_906203801.adn.gif</t>
  </si>
  <si>
    <t>Steuerberatung Saalfelden GmbH &amp; Co KG, Wirtschaftstreuhänder, Steuerberater • Saalfelden • Salzburg</t>
  </si>
  <si>
    <t>Wirtschaftstreuhänder / Steuerberater • Steuerberatung Saalfelden GmbH &amp; Co KG, Stadtplatz 3, Saalfelden • Kontakt über aktuelle Telefonnummern ☎ und Adressen ⚑ mit Karte, Routing, Öffnungszeiten, Homepage, E-Mail, vCard und Firmendaten.</t>
  </si>
  <si>
    <t>Stadtplatz 3</t>
  </si>
  <si>
    <t>47.4261422</t>
  </si>
  <si>
    <t>12.8313725</t>
  </si>
  <si>
    <t>+436582759900</t>
  </si>
  <si>
    <t>+4365827599019</t>
  </si>
  <si>
    <t>office@stb-saalfelden.com</t>
  </si>
  <si>
    <t>https://bilder.dasschnelle.at/DasSchnelle/50/5000/9918/045578/G_045578_P_906181773.adn.gif</t>
  </si>
  <si>
    <t>Malerei Schwaiger • Saalfelden • Salzburg</t>
  </si>
  <si>
    <t>Malereibetriebe • Malerei Schwaiger, Almerstraße 35, Saalfelden • Kontakt über aktuelle Telefonnummern ☎ und Adressen ⚑ mit Karte, Routing, Öffnungszeiten, Homepage, E-Mail, vCard und Firmendaten.</t>
  </si>
  <si>
    <t>Almerstraße 35</t>
  </si>
  <si>
    <t>47.4191627</t>
  </si>
  <si>
    <t>12.8553022</t>
  </si>
  <si>
    <t>+436641116441</t>
  </si>
  <si>
    <t>hermann@malerei-schwaiger.at</t>
  </si>
  <si>
    <t>https://bilder.dasschnelle.at/DasSchnelle/50/5000/9918/045578/G_045578_P_906135869.adn.gif</t>
  </si>
  <si>
    <t>Baicu, Marius-Daniel, Dr., Ärzte / f Allgemeinmedizin • Zell • Salzburg</t>
  </si>
  <si>
    <t>Ärzte / f Allgemeinmedizin • Baicu, Marius-Daniel, Dr., Hafnergasse 1, Zell • Kontakt über aktuelle Telefonnummern ☎ und Adressen ⚑ mit Karte, Routing, Öffnungszeiten, Homepage, E-Mail, vCard und Firmendaten.</t>
  </si>
  <si>
    <t>Hafnergasse 1</t>
  </si>
  <si>
    <t>47.3269115</t>
  </si>
  <si>
    <t>12.7969041</t>
  </si>
  <si>
    <t>+43654273715</t>
  </si>
  <si>
    <t>dr.baicu.zellamsee@gmail.com</t>
  </si>
  <si>
    <t>https://bilder.dasschnelle.at/DasSchnelle/50/5000/9918/045587/G_045587_P_906178295.adn.gif</t>
  </si>
  <si>
    <t>Hetz, Jutta, Malerei • Piesendorf • Salzburg</t>
  </si>
  <si>
    <t>Malereibetriebe • Hetz, Jutta, Am Bachangerl 61 A, Piesendorf • Kontakt über aktuelle Telefonnummern ☎ und Adressen ⚑ mit Karte, Routing, Öffnungszeiten, Homepage, E-Mail, vCard und Firmendaten.</t>
  </si>
  <si>
    <t>Am Bachangerl 61 A</t>
  </si>
  <si>
    <t>5721</t>
  </si>
  <si>
    <t>Piesendorf</t>
  </si>
  <si>
    <t>47.2894</t>
  </si>
  <si>
    <t>12.74679</t>
  </si>
  <si>
    <t>+436766096834</t>
  </si>
  <si>
    <t>malereihetz@sbg.at</t>
  </si>
  <si>
    <t>https://bilder.dasschnelle.at/DasSchnelle/50/5000/9918/045575/G_045575_P_906125847.adn.gif</t>
  </si>
  <si>
    <t>Landauer Alfred GmbH, Sonnenschutz • Saalfelden • Salzburg</t>
  </si>
  <si>
    <t>Fenster u. Türen, Sonnen u. Insektenschutz • Landauer Alfred GmbH, Bsuch 23, Saalfelden • Kontakt über aktuelle Telefonnummern ☎ und Adressen ⚑ mit Karte, Routing, Öffnungszeiten, Homepage, E-Mail, vCard und Firmendaten.</t>
  </si>
  <si>
    <t>Bsuch 23</t>
  </si>
  <si>
    <t>47.3997823</t>
  </si>
  <si>
    <t>12.8371234</t>
  </si>
  <si>
    <t>+43658220218</t>
  </si>
  <si>
    <t>info@alfredlandauer.at</t>
  </si>
  <si>
    <t>https://bilder.dasschnelle.at/DasSchnelle/50/5000/9918/045578/I_045578_P_905897454_L_0036233042_1.png</t>
  </si>
  <si>
    <t>https://bilder.dasschnelle.at/DasSchnelle/50/5000/9918/045578/I_045578_P_905897454_B_0036233042_1.gal.png?height=183&amp;width=275;https://bilder.dasschnelle.at/DasSchnelle/50/5000/9918/045578/I_045578_P_905897454_B_0036233042_2.gal.png?height=171&amp;width=295;https://bilder.dasschnelle.at/DasSchnelle/50/5000/9918/045578/I_045578_P_905897454_B_0036233042_3.gal.png?height=171&amp;width=295;https://bilder.dasschnelle.at/DasSchnelle/50/5000/9918/045578/I_045578_P_905897454_B_0036233042_4.gal.png?height=183&amp;width=275</t>
  </si>
  <si>
    <t>Elektrotechnik Christian e. U. • Stuhlfelden • Salzburg</t>
  </si>
  <si>
    <t>Elektrotechnik • Elektrotechnik Christian e. U., Bahnhofstraße 4, Stuhlfelden • Kontakt über aktuelle Telefonnummern ☎ und Adressen ⚑ mit Karte, Routing, Öffnungszeiten, Homepage, E-Mail, vCard und Firmendaten.</t>
  </si>
  <si>
    <t>Bahnhofstraße 4</t>
  </si>
  <si>
    <t>5724</t>
  </si>
  <si>
    <t>Stuhlfelden</t>
  </si>
  <si>
    <t>47.2881774</t>
  </si>
  <si>
    <t>12.5284718</t>
  </si>
  <si>
    <t>+436642487257</t>
  </si>
  <si>
    <t>elektrotechnik-christian@sbg.at</t>
  </si>
  <si>
    <t>https://bilder.dasschnelle.at/DasSchnelle/50/5000/9918/045580/G_045580_P_906123930.adn.gif</t>
  </si>
  <si>
    <t>Gruber Elektro • Ternitz • Niederösterreich</t>
  </si>
  <si>
    <t>Kaufhäuser • Gruber Elektro, Franz Samwaldstraße 45, Ternitz • Kontakt über aktuelle Telefonnummern ☎ und Adressen ⚑ mit Karte, Routing, Öffnungszeiten, Homepage, E-Mail, vCard und Firmendaten.</t>
  </si>
  <si>
    <t>Franz Samwaldstraße 45</t>
  </si>
  <si>
    <t>2630</t>
  </si>
  <si>
    <t>Ternitz</t>
  </si>
  <si>
    <t>47.70118</t>
  </si>
  <si>
    <t>16.01297</t>
  </si>
  <si>
    <t>+43263037237</t>
  </si>
  <si>
    <t>gruberkg@utanet.at</t>
  </si>
  <si>
    <t>https://bilder.dasschnelle.at/DasSchnelle/50/5000/9913/041861/G_041861_P_906277479.adn.gif</t>
  </si>
  <si>
    <t>Erholungszentrum Neunkirchen, Freibad • Neunkirchen • Niederösterreich</t>
  </si>
  <si>
    <t>Schwimmbäder • Erholungszentrum Neunkirchen, Hauptplatz 1, Neunkirchen • Kontakt über aktuelle Telefonnummern ☎ und Adressen ⚑ mit Karte, Routing, Öffnungszeiten, Homepage, E-Mail, vCard und Firmendaten.</t>
  </si>
  <si>
    <t>2620</t>
  </si>
  <si>
    <t>Neunkirchen</t>
  </si>
  <si>
    <t>47.72066</t>
  </si>
  <si>
    <t>16.08154</t>
  </si>
  <si>
    <t>+43263562408</t>
  </si>
  <si>
    <t>ehz@neunkirchen.gv.at</t>
  </si>
  <si>
    <t>https://bilder.dasschnelle.at/DasSchnelle/50/5000/9913/041844/G_041844_P_906227582.adn.gif</t>
  </si>
  <si>
    <t>Schuster Elektro GmbH • Neunkirchen • Niederösterreich</t>
  </si>
  <si>
    <t>Elektrogeräte u. -bedarf • Schuster Elektro GmbH, Wiener Straße 88, Neunkirchen • Kontakt über aktuelle Telefonnummern ☎ und Adressen ⚑ mit Karte, Routing, Öffnungszeiten, Homepage, E-Mail, vCard und Firmendaten.</t>
  </si>
  <si>
    <t>Wiener Straße 88</t>
  </si>
  <si>
    <t>47.72808</t>
  </si>
  <si>
    <t>16.09044</t>
  </si>
  <si>
    <t>+43263564330</t>
  </si>
  <si>
    <t>info@elektro-schuster.com</t>
  </si>
  <si>
    <t>https://bilder.dasschnelle.at/DasSchnelle/50/5000/9913/041844/G_041844_P_906261738.adn.gif</t>
  </si>
  <si>
    <t>Schlosserei L Reiterer GmbH, Schlossereien • Flatz • Niederösterreich</t>
  </si>
  <si>
    <t>Schlossereien • Schlosserei L Reiterer GmbH, Falterweg 4, Flatz • Kontakt über aktuelle Telefonnummern ☎ und Adressen ⚑ mit Karte, Routing, Öffnungszeiten, Homepage, E-Mail, vCard und Firmendaten.</t>
  </si>
  <si>
    <t>Falterweg 4</t>
  </si>
  <si>
    <t>Flatz</t>
  </si>
  <si>
    <t>47.74177</t>
  </si>
  <si>
    <t>16.02246</t>
  </si>
  <si>
    <t>+43263033156</t>
  </si>
  <si>
    <t>schlosserei.reiterer@direkt.at</t>
  </si>
  <si>
    <t>https://bilder.dasschnelle.at/DasSchnelle/50/5000/9913/041861/G_041861_P_906227581.adn.gif</t>
  </si>
  <si>
    <t>Edlinger Möbel GmbH, Möbelhaus • Gloggnitz • Niederösterreich</t>
  </si>
  <si>
    <t>Möbelhäuser, Tischlereien • Edlinger Möbel GmbH, Franz Dittelbach-Straße 16, Gloggnitz • Kontakt über aktuelle Telefonnummern ☎ und Adressen ⚑ mit Karte, Routing, Öffnungszeiten, Homepage, E-Mail, vCard und Firmendaten.</t>
  </si>
  <si>
    <t>Franz Dittelbach-Straße 16</t>
  </si>
  <si>
    <t>2640</t>
  </si>
  <si>
    <t>Gloggnitz</t>
  </si>
  <si>
    <t>47.6760000</t>
  </si>
  <si>
    <t>15.9463600</t>
  </si>
  <si>
    <t>+43266242285</t>
  </si>
  <si>
    <t>moebel.edlinger@speed.at</t>
  </si>
  <si>
    <t>https://bilder.dasschnelle.at/DasSchnelle/50/5000/9913/041837/G_041837_P_906236009.adn.gif</t>
  </si>
  <si>
    <t>Komenda GmbH Pongauer Jägerzaun Tischlerei u Holzhandel • Neunkirchen • Niederösterreich</t>
  </si>
  <si>
    <t>Holzfachmärkte, Tischlereien • Komenda GmbH Pongauer Jägerzaun Tischlerei u Holzhandel, Postweg 3, Neunkirchen • Kontakt über aktuelle Telefonnummern ☎ und Adressen ⚑ mit Karte, Routing, Öffnungszeiten, Homepage, E-Mail, vCard und Firmendaten.</t>
  </si>
  <si>
    <t>Postweg 3</t>
  </si>
  <si>
    <t>47.71946</t>
  </si>
  <si>
    <t>16.07234</t>
  </si>
  <si>
    <t>+43263565314</t>
  </si>
  <si>
    <t>office@komenda.cc</t>
  </si>
  <si>
    <t>https://bilder.dasschnelle.at/DasSchnelle/50/5000/9913/041844/G_041844_P_906227580.adn.gif</t>
  </si>
  <si>
    <t>Rehberger, Mario, Kfz Spenglerei &amp; Lackiererei • Neunkirchen • Niederösterreich</t>
  </si>
  <si>
    <t>Lackierereien, Spenglereien • Rehberger, Mario, Lagergasse 1, Neunkirchen • Kontakt über aktuelle Telefonnummern ☎ und Adressen ⚑ mit Karte, Routing, Öffnungszeiten, Homepage, E-Mail, vCard und Firmendaten.</t>
  </si>
  <si>
    <t>Lagergasse 1</t>
  </si>
  <si>
    <t>47.73042</t>
  </si>
  <si>
    <t>16.08276</t>
  </si>
  <si>
    <t>+43263562544</t>
  </si>
  <si>
    <t>rehberger-mario@gmx.net</t>
  </si>
  <si>
    <t>https://bilder.dasschnelle.at/DasSchnelle/50/5000/9913/041844/G_041844_P_906221520.adn.gif</t>
  </si>
  <si>
    <t>Schauer, Hans, Malermeister • Willendorf • Niederösterreich</t>
  </si>
  <si>
    <t>Malereibetriebe • Schauer, Hans, Wolfsohler Straße 15, Willendorf • Kontakt über aktuelle Telefonnummern ☎ und Adressen ⚑ mit Karte, Routing, Öffnungszeiten, Homepage, E-Mail, vCard und Firmendaten.</t>
  </si>
  <si>
    <t>Wolfsohler Straße 15</t>
  </si>
  <si>
    <t>2732</t>
  </si>
  <si>
    <t>Willendorf</t>
  </si>
  <si>
    <t>47.76346</t>
  </si>
  <si>
    <t>16.05118</t>
  </si>
  <si>
    <t>+43262024390</t>
  </si>
  <si>
    <t>hans.schauer@utanet.at</t>
  </si>
  <si>
    <t>https://bilder.dasschnelle.at/DasSchnelle/50/5000/9913/041869/G_041869_P_906227548.adn.gif</t>
  </si>
  <si>
    <t>Hofbauer, Gerald, Steinmetzbetrieb • Neunkirchen • Niederösterreich</t>
  </si>
  <si>
    <t>Steinmetzbetriebe • Hofbauer, Gerald, Beethovengasse 41, Neunkirchen • Kontakt über aktuelle Telefonnummern ☎ und Adressen ⚑ mit Karte, Routing, Öffnungszeiten, Homepage, E-Mail, vCard und Firmendaten.</t>
  </si>
  <si>
    <t>Beethovengasse 41</t>
  </si>
  <si>
    <t>47.7290798</t>
  </si>
  <si>
    <t>16.0888672</t>
  </si>
  <si>
    <t>+43263562756</t>
  </si>
  <si>
    <t>info@steinwerk.at</t>
  </si>
  <si>
    <t>https://bilder.dasschnelle.at/DasSchnelle/50/5000/9913/041844/G_041844_P_906265951.adn.gif</t>
  </si>
  <si>
    <t>Heissenberger Installationstechnik GmbH • Aspang-Markt • Niederösterreich</t>
  </si>
  <si>
    <t>Heizungen, Installationsunternehmen, Lüftungsanlagen • Heissenberger Installationstechnik GmbH, Andreas Hofer-Straße 5, Aspang-Markt • Kontakt über aktuelle Telefonnummern ☎ und Adressen ⚑ mit Karte, Routing, Öffnungszeiten, Homepage, E-Mail, vCard und Firmendaten.</t>
  </si>
  <si>
    <t>Andreas Hofer-Straße 5</t>
  </si>
  <si>
    <t>2870</t>
  </si>
  <si>
    <t>Aspang-Markt</t>
  </si>
  <si>
    <t>47.56865</t>
  </si>
  <si>
    <t>16.09924</t>
  </si>
  <si>
    <t>+432642523050</t>
  </si>
  <si>
    <t>office@heissenberger-hkls.at</t>
  </si>
  <si>
    <t>https://bilder.dasschnelle.at/DasSchnelle/50/5000/9913/042011/G_042011_P_906234709.adn.gif</t>
  </si>
  <si>
    <t>Schuhaus Lassmann • Gloggnitz • Niederösterreich</t>
  </si>
  <si>
    <t>Schuhfachgeschäft • Schuhaus Lassmann, Wienerstrasse 6, Gloggnitz • Kontakt über aktuelle Telefonnummern ☎ und Adressen ⚑ mit Karte, Routing, Öffnungszeiten, Homepage, E-Mail, vCard und Firmendaten.</t>
  </si>
  <si>
    <t>Wienerstrasse 6</t>
  </si>
  <si>
    <t>47.6751</t>
  </si>
  <si>
    <t>15.94006</t>
  </si>
  <si>
    <t>+43266243366</t>
  </si>
  <si>
    <t>office@lassmann-schuhe.at</t>
  </si>
  <si>
    <t>https://bilder.dasschnelle.at/DasSchnelle/50/5000/9913/041837/G_041837_P_906234708.adn.gif</t>
  </si>
  <si>
    <t>The Mister Barber • Gloggnitz • Niederösterreich</t>
  </si>
  <si>
    <t>Friseure • The Mister Barber, Hauptstraße 32a, Gloggnitz • Kontakt über aktuelle Telefonnummern ☎ und Adressen ⚑ mit Karte, Routing, Öffnungszeiten, Homepage, E-Mail, vCard und Firmendaten.</t>
  </si>
  <si>
    <t>Hauptstraße 32a</t>
  </si>
  <si>
    <t>47.6757499</t>
  </si>
  <si>
    <t>15.9347920</t>
  </si>
  <si>
    <t>+436601282121</t>
  </si>
  <si>
    <t>themisterbarber2020@gmail.com</t>
  </si>
  <si>
    <t>https://bilder.dasschnelle.at/DasSchnelle/50/5000/9913/041837/I_041837_P_906048991_L_0038793407_1.png</t>
  </si>
  <si>
    <t>https://bilder.dasschnelle.at/DasSchnelle/50/5000/9913/041837/I_041837_P_906048991_B_0038793407_1.gal.png?height=719&amp;width=720;https://bilder.dasschnelle.at/DasSchnelle/50/5000/9913/041837/I_041837_P_906048991_B_0038793407_2.gal.png?height=479&amp;width=720;https://bilder.dasschnelle.at/DasSchnelle/50/5000/9913/041837/I_041837_P_906048991_B_0038793407_3.gal.png?height=720&amp;width=605;https://bilder.dasschnelle.at/DasSchnelle/50/5000/9913/041837/I_041837_P_906048991_B_0038793407_4.gal.png?height=387&amp;width=720</t>
  </si>
  <si>
    <t>Kleinhofer, Romana, Physiotherapeutin • Payerbach • Niederösterreich</t>
  </si>
  <si>
    <t>Physiotherapie • Kleinhofer, Romana, Wiener Straße 1, Payerbach • Kontakt über aktuelle Telefonnummern ☎ und Adressen ⚑ mit Karte, Routing, Öffnungszeiten, Homepage, E-Mail, vCard und Firmendaten.</t>
  </si>
  <si>
    <t>2650</t>
  </si>
  <si>
    <t>Payerbach</t>
  </si>
  <si>
    <t>47.69301</t>
  </si>
  <si>
    <t>15.86395</t>
  </si>
  <si>
    <t>+43266654446</t>
  </si>
  <si>
    <t>physiotherapie.payerbach@aon.at</t>
  </si>
  <si>
    <t>https://bilder.dasschnelle.at/DasSchnelle/50/5000/9913/041846/G_041846_P_906275308.adn.gif</t>
  </si>
  <si>
    <t>E.u.H Tisch Wolfgang, Elektrounternehmen • Puchberg am Schneeberg • Niederösterreich</t>
  </si>
  <si>
    <t>Elektrotechnik, Elektrounternehmen • E.u.H Tisch Wolfgang, Ödenhof 1, Puchberg am Schneeberg • Kontakt über aktuelle Telefonnummern ☎ und Adressen ⚑ mit Karte, Routing, Öffnungszeiten, Homepage, E-Mail, vCard und Firmendaten.</t>
  </si>
  <si>
    <t>Ödenhof 1</t>
  </si>
  <si>
    <t>2734</t>
  </si>
  <si>
    <t>Puchberg am Schneeberg</t>
  </si>
  <si>
    <t>47.7640639</t>
  </si>
  <si>
    <t>15.9441807</t>
  </si>
  <si>
    <t>+436644123489</t>
  </si>
  <si>
    <t>wtiisch@diolog-gruppe.at</t>
  </si>
  <si>
    <t>https://bilder.dasschnelle.at/DasSchnelle/50/5000/9913/041849/G_041849_P_906231439.adn.gif</t>
  </si>
  <si>
    <t>Dichtl, Karin, Fußpflege • Gloggnitz • Niederösterreich</t>
  </si>
  <si>
    <t>Fußpflege • Dichtl, Karin, Richtergasse 3, Gloggnitz • Kontakt über aktuelle Telefonnummern ☎ und Adressen ⚑ mit Karte, Routing, Öffnungszeiten, Homepage, E-Mail, vCard und Firmendaten.</t>
  </si>
  <si>
    <t>Richtergasse 3</t>
  </si>
  <si>
    <t>47.67509</t>
  </si>
  <si>
    <t>15.93416</t>
  </si>
  <si>
    <t>+43266242333;+436604233300;+436763072216</t>
  </si>
  <si>
    <t>studio.karin@chello.at</t>
  </si>
  <si>
    <t>https://bilder.dasschnelle.at/DasSchnelle/50/5000/9913/041837/G_041837_P_906236010.adn.gif</t>
  </si>
  <si>
    <t>Ungersböck, Alfred, Prim.Dr. • Neunkirchen • Niederösterreich</t>
  </si>
  <si>
    <t>Ärzte / Fachärzte f. Orthopädie u. Orthopädische Chirurgie • Ungersböck, Alfred, Prim.Dr., Parkgasse 14, Neunkirchen • Kontakt über aktuelle Telefonnummern ☎ und Adressen ⚑ mit Karte, Routing, Öffnungszeiten, Homepage, E-Mail, vCard und Firmendaten.</t>
  </si>
  <si>
    <t>Parkgasse 14</t>
  </si>
  <si>
    <t>47.72664</t>
  </si>
  <si>
    <t>16.08211</t>
  </si>
  <si>
    <t>+43263566336</t>
  </si>
  <si>
    <t>alfred.ungersboeck@neunkirchen.lknoe.at</t>
  </si>
  <si>
    <t>https://bilder.dasschnelle.at/DasSchnelle/50/5000/9913/041844/G_041844_P_906216918.adn.gif</t>
  </si>
  <si>
    <t>Weninger, Wolfgang, Tischlerei • Grimmenstein • Niederösterreich</t>
  </si>
  <si>
    <t>Tischlereien • Weninger, Wolfgang, Hütten-Berg 3, Grimmenstein • Kontakt über aktuelle Telefonnummern ☎ und Adressen ⚑ mit Karte, Routing, Öffnungszeiten, Homepage, E-Mail, vCard und Firmendaten.</t>
  </si>
  <si>
    <t>Hütten-Berg 3</t>
  </si>
  <si>
    <t>2840</t>
  </si>
  <si>
    <t>Grimmenstein</t>
  </si>
  <si>
    <t>47.5196987</t>
  </si>
  <si>
    <t>14.9621936</t>
  </si>
  <si>
    <t>+43264422200</t>
  </si>
  <si>
    <t>+43264422204</t>
  </si>
  <si>
    <t>tischlerei-weninger@speed.at</t>
  </si>
  <si>
    <t>https://bilder.dasschnelle.at/DasSchnelle/50/5000/9913/041839/G_041839_P_906266670.adn.gif</t>
  </si>
  <si>
    <t>Rottensteiner, Hans, Steinmetz • Wimpassing im Schwarzatale • Niederösterreich</t>
  </si>
  <si>
    <t>Steinmetzbetriebe • Rottensteiner, Hans, Schwarzastraße 50, Wimpassing im Schwarzatale • Kontakt über aktuelle Telefonnummern ☎ und Adressen ⚑ mit Karte, Routing, Öffnungszeiten, Homepage, E-Mail, vCard und Firmendaten.</t>
  </si>
  <si>
    <t>Schwarzastraße 50</t>
  </si>
  <si>
    <t>2632</t>
  </si>
  <si>
    <t>Wimpassing im Schwarzatale</t>
  </si>
  <si>
    <t>47.69119</t>
  </si>
  <si>
    <t>16.00698</t>
  </si>
  <si>
    <t>+43263037229</t>
  </si>
  <si>
    <t>info@steine-rottensteiner.at</t>
  </si>
  <si>
    <t>https://bilder.dasschnelle.at/DasSchnelle/50/5000/9913/041838/G_041838_P_906246120.adn.gif</t>
  </si>
  <si>
    <t>Peter Mies e.U., Gartenpflege • Ternitz</t>
  </si>
  <si>
    <t>Garten- u. Landschaftsgestaltung • Peter Mies e.U., Vordere Sonnleitenstraße 19, Ternitz • Kontakt über aktuelle Telefonnummern ☎ und Adressen ⚑ mit Karte, Routing, Öffnungszeiten, Homepage, E-Mail, vCard und Firmendaten.</t>
  </si>
  <si>
    <t>Vordere Sonnleitenstraße 19</t>
  </si>
  <si>
    <t>47.70618</t>
  </si>
  <si>
    <t>15.99965</t>
  </si>
  <si>
    <t>+43263022422</t>
  </si>
  <si>
    <t>office@petermies.at</t>
  </si>
  <si>
    <t>https://bilder.dasschnelle.at/DasSchnelle/50/5000/9913/041861/G_041861_P_906252471.adn.gif</t>
  </si>
  <si>
    <t>Weißenböck, Peter, Installateurmeister • Feistritz am Wechsel • Niederösterreich</t>
  </si>
  <si>
    <t>Installationsunternehmen • Weißenböck, Peter, Feistritz am Wechsel 324, Feistritz am Wechsel • Kontakt über aktuelle Telefonnummern ☎ und Adressen ⚑ mit Karte, Routing, Öffnungszeiten, Homepage, E-Mail, vCard und Firmendaten.</t>
  </si>
  <si>
    <t>Feistritz am Wechsel 324</t>
  </si>
  <si>
    <t>2873</t>
  </si>
  <si>
    <t>Feistritz am Wechsel</t>
  </si>
  <si>
    <t>47.6015848</t>
  </si>
  <si>
    <t>16.0433589</t>
  </si>
  <si>
    <t>+4367763533529</t>
  </si>
  <si>
    <t>office@pwinstallationen.at</t>
  </si>
  <si>
    <t>https://bilder.dasschnelle.at/DasSchnelle/50/5000/9913/041836/G_041836_P_906278664.adn.gif</t>
  </si>
  <si>
    <t>Tischlerei Kühteubl • Bromberg • Niederösterreich</t>
  </si>
  <si>
    <t>Tischlereien • Tischlerei Kühteubl, Schlatten 65, Bromberg • Kontakt über aktuelle Telefonnummern ☎ und Adressen ⚑ mit Karte, Routing, Öffnungszeiten, Homepage, E-Mail, vCard und Firmendaten.</t>
  </si>
  <si>
    <t>Schlatten 65</t>
  </si>
  <si>
    <t>2833</t>
  </si>
  <si>
    <t>Bromberg</t>
  </si>
  <si>
    <t>47.6442633</t>
  </si>
  <si>
    <t>16.2406675</t>
  </si>
  <si>
    <t>+436509903202</t>
  </si>
  <si>
    <t>office@tischlerei-kuehteubl.at</t>
  </si>
  <si>
    <t>https://bilder.dasschnelle.at/DasSchnelle/50/5000/9913/044291/I_044291_P_906065356_L_0038798275_1.png</t>
  </si>
  <si>
    <t>Polat, Ilhan, KFZ-Werkstatt • Neunkirchen • Niederösterreich</t>
  </si>
  <si>
    <t>Autoreparaturen • Polat, Ilhan, Wenischgasse 34, Neunkirchen • Kontakt über aktuelle Telefonnummern ☎ und Adressen ⚑ mit Karte, Routing, Öffnungszeiten, Homepage, E-Mail, vCard und Firmendaten.</t>
  </si>
  <si>
    <t>Wenischgasse 34</t>
  </si>
  <si>
    <t>47.7296788</t>
  </si>
  <si>
    <t>16.0768115</t>
  </si>
  <si>
    <t>+43263563347;+436507536519;+436508905039</t>
  </si>
  <si>
    <t>office@kfz-polat.at</t>
  </si>
  <si>
    <t>https://bilder.dasschnelle.at/DasSchnelle/50/5000/9913/041844/G_041844_P_906254347.adn.gif</t>
  </si>
  <si>
    <t>Lueger, Harald, Physiotherapie • Wagrain • Salzburg</t>
  </si>
  <si>
    <t>Physiotherapie • Lueger, Harald, Ölschlagerweg 3, Wagrain • Kontakt über aktuelle Telefonnummern ☎ und Adressen ⚑ mit Karte, Routing, Öffnungszeiten, Homepage, E-Mail, vCard und Firmendaten.</t>
  </si>
  <si>
    <t>Ölschlagerweg 3</t>
  </si>
  <si>
    <t>5602</t>
  </si>
  <si>
    <t>Wagrain</t>
  </si>
  <si>
    <t>47.337</t>
  </si>
  <si>
    <t>13.30401</t>
  </si>
  <si>
    <t>+436605562234</t>
  </si>
  <si>
    <t>wagrain@physio-lueger.com</t>
  </si>
  <si>
    <t>https://bilder.dasschnelle.at/DasSchnelle/50/5000/9919/043356/G_043356_P_906125832.adn.gif</t>
  </si>
  <si>
    <t>Reischl, Rosemarie • Altenmarkt im Pongau • Salzburg</t>
  </si>
  <si>
    <t>Ärzte / f Allgemeinmedizin • Reischl, Rosemarie, Oberndorferstraße 49, Altenmarkt im Pongau • Kontakt über aktuelle Telefonnummern ☎ und Adressen ⚑ mit Karte, Routing, Öffnungszeiten, Homepage, E-Mail, vCard und Firmendaten.</t>
  </si>
  <si>
    <t>Oberndorferstraße 49</t>
  </si>
  <si>
    <t>5541</t>
  </si>
  <si>
    <t>Altenmarkt im Pongau</t>
  </si>
  <si>
    <t>47.38542</t>
  </si>
  <si>
    <t>13.41344</t>
  </si>
  <si>
    <t>+436645023911;+4364526366</t>
  </si>
  <si>
    <t>praxis@dr-reischl.at</t>
  </si>
  <si>
    <t>https://bilder.dasschnelle.at/DasSchnelle/50/5000/9919/043334/G_043334_P_906143407.adn.gif</t>
  </si>
  <si>
    <t>Rückgrat Rettenbacher, Osteopathie und Physiotherapie • Schwarzach im Pongau • Salzburg</t>
  </si>
  <si>
    <t>Osteopathie, Physiotherapie • Rückgrat Rettenbacher, Marktplatz 1, Schwarzach im Pongau • Kontakt über aktuelle Telefonnummern ☎ und Adressen ⚑ mit Karte, Routing, Öffnungszeiten, Homepage, E-Mail, vCard und Firmendaten.</t>
  </si>
  <si>
    <t>Marktplatz 1</t>
  </si>
  <si>
    <t>5620</t>
  </si>
  <si>
    <t>Schwarzach im Pongau</t>
  </si>
  <si>
    <t>47.32108</t>
  </si>
  <si>
    <t>13.15122</t>
  </si>
  <si>
    <t>+4369918166141</t>
  </si>
  <si>
    <t>rettenbacher_thomas@yahoo.de</t>
  </si>
  <si>
    <t>https://bilder.dasschnelle.at/DasSchnelle/50/5000/9919/043354/G_043354_P_906147292.adn.gif</t>
  </si>
  <si>
    <t>Scharfetter, Herbert, Zimmerei • Höch • Salzburg</t>
  </si>
  <si>
    <t>Zimmereien • Scharfetter, Herbert, Schartlhofweg 28, Höch • Kontakt über aktuelle Telefonnummern ☎ und Adressen ⚑ mit Karte, Routing, Öffnungszeiten, Homepage, E-Mail, vCard und Firmendaten.</t>
  </si>
  <si>
    <t>Schartlhofweg 28</t>
  </si>
  <si>
    <t>5542</t>
  </si>
  <si>
    <t>Höch</t>
  </si>
  <si>
    <t>47.39565</t>
  </si>
  <si>
    <t>13.39405</t>
  </si>
  <si>
    <t>+43645820282;+4364588590;+436643435176</t>
  </si>
  <si>
    <t>office@zimmerei-flachau.at</t>
  </si>
  <si>
    <t>https://bilder.dasschnelle.at/DasSchnelle/50/5000/9919/043341/I_043341_P_905915375_L_0035969683_1.png</t>
  </si>
  <si>
    <t>https://bilder.dasschnelle.at/DasSchnelle/50/5000/9919/043341/I_043341_P_905915375_B_0035969683_1.gal.png?height=250&amp;width=356;https://bilder.dasschnelle.at/DasSchnelle/50/5000/9919/043341/I_043341_P_905915375_B_0035969683_2.gal.png?height=405&amp;width=600;https://bilder.dasschnelle.at/DasSchnelle/50/5000/9919/043341/I_043341_P_905915375_B_0035969683_3.gal.png?height=405&amp;width=512;https://bilder.dasschnelle.at/DasSchnelle/50/5000/9919/043341/I_043341_P_905915375_B_0035969683_4.gal.png?height=405&amp;width=600</t>
  </si>
  <si>
    <t>TaxModel Strategie und Service Steuerberatung GmbH &amp; Co KG • Altenmarkt im Pongau • Salzburg</t>
  </si>
  <si>
    <t>Baumeister • TaxModel Strategie und Service Steuerberatung GmbH &amp; Co KG, Obere Marktstraße 8, Altenmarkt im Pongau • Kontakt über aktuelle Telefonnummern ☎ und Adressen ⚑ mit Karte, Routing, Öffnungszeiten, Homepage, E-Mail, vCard und Firmendaten.</t>
  </si>
  <si>
    <t>Obere Marktstraße 8</t>
  </si>
  <si>
    <t>47.3699891</t>
  </si>
  <si>
    <t>13.4212473</t>
  </si>
  <si>
    <t>+43645220806</t>
  </si>
  <si>
    <t>office@franztoferer.com</t>
  </si>
  <si>
    <t>https://bilder.dasschnelle.at/DasSchnelle/50/5000/9919/043334/G_043334_P_906147277.adn.gif</t>
  </si>
  <si>
    <t>SIMOPLAST- Gerhard Simoner, Fenster • Loosdorf • Niederösterreich</t>
  </si>
  <si>
    <t>Fenster u. Türen • SIMOPLAST- Gerhard Simoner, Wiener Straße 38, Loosdorf • Kontakt über aktuelle Telefonnummern ☎ und Adressen ⚑ mit Karte, Routing, Öffnungszeiten, Homepage, E-Mail, vCard und Firmendaten.</t>
  </si>
  <si>
    <t>Wiener Straße 38</t>
  </si>
  <si>
    <t>3382</t>
  </si>
  <si>
    <t>Loosdorf</t>
  </si>
  <si>
    <t>48.19868</t>
  </si>
  <si>
    <t>15.40728</t>
  </si>
  <si>
    <t>+4327546353;+436603402197</t>
  </si>
  <si>
    <t>+43275463534</t>
  </si>
  <si>
    <t>office@simoplast.at</t>
  </si>
  <si>
    <t>https://bilder.dasschnelle.at/DasSchnelle/50/5000/9908/041625/G_041625_P_906174362.adn.gif</t>
  </si>
  <si>
    <t>Diacu, Nicolae, Fliesenlegermeister • Melk • Niederösterreich</t>
  </si>
  <si>
    <t>Fliesen u. Plattenverlegungen • Diacu, Nicolae, Wiener Straße 38 Stg 3, Melk • Kontakt über aktuelle Telefonnummern ☎ und Adressen ⚑ mit Karte, Routing, Öffnungszeiten, Homepage, E-Mail, vCard und Firmendaten.</t>
  </si>
  <si>
    <t>Wiener Straße 38 Stg 3</t>
  </si>
  <si>
    <t>3390</t>
  </si>
  <si>
    <t>Melk</t>
  </si>
  <si>
    <t>48.22779</t>
  </si>
  <si>
    <t>15.33624</t>
  </si>
  <si>
    <t>+43275251524;+436767283198</t>
  </si>
  <si>
    <t>office@fliesen-diacu.at</t>
  </si>
  <si>
    <t>https://bilder.dasschnelle.at/DasSchnelle/50/5000/9908/041629/G_041629_P_906173406.adn.gif</t>
  </si>
  <si>
    <t>Haustechnik Hahn • Kirnberg an der Mank • Niederösterreich</t>
  </si>
  <si>
    <t>Haustechnik • Haustechnik Hahn, Weidenweg 17, Kirnberg an der Mank • Kontakt über aktuelle Telefonnummern ☎ und Adressen ⚑ mit Karte, Routing, Öffnungszeiten, Homepage, E-Mail, vCard und Firmendaten.</t>
  </si>
  <si>
    <t>Weidenweg 17</t>
  </si>
  <si>
    <t>3241</t>
  </si>
  <si>
    <t>Kirnberg an der Mank</t>
  </si>
  <si>
    <t>48.0750281</t>
  </si>
  <si>
    <t>15.3165169</t>
  </si>
  <si>
    <t>+436766807032</t>
  </si>
  <si>
    <t>office@haustechnik-hahn.at</t>
  </si>
  <si>
    <t>https://bilder.dasschnelle.at/DasSchnelle/50/5000/9908/041621/G_041621_P_906213609.adn.gif</t>
  </si>
  <si>
    <t>Glasner Andrea GesmbH, Bestattung • Melk • Niederösterreich</t>
  </si>
  <si>
    <t>Bestattungsunternehmen • Glasner Andrea GesmbH, Abt Karl-Straße 1, Melk • Kontakt über aktuelle Telefonnummern ☎ und Adressen ⚑ mit Karte, Routing, Öffnungszeiten, Homepage, E-Mail, vCard und Firmendaten.</t>
  </si>
  <si>
    <t>Abt Karl-Straße 1</t>
  </si>
  <si>
    <t>48.22568</t>
  </si>
  <si>
    <t>15.32778</t>
  </si>
  <si>
    <t>+43275252427;+436765108521</t>
  </si>
  <si>
    <t>zehetner@medilica.at</t>
  </si>
  <si>
    <t>https://bilder.dasschnelle.at/DasSchnelle/50/5000/9908/041629/G_041629_P_906212186.adn.gif</t>
  </si>
  <si>
    <t>Wieseneder, Leopold jun, Gartenbau • Texing • Niederösterreich</t>
  </si>
  <si>
    <t>Gartenbau • Wieseneder, Leopold jun, Texing 9, Texing • Kontakt über aktuelle Telefonnummern ☎ und Adressen ⚑ mit Karte, Routing, Öffnungszeiten, Homepage, E-Mail, vCard und Firmendaten.</t>
  </si>
  <si>
    <t>Texing 9</t>
  </si>
  <si>
    <t>3242</t>
  </si>
  <si>
    <t>Texing</t>
  </si>
  <si>
    <t>48.0488400</t>
  </si>
  <si>
    <t>15.3256400</t>
  </si>
  <si>
    <t>+4327557442</t>
  </si>
  <si>
    <t>office@gartenbau-wieseneder.at</t>
  </si>
  <si>
    <t>https://bilder.dasschnelle.at/DasSchnelle/50/5000/9908/041647/G_041647_P_906183925.adn.gif</t>
  </si>
  <si>
    <t>Kosmetik Evelyn, Evelyn Michl • Melk • Niederösterreich</t>
  </si>
  <si>
    <t>Kosmetik • Kosmetik Evelyn, Evelyn Michl, Linzer Straße 23, Melk • Kontakt über aktuelle Telefonnummern ☎ und Adressen ⚑ mit Karte, Routing, Öffnungszeiten, Homepage, E-Mail, vCard und Firmendaten.</t>
  </si>
  <si>
    <t>Linzer Straße 23</t>
  </si>
  <si>
    <t>48.22599</t>
  </si>
  <si>
    <t>15.3271</t>
  </si>
  <si>
    <t>+43275254287</t>
  </si>
  <si>
    <t>kosmetik.evelyn1@gmail.com</t>
  </si>
  <si>
    <t>https://bilder.dasschnelle.at/DasSchnelle/50/5000/9908/041629/G_041629_P_906213006.adn.gif</t>
  </si>
  <si>
    <t>Halbartschlager, Daniel, Erdbau • Neumarkt an der Ybbs • Niederösterreich</t>
  </si>
  <si>
    <t>Baumaschinenverleih, Erdbau • Halbartschlager, Daniel, Bahnstraße 11, Neumarkt an der Ybbs • Kontakt über aktuelle Telefonnummern ☎ und Adressen ⚑ mit Karte, Routing, Öffnungszeiten, Homepage, E-Mail, vCard und Firmendaten.</t>
  </si>
  <si>
    <t>Bahnstraße 11</t>
  </si>
  <si>
    <t>3371</t>
  </si>
  <si>
    <t>Neumarkt an der Ybbs</t>
  </si>
  <si>
    <t>48.1419389</t>
  </si>
  <si>
    <t>15.0530840</t>
  </si>
  <si>
    <t>+436644184472</t>
  </si>
  <si>
    <t>daniel.halbartschlager@gmx.at</t>
  </si>
  <si>
    <t>https://bilder.dasschnelle.at/DasSchnelle/50/5000/9908/041631/G_041631_P_906177119.adn.gif</t>
  </si>
  <si>
    <t>Waldbauer, Josef, Bestattung • Pöchlarn • Niederösterreich</t>
  </si>
  <si>
    <t>Bestattungsunternehmen • Waldbauer, Josef, Wienerstraße 36, Pöchlarn • Kontakt über aktuelle Telefonnummern ☎ und Adressen ⚑ mit Karte, Routing, Öffnungszeiten, Homepage, E-Mail, vCard und Firmendaten.</t>
  </si>
  <si>
    <t>Wienerstraße 36</t>
  </si>
  <si>
    <t>3380</t>
  </si>
  <si>
    <t>Pöchlarn</t>
  </si>
  <si>
    <t>48.21251</t>
  </si>
  <si>
    <t>15.21894</t>
  </si>
  <si>
    <t>+436644117564</t>
  </si>
  <si>
    <t>bestattung@josefwaldbauer.at</t>
  </si>
  <si>
    <t>https://bilder.dasschnelle.at/DasSchnelle/50/5000/9908/041635/G_041635_P_906174394.adn.gif</t>
  </si>
  <si>
    <t>Kronister, Martina, Haarscharf, Friseur • Pöggstall • Niederösterreich</t>
  </si>
  <si>
    <t>Friseure • Kronister, Martina, Haarscharf, Rogendorferstraße 6, Pöggstall • Kontakt über aktuelle Telefonnummern ☎ und Adressen ⚑ mit Karte, Routing, Öffnungszeiten, Homepage, E-Mail, vCard und Firmendaten.</t>
  </si>
  <si>
    <t>Rogendorferstraße 6</t>
  </si>
  <si>
    <t>3650</t>
  </si>
  <si>
    <t>Pöggstall</t>
  </si>
  <si>
    <t>48.31545</t>
  </si>
  <si>
    <t>15.19751</t>
  </si>
  <si>
    <t>+43275834854</t>
  </si>
  <si>
    <t>kronistermartina@gmx.at</t>
  </si>
  <si>
    <t>https://bilder.dasschnelle.at/DasSchnelle/50/5000/9908/041636/G_041636_P_906199339.adn.gif</t>
  </si>
  <si>
    <t>Brunbauer, Martin, Hausmeister • Loosdorf • Niederösterreich</t>
  </si>
  <si>
    <t>Gebäudemanagement • Brunbauer, Martin, Rohrerstraße 28, Loosdorf • Kontakt über aktuelle Telefonnummern ☎ und Adressen ⚑ mit Karte, Routing, Öffnungszeiten, Homepage, E-Mail, vCard und Firmendaten.</t>
  </si>
  <si>
    <t>Rohrerstraße 28</t>
  </si>
  <si>
    <t>48.1964821</t>
  </si>
  <si>
    <t>15.4091165</t>
  </si>
  <si>
    <t>+436644239787</t>
  </si>
  <si>
    <t>martinbrunbauer@hotmail.com</t>
  </si>
  <si>
    <t>https://bilder.dasschnelle.at/DasSchnelle/50/5000/9908/041625/G_041625_P_906199352.adn.gif</t>
  </si>
  <si>
    <t>Dobler, Margit, Frisierstube • Mauer bei Melk • Niederösterreich</t>
  </si>
  <si>
    <t>Friseure • Dobler, Margit, Kerngasse 10, Mauer bei Melk • Kontakt über aktuelle Telefonnummern ☎ und Adressen ⚑ mit Karte, Routing, Öffnungszeiten, Homepage, E-Mail, vCard und Firmendaten.</t>
  </si>
  <si>
    <t>Kerngasse 10</t>
  </si>
  <si>
    <t>Mauer bei Melk</t>
  </si>
  <si>
    <t>48.22353</t>
  </si>
  <si>
    <t>15.41089</t>
  </si>
  <si>
    <t>+4327542112</t>
  </si>
  <si>
    <t>margit.dobler@aon.at</t>
  </si>
  <si>
    <t>https://bilder.dasschnelle.at/DasSchnelle/50/5000/9908/041535/G_041535_P_906190495.adn.gif</t>
  </si>
  <si>
    <t>Haslauer, Rainer, Friseur • Ybbs • Niederösterreich</t>
  </si>
  <si>
    <t>Friseure • Haslauer, Rainer, Herrengasse 4, Ybbs • Kontakt über aktuelle Telefonnummern ☎ und Adressen ⚑ mit Karte, Routing, Öffnungszeiten, Homepage, E-Mail, vCard und Firmendaten.</t>
  </si>
  <si>
    <t>Herrengasse 4</t>
  </si>
  <si>
    <t>3370</t>
  </si>
  <si>
    <t>Ybbs</t>
  </si>
  <si>
    <t>48.1774573</t>
  </si>
  <si>
    <t>15.0835829</t>
  </si>
  <si>
    <t>+43741255258</t>
  </si>
  <si>
    <t>office@rainer-hair-beauty.at</t>
  </si>
  <si>
    <t>https://bilder.dasschnelle.at/DasSchnelle/50/5000/9908/041645/G_041645_P_906198673.adn.gif</t>
  </si>
  <si>
    <t>Baumgartner, Josef, Malereibetriebe • Loosdorf • Niederösterreich</t>
  </si>
  <si>
    <t>Malereibetriebe • Baumgartner, Josef, Wiener Straße 63, Loosdorf • Kontakt über aktuelle Telefonnummern ☎ und Adressen ⚑ mit Karte, Routing, Öffnungszeiten, Homepage, E-Mail, vCard und Firmendaten.</t>
  </si>
  <si>
    <t>Wiener Straße 63</t>
  </si>
  <si>
    <t>48.19898</t>
  </si>
  <si>
    <t>15.40786</t>
  </si>
  <si>
    <t>+4327546304;+436645558549</t>
  </si>
  <si>
    <t>+43275463044</t>
  </si>
  <si>
    <t>office@malerbetrieb-baumgartner.at</t>
  </si>
  <si>
    <t>https://bilder.dasschnelle.at/DasSchnelle/50/5000/9908/041625/G_041625_P_906178298.adn.gif</t>
  </si>
  <si>
    <t>Gassner, Ernst, Stukkateurmeister • St. Leonhard am Forst • Niederösterreich</t>
  </si>
  <si>
    <t>Stukkateure u. Trockenausbauer • Gassner, Ernst, Quellstraße 10, St. Leonhard am Forst • Kontakt über aktuelle Telefonnummern ☎ und Adressen ⚑ mit Karte, Routing, Öffnungszeiten, Homepage, E-Mail, vCard und Firmendaten.</t>
  </si>
  <si>
    <t>Quellstraße 10</t>
  </si>
  <si>
    <t>3243</t>
  </si>
  <si>
    <t>St. Leonhard am Forst</t>
  </si>
  <si>
    <t>48.1376631</t>
  </si>
  <si>
    <t>15.2895921</t>
  </si>
  <si>
    <t>+4327568701</t>
  </si>
  <si>
    <t>office@gassner-bau.at</t>
  </si>
  <si>
    <t>https://bilder.dasschnelle.at/DasSchnelle/50/5000/9908/041639/G_041639_P_906183923.adn.gif</t>
  </si>
  <si>
    <t>Neuwirth, Reinhold, Dr.med., FA f Lungenkrankheiten • Melk • Niederösterreich</t>
  </si>
  <si>
    <t>Ärzte / Fachärzte f. Lungenkrankheiten • Neuwirth, Reinhold, Dr.med., Josef Adlmanseder-Straße 7, Melk • Kontakt über aktuelle Telefonnummern ☎ und Adressen ⚑ mit Karte, Routing, Öffnungszeiten, Homepage, E-Mail, vCard und Firmendaten.</t>
  </si>
  <si>
    <t>Josef Adlmanseder-Straße 7</t>
  </si>
  <si>
    <t>48.22624</t>
  </si>
  <si>
    <t>15.34869</t>
  </si>
  <si>
    <t>+43275251188</t>
  </si>
  <si>
    <t>+432752511884</t>
  </si>
  <si>
    <t>office@lungenfacharzt-melk.at</t>
  </si>
  <si>
    <t>https://bilder.dasschnelle.at/DasSchnelle/50/5000/9908/041629/G_041629_P_906212193.adn.gif</t>
  </si>
  <si>
    <t>Födinger, Stefan, Elektrotechnik • Loosdorf • Niederösterreich</t>
  </si>
  <si>
    <t>Elektrotechnik • Födinger, Stefan, Ofenloch 15a, Loosdorf • Kontakt über aktuelle Telefonnummern ☎ und Adressen ⚑ mit Karte, Routing, Öffnungszeiten, Homepage, E-Mail, vCard und Firmendaten.</t>
  </si>
  <si>
    <t>Ofenloch 15a</t>
  </si>
  <si>
    <t>48.39826</t>
  </si>
  <si>
    <t>15.69363</t>
  </si>
  <si>
    <t>+436802347617</t>
  </si>
  <si>
    <t>elektro@foedinger.co.at</t>
  </si>
  <si>
    <t>https://bilder.dasschnelle.at/DasSchnelle/50/5000/9908/041629/I_041629_P_905975839_L_0037670710_1.png</t>
  </si>
  <si>
    <t>https://bilder.dasschnelle.at/DasSchnelle/50/5000/9908/041629/I_041629_P_905975839_B_0037670710_1.gal.png?height=502&amp;width=502;https://bilder.dasschnelle.at/DasSchnelle/50/5000/9908/041629/I_041629_P_905975839_B_0037670710_2.gal.png?height=502&amp;width=502;https://bilder.dasschnelle.at/DasSchnelle/50/5000/9908/041629/I_041629_P_905975839_B_0037670710_3.gal.png?height=502&amp;width=502;https://bilder.dasschnelle.at/DasSchnelle/50/5000/9908/041629/G_041629_P_906213610.adn.gif</t>
  </si>
  <si>
    <t>Seyer, Werner, Tischlermeister • Hafnerbach • Niederösterreich</t>
  </si>
  <si>
    <t>Tischlereien • Seyer, Werner, Zenostraße 6, Hafnerbach • Kontakt über aktuelle Telefonnummern ☎ und Adressen ⚑ mit Karte, Routing, Öffnungszeiten, Homepage, E-Mail, vCard und Firmendaten.</t>
  </si>
  <si>
    <t>Zenostraße 6</t>
  </si>
  <si>
    <t>3386</t>
  </si>
  <si>
    <t>Hafnerbach</t>
  </si>
  <si>
    <t>48.21718</t>
  </si>
  <si>
    <t>15.48687</t>
  </si>
  <si>
    <t>+436605200480</t>
  </si>
  <si>
    <t>tischlerei.seyer@gmail.com</t>
  </si>
  <si>
    <t>https://bilder.dasschnelle.at/DasSchnelle/50/5000/9908/041537/G_041537_P_906186527.adn.gif</t>
  </si>
  <si>
    <t>Olah, Gabor, Reifenhandel • Bergland • Niederösterreich</t>
  </si>
  <si>
    <t>Reifenhandel • Olah, Gabor, Henning 3, Bergland • Kontakt über aktuelle Telefonnummern ☎ und Adressen ⚑ mit Karte, Routing, Öffnungszeiten, Homepage, E-Mail, vCard und Firmendaten.</t>
  </si>
  <si>
    <t>Henning 3</t>
  </si>
  <si>
    <t>3254</t>
  </si>
  <si>
    <t>Bergland</t>
  </si>
  <si>
    <t>48.17051</t>
  </si>
  <si>
    <t>15.15217</t>
  </si>
  <si>
    <t>+436767125532</t>
  </si>
  <si>
    <t>office@reifengo.at</t>
  </si>
  <si>
    <t>https://bilder.dasschnelle.at/DasSchnelle/50/5000/9908/041531/G_041531_P_906186526.adn.gif</t>
  </si>
  <si>
    <t>Schlögl, Lukas, Blumenhandlung • Loosdorf • Niederösterreich</t>
  </si>
  <si>
    <t>Blumenhandel • Schlögl, Lukas, Bahnhofstraße 2, Loosdorf • Kontakt über aktuelle Telefonnummern ☎ und Adressen ⚑ mit Karte, Routing, Öffnungszeiten, Homepage, E-Mail, vCard und Firmendaten.</t>
  </si>
  <si>
    <t>48.20054</t>
  </si>
  <si>
    <t>15.39996</t>
  </si>
  <si>
    <t>+4327546284</t>
  </si>
  <si>
    <t>office@blumen-schloegl.at</t>
  </si>
  <si>
    <t>https://bilder.dasschnelle.at/DasSchnelle/50/5000/9908/041625/G_041625_P_906183897.adn.gif</t>
  </si>
  <si>
    <t>Eichmayer, Johann, Schlosserei • Loosdorf • Niederösterreich</t>
  </si>
  <si>
    <t>Schlossereien • Eichmayer, Johann, Mozartstraße 40, Loosdorf • Kontakt über aktuelle Telefonnummern ☎ und Adressen ⚑ mit Karte, Routing, Öffnungszeiten, Homepage, E-Mail, vCard und Firmendaten.</t>
  </si>
  <si>
    <t>Mozartstraße 40</t>
  </si>
  <si>
    <t>48.19177</t>
  </si>
  <si>
    <t>15.41679</t>
  </si>
  <si>
    <t>+43275456713;+436767360214</t>
  </si>
  <si>
    <t>schlosserei.eichmayer@aon.at</t>
  </si>
  <si>
    <t>https://bilder.dasschnelle.at/DasSchnelle/50/5000/9908/041625/G_041625_P_906174365.adn.gif</t>
  </si>
  <si>
    <t>Freiberger, Iris, Friseure • Persenbeug • Niederösterreich</t>
  </si>
  <si>
    <t>Friseure • Freiberger, Iris, Dr.-Hamon-Gasse 2, Persenbeug • Kontakt über aktuelle Telefonnummern ☎ und Adressen ⚑ mit Karte, Routing, Öffnungszeiten, Homepage, E-Mail, vCard und Firmendaten.</t>
  </si>
  <si>
    <t>Dr.-Hamon-Gasse 2</t>
  </si>
  <si>
    <t>3680</t>
  </si>
  <si>
    <t>Persenbeug</t>
  </si>
  <si>
    <t>48.18704</t>
  </si>
  <si>
    <t>15.08384</t>
  </si>
  <si>
    <t>+43741254159</t>
  </si>
  <si>
    <t>iris.freiberger1981@hotmail.com</t>
  </si>
  <si>
    <t>https://bilder.dasschnelle.at/DasSchnelle/50/5000/9908/041633/G_041633_P_906198674.adn.gif</t>
  </si>
  <si>
    <t>Schroll, Florian, Tischlermeister • Neue Welt • Niederösterreich</t>
  </si>
  <si>
    <t>Tischlereien • Schroll, Florian, Neue Welt • Kontakt über aktuelle Telefonnummern ☎ und Adressen ⚑ mit Karte, Routing, Öffnungszeiten, Homepage, E-Mail, vCard und Firmendaten.</t>
  </si>
  <si>
    <t>Neue Welt</t>
  </si>
  <si>
    <t>48.2855489</t>
  </si>
  <si>
    <t>15.1271799</t>
  </si>
  <si>
    <t>+4327582052;+436605294524</t>
  </si>
  <si>
    <t>schroll.florian@gmx.at</t>
  </si>
  <si>
    <t>https://bilder.dasschnelle.at/DasSchnelle/50/5000/9908/041636/G_041636_P_906202838.adn.gif</t>
  </si>
  <si>
    <t>Schlosser, Elisabeth, Physiotherapeutin • St. Leonhard • Niederösterreich</t>
  </si>
  <si>
    <t>Physiotherapie • Schlosser, Elisabeth, Hauptplatz 14, St. Leonhard • Kontakt über aktuelle Telefonnummern ☎ und Adressen ⚑ mit Karte, Routing, Öffnungszeiten, Homepage, E-Mail, vCard und Firmendaten.</t>
  </si>
  <si>
    <t>Hauptplatz 14</t>
  </si>
  <si>
    <t>St. Leonhard</t>
  </si>
  <si>
    <t>48.1416040</t>
  </si>
  <si>
    <t>15.2799304</t>
  </si>
  <si>
    <t>+436767458558</t>
  </si>
  <si>
    <t>elis.schlosser@gmail.com</t>
  </si>
  <si>
    <t>https://bilder.dasschnelle.at/DasSchnelle/50/5000/9908/041639/G_041639_P_906216860.adn.gif</t>
  </si>
  <si>
    <t>Kern Steinmetzmeister e.U., Steinmetz • Melk • Niederösterreich</t>
  </si>
  <si>
    <t>Kunststeinwerke • Kern Steinmetzmeister e.U., Pielacher Straße 23, Melk • Kontakt über aktuelle Telefonnummern ☎ und Adressen ⚑ mit Karte, Routing, Öffnungszeiten, Homepage, E-Mail, vCard und Firmendaten.</t>
  </si>
  <si>
    <t>Pielacher Straße 23</t>
  </si>
  <si>
    <t>48.22669</t>
  </si>
  <si>
    <t>15.37166</t>
  </si>
  <si>
    <t>+43275252465</t>
  </si>
  <si>
    <t>wohnstein.kern@aon.at</t>
  </si>
  <si>
    <t>https://bilder.dasschnelle.at/DasSchnelle/50/5000/9908/041629/G_041629_P_906197586.adn.gif</t>
  </si>
  <si>
    <t>Taubinger GmbH, Landwirtschaftliche Maschinen u Geräte • Mank • Niederösterreich</t>
  </si>
  <si>
    <t>Autohandel, Landwirtschaftliche Maschinen u. Geräte, Schweiß- u. Schneidetechnik • Taubinger GmbH, Hörsdorf 27, Mank • Kontakt über aktuelle Telefonnummern ☎ und Adressen ⚑ mit Karte, Routing, Öffnungszeiten, Homepage, E-Mail, vCard und Firmendaten.</t>
  </si>
  <si>
    <t>Hörsdorf 27</t>
  </si>
  <si>
    <t>3240</t>
  </si>
  <si>
    <t>Mank</t>
  </si>
  <si>
    <t>48.1146557</t>
  </si>
  <si>
    <t>15.3363478</t>
  </si>
  <si>
    <t>+4327552666;+436645756107</t>
  </si>
  <si>
    <t>iveco.taubinger@aon.at</t>
  </si>
  <si>
    <t>https://bilder.dasschnelle.at/DasSchnelle/50/5000/9908/041626/I_041626_P_905943986_L_0036253277_1.png</t>
  </si>
  <si>
    <t>https://bilder.dasschnelle.at/DasSchnelle/50/5000/9908/041626/I_041626_P_905943986_B_0036253277_1.gal.png?height=138&amp;width=600;https://bilder.dasschnelle.at/DasSchnelle/50/5000/9908/041626/I_041626_P_905943986_B_0036253277_2.gal.png?height=138&amp;width=600;https://bilder.dasschnelle.at/DasSchnelle/50/5000/9908/041626/I_041626_P_905943986_B_0036253277_3.gal.png?height=207&amp;width=259;https://bilder.dasschnelle.at/DasSchnelle/50/5000/9908/041626/I_041626_P_905943986_B_0036253277_4.gal.png?height=212&amp;width=319</t>
  </si>
  <si>
    <t>Baumgartner Alfred GmbH, Bau- u Möbeltischlerei • Ruprechtshofen • Niederösterreich</t>
  </si>
  <si>
    <t>Tischlereien • Baumgartner Alfred GmbH, Lehen 7, Ruprechtshofen • Kontakt über aktuelle Telefonnummern ☎ und Adressen ⚑ mit Karte, Routing, Öffnungszeiten, Homepage, E-Mail, vCard und Firmendaten.</t>
  </si>
  <si>
    <t>Lehen 7</t>
  </si>
  <si>
    <t>3244</t>
  </si>
  <si>
    <t>Ruprechtshofen</t>
  </si>
  <si>
    <t>48.0953059</t>
  </si>
  <si>
    <t>15.2428234</t>
  </si>
  <si>
    <t>+4327562124;+436643455374</t>
  </si>
  <si>
    <t>+43275621249</t>
  </si>
  <si>
    <t>office@ab-holz.at</t>
  </si>
  <si>
    <t>https://bilder.dasschnelle.at/DasSchnelle/50/5000/9908/041638/I_041638_P_905957136_L_0036262534_1.png</t>
  </si>
  <si>
    <t>https://bilder.dasschnelle.at/DasSchnelle/50/5000/9908/041638/I_041638_P_905957136_B_0036262534_1.gal.png?height=358&amp;width=600;https://bilder.dasschnelle.at/DasSchnelle/50/5000/9908/041638/I_041638_P_905957136_B_0036262534_2.gal.png?height=358&amp;width=600;https://bilder.dasschnelle.at/DasSchnelle/50/5000/9908/041638/I_041638_P_905957136_B_0036262534_3.gal.png?height=358&amp;width=600;https://bilder.dasschnelle.at/DasSchnelle/50/5000/9908/041638/I_041638_P_905957136_B_0036262534_4.gal.png?height=358&amp;width=600;https://bilder.dasschnelle.at/DasSchnelle/50/5000/9908/041638/G_041638_P_906197588.adn.gif</t>
  </si>
  <si>
    <t>Schmoll, Isabella, Friseur • Bischofstetten • Niederösterreich</t>
  </si>
  <si>
    <t>Friseure • Schmoll, Isabella, Florianigasse 9, Bischofstetten • Kontakt über aktuelle Telefonnummern ☎ und Adressen ⚑ mit Karte, Routing, Öffnungszeiten, Homepage, E-Mail, vCard und Firmendaten.</t>
  </si>
  <si>
    <t>Florianigasse 9</t>
  </si>
  <si>
    <t>3232</t>
  </si>
  <si>
    <t>Bischofstetten</t>
  </si>
  <si>
    <t>48.12266</t>
  </si>
  <si>
    <t>15.46735</t>
  </si>
  <si>
    <t>+436765667280</t>
  </si>
  <si>
    <t>isabella@fliegende-friseurin.at</t>
  </si>
  <si>
    <t>https://bilder.dasschnelle.at/DasSchnelle/50/5000/9908/041532/G_041532_P_906199350.adn.gif</t>
  </si>
  <si>
    <t>Oberleitner Franz Horst, Dachdecker • St. Leonhard am Forst • Niederösterreich</t>
  </si>
  <si>
    <t>Dachdeckereien • Oberleitner Franz Horst, Seimetzbach 6, St. Leonhard am Forst • Kontakt über aktuelle Telefonnummern ☎ und Adressen ⚑ mit Karte, Routing, Öffnungszeiten, Homepage, E-Mail, vCard und Firmendaten.</t>
  </si>
  <si>
    <t>Seimetzbach 6</t>
  </si>
  <si>
    <t>48.1561818</t>
  </si>
  <si>
    <t>15.3423761</t>
  </si>
  <si>
    <t>+43275670383;+436766491816</t>
  </si>
  <si>
    <t>office@fh-oberleitner.at</t>
  </si>
  <si>
    <t>https://bilder.dasschnelle.at/DasSchnelle/50/5000/9908/041639/I_041639_P_905950355_L_0038551397_1.png</t>
  </si>
  <si>
    <t>https://bilder.dasschnelle.at/DasSchnelle/50/5000/9908/041639/G_041639_P_906188545.adn.gif</t>
  </si>
  <si>
    <t>Mühlberger, Josef, Christbäume • Münichreith am Ostrong • Niederösterreich</t>
  </si>
  <si>
    <t>Baggerungen u. Transporte, Christbäume, Deichgräber • Mühlberger, Josef, Edelsreith 13, Münichreith am Ostrong • Kontakt über aktuelle Telefonnummern ☎ und Adressen ⚑ mit Karte, Routing, Öffnungszeiten, Homepage, E-Mail, vCard und Firmendaten.</t>
  </si>
  <si>
    <t>Edelsreith 13</t>
  </si>
  <si>
    <t>3662</t>
  </si>
  <si>
    <t>Münichreith am Ostrong</t>
  </si>
  <si>
    <t>48.2506915</t>
  </si>
  <si>
    <t>15.1264910</t>
  </si>
  <si>
    <t>+4374136004;+436767374412</t>
  </si>
  <si>
    <t>josef.muehlberger@ostronger-tannenhof.at</t>
  </si>
  <si>
    <t>https://bilder.dasschnelle.at/DasSchnelle/50/5000/9908/041630/G_041630_P_906188548.adn.gif</t>
  </si>
  <si>
    <t>Glaser-Jurin, Alexandra, Friseur • Mank • Niederösterreich</t>
  </si>
  <si>
    <t>Friseure • Glaser-Jurin, Alexandra, Hauptplatz 13, Mank • Kontakt über aktuelle Telefonnummern ☎ und Adressen ⚑ mit Karte, Routing, Öffnungszeiten, Homepage, E-Mail, vCard und Firmendaten.</t>
  </si>
  <si>
    <t>Hauptplatz 13</t>
  </si>
  <si>
    <t>48.11244</t>
  </si>
  <si>
    <t>15.34207</t>
  </si>
  <si>
    <t>+43275544150</t>
  </si>
  <si>
    <t>office@alex-haargenau.at</t>
  </si>
  <si>
    <t>https://bilder.dasschnelle.at/DasSchnelle/50/5000/9908/041626/G_041626_P_906194849.adn.gif</t>
  </si>
  <si>
    <t>Ofner, Nina, Mag. • Ybbs an der Donau • Niederösterreich</t>
  </si>
  <si>
    <t>Notare • Ofner, Nina, Mag., Hauptplatz 1, Ybbs an der Donau • Kontakt über aktuelle Telefonnummern ☎ und Adressen ⚑ mit Karte, Routing, Öffnungszeiten, Homepage, E-Mail, vCard und Firmendaten.</t>
  </si>
  <si>
    <t>Ybbs an der Donau</t>
  </si>
  <si>
    <t>48.1770231</t>
  </si>
  <si>
    <t>15.0851600</t>
  </si>
  <si>
    <t>+43741255880</t>
  </si>
  <si>
    <t>office@notar-ofner.at</t>
  </si>
  <si>
    <t>https://bilder.dasschnelle.at/DasSchnelle/50/5000/9908/041645/I_041645_P_905968139_B_0038127239_1.gal.png?height=399&amp;width=600;https://bilder.dasschnelle.at/DasSchnelle/50/5000/9908/041645/I_041645_P_905968139_B_0038127239_2.gal.png?height=400&amp;width=600;https://bilder.dasschnelle.at/DasSchnelle/50/5000/9908/041645/I_041645_P_905968139_B_0038127239_3.gal.png?height=400&amp;width=600;https://bilder.dasschnelle.at/DasSchnelle/50/5000/9908/041645/G_041645_P_906206805.adn.gif</t>
  </si>
  <si>
    <t>DSK Mank OG • Mank • Niederösterreich</t>
  </si>
  <si>
    <t>Bauunternehmen, Dachdeckereien • DSK Mank OG, Gewerbestraße 10, Mank • Kontakt über aktuelle Telefonnummern ☎ und Adressen ⚑ mit Karte, Routing, Öffnungszeiten, Homepage, E-Mail, vCard und Firmendaten.</t>
  </si>
  <si>
    <t>48.1210009</t>
  </si>
  <si>
    <t>15.3446818</t>
  </si>
  <si>
    <t>+4369911137444</t>
  </si>
  <si>
    <t>office@dsk-a.at</t>
  </si>
  <si>
    <t>https://bilder.dasschnelle.at/DasSchnelle/50/5000/9908/041626/I_041626_P_905944038_L_0038549820_1.png</t>
  </si>
  <si>
    <t>https://bilder.dasschnelle.at/DasSchnelle/50/5000/9908/041626/I_041626_P_905944038_B_0038549820_1.gal.png?height=166&amp;width=300;https://bilder.dasschnelle.at/DasSchnelle/50/5000/9908/041626/I_041626_P_905944038_B_0038549820_2.gal.png?height=720&amp;width=960;https://bilder.dasschnelle.at/DasSchnelle/50/5000/9908/041626/I_041626_P_905944038_B_0038549820_3.gal.png?height=720&amp;width=960;https://bilder.dasschnelle.at/DasSchnelle/50/5000/9908/041626/I_041626_P_905944038_B_0038549820_4.gal.png?height=281&amp;width=500;https://bilder.dasschnelle.at/DasSchnelle/50/5000/9908/041626/G_041626_P_906181770.adn.gif</t>
  </si>
  <si>
    <t>Hainböck, Gerold, Heizung-Wasserinstallation • Persenbeug • Niederösterreich</t>
  </si>
  <si>
    <t>Installationsunternehmen • Hainböck, Gerold, Hauptstraße 6, Persenbeug • Kontakt über aktuelle Telefonnummern ☎ und Adressen ⚑ mit Karte, Routing, Öffnungszeiten, Homepage, E-Mail, vCard und Firmendaten.</t>
  </si>
  <si>
    <t>Hauptstraße 6</t>
  </si>
  <si>
    <t>48.18725</t>
  </si>
  <si>
    <t>15.08011</t>
  </si>
  <si>
    <t>+43741252769</t>
  </si>
  <si>
    <t>gwh.hainboeck@gmx.at</t>
  </si>
  <si>
    <t>https://bilder.dasschnelle.at/DasSchnelle/50/5000/9908/041633/G_041633_P_906183922.adn.gif</t>
  </si>
  <si>
    <t>Lagler, Sabine, Blumen • Klein-Pöchlarn • Niederösterreich</t>
  </si>
  <si>
    <t>Blumenhandel • Lagler, Sabine, Artstettner Straße 9, Klein-Pöchlarn • Kontakt über aktuelle Telefonnummern ☎ und Adressen ⚑ mit Karte, Routing, Öffnungszeiten, Homepage, E-Mail, vCard und Firmendaten.</t>
  </si>
  <si>
    <t>Artstettner Straße 9</t>
  </si>
  <si>
    <t>3660</t>
  </si>
  <si>
    <t>Klein-Pöchlarn</t>
  </si>
  <si>
    <t>15.21425</t>
  </si>
  <si>
    <t>+4374138295</t>
  </si>
  <si>
    <t>office@blumenlagler.at</t>
  </si>
  <si>
    <t>https://bilder.dasschnelle.at/DasSchnelle/50/5000/9908/041622/G_041622_P_906188547.adn.gif</t>
  </si>
  <si>
    <t>Dipl. Ing. Kochberger Thomas, Geometer • Melk • Niederösterreich</t>
  </si>
  <si>
    <t>Geometer • Dipl. Ing. Kochberger Thomas, Nibelungenlände 7 A, Melk • Kontakt über aktuelle Telefonnummern ☎ und Adressen ⚑ mit Karte, Routing, Öffnungszeiten, Homepage, E-Mail, vCard und Firmendaten.</t>
  </si>
  <si>
    <t>Nibelungenlände 7 A</t>
  </si>
  <si>
    <t>48.2267</t>
  </si>
  <si>
    <t>15.32758</t>
  </si>
  <si>
    <t>+432752500030</t>
  </si>
  <si>
    <t>geometer.melk@aon.at</t>
  </si>
  <si>
    <t>https://bilder.dasschnelle.at/DasSchnelle/50/5000/9908/041629/G_041629_P_906179620.adn.gif</t>
  </si>
  <si>
    <t>Fahrschule Melk • Melk • Niederösterreich</t>
  </si>
  <si>
    <t>Fahrschulen • Fahrschule Melk, Wiener Straße 47, Melk • Kontakt über aktuelle Telefonnummern ☎ und Adressen ⚑ mit Karte, Routing, Öffnungszeiten, Homepage, E-Mail, vCard und Firmendaten.</t>
  </si>
  <si>
    <t>Wiener Straße 47</t>
  </si>
  <si>
    <t>48.22756</t>
  </si>
  <si>
    <t>15.34192</t>
  </si>
  <si>
    <t>+43275252449</t>
  </si>
  <si>
    <t>info@fahrschulerath.at</t>
  </si>
  <si>
    <t>https://bilder.dasschnelle.at/DasSchnelle/50/5000/9908/041629/G_041629_P_906216859.adn.gif</t>
  </si>
  <si>
    <t>Weißl-Günther, Patricia, Mag., Psychotherapeutin • Ried i. I. • Oberösterreich</t>
  </si>
  <si>
    <t>Psychotherapie • Weißl-Günther, Patricia, Mag., Kirchenplatz 18, Ried i. I. • Kontakt über aktuelle Telefonnummern ☎ und Adressen ⚑ mit Karte, Routing, Öffnungszeiten, Homepage, E-Mail, vCard und Firmendaten.</t>
  </si>
  <si>
    <t>Kirchenplatz 18</t>
  </si>
  <si>
    <t>4910</t>
  </si>
  <si>
    <t>Ried i. I.</t>
  </si>
  <si>
    <t>48.20885</t>
  </si>
  <si>
    <t>13.48918</t>
  </si>
  <si>
    <t>+436643330994</t>
  </si>
  <si>
    <t>info@patricia-weissl.at</t>
  </si>
  <si>
    <t>https://bilder.dasschnelle.at/DasSchnelle/50/5000/9922/042563/I_042563_P_905978930_L_0036234690_1.png</t>
  </si>
  <si>
    <t>https://bilder.dasschnelle.at/DasSchnelle/50/5000/9922/042563/I_042563_P_905978930_B_0036234690_1.gal.png?height=600&amp;width=450</t>
  </si>
  <si>
    <t>AHS GmbH • Mehrnbach • Oberösterreich</t>
  </si>
  <si>
    <t>Gebäudereinigung • AHS GmbH, Aubach 29, Mehrnbach • Kontakt über aktuelle Telefonnummern ☎ und Adressen ⚑ mit Karte, Routing, Öffnungszeiten, Homepage, E-Mail, vCard und Firmendaten.</t>
  </si>
  <si>
    <t>Aubach 29</t>
  </si>
  <si>
    <t>4941</t>
  </si>
  <si>
    <t>Mehrnbach</t>
  </si>
  <si>
    <t>48.2050763</t>
  </si>
  <si>
    <t>13.4692966</t>
  </si>
  <si>
    <t>+436644001612</t>
  </si>
  <si>
    <t>office@ahs-reinigung.at</t>
  </si>
  <si>
    <t>https://bilder.dasschnelle.at/DasSchnelle/50/5000/9922/042552/I_042552_P_905877360_L_0038473407_1.png</t>
  </si>
  <si>
    <t>https://bilder.dasschnelle.at/DasSchnelle/50/5000/9922/042552/I_042552_P_905877360_B_0038473407_1.gal.png?height=478&amp;width=624;https://bilder.dasschnelle.at/DasSchnelle/50/5000/9922/042552/I_042552_P_905877360_B_0038473407_2.gal.png?height=292&amp;width=624;https://bilder.dasschnelle.at/DasSchnelle/50/5000/9922/042552/I_042552_P_905877360_B_0038473407_3.gal.png?height=292&amp;width=624;https://bilder.dasschnelle.at/DasSchnelle/50/5000/9922/042552/I_042552_P_905877360_B_0038473407_4.gal.png?height=416&amp;width=624</t>
  </si>
  <si>
    <t>Mayer DI GmbH, Heizung-Sanitär • Ried im Innkreis • Oberösterreich</t>
  </si>
  <si>
    <t>Brunnen u. Brunnenbau • Mayer DI GmbH, Hof 16, Ried im Innkreis • Kontakt über aktuelle Telefonnummern ☎ und Adressen ⚑ mit Karte, Routing, Öffnungszeiten, Homepage, E-Mail, vCard und Firmendaten.</t>
  </si>
  <si>
    <t>Hof 16</t>
  </si>
  <si>
    <t>Ried im Innkreis</t>
  </si>
  <si>
    <t>48.1673321</t>
  </si>
  <si>
    <t>13.4848416</t>
  </si>
  <si>
    <t>+437752829280</t>
  </si>
  <si>
    <t>office@karl-mayer.at</t>
  </si>
  <si>
    <t>https://bilder.dasschnelle.at/DasSchnelle/50/5000/9922/042559/G_042559_P_906123918.adn.gif</t>
  </si>
  <si>
    <t>Kirchsteiger, Josef, Gsth Schloßtaverne • Katzenberg • Oberösterreich</t>
  </si>
  <si>
    <t>Gastgewerbe - Gasthöfe • Kirchsteiger, Josef, Katzenberg 6, Katzenberg • Kontakt über aktuelle Telefonnummern ☎ und Adressen ⚑ mit Karte, Routing, Öffnungszeiten, Homepage, E-Mail, vCard und Firmendaten.</t>
  </si>
  <si>
    <t>Katzenberg 6</t>
  </si>
  <si>
    <t>4982</t>
  </si>
  <si>
    <t>Katzenberg</t>
  </si>
  <si>
    <t>48.2954293</t>
  </si>
  <si>
    <t>13.3014720</t>
  </si>
  <si>
    <t>+4377582017</t>
  </si>
  <si>
    <t>kirchsteiger.josef@aon.at</t>
  </si>
  <si>
    <t>https://bilder.dasschnelle.at/DasSchnelle/50/5000/9922/042548/G_042548_P_906151747.adn.gif</t>
  </si>
  <si>
    <t>Rauchenecker KFZ GmbH • Aurolzmünster • Oberösterreich</t>
  </si>
  <si>
    <t>Autohandel • Rauchenecker KFZ GmbH, Schärdingerstraße 53, Aurolzmünster • Kontakt über aktuelle Telefonnummern ☎ und Adressen ⚑ mit Karte, Routing, Öffnungszeiten, Homepage, E-Mail, vCard und Firmendaten.</t>
  </si>
  <si>
    <t>Schärdingerstraße 53</t>
  </si>
  <si>
    <t>4971</t>
  </si>
  <si>
    <t>Aurolzmünster</t>
  </si>
  <si>
    <t>48.2628900</t>
  </si>
  <si>
    <t>13.4495300</t>
  </si>
  <si>
    <t>+43775120078</t>
  </si>
  <si>
    <t>office@rauchenecker.at</t>
  </si>
  <si>
    <t>https://bilder.dasschnelle.at/DasSchnelle/50/5000/9922/042541/G_042541_P_906218285.adn.gif</t>
  </si>
  <si>
    <t>Blütensti(e)l • Utzenaich • Oberösterreich</t>
  </si>
  <si>
    <t>Blumenhandel • Blütensti(e)l, Rieder Straße 31, Utzenaich • Kontakt über aktuelle Telefonnummern ☎ und Adressen ⚑ mit Karte, Routing, Öffnungszeiten, Homepage, E-Mail, vCard und Firmendaten.</t>
  </si>
  <si>
    <t>Rieder Straße 31</t>
  </si>
  <si>
    <t>4972</t>
  </si>
  <si>
    <t>Utzenaich</t>
  </si>
  <si>
    <t>48.27386</t>
  </si>
  <si>
    <t>13.45401</t>
  </si>
  <si>
    <t>+436765851555</t>
  </si>
  <si>
    <t>victoria_nanasch@hotmail.com</t>
  </si>
  <si>
    <t>https://bilder.dasschnelle.at/DasSchnelle/50/5000/9922/042256/G_042256_P_906137896.adn.gif</t>
  </si>
  <si>
    <t>Fellner, Franz, Mietwagen • Gutensham • Oberösterreich</t>
  </si>
  <si>
    <t>Autovermietung, Krankentransporte / Krankenbeförderung • Fellner, Franz, Gutensham 25 /2, Gutensham • Kontakt über aktuelle Telefonnummern ☎ und Adressen ⚑ mit Karte, Routing, Öffnungszeiten, Homepage, E-Mail, vCard und Firmendaten.</t>
  </si>
  <si>
    <t>Gutensham 25 /2</t>
  </si>
  <si>
    <t>4925</t>
  </si>
  <si>
    <t>Gutensham</t>
  </si>
  <si>
    <t>48.1457936</t>
  </si>
  <si>
    <t>13.5023946</t>
  </si>
  <si>
    <t>+436644533386</t>
  </si>
  <si>
    <t>mietwagen.fellner@inext.at</t>
  </si>
  <si>
    <t>https://bilder.dasschnelle.at/DasSchnelle/50/5000/9922/042561/G_042561_P_906162756.adn.gif</t>
  </si>
  <si>
    <t>HUBER BAU GmbH, Holzbau • Antiesen • Oberösterreich</t>
  </si>
  <si>
    <t>Holzbau • HUBER BAU GmbH, Antiesen 22, Antiesen • Kontakt über aktuelle Telefonnummern ☎ und Adressen ⚑ mit Karte, Routing, Öffnungszeiten, Homepage, E-Mail, vCard und Firmendaten.</t>
  </si>
  <si>
    <t>Antiesen 22</t>
  </si>
  <si>
    <t>4906</t>
  </si>
  <si>
    <t>Antiesen</t>
  </si>
  <si>
    <t>48.1670635</t>
  </si>
  <si>
    <t>13.5537772</t>
  </si>
  <si>
    <t>+437753250825</t>
  </si>
  <si>
    <t>office@huber-bau.at</t>
  </si>
  <si>
    <t>https://bilder.dasschnelle.at/DasSchnelle/50/5000/9922/042542/I_042542_P_905889628_L_0036032493_1.png</t>
  </si>
  <si>
    <t>https://bilder.dasschnelle.at/DasSchnelle/50/5000/9922/042542/I_042542_P_905889628_B_0036032493_1.gal.png?height=416&amp;width=624;https://bilder.dasschnelle.at/DasSchnelle/50/5000/9922/042542/I_042542_P_905889628_B_0036032493_2.gal.png?height=402&amp;width=831;https://bilder.dasschnelle.at/DasSchnelle/50/5000/9922/042542/I_042542_P_905889628_B_0036032493_3.gal.png?height=512&amp;width=768;https://bilder.dasschnelle.at/DasSchnelle/50/5000/9922/042542/I_042542_P_905889628_B_0036032493_4.gal.png?height=403&amp;width=831</t>
  </si>
  <si>
    <t>Höck, Swantje, Mag., Psychotherapeutin • Ried im Innkreis • Oberösterreich</t>
  </si>
  <si>
    <t>Psychotherapie • Höck, Swantje, Mag., Bahnhofstraße 41, Ried im Innkreis • Kontakt über aktuelle Telefonnummern ☎ und Adressen ⚑ mit Karte, Routing, Öffnungszeiten, Homepage, E-Mail, vCard und Firmendaten.</t>
  </si>
  <si>
    <t>Bahnhofstraße 41</t>
  </si>
  <si>
    <t>48.20379</t>
  </si>
  <si>
    <t>13.48935</t>
  </si>
  <si>
    <t>+4369912785566</t>
  </si>
  <si>
    <t>swantje_hanack@hotmail.com</t>
  </si>
  <si>
    <t>https://bilder.dasschnelle.at/DasSchnelle/50/5000/9922/042563/G_042563_P_906166251.adn.gif</t>
  </si>
  <si>
    <t>Helml, Christian, Cafés • Ried im Innkreis • Oberösterreich</t>
  </si>
  <si>
    <t>Cafés, Gastronomiebetriebe, Konditoreien • Helml, Christian, Hauptplatz 19, Ried im Innkreis • Kontakt über aktuelle Telefonnummern ☎ und Adressen ⚑ mit Karte, Routing, Öffnungszeiten, Homepage, E-Mail, vCard und Firmendaten.</t>
  </si>
  <si>
    <t>48.21037</t>
  </si>
  <si>
    <t>13.48887</t>
  </si>
  <si>
    <t>+43775282167</t>
  </si>
  <si>
    <t>corinna.helml@gmx.at</t>
  </si>
  <si>
    <t>https://bilder.dasschnelle.at/DasSchnelle/50/5000/9922/042563/G_042563_P_906151746.adn.gif</t>
  </si>
  <si>
    <t>Hirschlinger, Bettina, Friseur • Polling im Innkreis • Oberösterreich</t>
  </si>
  <si>
    <t>Friseure • Hirschlinger, Bettina, Hauptstraße 46, Polling im Innkreis • Kontakt über aktuelle Telefonnummern ☎ und Adressen ⚑ mit Karte, Routing, Öffnungszeiten, Homepage, E-Mail, vCard und Firmendaten.</t>
  </si>
  <si>
    <t>Hauptstraße 46</t>
  </si>
  <si>
    <t>4951</t>
  </si>
  <si>
    <t>Polling im Innkreis</t>
  </si>
  <si>
    <t>48.22909</t>
  </si>
  <si>
    <t>13.28509</t>
  </si>
  <si>
    <t>+436644166608</t>
  </si>
  <si>
    <t>johannes1981@drei.at</t>
  </si>
  <si>
    <t>https://bilder.dasschnelle.at/DasSchnelle/50/5000/9922/044789/G_044789_P_906143389.adn.gif</t>
  </si>
  <si>
    <t>Wendl Metall design &amp; technik Gmbh • Ort im Innkreis • Oberösterreich</t>
  </si>
  <si>
    <t>Metallbau • Wendl Metall design &amp; technik Gmbh, Hübing 32, Ort im Innkreis • Kontakt über aktuelle Telefonnummern ☎ und Adressen ⚑ mit Karte, Routing, Öffnungszeiten, Homepage, E-Mail, vCard und Firmendaten.</t>
  </si>
  <si>
    <t>Hübing 32</t>
  </si>
  <si>
    <t>4974</t>
  </si>
  <si>
    <t>Ort im Innkreis</t>
  </si>
  <si>
    <t>48.3208</t>
  </si>
  <si>
    <t>13.42336</t>
  </si>
  <si>
    <t>+4377516217</t>
  </si>
  <si>
    <t>office@wendltreppe.at</t>
  </si>
  <si>
    <t>https://bilder.dasschnelle.at/DasSchnelle/50/5000/9922/042558/I_042562_P_905900519_L_0036031598_1.png</t>
  </si>
  <si>
    <t>https://bilder.dasschnelle.at/DasSchnelle/50/5000/9922/042558/I_042562_P_905900519_B_0036031598_1.gal.png?height=398&amp;width=600;https://bilder.dasschnelle.at/DasSchnelle/50/5000/9922/042558/I_042562_P_905900519_B_0036031598_2.gal.png?height=480&amp;width=600;https://bilder.dasschnelle.at/DasSchnelle/50/5000/9922/042558/I_042562_P_905900519_B_0036031598_3.gal.png?height=800&amp;width=600;https://bilder.dasschnelle.at/DasSchnelle/50/5000/9922/042558/I_042562_P_905900519_B_0036031598_4.gal.png?height=600&amp;width=400</t>
  </si>
  <si>
    <t>Nägele, Norbert, Dr.med., FA f Zahn-, Mund-u Kieferheilkunde • Ried im Innkreis • Oberösterreich</t>
  </si>
  <si>
    <t>Ärzte / Fachärzte f. Zahn-, Mund u. Kieferheilkunde • Nägele, Norbert, Dr.med., Bahnhofstraße 42, Ried im Innkreis • Kontakt über aktuelle Telefonnummern ☎ und Adressen ⚑ mit Karte, Routing, Öffnungszeiten, Homepage, E-Mail, vCard und Firmendaten.</t>
  </si>
  <si>
    <t>Bahnhofstraße 42</t>
  </si>
  <si>
    <t>48.2059</t>
  </si>
  <si>
    <t>13.48838</t>
  </si>
  <si>
    <t>+43775226588</t>
  </si>
  <si>
    <t>+437752265888</t>
  </si>
  <si>
    <t>zahnspange@dr-naegele.at</t>
  </si>
  <si>
    <t>https://bilder.dasschnelle.at/DasSchnelle/50/5000/9922/042563/G_042563_P_906161076.adn.gif</t>
  </si>
  <si>
    <t>Oberauer, Bernhard, Dr., Rechtsanwalt • Ried im Innkreis • Oberösterreich</t>
  </si>
  <si>
    <t>Rechtsanwälte • Oberauer, Bernhard, Dr., Hauptplatz 17, Ried im Innkreis • Kontakt über aktuelle Telefonnummern ☎ und Adressen ⚑ mit Karte, Routing, Öffnungszeiten, Homepage, E-Mail, vCard und Firmendaten.</t>
  </si>
  <si>
    <t>48.2103</t>
  </si>
  <si>
    <t>13.4887</t>
  </si>
  <si>
    <t>+43775282882</t>
  </si>
  <si>
    <t>office@rechtsanwalt-oberauer.at</t>
  </si>
  <si>
    <t>https://bilder.dasschnelle.at/DasSchnelle/50/5000/9922/042563/G_042563_P_906179616.adn.gif</t>
  </si>
  <si>
    <t>Schwarzinger, Edwin, Dr.med., FA f Kinder-u Jugendheilkunde • Perg • Oberösterreich</t>
  </si>
  <si>
    <t>Ärzte / Fachärzte f. Kinder u. Jugendheilkunde • Schwarzinger, Edwin, Dr.med., Naarner Straße 12, Perg • Kontakt über aktuelle Telefonnummern ☎ und Adressen ⚑ mit Karte, Routing, Öffnungszeiten, Homepage, E-Mail, vCard und Firmendaten.</t>
  </si>
  <si>
    <t>Naarner Straße 12</t>
  </si>
  <si>
    <t>4320</t>
  </si>
  <si>
    <t>Perg</t>
  </si>
  <si>
    <t>48.24871</t>
  </si>
  <si>
    <t>14.63243</t>
  </si>
  <si>
    <t>+43726254654</t>
  </si>
  <si>
    <t>+437262546544</t>
  </si>
  <si>
    <t>ordination.schwarzinger@aon.at</t>
  </si>
  <si>
    <t>https://bilder.dasschnelle.at/DasSchnelle/50/5000/9916/042528/G_042528_P_906130559.adn.gif</t>
  </si>
  <si>
    <t>Haus-Bau B&amp;S OG • Windhaag bei Perg • Oberösterreich</t>
  </si>
  <si>
    <t>Bauunternehmen • Haus-Bau B&amp;S OG, Baumgarten 12/3, Windhaag bei Perg • Kontakt über aktuelle Telefonnummern ☎ und Adressen ⚑ mit Karte, Routing, Öffnungszeiten, Homepage, E-Mail, vCard und Firmendaten.</t>
  </si>
  <si>
    <t>Baumgarten 12/3</t>
  </si>
  <si>
    <t>4322</t>
  </si>
  <si>
    <t>Windhaag bei Perg</t>
  </si>
  <si>
    <t>48.27054</t>
  </si>
  <si>
    <t>14.67614</t>
  </si>
  <si>
    <t>+4366473618881</t>
  </si>
  <si>
    <t>office@haus-bau.co.at</t>
  </si>
  <si>
    <t>https://bilder.dasschnelle.at/DasSchnelle/50/5000/9916/042538/I_042538_P_905868060_L_0038465031_1.png</t>
  </si>
  <si>
    <t>https://bilder.dasschnelle.at/DasSchnelle/50/5000/9916/042538/I_042538_P_905868060_B_0038465031_1.gal.png?height=150&amp;width=150;https://bilder.dasschnelle.at/DasSchnelle/50/5000/9916/042538/I_042538_P_905868060_B_0038465031_2.gal.png?height=150&amp;width=150;https://bilder.dasschnelle.at/DasSchnelle/50/5000/9916/042538/I_042538_P_905868060_B_0038465031_3.gal.png?height=150&amp;width=150;https://bilder.dasschnelle.at/DasSchnelle/50/5000/9916/042538/I_042538_P_905868060_B_0038465031_4.gal.png?height=150&amp;width=150</t>
  </si>
  <si>
    <t>B&amp;S Haus-Bau Bau-und Zimmereiunternehmen • Pragtal • Oberösterreich</t>
  </si>
  <si>
    <t>Bauunternehmen • B&amp;S Haus-Bau Bau-und Zimmereiunternehmen, Baumgarten 12/3, Pragtal • Kontakt über aktuelle Telefonnummern ☎ und Adressen ⚑ mit Karte, Routing, Öffnungszeiten, Homepage, E-Mail, vCard und Firmendaten.</t>
  </si>
  <si>
    <t>Pragtal</t>
  </si>
  <si>
    <t>https://bilder.dasschnelle.at/DasSchnelle/50/5000/9916/042538/I_042538_P_905898735_L_0036031411_1.png</t>
  </si>
  <si>
    <t>https://bilder.dasschnelle.at/DasSchnelle/50/5000/9916/042538/I_042538_P_905898735_B_0036031411_1.gal.png?height=396&amp;width=600;https://bilder.dasschnelle.at/DasSchnelle/50/5000/9916/042538/I_042538_P_905898735_B_0036031411_2.gal.png?height=192&amp;width=192;https://bilder.dasschnelle.at/DasSchnelle/50/5000/9916/042538/I_042538_P_905898735_B_0036031411_3.gal.png?height=399&amp;width=600;https://bilder.dasschnelle.at/DasSchnelle/50/5000/9916/042538/I_042538_P_905898735_B_0036031411_4.gal.png?height=450&amp;width=320</t>
  </si>
  <si>
    <t>Bestattung Ruhesanft • St. Georgen an der Gusen • Oberösterreich</t>
  </si>
  <si>
    <t>Bestattungsunternehmen • Bestattung Ruhesanft, Marktplatz 14, St. Georgen an der Gusen • Kontakt über aktuelle Telefonnummern ☎ und Adressen ⚑ mit Karte, Routing, Öffnungszeiten, Homepage, E-Mail, vCard und Firmendaten.</t>
  </si>
  <si>
    <t>4222</t>
  </si>
  <si>
    <t>St. Georgen an der Gusen</t>
  </si>
  <si>
    <t>48.27172</t>
  </si>
  <si>
    <t>14.44814</t>
  </si>
  <si>
    <t>+436765224673</t>
  </si>
  <si>
    <t>office@ruhesanft.at</t>
  </si>
  <si>
    <t>https://bilder.dasschnelle.at/DasSchnelle/50/5000/9916/042532/G_042532_P_906123897.adn.gif</t>
  </si>
  <si>
    <t>Günther Wolfgang Auto-Center GmbH, Kfz-Werkstätte • Schwertberg • Oberösterreich</t>
  </si>
  <si>
    <t>Kfz-Werkstätte • Günther Wolfgang Auto-Center GmbH, Technologiepark 2, Schwertberg • Kontakt über aktuelle Telefonnummern ☎ und Adressen ⚑ mit Karte, Routing, Öffnungszeiten, Homepage, E-Mail, vCard und Firmendaten.</t>
  </si>
  <si>
    <t>Technologiepark 2</t>
  </si>
  <si>
    <t>4311</t>
  </si>
  <si>
    <t>Schwertberg</t>
  </si>
  <si>
    <t>48.25203</t>
  </si>
  <si>
    <t>14.58111</t>
  </si>
  <si>
    <t>+437262630210</t>
  </si>
  <si>
    <t>office@fiat-guenther.at</t>
  </si>
  <si>
    <t>https://bilder.dasschnelle.at/DasSchnelle/50/5000/9916/042536/I_042536_P_905868438_L_0036002966_1.png</t>
  </si>
  <si>
    <t>https://bilder.dasschnelle.at/DasSchnelle/50/5000/9916/042536/I_042536_P_905868438_B_0036002966_1.gal.png?height=560&amp;width=831;https://bilder.dasschnelle.at/DasSchnelle/50/5000/9916/042536/I_042536_P_905868438_B_0036002966_2.gal.png?height=633&amp;width=831;https://bilder.dasschnelle.at/DasSchnelle/50/5000/9916/042536/I_042536_P_905868438_B_0036002966_3.gal.png?height=633&amp;width=831;https://bilder.dasschnelle.at/DasSchnelle/50/5000/9916/042536/I_042536_P_905868438_B_0036002966_4.gal.png?height=635&amp;width=711;https://bilder.dasschnelle.at/DasSchnelle/50/5000/9916/042536/G_042536_P_905868438.adn.gif</t>
  </si>
  <si>
    <t>Haarmanufaktur, Friseur • Langenstein • Oberösterreich</t>
  </si>
  <si>
    <t>Friseure • Haarmanufaktur, Hauptstraße 43, Langenstein • Kontakt über aktuelle Telefonnummern ☎ und Adressen ⚑ mit Karte, Routing, Öffnungszeiten, Homepage, E-Mail, vCard und Firmendaten.</t>
  </si>
  <si>
    <t>Hauptstraße 43</t>
  </si>
  <si>
    <t>Langenstein</t>
  </si>
  <si>
    <t>48.2523755</t>
  </si>
  <si>
    <t>14.4756030</t>
  </si>
  <si>
    <t>+43723720560</t>
  </si>
  <si>
    <t>manuela@haarmanufaktur.co.at</t>
  </si>
  <si>
    <t>https://bilder.dasschnelle.at/DasSchnelle/50/5000/9916/042521/G_042521_P_906123940.adn.gif</t>
  </si>
  <si>
    <t>Salon Veronika, Friseur • Windhaag bei Perg • Oberösterreich</t>
  </si>
  <si>
    <t>Friseure • Salon Veronika, Klosterstraße 1, Windhaag bei Perg • Kontakt über aktuelle Telefonnummern ☎ und Adressen ⚑ mit Karte, Routing, Öffnungszeiten, Homepage, E-Mail, vCard und Firmendaten.</t>
  </si>
  <si>
    <t>Klosterstraße 1</t>
  </si>
  <si>
    <t>48.28386</t>
  </si>
  <si>
    <t>14.68169</t>
  </si>
  <si>
    <t>+4372644878</t>
  </si>
  <si>
    <t>v.puchberger@aon.at</t>
  </si>
  <si>
    <t>https://bilder.dasschnelle.at/DasSchnelle/50/5000/9916/042538/I_042538_P_905884980_L_0036007982_1.png</t>
  </si>
  <si>
    <t>Eckerwirt e.U. • Münzbach • Oberösterreich</t>
  </si>
  <si>
    <t>Gastgewerbe - Gasthöfe • Eckerwirt e.U., Markt 6, Münzbach • Kontakt über aktuelle Telefonnummern ☎ und Adressen ⚑ mit Karte, Routing, Öffnungszeiten, Homepage, E-Mail, vCard und Firmendaten.</t>
  </si>
  <si>
    <t>Markt 6</t>
  </si>
  <si>
    <t>4323</t>
  </si>
  <si>
    <t>Münzbach</t>
  </si>
  <si>
    <t>48.2671800</t>
  </si>
  <si>
    <t>14.7129100</t>
  </si>
  <si>
    <t>+436603996357</t>
  </si>
  <si>
    <t>eckerwirt@hotmail.com</t>
  </si>
  <si>
    <t>Hanl, Martin, Friseur • Perg • Oberösterreich</t>
  </si>
  <si>
    <t>Friseure • Hanl, Martin, Naarner Straße 38, Perg • Kontakt über aktuelle Telefonnummern ☎ und Adressen ⚑ mit Karte, Routing, Öffnungszeiten, Homepage, E-Mail, vCard und Firmendaten.</t>
  </si>
  <si>
    <t>Naarner Straße 38</t>
  </si>
  <si>
    <t>48.24574</t>
  </si>
  <si>
    <t>14.62809</t>
  </si>
  <si>
    <t>+43726254569;+43726252374</t>
  </si>
  <si>
    <t>office@hanl.at</t>
  </si>
  <si>
    <t>https://bilder.dasschnelle.at/DasSchnelle/50/5000/9916/042528/G_042528_P_906123913.adn.gif</t>
  </si>
  <si>
    <t>JOHGA, Naturbaumgarten • St.Thomas am Blasenstein • Oberösterreich</t>
  </si>
  <si>
    <t>Garten- u. Landschaftspflege • JOHGA, Rechberg 16, St.Thomas am Blasenstein • Kontakt über aktuelle Telefonnummern ☎ und Adressen ⚑ mit Karte, Routing, Öffnungszeiten, Homepage, E-Mail, vCard und Firmendaten.</t>
  </si>
  <si>
    <t>Rechberg 16</t>
  </si>
  <si>
    <t>St.Thomas am Blasenstein</t>
  </si>
  <si>
    <t>48.3224640</t>
  </si>
  <si>
    <t>14.7162286</t>
  </si>
  <si>
    <t>+436642041156</t>
  </si>
  <si>
    <t>naturbaumgarten@johga.at</t>
  </si>
  <si>
    <t>https://bilder.dasschnelle.at/DasSchnelle/50/5000/9916/042534/I_042534_P_905874163_L_0038472593_1.png</t>
  </si>
  <si>
    <t>https://bilder.dasschnelle.at/DasSchnelle/50/5000/9916/042534/I_042534_P_905874163_B_0038472593_1.gal.png?height=625&amp;width=831;https://bilder.dasschnelle.at/DasSchnelle/50/5000/9916/042534/I_042534_P_905874163_B_0038472593_2.gal.png?height=422&amp;width=831;https://bilder.dasschnelle.at/DasSchnelle/50/5000/9916/042534/I_042534_P_905874163_B_0038472593_3.gal.png?height=405&amp;width=540;https://bilder.dasschnelle.at/DasSchnelle/50/5000/9916/042534/I_042534_P_905874163_B_0038472593_4.gal.png?height=625&amp;width=831</t>
  </si>
  <si>
    <t>Killinger, Margarete, Lebensberatung • Perg • Oberösterreich</t>
  </si>
  <si>
    <t>Lebensberatung • Killinger, Margarete, Forndorf 1, Perg • Kontakt über aktuelle Telefonnummern ☎ und Adressen ⚑ mit Karte, Routing, Öffnungszeiten, Homepage, E-Mail, vCard und Firmendaten.</t>
  </si>
  <si>
    <t>Forndorf 1</t>
  </si>
  <si>
    <t>48.2615205</t>
  </si>
  <si>
    <t>14.6673098</t>
  </si>
  <si>
    <t>+43726254565</t>
  </si>
  <si>
    <t>lebensberatung.killinger@epmail.at</t>
  </si>
  <si>
    <t>https://bilder.dasschnelle.at/DasSchnelle/50/5000/9916/042538/G_042538_P_906123949.adn.gif</t>
  </si>
  <si>
    <t>Poduschka Partner Anwaltsgesellschaft mbH • Schwertberg • Oberösterreich</t>
  </si>
  <si>
    <t>Rechtsanwälte • Poduschka Partner Anwaltsgesellschaft mbH, Bachstraße 20c, Schwertberg • Kontakt über aktuelle Telefonnummern ☎ und Adressen ⚑ mit Karte, Routing, Öffnungszeiten, Homepage, E-Mail, vCard und Firmendaten.</t>
  </si>
  <si>
    <t>Bachstraße 20c</t>
  </si>
  <si>
    <t>48.27449</t>
  </si>
  <si>
    <t>14.56188</t>
  </si>
  <si>
    <t>+43726253555</t>
  </si>
  <si>
    <t>office@poduschka.at</t>
  </si>
  <si>
    <t>https://bilder.dasschnelle.at/DasSchnelle/50/5000/9916/042536/I_042536_P_905898736_L_0036008027_1.png</t>
  </si>
  <si>
    <t>https://bilder.dasschnelle.at/DasSchnelle/50/5000/9916/042536/I_042536_P_905898736_B_0036008027_1.gal.png?height=388&amp;width=311;https://bilder.dasschnelle.at/DasSchnelle/50/5000/9916/042536/I_042536_P_905898736_B_0036008027_2.gal.png?height=604&amp;width=600;https://bilder.dasschnelle.at/DasSchnelle/50/5000/9916/042536/I_042536_P_905898736_B_0036008027_3.gal.png?height=583&amp;width=700;https://bilder.dasschnelle.at/DasSchnelle/50/5000/9916/042536/I_042536_P_905898736_B_0036008027_4.gal.png?height=450&amp;width=600</t>
  </si>
  <si>
    <t>Poduschka Partner Anwaltsgesellschaft mbH • Wien • Oberösterreich</t>
  </si>
  <si>
    <t>Rechtsanwälte • Poduschka Partner Anwaltsgesellschaft mbH, Marxergasse 34, Wien • Kontakt über aktuelle Telefonnummern ☎ und Adressen ⚑ mit Karte, Routing, Öffnungszeiten, Homepage, E-Mail, vCard und Firmendaten.</t>
  </si>
  <si>
    <t>Marxergasse 34</t>
  </si>
  <si>
    <t>1030</t>
  </si>
  <si>
    <t>Wien</t>
  </si>
  <si>
    <t>+4315130800</t>
  </si>
  <si>
    <t>https://bilder.dasschnelle.at/DasSchnelle/50/5000/9916/042536/I_042536_P_905898737_L_0036008027_1.png</t>
  </si>
  <si>
    <t>https://bilder.dasschnelle.at/DasSchnelle/50/5000/9916/042536/I_042536_P_905898737_B_0036008027_1.gal.png?height=388&amp;width=311;https://bilder.dasschnelle.at/DasSchnelle/50/5000/9916/042536/I_042536_P_905898737_B_0036008027_2.gal.png?height=604&amp;width=600;https://bilder.dasschnelle.at/DasSchnelle/50/5000/9916/042536/I_042536_P_905898737_B_0036008027_3.gal.png?height=583&amp;width=700;https://bilder.dasschnelle.at/DasSchnelle/50/5000/9916/042536/I_042536_P_905898737_B_0036008027_4.gal.png?height=450&amp;width=600</t>
  </si>
  <si>
    <t>Poduschka Partner Anwaltsgesellschaft mbH • Linz • Oberösterreich</t>
  </si>
  <si>
    <t>Rechtsanwälte • Poduschka Partner Anwaltsgesellschaft mbH, Museumstraße 17, Linz • Kontakt über aktuelle Telefonnummern ☎ und Adressen ⚑ mit Karte, Routing, Öffnungszeiten, Homepage, E-Mail, vCard und Firmendaten.</t>
  </si>
  <si>
    <t>Museumstraße 17</t>
  </si>
  <si>
    <t>4020</t>
  </si>
  <si>
    <t>Linz</t>
  </si>
  <si>
    <t>+43732730093</t>
  </si>
  <si>
    <t>https://bilder.dasschnelle.at/DasSchnelle/50/5000/9916/042536/I_042536_P_905898738_L_0036008027_1.png</t>
  </si>
  <si>
    <t>https://bilder.dasschnelle.at/DasSchnelle/50/5000/9916/042536/I_042536_P_905898738_B_0036008027_1.gal.png?height=604&amp;width=600;https://bilder.dasschnelle.at/DasSchnelle/50/5000/9916/042536/I_042536_P_905898738_B_0036008027_2.gal.png?height=583&amp;width=700;https://bilder.dasschnelle.at/DasSchnelle/50/5000/9916/042536/I_042536_P_905898738_B_0036008027_3.gal.png?height=388&amp;width=311;https://bilder.dasschnelle.at/DasSchnelle/50/5000/9916/042536/I_042536_P_905898738_B_0036008027_4.gal.png?height=450&amp;width=600</t>
  </si>
  <si>
    <t>Pree, Romana, Fußpflege • Luftenberg • Oberösterreich</t>
  </si>
  <si>
    <t>Fußpflege, Kosmetik • Pree, Romana, Statzingerstraße 19, Luftenberg • Kontakt über aktuelle Telefonnummern ☎ und Adressen ⚑ mit Karte, Routing, Öffnungszeiten, Homepage, E-Mail, vCard und Firmendaten.</t>
  </si>
  <si>
    <t>Statzingerstraße 19</t>
  </si>
  <si>
    <t>4225</t>
  </si>
  <si>
    <t>Luftenberg</t>
  </si>
  <si>
    <t>48.2732200</t>
  </si>
  <si>
    <t>14.4290300</t>
  </si>
  <si>
    <t>+436644502341</t>
  </si>
  <si>
    <t>fusspflege-kosmetik.pree@gmx.at</t>
  </si>
  <si>
    <t>https://bilder.dasschnelle.at/DasSchnelle/50/5000/9916/042522/I_042522_P_905883567_L_0038010361_1.png</t>
  </si>
  <si>
    <t>Greisinger, Roswitha, Fußpflege • Mauthausen • Oberösterreich</t>
  </si>
  <si>
    <t>Fußpflege • Greisinger, Roswitha, Marktstraße 5, Mauthausen • Kontakt über aktuelle Telefonnummern ☎ und Adressen ⚑ mit Karte, Routing, Öffnungszeiten, Homepage, E-Mail, vCard und Firmendaten.</t>
  </si>
  <si>
    <t>Marktstraße 5</t>
  </si>
  <si>
    <t>4310</t>
  </si>
  <si>
    <t>Mauthausen</t>
  </si>
  <si>
    <t>48.2408</t>
  </si>
  <si>
    <t>14.51791</t>
  </si>
  <si>
    <t>+43723828012</t>
  </si>
  <si>
    <t>roswitha.greisinger@gmx.at</t>
  </si>
  <si>
    <t>https://bilder.dasschnelle.at/DasSchnelle/50/5000/9916/042523/G_042523_P_906297569.adn.gif</t>
  </si>
  <si>
    <t>Raummode Heigl GmbH • Mauthausen • Oberösterreich</t>
  </si>
  <si>
    <t>Raumausstatter • Raummode Heigl GmbH, Vormarktstraße 29, Mauthausen • Kontakt über aktuelle Telefonnummern ☎ und Adressen ⚑ mit Karte, Routing, Öffnungszeiten, Homepage, E-Mail, vCard und Firmendaten.</t>
  </si>
  <si>
    <t>Vormarktstraße 29</t>
  </si>
  <si>
    <t>48.24007</t>
  </si>
  <si>
    <t>14.52328</t>
  </si>
  <si>
    <t>+4372382278</t>
  </si>
  <si>
    <t>office@raummodeheigl.at</t>
  </si>
  <si>
    <t>https://bilder.dasschnelle.at/DasSchnelle/50/5000/9916/042523/I_042523_P_906072590_L_0036003077_1.png</t>
  </si>
  <si>
    <t>https://bilder.dasschnelle.at/DasSchnelle/50/5000/9916/042523/I_042523_P_906072590_B_0036003077_1.gal.png?height=683&amp;width=999;https://bilder.dasschnelle.at/DasSchnelle/50/5000/9916/042523/I_042523_P_906072590_B_0036003077_2.gal.png?height=555&amp;width=999;https://bilder.dasschnelle.at/DasSchnelle/50/5000/9916/042523/I_042523_P_906072590_B_0036003077_3.gal.png?height=631&amp;width=999;https://bilder.dasschnelle.at/DasSchnelle/50/5000/9916/042523/I_042523_P_906072590_B_0036003077_4.gal.png?height=673&amp;width=999</t>
  </si>
  <si>
    <t>Haunschmid Kanalservice GesmbH, Kanal- u Grubendienste • Katsdorf • Oberösterreich</t>
  </si>
  <si>
    <t>Kanal- u. Grubendienste • Haunschmid Kanalservice GesmbH, Bodendorf 39, Katsdorf • Kontakt über aktuelle Telefonnummern ☎ und Adressen ⚑ mit Karte, Routing, Öffnungszeiten, Homepage, E-Mail, vCard und Firmendaten.</t>
  </si>
  <si>
    <t>Bodendorf 39</t>
  </si>
  <si>
    <t>4223</t>
  </si>
  <si>
    <t>Katsdorf</t>
  </si>
  <si>
    <t>48.3213798</t>
  </si>
  <si>
    <t>14.4888182</t>
  </si>
  <si>
    <t>+43723588300</t>
  </si>
  <si>
    <t>kanalservice@aon.at</t>
  </si>
  <si>
    <t>https://bilder.dasschnelle.at/DasSchnelle/50/5000/9916/042518/I_042518_P_906065964_L_0036002960_1.png</t>
  </si>
  <si>
    <t>https://bilder.dasschnelle.at/DasSchnelle/50/5000/9916/042518/I_042518_P_906065964_B_0036002960_1.gal.png?height=625&amp;width=831;https://bilder.dasschnelle.at/DasSchnelle/50/5000/9916/042518/I_042518_P_906065964_B_0036002960_2.gal.png?height=503&amp;width=686;https://bilder.dasschnelle.at/DasSchnelle/50/5000/9916/042518/I_042518_P_906065964_B_0036002960_3.gal.png?height=625&amp;width=831;https://bilder.dasschnelle.at/DasSchnelle/50/5000/9916/042518/I_042518_P_906065964_B_0036002960_4.gal.png?height=503&amp;width=686;https://bilder.dasschnelle.at/DasSchnelle/50/5000/9916/042518/G_042518_P_906297567.adn.gif</t>
  </si>
  <si>
    <t>Leitner-Aichriedler, Ingrid, Ergotherapie • Mondsee • Oberösterreich</t>
  </si>
  <si>
    <t>Ergotherapie • Leitner-Aichriedler, Ingrid, Gosauergraben 2 a, Mondsee • Kontakt über aktuelle Telefonnummern ☎ und Adressen ⚑ mit Karte, Routing, Öffnungszeiten, Homepage, E-Mail, vCard und Firmendaten.</t>
  </si>
  <si>
    <t>Gosauergraben 2 a</t>
  </si>
  <si>
    <t>5310</t>
  </si>
  <si>
    <t>Mondsee</t>
  </si>
  <si>
    <t>47.8576</t>
  </si>
  <si>
    <t>13.35354</t>
  </si>
  <si>
    <t>+436641423330</t>
  </si>
  <si>
    <t>i.leitner@gmx.at</t>
  </si>
  <si>
    <t>https://bilder.dasschnelle.at/DasSchnelle/50/5000/9909/043081/G_043081_P_906198480.adn.gif</t>
  </si>
  <si>
    <t>Haar Treff - Maria Schnidlauer, Friseur • Oberwang • Oberösterreich</t>
  </si>
  <si>
    <t>Friseure • Haar Treff - Maria Schnidlauer, Gessenschwandt 46, Oberwang • Kontakt über aktuelle Telefonnummern ☎ und Adressen ⚑ mit Karte, Routing, Öffnungszeiten, Homepage, E-Mail, vCard und Firmendaten.</t>
  </si>
  <si>
    <t>Gessenschwandt 46</t>
  </si>
  <si>
    <t>4882</t>
  </si>
  <si>
    <t>Oberwang</t>
  </si>
  <si>
    <t>47.8673838</t>
  </si>
  <si>
    <t>13.4394583</t>
  </si>
  <si>
    <t>+43623379905</t>
  </si>
  <si>
    <t>info@haartreff-oberwang.at</t>
  </si>
  <si>
    <t>https://bilder.dasschnelle.at/DasSchnelle/50/5000/9909/043087/G_043087_P_906123954.adn.gif</t>
  </si>
  <si>
    <t>Fliesen Strobl • Oberwang • Oberösterreich</t>
  </si>
  <si>
    <t>Fliesenfachhandel • Fliesen Strobl, Oberwang 55, Oberwang • Kontakt über aktuelle Telefonnummern ☎ und Adressen ⚑ mit Karte, Routing, Öffnungszeiten, Homepage, E-Mail, vCard und Firmendaten.</t>
  </si>
  <si>
    <t>Oberwang 55</t>
  </si>
  <si>
    <t>47.8695028</t>
  </si>
  <si>
    <t>13.4218177</t>
  </si>
  <si>
    <t>+4362338542</t>
  </si>
  <si>
    <t>fliesen@rsc.strobl.at</t>
  </si>
  <si>
    <t>https://bilder.dasschnelle.at/DasSchnelle/50/5000/9909/043087/G_043087_P_906123946.adn.gif</t>
  </si>
  <si>
    <t>Stabauer, Helmut, Gastgewerbe - Gasthöfe • Oberwang • Oberösterreich</t>
  </si>
  <si>
    <t>Gastgewerbe - Gasthöfe • Stabauer, Helmut, Oberwang 32, Oberwang • Kontakt über aktuelle Telefonnummern ☎ und Adressen ⚑ mit Karte, Routing, Öffnungszeiten, Homepage, E-Mail, vCard und Firmendaten.</t>
  </si>
  <si>
    <t>Oberwang 32</t>
  </si>
  <si>
    <t>47.8683239</t>
  </si>
  <si>
    <t>13.4340102</t>
  </si>
  <si>
    <t>+43623379936;+436642249251</t>
  </si>
  <si>
    <t>helmut.stabauer@gmx.at</t>
  </si>
  <si>
    <t>https://bilder.dasschnelle.at/DasSchnelle/50/5000/9909/043087/G_043087_P_906123854.adn.gif</t>
  </si>
  <si>
    <t>Sepp ENZINGER Gesellschaft m.b.H., Tischlerei u Möbelwerkstätte • Hof bei Salzburg • Salzburg</t>
  </si>
  <si>
    <t>Tischlereien • Sepp ENZINGER Gesellschaft m.b.H., Lebachstraße 2, Hof bei Salzburg • Kontakt über aktuelle Telefonnummern ☎ und Adressen ⚑ mit Karte, Routing, Öffnungszeiten, Homepage, E-Mail, vCard und Firmendaten.</t>
  </si>
  <si>
    <t>Lebachstraße 2</t>
  </si>
  <si>
    <t>5322</t>
  </si>
  <si>
    <t>Hof bei Salzburg</t>
  </si>
  <si>
    <t>47.81828</t>
  </si>
  <si>
    <t>13.21347</t>
  </si>
  <si>
    <t>+4362292482</t>
  </si>
  <si>
    <t>+4362292382</t>
  </si>
  <si>
    <t>sepp.enzinger@enzinger.at</t>
  </si>
  <si>
    <t>https://bilder.dasschnelle.at/DasSchnelle/50/5000/9909/043315/I_043315_P_905890998_L_0035974325_1.png</t>
  </si>
  <si>
    <t>https://bilder.dasschnelle.at/DasSchnelle/50/5000/9909/043315/I_043315_P_905890998_B_0035974325_1.gal.png?height=450&amp;width=600;https://bilder.dasschnelle.at/DasSchnelle/50/5000/9909/043315/I_043315_P_905890998_B_0035974325_2.gal.png?height=3926&amp;width=5272;https://bilder.dasschnelle.at/DasSchnelle/50/5000/9909/043315/I_043315_P_905890998_B_0035974325_3.gal.png?height=398&amp;width=600;https://bilder.dasschnelle.at/DasSchnelle/50/5000/9909/043315/I_043315_P_905890998_B_0035974325_4.gal.png?height=400&amp;width=600</t>
  </si>
  <si>
    <t>Bürtlmair GesmbH, Heizöle • Lenzing • Oberösterreich</t>
  </si>
  <si>
    <t>Heizöle • Bürtlmair GesmbH, Haid 10, Lenzing • Kontakt über aktuelle Telefonnummern ☎ und Adressen ⚑ mit Karte, Routing, Öffnungszeiten, Homepage, E-Mail, vCard und Firmendaten.</t>
  </si>
  <si>
    <t>Haid 10</t>
  </si>
  <si>
    <t>4860</t>
  </si>
  <si>
    <t>Lenzing</t>
  </si>
  <si>
    <t>47.9717832</t>
  </si>
  <si>
    <t>13.6334790</t>
  </si>
  <si>
    <t>+43767295336</t>
  </si>
  <si>
    <t>+43767295276</t>
  </si>
  <si>
    <t>buertlmair@aon.at</t>
  </si>
  <si>
    <t>https://bilder.dasschnelle.at/DasSchnelle/50/5000/9909/043081/G_043081_P_906298245.adn.gif</t>
  </si>
  <si>
    <t>Gasthaus zum Breinwirt • Jennersdorf • Burgenland</t>
  </si>
  <si>
    <t>Gastgewerbe - Gasthöfe • Gasthaus zum Breinwirt, Grieselstein-Dorf 24, Jennersdorf • Kontakt über aktuelle Telefonnummern ☎ und Adressen ⚑ mit Karte, Routing, Öffnungszeiten, Homepage, E-Mail, vCard und Firmendaten.</t>
  </si>
  <si>
    <t>Grieselstein-Dorf 24</t>
  </si>
  <si>
    <t>8380</t>
  </si>
  <si>
    <t>Jennersdorf</t>
  </si>
  <si>
    <t>46.95085</t>
  </si>
  <si>
    <t>16.1199</t>
  </si>
  <si>
    <t>+43332948052</t>
  </si>
  <si>
    <t>gasthaus@breinwirt.at</t>
  </si>
  <si>
    <t>https://bilder.dasschnelle.at/DasSchnelle/50/5000/9884/041575/G_041575_P_906123825.adn.gif</t>
  </si>
  <si>
    <t>Spenglerei Gassner • Deutsch Kaltenbrunn • Burgenland</t>
  </si>
  <si>
    <t>Spenglereien • Spenglerei Gassner, Waldeck 9, Deutsch Kaltenbrunn • Kontakt über aktuelle Telefonnummern ☎ und Adressen ⚑ mit Karte, Routing, Öffnungszeiten, Homepage, E-Mail, vCard und Firmendaten.</t>
  </si>
  <si>
    <t>Waldeck 9</t>
  </si>
  <si>
    <t>7572</t>
  </si>
  <si>
    <t>Deutsch Kaltenbrunn</t>
  </si>
  <si>
    <t>47.0814680</t>
  </si>
  <si>
    <t>16.1126555</t>
  </si>
  <si>
    <t>+436642457052</t>
  </si>
  <si>
    <t>spenglerei.gassner@gmail.com</t>
  </si>
  <si>
    <t>https://bilder.dasschnelle.at/DasSchnelle/50/5000/9884/041572/I_041572_P_905863353_L_0038463159_1.png</t>
  </si>
  <si>
    <t>https://bilder.dasschnelle.at/DasSchnelle/50/5000/9884/041572/I_041572_P_905863353_B_0038463159_1.gal.png?height=831&amp;width=624;https://bilder.dasschnelle.at/DasSchnelle/50/5000/9884/041572/I_041572_P_905863353_B_0038463159_2.gal.png?height=468&amp;width=624;https://bilder.dasschnelle.at/DasSchnelle/50/5000/9884/041572/I_041572_P_905863353_B_0038463159_3.gal.png?height=468&amp;width=624;https://bilder.dasschnelle.at/DasSchnelle/50/5000/9884/041572/I_041572_P_905863353_B_0038463159_4.gal.png?height=416&amp;width=624;https://bilder.dasschnelle.at/DasSchnelle/50/5000/9884/041572/G_041572_P_906123669.adn.gif</t>
  </si>
  <si>
    <t>Ulm, Gerhard, Tischlereien • Neuberg an der Mürz • Steiermark</t>
  </si>
  <si>
    <t>Tischlereien • Ulm, Gerhard, Maierhof 3, Neuberg an der Mürz • Kontakt über aktuelle Telefonnummern ☎ und Adressen ⚑ mit Karte, Routing, Öffnungszeiten, Homepage, E-Mail, vCard und Firmendaten.</t>
  </si>
  <si>
    <t>Maierhof 3</t>
  </si>
  <si>
    <t>8692</t>
  </si>
  <si>
    <t>Neuberg an der Mürz</t>
  </si>
  <si>
    <t>47.66613</t>
  </si>
  <si>
    <t>15.57506</t>
  </si>
  <si>
    <t>+43385720145;+4369911674391</t>
  </si>
  <si>
    <t>gerhard.ulm@speed.at</t>
  </si>
  <si>
    <t>https://bilder.dasschnelle.at/DasSchnelle/50/5000/9911/061436/G_061436_P_906202845.adn.gif</t>
  </si>
  <si>
    <t>Gruber GmbH Farb + Raum Design • Kindberg • Steiermark</t>
  </si>
  <si>
    <t>Malereibetriebe • Gruber GmbH Farb + Raum Design, Stanzer Strasse 9 a, Kindberg • Kontakt über aktuelle Telefonnummern ☎ und Adressen ⚑ mit Karte, Routing, Öffnungszeiten, Homepage, E-Mail, vCard und Firmendaten.</t>
  </si>
  <si>
    <t>Stanzer Strasse 9 a</t>
  </si>
  <si>
    <t>8650</t>
  </si>
  <si>
    <t>Kindberg</t>
  </si>
  <si>
    <t>47.49937</t>
  </si>
  <si>
    <t>15.4454</t>
  </si>
  <si>
    <t>+4338652256</t>
  </si>
  <si>
    <t>office@mmgruber.at</t>
  </si>
  <si>
    <t>https://bilder.dasschnelle.at/DasSchnelle/50/5000/9911/061380/G_061380_P_906213598.adn.gif</t>
  </si>
  <si>
    <t>Schaberreiter GmbH, Transportbeton • Kindberg • Steiermark</t>
  </si>
  <si>
    <t>Transportbeton • Schaberreiter GmbH, Alpinestraße 41, Kindberg • Kontakt über aktuelle Telefonnummern ☎ und Adressen ⚑ mit Karte, Routing, Öffnungszeiten, Homepage, E-Mail, vCard und Firmendaten.</t>
  </si>
  <si>
    <t>Alpinestraße 41</t>
  </si>
  <si>
    <t>8652</t>
  </si>
  <si>
    <t>47.4995277</t>
  </si>
  <si>
    <t>15.4326203</t>
  </si>
  <si>
    <t>+43386551160</t>
  </si>
  <si>
    <t>office@schaberreiter-beton.at</t>
  </si>
  <si>
    <t>https://bilder.dasschnelle.at/DasSchnelle/50/5000/9911/061380/G_061380_P_906213600.adn.gif</t>
  </si>
  <si>
    <t>Hanslwirt, Fam. Steinbauer, Michael, Gasthäuser und Gasthöfe • Edelsdorf • Steiermark</t>
  </si>
  <si>
    <t>Gastgewerbe - Gasthöfe • Hanslwirt, Fam. Steinbauer, Michael, Edelsdorf • Kontakt über aktuelle Telefonnummern ☎ und Adressen ⚑ mit Karte, Routing, Öffnungszeiten, Homepage, E-Mail, vCard und Firmendaten.</t>
  </si>
  <si>
    <t>8643</t>
  </si>
  <si>
    <t>Edelsdorf</t>
  </si>
  <si>
    <t>47.4760926</t>
  </si>
  <si>
    <t>15.4676222</t>
  </si>
  <si>
    <t>+4338652260</t>
  </si>
  <si>
    <t>office@hauswirt.eu</t>
  </si>
  <si>
    <t>https://bilder.dasschnelle.at/DasSchnelle/50/5000/9911/061380/G_061380_P_906216914.adn.gif</t>
  </si>
  <si>
    <t>Fladischer, Martina, Volle Blüte, Floristik • Kindberg • Steiermark</t>
  </si>
  <si>
    <t>Floristik • Fladischer, Martina, Volle Blüte, Allerheiligen 4, Kindberg • Kontakt über aktuelle Telefonnummern ☎ und Adressen ⚑ mit Karte, Routing, Öffnungszeiten, Homepage, E-Mail, vCard und Firmendaten.</t>
  </si>
  <si>
    <t>Allerheiligen 4</t>
  </si>
  <si>
    <t>47.4815821</t>
  </si>
  <si>
    <t>15.4060931</t>
  </si>
  <si>
    <t>+43386421681;+436767519196</t>
  </si>
  <si>
    <t>martina.fladischer@gmail.com</t>
  </si>
  <si>
    <t>https://bilder.dasschnelle.at/DasSchnelle/50/5000/9911/061380/I_061380_P_905978950_L_0037073425_1.png</t>
  </si>
  <si>
    <t>https://bilder.dasschnelle.at/DasSchnelle/50/5000/9911/061380/I_061380_P_905978950_B_0037073425_1.gal.png?height=500&amp;width=500;https://bilder.dasschnelle.at/DasSchnelle/50/5000/9911/061380/I_061380_P_905978950_B_0037073425_2.gal.png?height=500&amp;width=500;https://bilder.dasschnelle.at/DasSchnelle/50/5000/9911/061380/I_061380_P_905978950_B_0037073425_3.gal.png?height=625&amp;width=500;https://bilder.dasschnelle.at/DasSchnelle/50/5000/9911/061380/I_061380_P_905978950_B_0037073425_4.gal.png?height=500&amp;width=500</t>
  </si>
  <si>
    <t>Ukaj, Naser, Malermeister • Mürzzuschlag • Steiermark</t>
  </si>
  <si>
    <t>Malereibetriebe • Ukaj, Naser, Grazer Straße 55, Mürzzuschlag • Kontakt über aktuelle Telefonnummern ☎ und Adressen ⚑ mit Karte, Routing, Öffnungszeiten, Homepage, E-Mail, vCard und Firmendaten.</t>
  </si>
  <si>
    <t>Grazer Straße 55</t>
  </si>
  <si>
    <t>8680</t>
  </si>
  <si>
    <t>Mürzzuschlag</t>
  </si>
  <si>
    <t>47.60186</t>
  </si>
  <si>
    <t>15.66882</t>
  </si>
  <si>
    <t>+436642139059</t>
  </si>
  <si>
    <t>naser.ukaj@muerznet.at</t>
  </si>
  <si>
    <t>https://bilder.dasschnelle.at/DasSchnelle/50/5000/9911/061431/G_061431_P_906214492.adn.gif</t>
  </si>
  <si>
    <t>Gasthof Oberer Gesslbauer, Inh. Gernot Grünbichler • Stanz im Mürztal • Steiermark</t>
  </si>
  <si>
    <t>Gastgewerbe - Gasthöfe • Gasthof Oberer Gesslbauer, Inh. Gernot Grünbichler, Nr 37, Stanz im Mürztal • Kontakt über aktuelle Telefonnummern ☎ und Adressen ⚑ mit Karte, Routing, Öffnungszeiten, Homepage, E-Mail, vCard und Firmendaten.</t>
  </si>
  <si>
    <t>Nr 37</t>
  </si>
  <si>
    <t>8653</t>
  </si>
  <si>
    <t>Stanz im Mürztal</t>
  </si>
  <si>
    <t>47.4653100</t>
  </si>
  <si>
    <t>15.5010400</t>
  </si>
  <si>
    <t>+4338658216</t>
  </si>
  <si>
    <t>gernot.gruenbichler@twin.at</t>
  </si>
  <si>
    <t>https://bilder.dasschnelle.at/DasSchnelle/50/5000/9911/045102/G_045102_P_906213599.adn.gif</t>
  </si>
  <si>
    <t>Toni GmbH, Installationen • Mürzzuschlag • Steiermark</t>
  </si>
  <si>
    <t>Installationsunternehmen • Toni GmbH, Zimmersdorfgasse 4, Mürzzuschlag • Kontakt über aktuelle Telefonnummern ☎ und Adressen ⚑ mit Karte, Routing, Öffnungszeiten, Homepage, E-Mail, vCard und Firmendaten.</t>
  </si>
  <si>
    <t>Zimmersdorfgasse 4</t>
  </si>
  <si>
    <t>8682</t>
  </si>
  <si>
    <t>47.58059</t>
  </si>
  <si>
    <t>15.64589</t>
  </si>
  <si>
    <t>+436648671805</t>
  </si>
  <si>
    <t>antonbiba@hotmail.com</t>
  </si>
  <si>
    <t>https://bilder.dasschnelle.at/DasSchnelle/50/5000/9911/061431/G_061431_P_906218277.adn.gif</t>
  </si>
  <si>
    <t>Verli, Drazen, Kfz-Werkstätte • Mürzzuschlag • Steiermark</t>
  </si>
  <si>
    <t>Kfz-Werkstätte • Verli, Drazen, Grazer Straße 60, Mürzzuschlag • Kontakt über aktuelle Telefonnummern ☎ und Adressen ⚑ mit Karte, Routing, Öffnungszeiten, Homepage, E-Mail, vCard und Firmendaten.</t>
  </si>
  <si>
    <t>Grazer Straße 60</t>
  </si>
  <si>
    <t>47.59205</t>
  </si>
  <si>
    <t>15.65984</t>
  </si>
  <si>
    <t>+43385230812</t>
  </si>
  <si>
    <t>kfz-werkstatt@verli.at</t>
  </si>
  <si>
    <t>https://bilder.dasschnelle.at/DasSchnelle/50/5000/9911/061431/G_061431_P_906209711.adn.gif</t>
  </si>
  <si>
    <t>Kernholz, Tischlerei • Allerheiligen im Mürztal • Steiermark</t>
  </si>
  <si>
    <t>Tischlereien • Kernholz, Edelsdorf 33, Allerheiligen im Mürztal • Kontakt über aktuelle Telefonnummern ☎ und Adressen ⚑ mit Karte, Routing, Öffnungszeiten, Homepage, E-Mail, vCard und Firmendaten.</t>
  </si>
  <si>
    <t>Edelsdorf 33</t>
  </si>
  <si>
    <t>Allerheiligen im Mürztal</t>
  </si>
  <si>
    <t>47.4766565</t>
  </si>
  <si>
    <t>15.4470057</t>
  </si>
  <si>
    <t>+436764454020</t>
  </si>
  <si>
    <t>office@kernholz.at</t>
  </si>
  <si>
    <t>https://bilder.dasschnelle.at/DasSchnelle/50/5000/9911/061380/G_061380_P_906203791.adn.gif</t>
  </si>
  <si>
    <t>Streit, Martin, Tischlermeister • Mürzzuschlag • Steiermark</t>
  </si>
  <si>
    <t>Tischlereien • Streit, Martin, Wiener Straße 164, Mürzzuschlag • Kontakt über aktuelle Telefonnummern ☎ und Adressen ⚑ mit Karte, Routing, Öffnungszeiten, Homepage, E-Mail, vCard und Firmendaten.</t>
  </si>
  <si>
    <t>Wiener Straße 164</t>
  </si>
  <si>
    <t>47.60649</t>
  </si>
  <si>
    <t>15.69087</t>
  </si>
  <si>
    <t>+436649260868</t>
  </si>
  <si>
    <t>office@martinstreit.at</t>
  </si>
  <si>
    <t>https://bilder.dasschnelle.at/DasSchnelle/50/5000/9911/061431/G_061431_P_906216916.adn.gif</t>
  </si>
  <si>
    <t>Fliesenfritz GmbH • Sankt Marein im Mürztal • Steiermark</t>
  </si>
  <si>
    <t>Fliesenfachhandel • Fliesenfritz GmbH, Böhlerstraße 2, Sankt Marein im Mürztal • Kontakt über aktuelle Telefonnummern ☎ und Adressen ⚑ mit Karte, Routing, Öffnungszeiten, Homepage, E-Mail, vCard und Firmendaten.</t>
  </si>
  <si>
    <t>Böhlerstraße 2</t>
  </si>
  <si>
    <t>47.47291</t>
  </si>
  <si>
    <t>15.36412</t>
  </si>
  <si>
    <t>+436645414580</t>
  </si>
  <si>
    <t>office@fliesenfritz.at</t>
  </si>
  <si>
    <t>https://bilder.dasschnelle.at/DasSchnelle/50/5000/9911/061430/G_061430_P_906213597.adn.gif</t>
  </si>
  <si>
    <t>KFZ - Technik Kogler • Langenwang • Steiermark</t>
  </si>
  <si>
    <t>Kfz-Werkstätte • KFZ - Technik Kogler, Schwöbing 74, Langenwang • Kontakt über aktuelle Telefonnummern ☎ und Adressen ⚑ mit Karte, Routing, Öffnungszeiten, Homepage, E-Mail, vCard und Firmendaten.</t>
  </si>
  <si>
    <t>Schwöbing 74</t>
  </si>
  <si>
    <t>8665</t>
  </si>
  <si>
    <t>Langenwang</t>
  </si>
  <si>
    <t>47.5587000</t>
  </si>
  <si>
    <t>15.6075500</t>
  </si>
  <si>
    <t>+436605090254</t>
  </si>
  <si>
    <t>kogler.manuel96@gmail.com</t>
  </si>
  <si>
    <t>https://bilder.dasschnelle.at/DasSchnelle/50/5000/9911/044891/I_044891_P_905978011_L_0037720737_1.png</t>
  </si>
  <si>
    <t>https://bilder.dasschnelle.at/DasSchnelle/50/5000/9911/044891/I_044891_P_905978011_B_0037720737_1.gal.png?height=400&amp;width=600;https://bilder.dasschnelle.at/DasSchnelle/50/5000/9911/044891/I_044891_P_905978011_B_0037720737_2.gal.png?height=450&amp;width=600;https://bilder.dasschnelle.at/DasSchnelle/50/5000/9911/044891/I_044891_P_905978011_B_0037720737_3.gal.png?height=478&amp;width=850;https://bilder.dasschnelle.at/DasSchnelle/50/5000/9911/044891/I_044891_P_905978011_B_0037720737_4.gal.png?height=400&amp;width=600;https://bilder.dasschnelle.at/DasSchnelle/50/5000/9911/044891/G_044891_P_906214493.adn.gif</t>
  </si>
  <si>
    <t>Elektro Vivot GmbH, Elektro • Veitsch • Steiermark</t>
  </si>
  <si>
    <t>Elektrogeräte u. -bedarf • Elektro Vivot GmbH, Klein-Veitsch-Straße 4, Veitsch • Kontakt über aktuelle Telefonnummern ☎ und Adressen ⚑ mit Karte, Routing, Öffnungszeiten, Homepage, E-Mail, vCard und Firmendaten.</t>
  </si>
  <si>
    <t>Klein-Veitsch-Straße 4</t>
  </si>
  <si>
    <t>8663</t>
  </si>
  <si>
    <t>Veitsch</t>
  </si>
  <si>
    <t>47.57966</t>
  </si>
  <si>
    <t>15.49411</t>
  </si>
  <si>
    <t>+43385630220;+43385630210;+436766801520</t>
  </si>
  <si>
    <t>vivot@veitsch.at</t>
  </si>
  <si>
    <t>https://bilder.dasschnelle.at/DasSchnelle/50/5000/9911/061435/G_061435_P_906221504.adn.gif</t>
  </si>
  <si>
    <t>Gutschelhofer, Tanja, Fußpflege • Mürzzuschlag • Steiermark</t>
  </si>
  <si>
    <t>Fußpflege • Gutschelhofer, Tanja, Grazer Straße 14, Mürzzuschlag • Kontakt über aktuelle Telefonnummern ☎ und Adressen ⚑ mit Karte, Routing, Öffnungszeiten, Homepage, E-Mail, vCard und Firmendaten.</t>
  </si>
  <si>
    <t>Grazer Straße 14</t>
  </si>
  <si>
    <t>47.60524</t>
  </si>
  <si>
    <t>15.66999</t>
  </si>
  <si>
    <t>+436643994202</t>
  </si>
  <si>
    <t>tanja.gutschelhofer@gmx.at</t>
  </si>
  <si>
    <t>https://bilder.dasschnelle.at/DasSchnelle/50/5000/9911/061431/G_061431_P_906212190.adn.gif</t>
  </si>
  <si>
    <t>Pink Friedrich GmbH, Zimmereien • Mürzzuschlag • Steiermark</t>
  </si>
  <si>
    <t>Holzbau, Zimmereien • Pink Friedrich GmbH, Industriepark 18, Mürzzuschlag • Kontakt über aktuelle Telefonnummern ☎ und Adressen ⚑ mit Karte, Routing, Öffnungszeiten, Homepage, E-Mail, vCard und Firmendaten.</t>
  </si>
  <si>
    <t>Industriepark 18</t>
  </si>
  <si>
    <t>47.58408</t>
  </si>
  <si>
    <t>15.65226</t>
  </si>
  <si>
    <t>+433852301230</t>
  </si>
  <si>
    <t>+433852301235</t>
  </si>
  <si>
    <t>info@pinkfritz.at</t>
  </si>
  <si>
    <t>https://bilder.dasschnelle.at/DasSchnelle/50/5000/9911/061431/G_061431_P_906203529.adn.gif</t>
  </si>
  <si>
    <t>Skazel Malermeister GmbH • Mürzzuschlag • Steiermark</t>
  </si>
  <si>
    <t>Malereibetriebe • Skazel Malermeister GmbH, Mariazeller Straße 55 A, Mürzzuschlag • Kontakt über aktuelle Telefonnummern ☎ und Adressen ⚑ mit Karte, Routing, Öffnungszeiten, Homepage, E-Mail, vCard und Firmendaten.</t>
  </si>
  <si>
    <t>Mariazeller Straße 55 A</t>
  </si>
  <si>
    <t>47.61632</t>
  </si>
  <si>
    <t>15.66663</t>
  </si>
  <si>
    <t>+43385226150;+43385226151;+43385226152;+43385226153;+43385226154</t>
  </si>
  <si>
    <t>+43385226155</t>
  </si>
  <si>
    <t>malermeister_skazel@aon.at</t>
  </si>
  <si>
    <t>https://bilder.dasschnelle.at/DasSchnelle/50/5000/9911/061431/G_061431_P_906212195.adn.gif</t>
  </si>
  <si>
    <t>E-Technik Gletthofer, Elektroinstallation • Kapellen • Steiermark</t>
  </si>
  <si>
    <t>Elektrotechnik • E-Technik Gletthofer, Stojen-Straße 7, Kapellen • Kontakt über aktuelle Telefonnummern ☎ und Adressen ⚑ mit Karte, Routing, Öffnungszeiten, Homepage, E-Mail, vCard und Firmendaten.</t>
  </si>
  <si>
    <t>Stojen-Straße 7</t>
  </si>
  <si>
    <t>8691</t>
  </si>
  <si>
    <t>Kapellen</t>
  </si>
  <si>
    <t>47.65782</t>
  </si>
  <si>
    <t>15.64593</t>
  </si>
  <si>
    <t>+436766284088</t>
  </si>
  <si>
    <t>e-technik.gletthofer@aon.at</t>
  </si>
  <si>
    <t>https://bilder.dasschnelle.at/DasSchnelle/50/5000/9911/061436/G_061436_P_906206810.adn.gif</t>
  </si>
  <si>
    <t>Almer, Siegfried, Taxi • Kindberg • Steiermark</t>
  </si>
  <si>
    <t>Taxi • Almer, Siegfried, Hauptstraße 39, Kindberg • Kontakt über aktuelle Telefonnummern ☎ und Adressen ⚑ mit Karte, Routing, Öffnungszeiten, Homepage, E-Mail, vCard und Firmendaten.</t>
  </si>
  <si>
    <t>Hauptstraße 39</t>
  </si>
  <si>
    <t>47.50544</t>
  </si>
  <si>
    <t>15.44942</t>
  </si>
  <si>
    <t>+4338652481</t>
  </si>
  <si>
    <t>office@sigis-taxi.at</t>
  </si>
  <si>
    <t>https://bilder.dasschnelle.at/DasSchnelle/50/5000/9911/061380/G_061380_P_906209706.adn.gif</t>
  </si>
  <si>
    <t>Nageltante Vanessa • Mürzzuschlag • Steiermark</t>
  </si>
  <si>
    <t>Nagelstudios • Nageltante Vanessa, Grazer Straße 14, Mürzzuschlag • Kontakt über aktuelle Telefonnummern ☎ und Adressen ⚑ mit Karte, Routing, Öffnungszeiten, Homepage, E-Mail, vCard und Firmendaten.</t>
  </si>
  <si>
    <t>47.6052400</t>
  </si>
  <si>
    <t>15.6699900</t>
  </si>
  <si>
    <t>+436767107811</t>
  </si>
  <si>
    <t>van.janosch@gmail.com</t>
  </si>
  <si>
    <t>https://bilder.dasschnelle.at/DasSchnelle/50/5000/9911/061431/I_061431_P_905974834_L_0038555971_1.png</t>
  </si>
  <si>
    <t>https://bilder.dasschnelle.at/DasSchnelle/50/5000/9911/061431/I_061431_P_905974834_B_0038555971_1.gal.png?height=600&amp;width=337;https://bilder.dasschnelle.at/DasSchnelle/50/5000/9911/061431/I_061431_P_905974834_B_0038555971_2.gal.png?height=600&amp;width=450;https://bilder.dasschnelle.at/DasSchnelle/50/5000/9911/061431/I_061431_P_905974834_B_0038555971_3.gal.png?height=450&amp;width=600;https://bilder.dasschnelle.at/DasSchnelle/50/5000/9911/061431/I_061431_P_905974834_B_0038555971_4.gal.png?height=399&amp;width=600</t>
  </si>
  <si>
    <t>Fischer, Gudrun, Friseur • Mürzhofen • Steiermark</t>
  </si>
  <si>
    <t>Friseure • Fischer, Gudrun, Grazer Straße 4, Mürzhofen • Kontakt über aktuelle Telefonnummern ☎ und Adressen ⚑ mit Karte, Routing, Öffnungszeiten, Homepage, E-Mail, vCard und Firmendaten.</t>
  </si>
  <si>
    <t>Grazer Straße 4</t>
  </si>
  <si>
    <t>8644</t>
  </si>
  <si>
    <t>Mürzhofen</t>
  </si>
  <si>
    <t>47.48415</t>
  </si>
  <si>
    <t>15.39558</t>
  </si>
  <si>
    <t>+4338642334</t>
  </si>
  <si>
    <t>salon@friseur-fischer.at</t>
  </si>
  <si>
    <t>https://bilder.dasschnelle.at/DasSchnelle/50/5000/9911/061380/G_061380_P_906203790.adn.gif</t>
  </si>
  <si>
    <t>Wolf, Alexander • Elbigenalp • Tirol</t>
  </si>
  <si>
    <t>Friseure • Wolf, Alexander, Dorf 55 C, Elbigenalp • Kontakt über aktuelle Telefonnummern ☎ und Adressen ⚑ mit Karte, Routing, Öffnungszeiten, Homepage, E-Mail, vCard und Firmendaten.</t>
  </si>
  <si>
    <t>Dorf 55 C</t>
  </si>
  <si>
    <t>6652</t>
  </si>
  <si>
    <t>Elbigenalp</t>
  </si>
  <si>
    <t>47.29058</t>
  </si>
  <si>
    <t>10.43737</t>
  </si>
  <si>
    <t>+4356346235</t>
  </si>
  <si>
    <t>Gutmann, Jochen, Gerüstebau • Reutte • Tirol</t>
  </si>
  <si>
    <t>Gerüstebau u. -verleih • Gutmann, Jochen, Pfarrsweg 5, Reutte • Kontakt über aktuelle Telefonnummern ☎ und Adressen ⚑ mit Karte, Routing, Öffnungszeiten, Homepage, E-Mail, vCard und Firmendaten.</t>
  </si>
  <si>
    <t>Pfarrsweg 5</t>
  </si>
  <si>
    <t>6600</t>
  </si>
  <si>
    <t>Reutte</t>
  </si>
  <si>
    <t>47.49037</t>
  </si>
  <si>
    <t>10.70451</t>
  </si>
  <si>
    <t>+436767291917</t>
  </si>
  <si>
    <t>Tirol Ambulanz Rettungsdienst und Krankentransport GmbH • Reutte • Tirol</t>
  </si>
  <si>
    <t>Krankentransporte / Krankenbeförderung • Tirol Ambulanz Rettungsdienst und Krankentransport GmbH, Dr. Ing. Paul Schwarzkopf-Straße 10, Reutte • Kontakt über aktuelle Telefonnummern ☎ und Adressen ⚑ mit Karte, Routing, Öffnungszeiten, Homepage, E-Mail, vCard und Firmendaten.</t>
  </si>
  <si>
    <t>Dr. Ing. Paul Schwarzkopf-Straße 10</t>
  </si>
  <si>
    <t>47.4981067</t>
  </si>
  <si>
    <t>10.7330184</t>
  </si>
  <si>
    <t>+43591110200</t>
  </si>
  <si>
    <t>Kirchmair, Jutta, Charisma, Fußpflege, Kosmetik • Reutte • Tirol</t>
  </si>
  <si>
    <t>Kosmetik • Kirchmair, Jutta, Charisma, Mühlerstraße 12, Reutte • Kontakt über aktuelle Telefonnummern ☎ und Adressen ⚑ mit Karte, Routing, Öffnungszeiten, Homepage, E-Mail, vCard und Firmendaten.</t>
  </si>
  <si>
    <t>Mühlerstraße 12</t>
  </si>
  <si>
    <t>47.4903300</t>
  </si>
  <si>
    <t>10.7195700</t>
  </si>
  <si>
    <t>+436603763060</t>
  </si>
  <si>
    <t>juttakirchmair45@gmail.com</t>
  </si>
  <si>
    <t>https://bilder.dasschnelle.at/DasSchnelle/50/5000/9921/042603/I_042603_P_905925488_L_0038534958_1.png</t>
  </si>
  <si>
    <t>https://bilder.dasschnelle.at/DasSchnelle/50/5000/9921/042603/I_042603_P_905925488_B_0038534958_1.gal.png?height=600&amp;width=447;https://bilder.dasschnelle.at/DasSchnelle/50/5000/9921/042603/I_042603_P_905925488_B_0038534958_2.gal.png?height=395&amp;width=395</t>
  </si>
  <si>
    <t>Greinwald, Michaela, Dr., Ärztin für Allgemeinmed. • Reutte • Tirol</t>
  </si>
  <si>
    <t>Ärzte / f Allgemeinmedizin • Greinwald, Michaela, Dr., Max-Kerber-Platz 1, Reutte • Kontakt über aktuelle Telefonnummern ☎ und Adressen ⚑ mit Karte, Routing, Öffnungszeiten, Homepage, E-Mail, vCard und Firmendaten.</t>
  </si>
  <si>
    <t>Max-Kerber-Platz 1</t>
  </si>
  <si>
    <t>47.48781</t>
  </si>
  <si>
    <t>10.73235</t>
  </si>
  <si>
    <t>+43567263628</t>
  </si>
  <si>
    <t>praxis@michaelagreinwald.at</t>
  </si>
  <si>
    <t>https://bilder.dasschnelle.at/DasSchnelle/50/5000/9921/044841/G_044841_P_906253708.adn.gif</t>
  </si>
  <si>
    <t>Kappeler, Peter, Erdbau • Höfen • Tirol</t>
  </si>
  <si>
    <t>Erdbau • Kappeler, Peter, Gartenstraße 1, Höfen • Kontakt über aktuelle Telefonnummern ☎ und Adressen ⚑ mit Karte, Routing, Öffnungszeiten, Homepage, E-Mail, vCard und Firmendaten.</t>
  </si>
  <si>
    <t>Gartenstraße 1</t>
  </si>
  <si>
    <t>6604</t>
  </si>
  <si>
    <t>Höfen</t>
  </si>
  <si>
    <t>47.47469</t>
  </si>
  <si>
    <t>10.68816</t>
  </si>
  <si>
    <t>+436767087201</t>
  </si>
  <si>
    <t>https://bilder.dasschnelle.at/DasSchnelle/50/5000/9921/042591/G_042591_P_906229976.adn.gif</t>
  </si>
  <si>
    <t>LB Lorenz Bernhard, Baumeister • Berwang • Tirol</t>
  </si>
  <si>
    <t>Baumeister • LB Lorenz Bernhard, Nr. 113, Berwang • Kontakt über aktuelle Telefonnummern ☎ und Adressen ⚑ mit Karte, Routing, Öffnungszeiten, Homepage, E-Mail, vCard und Firmendaten.</t>
  </si>
  <si>
    <t>Nr. 113</t>
  </si>
  <si>
    <t>6622</t>
  </si>
  <si>
    <t>Berwang</t>
  </si>
  <si>
    <t>47.4075663</t>
  </si>
  <si>
    <t>10.7498861</t>
  </si>
  <si>
    <t>+4356748431</t>
  </si>
  <si>
    <t>info@lorenz-bau.at</t>
  </si>
  <si>
    <t>https://bilder.dasschnelle.at/DasSchnelle/50/5000/9921/044838/I_044838_P_906065111_L_0038798274_1.png</t>
  </si>
  <si>
    <t>https://bilder.dasschnelle.at/DasSchnelle/50/5000/9921/044838/I_044838_P_906065111_B_0038798274_1.gal.png?height=200&amp;width=200;https://bilder.dasschnelle.at/DasSchnelle/50/5000/9921/044838/I_044838_P_906065111_B_0038798274_2.gal.png?height=200&amp;width=200;https://bilder.dasschnelle.at/DasSchnelle/50/5000/9921/044838/I_044838_P_906065111_B_0038798274_3.gal.png?height=200&amp;width=200;https://bilder.dasschnelle.at/DasSchnelle/50/5000/9921/044838/I_044838_P_906065111_B_0038798274_4.gal.png?height=200&amp;width=200</t>
  </si>
  <si>
    <t>Hosp, Egon, Dr techn Dipl Ing, Architekt • Reutte • Tirol</t>
  </si>
  <si>
    <t>Architekten • Hosp, Egon, Dr techn Dipl Ing, Kappl 10, Reutte • Kontakt über aktuelle Telefonnummern ☎ und Adressen ⚑ mit Karte, Routing, Öffnungszeiten, Homepage, E-Mail, vCard und Firmendaten.</t>
  </si>
  <si>
    <t>Kappl 10</t>
  </si>
  <si>
    <t>47.51527</t>
  </si>
  <si>
    <t>10.71337</t>
  </si>
  <si>
    <t>+43567263060</t>
  </si>
  <si>
    <t>+43567263066</t>
  </si>
  <si>
    <t>office@architekt-hosp.at</t>
  </si>
  <si>
    <t>https://bilder.dasschnelle.at/DasSchnelle/50/5000/9921/042601/G_042601_P_906253706.adn.gif</t>
  </si>
  <si>
    <t>Tscharnig, Christian, Vollwärmeschutz • Reutte • Tirol</t>
  </si>
  <si>
    <t>Vollwärmeschutz • Tscharnig, Christian, Obermarkt 63, Reutte • Kontakt über aktuelle Telefonnummern ☎ und Adressen ⚑ mit Karte, Routing, Öffnungszeiten, Homepage, E-Mail, vCard und Firmendaten.</t>
  </si>
  <si>
    <t>Obermarkt 63</t>
  </si>
  <si>
    <t>47.48603</t>
  </si>
  <si>
    <t>10.7204</t>
  </si>
  <si>
    <t>+436766948301</t>
  </si>
  <si>
    <t>tschig77@gmx.at</t>
  </si>
  <si>
    <t>https://bilder.dasschnelle.at/DasSchnelle/50/5000/9921/042603/G_042603_P_906272486.adn.gif</t>
  </si>
  <si>
    <t>Freudi's Fliesen Stube, Fliesen • Freistadt • Oberösterreich</t>
  </si>
  <si>
    <t>Fliesenfachhandel • Freudi's Fliesen Stube, Waaggasse 4, Freistadt • Kontakt über aktuelle Telefonnummern ☎ und Adressen ⚑ mit Karte, Routing, Öffnungszeiten, Homepage, E-Mail, vCard und Firmendaten.</t>
  </si>
  <si>
    <t>Waaggasse 4</t>
  </si>
  <si>
    <t>4240</t>
  </si>
  <si>
    <t>Freistadt</t>
  </si>
  <si>
    <t>48.51129</t>
  </si>
  <si>
    <t>14.50393</t>
  </si>
  <si>
    <t>+43794273210</t>
  </si>
  <si>
    <t>freudi@tele2.at</t>
  </si>
  <si>
    <t>https://bilder.dasschnelle.at/DasSchnelle/50/5000/9882/044815/G_044815_P_906294859.adn.gif</t>
  </si>
  <si>
    <t>Dolsky, Michael, Installationsunternehmen • Freistadt • Oberösterreich</t>
  </si>
  <si>
    <t>Installationsunternehmen, Gasinstallationen • Dolsky, Michael, Waaggasse 20, Freistadt • Kontakt über aktuelle Telefonnummern ☎ und Adressen ⚑ mit Karte, Routing, Öffnungszeiten, Homepage, E-Mail, vCard und Firmendaten.</t>
  </si>
  <si>
    <t>Waaggasse 20</t>
  </si>
  <si>
    <t>48.5124</t>
  </si>
  <si>
    <t>14.50432</t>
  </si>
  <si>
    <t>+43794272318;+436643620308</t>
  </si>
  <si>
    <t>+437942723189</t>
  </si>
  <si>
    <t>office@dolsky.at</t>
  </si>
  <si>
    <t>https://bilder.dasschnelle.at/DasSchnelle/50/5000/9882/044815/G_044815_P_906294861.adn.gif</t>
  </si>
  <si>
    <t>Glas Karl GmbH, Glaserei • Neumarkt im Mühlkreis • Oberösterreich</t>
  </si>
  <si>
    <t>Baustoffhandel, Glas u. Service • Glas Karl GmbH, Götschka 27, Neumarkt im Mühlkreis • Kontakt über aktuelle Telefonnummern ☎ und Adressen ⚑ mit Karte, Routing, Öffnungszeiten, Homepage, E-Mail, vCard und Firmendaten.</t>
  </si>
  <si>
    <t>Götschka 27</t>
  </si>
  <si>
    <t>4212</t>
  </si>
  <si>
    <t>Neumarkt im Mühlkreis</t>
  </si>
  <si>
    <t>48.3969221</t>
  </si>
  <si>
    <t>14.4881141</t>
  </si>
  <si>
    <t>+4379418262</t>
  </si>
  <si>
    <t>office@glaskarl.at</t>
  </si>
  <si>
    <t>https://bilder.dasschnelle.at/DasSchnelle/50/5000/9882/041772/I_041772_P_906071662_L_0038395658_1.png</t>
  </si>
  <si>
    <t>https://bilder.dasschnelle.at/DasSchnelle/50/5000/9882/041772/I_041772_P_906071662_B_0038395658_1.gal.png?height=231&amp;width=595;https://bilder.dasschnelle.at/DasSchnelle/50/5000/9882/041772/I_041772_P_906071662_B_0038395658_2.gal.png?height=733&amp;width=1105;https://bilder.dasschnelle.at/DasSchnelle/50/5000/9882/041772/I_041772_P_906071662_B_0038395658_3.gal.png?height=604&amp;width=990;https://bilder.dasschnelle.at/DasSchnelle/50/5000/9882/041772/I_041772_P_906071662_B_0038395658_4.gal.png?height=732&amp;width=1097</t>
  </si>
  <si>
    <t>Autoteile Kralik GmbH • Freistadt • Oberösterreich</t>
  </si>
  <si>
    <t>Autoersatzteile u. -zubehör • Autoteile Kralik GmbH, Linzer Straße 42, Freistadt • Kontakt über aktuelle Telefonnummern ☎ und Adressen ⚑ mit Karte, Routing, Öffnungszeiten, Homepage, E-Mail, vCard und Firmendaten.</t>
  </si>
  <si>
    <t>Linzer Straße 42</t>
  </si>
  <si>
    <t>48.50715</t>
  </si>
  <si>
    <t>14.50243</t>
  </si>
  <si>
    <t>+43794273277</t>
  </si>
  <si>
    <t>office@autoteile-kralik.at</t>
  </si>
  <si>
    <t>https://bilder.dasschnelle.at/DasSchnelle/50/5000/9882/044815/I_044815_P_906071664_L_0035994120_1.png</t>
  </si>
  <si>
    <t>https://bilder.dasschnelle.at/DasSchnelle/50/5000/9882/044815/I_044815_P_906071664_B_0035994120_1.gal.png?height=696&amp;width=889;https://bilder.dasschnelle.at/DasSchnelle/50/5000/9882/044815/I_044815_P_906071664_B_0035994120_2.gal.png?height=643&amp;width=540;https://bilder.dasschnelle.at/DasSchnelle/50/5000/9882/044815/I_044815_P_906071664_B_0035994120_3.gal.png?height=693&amp;width=919;https://bilder.dasschnelle.at/DasSchnelle/50/5000/9882/044815/I_044815_P_906071664_B_0035994120_4.gal.png?height=693&amp;width=937</t>
  </si>
  <si>
    <t>Ambros Automobile GmbH • Bad Zell • Oberösterreich</t>
  </si>
  <si>
    <t>Autohandel • Ambros Automobile GmbH, Gutauer Straße 5, Bad Zell • Kontakt über aktuelle Telefonnummern ☎ und Adressen ⚑ mit Karte, Routing, Öffnungszeiten, Homepage, E-Mail, vCard und Firmendaten.</t>
  </si>
  <si>
    <t>Gutauer Straße 5</t>
  </si>
  <si>
    <t>4283</t>
  </si>
  <si>
    <t>Bad Zell</t>
  </si>
  <si>
    <t>48.3527</t>
  </si>
  <si>
    <t>14.66358</t>
  </si>
  <si>
    <t>+4372637397</t>
  </si>
  <si>
    <t>office@ambros-automobile.at</t>
  </si>
  <si>
    <t>https://bilder.dasschnelle.at/DasSchnelle/50/5000/9882/041787/I_041787_P_906065967_L_0035992942_1.png</t>
  </si>
  <si>
    <t>https://bilder.dasschnelle.at/DasSchnelle/50/5000/9882/041787/I_041787_P_906065967_B_0035992942_1.gal.png?height=394&amp;width=945;https://bilder.dasschnelle.at/DasSchnelle/50/5000/9882/041787/I_041787_P_906065967_B_0035992942_2.gal.png?height=383&amp;width=945;https://bilder.dasschnelle.at/DasSchnelle/50/5000/9882/041787/I_041787_P_906065967_B_0035992942_3.gal.png?height=386&amp;width=945;https://bilder.dasschnelle.at/DasSchnelle/50/5000/9882/041787/I_041787_P_906065967_B_0035992942_4.gal.png?height=385&amp;width=945</t>
  </si>
  <si>
    <t>T-Dach GmbH, Spenglerei-Dachdeckerei • Kleinreith • Oberösterreich</t>
  </si>
  <si>
    <t>Dachdeckereien, Spenglereien • T-Dach GmbH, Kleinreith-Gewerbepark 12, Kleinreith • Kontakt über aktuelle Telefonnummern ☎ und Adressen ⚑ mit Karte, Routing, Öffnungszeiten, Homepage, E-Mail, vCard und Firmendaten.</t>
  </si>
  <si>
    <t>Kleinreith-Gewerbepark 12</t>
  </si>
  <si>
    <t>4694</t>
  </si>
  <si>
    <t>Kleinreith</t>
  </si>
  <si>
    <t>47.94043</t>
  </si>
  <si>
    <t>13.79005</t>
  </si>
  <si>
    <t>+43761265455</t>
  </si>
  <si>
    <t>office@tdach.at</t>
  </si>
  <si>
    <t>https://bilder.dasschnelle.at/DasSchnelle/50/5000/9886/041792/G_041792_P_906025168.adn.gif</t>
  </si>
  <si>
    <t>Zissler, Werner, Dr., Kinderfacharzt • Gmunden • Oberösterreich</t>
  </si>
  <si>
    <t>Ärzte / Fachärzte f. Kinder u. Jugendheilkunde • Zissler, Werner, Dr., Cumberlandstraße 6, Gmunden • Kontakt über aktuelle Telefonnummern ☎ und Adressen ⚑ mit Karte, Routing, Öffnungszeiten, Homepage, E-Mail, vCard und Firmendaten.</t>
  </si>
  <si>
    <t>Cumberlandstraße 6</t>
  </si>
  <si>
    <t>4810</t>
  </si>
  <si>
    <t>Gmunden</t>
  </si>
  <si>
    <t>47.92446</t>
  </si>
  <si>
    <t>13.80737</t>
  </si>
  <si>
    <t>+43761289893</t>
  </si>
  <si>
    <t>https://bilder.dasschnelle.at/DasSchnelle/50/5000/9886/041792/G_041792_P_906055564.adn.gif</t>
  </si>
  <si>
    <t>Tierambulanz Vorchdorf Sontas &amp; Sontas OG • Vorchdorf • Oberösterreich</t>
  </si>
  <si>
    <t>Tierärzte • Tierambulanz Vorchdorf Sontas &amp; Sontas OG, Neue Landstraße 1, Vorchdorf • Kontakt über aktuelle Telefonnummern ☎ und Adressen ⚑ mit Karte, Routing, Öffnungszeiten, Homepage, E-Mail, vCard und Firmendaten.</t>
  </si>
  <si>
    <t>Neue Landstraße 1</t>
  </si>
  <si>
    <t>4655</t>
  </si>
  <si>
    <t>Vorchdorf</t>
  </si>
  <si>
    <t>48.00088</t>
  </si>
  <si>
    <t>13.92528</t>
  </si>
  <si>
    <t>+4369912126409</t>
  </si>
  <si>
    <t>tierambulanz.vorchdorf@gmail.com</t>
  </si>
  <si>
    <t>https://bilder.dasschnelle.at/DasSchnelle/50/5000/9886/041807/G_041807_P_906059649.adn.gif</t>
  </si>
  <si>
    <t>FBInstallationen GmbH • Kirchham • Oberösterreich</t>
  </si>
  <si>
    <t>Kanalservice • FBInstallationen GmbH, Sonnenweg 16, Kirchham • Kontakt über aktuelle Telefonnummern ☎ und Adressen ⚑ mit Karte, Routing, Öffnungszeiten, Homepage, E-Mail, vCard und Firmendaten.</t>
  </si>
  <si>
    <t>Sonnenweg 16</t>
  </si>
  <si>
    <t>4656</t>
  </si>
  <si>
    <t>Kirchham</t>
  </si>
  <si>
    <t>47.97338</t>
  </si>
  <si>
    <t>13.89325</t>
  </si>
  <si>
    <t>+43761922171</t>
  </si>
  <si>
    <t>office@fbinstallationen.at</t>
  </si>
  <si>
    <t>https://bilder.dasschnelle.at/DasSchnelle/50/5000/9886/041797/I_041797_P_906069519_L_0037667472_1.png</t>
  </si>
  <si>
    <t>https://bilder.dasschnelle.at/DasSchnelle/50/5000/9886/041797/I_041797_P_906069519_B_0037667472_1.gal.png?height=298&amp;width=600;https://bilder.dasschnelle.at/DasSchnelle/50/5000/9886/041797/I_041797_P_906069519_B_0037667472_2.gal.png?height=262&amp;width=600;https://bilder.dasschnelle.at/DasSchnelle/50/5000/9886/041797/I_041797_P_906069519_B_0037667472_3.gal.png?height=245&amp;width=250;https://bilder.dasschnelle.at/DasSchnelle/50/5000/9886/041797/I_041797_P_906069519_B_0037667472_4.gal.png?height=334&amp;width=915</t>
  </si>
  <si>
    <t>Prochazka, C., Dr., FA für Zahn-, Mund- und Kieferheilkunde • Pinsdorf • Oberösterreich</t>
  </si>
  <si>
    <t>Ärzte / Fachärzte f. Mund-, Kiefer- u. Gesichtschirurgie • Prochazka, C., Dr., Vöcklabrucker Straße 24, Pinsdorf • Kontakt über aktuelle Telefonnummern ☎ und Adressen ⚑ mit Karte, Routing, Öffnungszeiten, Homepage, E-Mail, vCard und Firmendaten.</t>
  </si>
  <si>
    <t>Vöcklabrucker Straße 24</t>
  </si>
  <si>
    <t>4812</t>
  </si>
  <si>
    <t>Pinsdorf</t>
  </si>
  <si>
    <t>47.93182</t>
  </si>
  <si>
    <t>13.76779</t>
  </si>
  <si>
    <t>+43761271222</t>
  </si>
  <si>
    <t>https://bilder.dasschnelle.at/DasSchnelle/50/5000/9886/041801/G_041801_P_906044233.adn.gif</t>
  </si>
  <si>
    <t>Kreuzer GmbH, Kachelöfen • Laakirchen • Oberösterreich</t>
  </si>
  <si>
    <t>Kachelöfen • Kreuzer GmbH, Melkusstraße 11, Laakirchen • Kontakt über aktuelle Telefonnummern ☎ und Adressen ⚑ mit Karte, Routing, Öffnungszeiten, Homepage, E-Mail, vCard und Firmendaten.</t>
  </si>
  <si>
    <t>Melkusstraße 11</t>
  </si>
  <si>
    <t>4664</t>
  </si>
  <si>
    <t>Laakirchen</t>
  </si>
  <si>
    <t>47.95907</t>
  </si>
  <si>
    <t>13.81662</t>
  </si>
  <si>
    <t>+43761289608</t>
  </si>
  <si>
    <t>office@kreuzer-kachelofen.at</t>
  </si>
  <si>
    <t>https://bilder.dasschnelle.at/DasSchnelle/50/5000/9886/041798/G_041798_P_906052588.adn.gif</t>
  </si>
  <si>
    <t>Ahammer, Karl, Transporte • Altmünster • Oberösterreich</t>
  </si>
  <si>
    <t>Transportunternehmen • Ahammer, Karl, Maria Theresia-Straße 11, Altmünster • Kontakt über aktuelle Telefonnummern ☎ und Adressen ⚑ mit Karte, Routing, Öffnungszeiten, Homepage, E-Mail, vCard und Firmendaten.</t>
  </si>
  <si>
    <t>Maria Theresia-Straße 11</t>
  </si>
  <si>
    <t>4813</t>
  </si>
  <si>
    <t>Altmünster</t>
  </si>
  <si>
    <t>47.89732</t>
  </si>
  <si>
    <t>13.75971</t>
  </si>
  <si>
    <t>+43761287135</t>
  </si>
  <si>
    <t>k.ahammer@gmx.at</t>
  </si>
  <si>
    <t>https://bilder.dasschnelle.at/DasSchnelle/50/5000/9886/041788/G_041788_P_906027512.adn.gif</t>
  </si>
  <si>
    <t>Inkassodienst Hillinger GmbH • Gmunden • Oberösterreich</t>
  </si>
  <si>
    <t>Inkassoinstitute • Inkassodienst Hillinger GmbH, An der Marienbrücke 6, Gmunden • Kontakt über aktuelle Telefonnummern ☎ und Adressen ⚑ mit Karte, Routing, Öffnungszeiten, Homepage, E-Mail, vCard und Firmendaten.</t>
  </si>
  <si>
    <t>An der Marienbrücke 6</t>
  </si>
  <si>
    <t>47.93213</t>
  </si>
  <si>
    <t>13.79736</t>
  </si>
  <si>
    <t>+437612758000</t>
  </si>
  <si>
    <t>paul.mayr-huber@idh.at</t>
  </si>
  <si>
    <t>https://bilder.dasschnelle.at/DasSchnelle/50/5000/9886/041792/G_041792_P_906006213.adn.gif</t>
  </si>
  <si>
    <t>REIFENTEAM Montage und Service GmbH, Reifen • Gmunden • Oberösterreich</t>
  </si>
  <si>
    <t>Reifenhandel, Reifenservice • REIFENTEAM Montage und Service GmbH, Neuhofenstraße 37, Gmunden • Kontakt über aktuelle Telefonnummern ☎ und Adressen ⚑ mit Karte, Routing, Öffnungszeiten, Homepage, E-Mail, vCard und Firmendaten.</t>
  </si>
  <si>
    <t>Neuhofenstraße 37</t>
  </si>
  <si>
    <t>47.9319500</t>
  </si>
  <si>
    <t>13.7809300</t>
  </si>
  <si>
    <t>+43761277979</t>
  </si>
  <si>
    <t>office@reifenteam-gmunden.at</t>
  </si>
  <si>
    <t>HRK Montagen • Laakirchen • Oberösterreich</t>
  </si>
  <si>
    <t>Montagen u. Montagetechnik • HRK Montagen, Hitzenbergerweg 1 /3, Laakirchen • Kontakt über aktuelle Telefonnummern ☎ und Adressen ⚑ mit Karte, Routing, Öffnungszeiten, Homepage, E-Mail, vCard und Firmendaten.</t>
  </si>
  <si>
    <t>Hitzenbergerweg 1 /3</t>
  </si>
  <si>
    <t>4663</t>
  </si>
  <si>
    <t>47.9836900</t>
  </si>
  <si>
    <t>13.8251900</t>
  </si>
  <si>
    <t>+436802054751</t>
  </si>
  <si>
    <t>hrk-montagen@gmx.at</t>
  </si>
  <si>
    <t>https://bilder.dasschnelle.at/DasSchnelle/50/5000/9886/041798/I_041798_P_906060766_L_0038797037_1.png</t>
  </si>
  <si>
    <t>https://bilder.dasschnelle.at/DasSchnelle/50/5000/9886/041798/I_041798_P_906060766_B_0038797037_1.gal.png?height=600&amp;width=450;https://bilder.dasschnelle.at/DasSchnelle/50/5000/9886/041798/I_041798_P_906060766_B_0038797037_2.gal.png?height=600&amp;width=600;https://bilder.dasschnelle.at/DasSchnelle/50/5000/9886/041798/I_041798_P_906060766_B_0038797037_3.gal.png?height=600&amp;width=600;https://bilder.dasschnelle.at/DasSchnelle/50/5000/9886/041798/I_041798_P_906060766_B_0038797037_4.gal.png?height=600&amp;width=600</t>
  </si>
  <si>
    <t>Drack Maler und Bodenleger GmbH • Grünau im Almtal • Oberösterreich</t>
  </si>
  <si>
    <t>Fassadengestaltung, Malereibetriebe, Sonnenschutz • Drack Maler und Bodenleger GmbH, Landstraße 51, Grünau im Almtal • Kontakt über aktuelle Telefonnummern ☎ und Adressen ⚑ mit Karte, Routing, Öffnungszeiten, Homepage, E-Mail, vCard und Firmendaten.</t>
  </si>
  <si>
    <t>Landstraße 51</t>
  </si>
  <si>
    <t>4645</t>
  </si>
  <si>
    <t>Grünau im Almtal</t>
  </si>
  <si>
    <t>47.8619</t>
  </si>
  <si>
    <t>13.94828</t>
  </si>
  <si>
    <t>+4376166001</t>
  </si>
  <si>
    <t>marita@drack.at</t>
  </si>
  <si>
    <t>https://bilder.dasschnelle.at/DasSchnelle/50/5000/9886/041794/G_041794_P_905947180.adn.gif</t>
  </si>
  <si>
    <t>Ramsimmer, Verena, Hair 2B, Friseur • Roitham am Traunfall • Oberösterreich</t>
  </si>
  <si>
    <t>Friseure • Ramsimmer, Verena, Hair 2B, Gemeindeplatz 14, Roitham am Traunfall • Kontakt über aktuelle Telefonnummern ☎ und Adressen ⚑ mit Karte, Routing, Öffnungszeiten, Homepage, E-Mail, vCard und Firmendaten.</t>
  </si>
  <si>
    <t>Gemeindeplatz 14</t>
  </si>
  <si>
    <t>4661</t>
  </si>
  <si>
    <t>Roitham am Traunfall</t>
  </si>
  <si>
    <t>48.0241762</t>
  </si>
  <si>
    <t>13.8212897</t>
  </si>
  <si>
    <t>+4376135678</t>
  </si>
  <si>
    <t>hair2b.vh@gmail.com</t>
  </si>
  <si>
    <t>https://bilder.dasschnelle.at/DasSchnelle/50/5000/9886/041802/G_041802_P_906266789.adn.gif</t>
  </si>
  <si>
    <t>Ornella Hairstyling, Friseure • Gmunden • Oberösterreich</t>
  </si>
  <si>
    <t>Friseure • Ornella Hairstyling, Klosterplatz 3, Gmunden • Kontakt über aktuelle Telefonnummern ☎ und Adressen ⚑ mit Karte, Routing, Öffnungszeiten, Homepage, E-Mail, vCard und Firmendaten.</t>
  </si>
  <si>
    <t>Klosterplatz 3</t>
  </si>
  <si>
    <t>47.91751</t>
  </si>
  <si>
    <t>13.80418</t>
  </si>
  <si>
    <t>+43761264548</t>
  </si>
  <si>
    <t>o.harstyling@gmx.at</t>
  </si>
  <si>
    <t>https://bilder.dasschnelle.at/DasSchnelle/50/5000/9886/041792/I_041792_P_906033823_L_0037078565_1.png</t>
  </si>
  <si>
    <t>https://bilder.dasschnelle.at/DasSchnelle/50/5000/9886/041792/I_041792_P_906033823_B_0037078565_1.gal.png?height=720&amp;width=720;https://bilder.dasschnelle.at/DasSchnelle/50/5000/9886/041792/I_041792_P_906033823_B_0037078565_2.gal.png?height=540&amp;width=720;https://bilder.dasschnelle.at/DasSchnelle/50/5000/9886/041792/I_041792_P_906033823_B_0037078565_3.gal.png?height=543&amp;width=720;https://bilder.dasschnelle.at/DasSchnelle/50/5000/9886/041792/I_041792_P_906033823_B_0037078565_4.gal.png?height=720&amp;width=720</t>
  </si>
  <si>
    <t>Baumann, Silvia, Bestattung • Pinsdorf • Oberösterreich</t>
  </si>
  <si>
    <t>Bestattungsunternehmen • Baumann, Silvia, Steinbichlstraße 52, Pinsdorf • Kontakt über aktuelle Telefonnummern ☎ und Adressen ⚑ mit Karte, Routing, Öffnungszeiten, Homepage, E-Mail, vCard und Firmendaten.</t>
  </si>
  <si>
    <t>Steinbichlstraße 52</t>
  </si>
  <si>
    <t>47.92543</t>
  </si>
  <si>
    <t>13.7737</t>
  </si>
  <si>
    <t>+43761267376;+436649877311</t>
  </si>
  <si>
    <t>office@bestattung-baumann.at</t>
  </si>
  <si>
    <t>https://bilder.dasschnelle.at/DasSchnelle/50/5000/9886/041801/G_041801_P_906231137.adn.gif</t>
  </si>
  <si>
    <t>Schreiner, Christine, Massageinstitut • Traunkirchen • Oberösterreich</t>
  </si>
  <si>
    <t>Massagen • Schreiner, Christine, Schöffbenkerstraße 27, Traunkirchen • Kontakt über aktuelle Telefonnummern ☎ und Adressen ⚑ mit Karte, Routing, Öffnungszeiten, Homepage, E-Mail, vCard und Firmendaten.</t>
  </si>
  <si>
    <t>Schöffbenkerstraße 27</t>
  </si>
  <si>
    <t>4801</t>
  </si>
  <si>
    <t>Traunkirchen</t>
  </si>
  <si>
    <t>47.8538900</t>
  </si>
  <si>
    <t>13.7658500</t>
  </si>
  <si>
    <t>+43761720029</t>
  </si>
  <si>
    <t>schreiner@bitter.at</t>
  </si>
  <si>
    <t>https://bilder.dasschnelle.at/DasSchnelle/50/5000/9886/041805/G_041805_P_906281383.adn.gif</t>
  </si>
  <si>
    <t>Siller-Prenner Nicole, Groß Leonhard, Physiopark, Physiotherapie • Ebensee • Oberösterreich</t>
  </si>
  <si>
    <t>Physiotherapie • Siller-Prenner Nicole, Groß Leonhard, Physiopark, Langbathstraße 10, Ebensee • Kontakt über aktuelle Telefonnummern ☎ und Adressen ⚑ mit Karte, Routing, Öffnungszeiten, Homepage, E-Mail, vCard und Firmendaten.</t>
  </si>
  <si>
    <t>Langbathstraße 10</t>
  </si>
  <si>
    <t>4802</t>
  </si>
  <si>
    <t>Ebensee</t>
  </si>
  <si>
    <t>47.81293</t>
  </si>
  <si>
    <t>13.77122</t>
  </si>
  <si>
    <t>+43613340220</t>
  </si>
  <si>
    <t>office@physiopark.at</t>
  </si>
  <si>
    <t>https://bilder.dasschnelle.at/DasSchnelle/50/5000/9886/041791/I_041791_P_906064395_L_0035974139_1.png</t>
  </si>
  <si>
    <t>https://bilder.dasschnelle.at/DasSchnelle/50/5000/9886/041791/I_041791_P_906064395_B_0035974139_1.gal.png?height=398&amp;width=600;https://bilder.dasschnelle.at/DasSchnelle/50/5000/9886/041791/I_041791_P_906064395_B_0035974139_2.gal.png?height=398&amp;width=600;https://bilder.dasschnelle.at/DasSchnelle/50/5000/9886/041791/I_041791_P_906064395_B_0035974139_3.gal.png?height=600&amp;width=398;https://bilder.dasschnelle.at/DasSchnelle/50/5000/9886/041791/I_041791_P_906064395_B_0035974139_4.gal.png?height=398&amp;width=600</t>
  </si>
  <si>
    <t>Lions Deligths, China-Restaurant • Altmünster • Oberösterreich</t>
  </si>
  <si>
    <t>China-Restaurants • Lions Deligths, Maria-Theresia-Straße 4, Altmünster • Kontakt über aktuelle Telefonnummern ☎ und Adressen ⚑ mit Karte, Routing, Öffnungszeiten, Homepage, E-Mail, vCard und Firmendaten.</t>
  </si>
  <si>
    <t>Maria-Theresia-Straße 4</t>
  </si>
  <si>
    <t>47.89715</t>
  </si>
  <si>
    <t>13.76084</t>
  </si>
  <si>
    <t>+43761287361</t>
  </si>
  <si>
    <t>kangmao.chen@icloud.com</t>
  </si>
  <si>
    <t>https://bilder.dasschnelle.at/DasSchnelle/50/5000/9886/041788/G_041788_P_906258931.adn.gif</t>
  </si>
  <si>
    <t>Schober, B., Dr. • Gmunden • Oberösterreich</t>
  </si>
  <si>
    <t>Ärzte / Fachärzte f. Haut u. Geschlechtskrankheiten • Schober, B., Dr., Franz Reisenbichler-Straße 15, Gmunden • Kontakt über aktuelle Telefonnummern ☎ und Adressen ⚑ mit Karte, Routing, Öffnungszeiten, Homepage, E-Mail, vCard und Firmendaten.</t>
  </si>
  <si>
    <t>Franz Reisenbichler-Straße 15</t>
  </si>
  <si>
    <t>47.9147624</t>
  </si>
  <si>
    <t>13.7866108</t>
  </si>
  <si>
    <t>+436766906010</t>
  </si>
  <si>
    <t>ordination@schober-dermatologie.at</t>
  </si>
  <si>
    <t>https://bilder.dasschnelle.at/DasSchnelle/50/5000/9886/998226/I_998226_P_906061724_L_0036891949_1.png</t>
  </si>
  <si>
    <t>https://bilder.dasschnelle.at/DasSchnelle/50/5000/9886/998226/I_998226_P_906061724_B_0036891949_1.gal.png?height=384&amp;width=384;https://bilder.dasschnelle.at/DasSchnelle/50/5000/9886/998226/I_998226_P_906061724_B_0036891949_2.gal.png?height=384&amp;width=384;https://bilder.dasschnelle.at/DasSchnelle/50/5000/9886/998226/I_998226_P_906061724_B_0036891949_3.gal.png?height=384&amp;width=384;https://bilder.dasschnelle.at/DasSchnelle/50/5000/9886/998226/I_998226_P_906061724_B_0036891949_4.gal.png?height=384&amp;width=384</t>
  </si>
  <si>
    <t>Putz HOLDING GesmbH &amp; Co KG • Gmunden • Oberösterreich</t>
  </si>
  <si>
    <t>Glasbau • Putz HOLDING GesmbH &amp; Co KG, Neuhofenstraße 35, Gmunden • Kontakt über aktuelle Telefonnummern ☎ und Adressen ⚑ mit Karte, Routing, Öffnungszeiten, Homepage, E-Mail, vCard und Firmendaten.</t>
  </si>
  <si>
    <t>Neuhofenstraße 35</t>
  </si>
  <si>
    <t>47.93187</t>
  </si>
  <si>
    <t>13.78155</t>
  </si>
  <si>
    <t>+43761277077</t>
  </si>
  <si>
    <t>putzglasbau@aon.at</t>
  </si>
  <si>
    <t>https://bilder.dasschnelle.at/DasSchnelle/50/5000/9886/041801/G_041801_P_906282723.adn.gif</t>
  </si>
  <si>
    <t>Stadlhuber, Dietmar, Malermeister • Altmünster • Oberösterreich</t>
  </si>
  <si>
    <t>Malereibetriebe • Stadlhuber, Dietmar, Buchbergstraße 94, Altmünster • Kontakt über aktuelle Telefonnummern ☎ und Adressen ⚑ mit Karte, Routing, Öffnungszeiten, Homepage, E-Mail, vCard und Firmendaten.</t>
  </si>
  <si>
    <t>Buchbergstraße 94</t>
  </si>
  <si>
    <t>47.86414</t>
  </si>
  <si>
    <t>13.74747</t>
  </si>
  <si>
    <t>+4376172899</t>
  </si>
  <si>
    <t>std@aon.at</t>
  </si>
  <si>
    <t>https://bilder.dasschnelle.at/DasSchnelle/50/5000/9886/041788/I_041788_P_905997234_L_0035999693_1.png</t>
  </si>
  <si>
    <t>https://bilder.dasschnelle.at/DasSchnelle/50/5000/9886/041788/I_041788_P_905997234_B_0035999693_1.gal.png?height=450&amp;width=285;https://bilder.dasschnelle.at/DasSchnelle/50/5000/9886/041788/I_041788_P_905997234_B_0035999693_2.gal.png?height=350&amp;width=1000;https://bilder.dasschnelle.at/DasSchnelle/50/5000/9886/041788/I_041788_P_905997234_B_0035999693_3.gal.png?height=350&amp;width=1000;https://bilder.dasschnelle.at/DasSchnelle/50/5000/9886/041788/I_041788_P_905997234_B_0035999693_4.gal.png?height=350&amp;width=1000</t>
  </si>
  <si>
    <t>Mag. Gerlinde Stropek, Lebens- und Sozialberaterin • Gmunden • Oberösterreich</t>
  </si>
  <si>
    <t>Lebens- u. Sozialberatung • Mag. Gerlinde Stropek, Hofgarten 19C, Gmunden • Kontakt über aktuelle Telefonnummern ☎ und Adressen ⚑ mit Karte, Routing, Öffnungszeiten, Homepage, E-Mail, vCard und Firmendaten.</t>
  </si>
  <si>
    <t>Hofgarten 19C</t>
  </si>
  <si>
    <t>47.9267732</t>
  </si>
  <si>
    <t>13.8094495</t>
  </si>
  <si>
    <t>+436641202408</t>
  </si>
  <si>
    <t>info@kunst-leben.at</t>
  </si>
  <si>
    <t>https://bilder.dasschnelle.at/DasSchnelle/50/5000/9886/041792/I_041792_P_906052949_L_0035970085_1.png</t>
  </si>
  <si>
    <t>https://bilder.dasschnelle.at/DasSchnelle/50/5000/9886/041792/I_041792_P_906052949_B_0035970085_1.gal.png?height=600&amp;width=400;https://bilder.dasschnelle.at/DasSchnelle/50/5000/9886/041792/I_041792_P_906052949_B_0035970085_2.gal.png?height=600&amp;width=399;https://bilder.dasschnelle.at/DasSchnelle/50/5000/9886/041792/I_041792_P_906052949_B_0035970085_3.gal.png?height=399&amp;width=600;https://bilder.dasschnelle.at/DasSchnelle/50/5000/9886/041792/I_041792_P_906052949_B_0035970085_4.gal.png?height=411&amp;width=600</t>
  </si>
  <si>
    <t>Jahn, Alexander, Dr., Arzt für Allgemeinmedizin • Laakirchen • Oberösterreich</t>
  </si>
  <si>
    <t>Ärzte / f Allgemeinmedizin • Jahn, Alexander, Dr., Pfarrhofgasse 2, Laakirchen • Kontakt über aktuelle Telefonnummern ☎ und Adressen ⚑ mit Karte, Routing, Öffnungszeiten, Homepage, E-Mail, vCard und Firmendaten.</t>
  </si>
  <si>
    <t>Pfarrhofgasse 2</t>
  </si>
  <si>
    <t>47.98268</t>
  </si>
  <si>
    <t>13.82312</t>
  </si>
  <si>
    <t>+43761344908</t>
  </si>
  <si>
    <t>ordination@drjahn.at</t>
  </si>
  <si>
    <t>https://bilder.dasschnelle.at/DasSchnelle/50/5000/9886/041798/G_041798_P_906281380.adn.gif</t>
  </si>
  <si>
    <t>Barlian GmbH, Gas-Wasser-Heizung • Gschwandt • Oberösterreich</t>
  </si>
  <si>
    <t>Installationsunternehmen • Barlian GmbH, Baumgarten 44, Gschwandt • Kontakt über aktuelle Telefonnummern ☎ und Adressen ⚑ mit Karte, Routing, Öffnungszeiten, Homepage, E-Mail, vCard und Firmendaten.</t>
  </si>
  <si>
    <t>Baumgarten 44</t>
  </si>
  <si>
    <t>4816</t>
  </si>
  <si>
    <t>Gschwandt</t>
  </si>
  <si>
    <t>47.92848</t>
  </si>
  <si>
    <t>13.82672</t>
  </si>
  <si>
    <t>+43761276576</t>
  </si>
  <si>
    <t>office@barlian.at</t>
  </si>
  <si>
    <t>https://bilder.dasschnelle.at/DasSchnelle/50/5000/9886/041795/I_041795_P_906045630_L_0038048383_1.png</t>
  </si>
  <si>
    <t>https://bilder.dasschnelle.at/DasSchnelle/50/5000/9886/041795/I_041795_P_906045630_B_0038048383_1.gal.png?height=450&amp;width=600;https://bilder.dasschnelle.at/DasSchnelle/50/5000/9886/041795/I_041795_P_906045630_B_0038048383_2.gal.png?height=539&amp;width=720;https://bilder.dasschnelle.at/DasSchnelle/50/5000/9886/041795/I_041795_P_906045630_B_0038048383_3.gal.png?height=720&amp;width=720;https://bilder.dasschnelle.at/DasSchnelle/50/5000/9886/041795/I_041795_P_906045630_B_0038048383_4.gal.png?height=600&amp;width=600</t>
  </si>
  <si>
    <t>Berger, Willibald, Mag., RA • Marchtrenk • Oberösterreich</t>
  </si>
  <si>
    <t>Rechtsanwälte • Berger, Willibald, Mag., Linzer Straße 11, Marchtrenk • Kontakt über aktuelle Telefonnummern ☎ und Adressen ⚑ mit Karte, Routing, Öffnungszeiten, Homepage, E-Mail, vCard und Firmendaten.</t>
  </si>
  <si>
    <t>Linzer Straße 11</t>
  </si>
  <si>
    <t>Marchtrenk</t>
  </si>
  <si>
    <t>48.19052</t>
  </si>
  <si>
    <t>14.11312</t>
  </si>
  <si>
    <t>+437243537050</t>
  </si>
  <si>
    <t>office@rae.co.at</t>
  </si>
  <si>
    <t>https://bilder.dasschnelle.at/DasSchnelle/50/5000/9869/041809/I_041809_P_905913201_L_0036253263_1.png</t>
  </si>
  <si>
    <t>https://bilder.dasschnelle.at/DasSchnelle/50/5000/9869/041809/I_041809_P_905913201_B_0036253263_1.gal.png?height=600&amp;width=600</t>
  </si>
  <si>
    <t>Ausseerland Immobilien GmbH • Bad Aussee • Steiermark</t>
  </si>
  <si>
    <t>Bauunternehmen, Immobilien, Vermögens- u. Anlagenberatung • Ausseerland Immobilien GmbH, Ischler Straße 209, Bad Aussee • Kontakt über aktuelle Telefonnummern ☎ und Adressen ⚑ mit Karte, Routing, Öffnungszeiten, Homepage, E-Mail, vCard und Firmendaten.</t>
  </si>
  <si>
    <t>Ischler Straße 209</t>
  </si>
  <si>
    <t>47.60973</t>
  </si>
  <si>
    <t>13.78073</t>
  </si>
  <si>
    <t>+43362253744</t>
  </si>
  <si>
    <t>office@salzkammergut-immobilien.at</t>
  </si>
  <si>
    <t>https://bilder.dasschnelle.at/DasSchnelle/50/5000/9868/044351/G_044351_P_906244487.adn.gif</t>
  </si>
  <si>
    <t>Marcik GmbH • Waidhofen • Niederösterreich</t>
  </si>
  <si>
    <t>Haustechnik • Marcik GmbH, Weyrerstraße 1, Waidhofen • Kontakt über aktuelle Telefonnummern ☎ und Adressen ⚑ mit Karte, Routing, Öffnungszeiten, Homepage, E-Mail, vCard und Firmendaten.</t>
  </si>
  <si>
    <t>Weyrerstraße 1</t>
  </si>
  <si>
    <t>47.9580788</t>
  </si>
  <si>
    <t>14.7727694</t>
  </si>
  <si>
    <t>+43744252278</t>
  </si>
  <si>
    <t>+4374425227822</t>
  </si>
  <si>
    <t>info@marcik.at</t>
  </si>
  <si>
    <t>https://bilder.dasschnelle.at/DasSchnelle/50/5000/9866/042059/G_042059_P_906142636.adn.gif</t>
  </si>
  <si>
    <t>Roth Eva e.U., Raumaustattung • Bad Goisern • Oberösterreich</t>
  </si>
  <si>
    <t>Malereibetriebe • Roth Eva e.U., Wirerstubenstraße 3, Bad Goisern • Kontakt über aktuelle Telefonnummern ☎ und Adressen ⚑ mit Karte, Routing, Öffnungszeiten, Homepage, E-Mail, vCard und Firmendaten.</t>
  </si>
  <si>
    <t>Wirerstubenstraße 3</t>
  </si>
  <si>
    <t>47.7097600</t>
  </si>
  <si>
    <t>13.6182900</t>
  </si>
  <si>
    <t>+4361357272</t>
  </si>
  <si>
    <t>bettina.roth@harmoniederfarben.at</t>
  </si>
  <si>
    <t>https://bilder.dasschnelle.at/DasSchnelle/50/5000/9868/041789/I_041789_P_906013287_L_0036242932_1.png</t>
  </si>
  <si>
    <t>https://bilder.dasschnelle.at/DasSchnelle/50/5000/9868/041789/I_041789_P_906013287_B_0036242932_1.gal.png?height=693&amp;width=700;https://bilder.dasschnelle.at/DasSchnelle/50/5000/9868/041789/I_041789_P_906013287_B_0036242932_2.gal.png?height=690&amp;width=700;https://bilder.dasschnelle.at/DasSchnelle/50/5000/9868/041789/I_041789_P_906013287_B_0036242932_3.gal.png?height=700&amp;width=700;https://bilder.dasschnelle.at/DasSchnelle/50/5000/9868/041789/I_041789_P_906013287_B_0036242932_4.gal.png?height=712&amp;width=700;https://bilder.dasschnelle.at/DasSchnelle/50/5000/9868/041789/G_041789_P_906246410.adn.gif</t>
  </si>
  <si>
    <t>Neureiter Martin GesmbH &amp; Co. KG, Maler • Bad Ischl • Oberösterreich</t>
  </si>
  <si>
    <t>Malereibetriebe • Neureiter Martin GesmbH &amp; Co. KG, Sattelaustraße 14, Bad Ischl • Kontakt über aktuelle Telefonnummern ☎ und Adressen ⚑ mit Karte, Routing, Öffnungszeiten, Homepage, E-Mail, vCard und Firmendaten.</t>
  </si>
  <si>
    <t>Sattelaustraße 14</t>
  </si>
  <si>
    <t>47.72977</t>
  </si>
  <si>
    <t>13.65828</t>
  </si>
  <si>
    <t>+43613223446;+436642664614</t>
  </si>
  <si>
    <t>martin.neureiter@utanet.at</t>
  </si>
  <si>
    <t>https://bilder.dasschnelle.at/DasSchnelle/50/5000/9868/041790/I_041790_P_906011679_L_0036737978_1.png</t>
  </si>
  <si>
    <t>https://bilder.dasschnelle.at/DasSchnelle/50/5000/9868/041790/I_041790_P_906011679_B_0036737978_1.gal.png?height=540&amp;width=720;https://bilder.dasschnelle.at/DasSchnelle/50/5000/9868/041790/I_041790_P_906011679_B_0036737978_2.gal.png?height=364&amp;width=720;https://bilder.dasschnelle.at/DasSchnelle/50/5000/9868/041790/I_041790_P_906011679_B_0036737978_3.gal.png?height=481&amp;width=720;https://bilder.dasschnelle.at/DasSchnelle/50/5000/9868/041790/G_041790_P_906245826.adn.gif</t>
  </si>
  <si>
    <t>Weiss Autohaus GmbH • Schrems • Niederösterreich</t>
  </si>
  <si>
    <t>Autohäuser • Weiss Autohaus GmbH, Horner Straße 25, Schrems • Kontakt über aktuelle Telefonnummern ☎ und Adressen ⚑ mit Karte, Routing, Öffnungszeiten, Homepage, E-Mail, vCard und Firmendaten.</t>
  </si>
  <si>
    <t>Horner Straße 25</t>
  </si>
  <si>
    <t>3943</t>
  </si>
  <si>
    <t>Schrems</t>
  </si>
  <si>
    <t>48.7916500</t>
  </si>
  <si>
    <t>15.0781400</t>
  </si>
  <si>
    <t>+43285377278</t>
  </si>
  <si>
    <t>autohaus@weiss-schrems.at</t>
  </si>
  <si>
    <t>https://bilder.dasschnelle.at/DasSchnelle/50/5000/9885/045538/G_045538_P_906294867.adn.gif</t>
  </si>
  <si>
    <t>Kaufmann, Gasthof • Litschau • Niederösterreich</t>
  </si>
  <si>
    <t>Gastgewerbe - Gasthöfe • Kaufmann, Stadtplatz 88, Litschau • Kontakt über aktuelle Telefonnummern ☎ und Adressen ⚑ mit Karte, Routing, Öffnungszeiten, Homepage, E-Mail, vCard und Firmendaten.</t>
  </si>
  <si>
    <t>Stadtplatz 88</t>
  </si>
  <si>
    <t>3874</t>
  </si>
  <si>
    <t>Litschau</t>
  </si>
  <si>
    <t>48.94472</t>
  </si>
  <si>
    <t>15.04329</t>
  </si>
  <si>
    <t>+43286550560</t>
  </si>
  <si>
    <t>info@gasthof-kaufmann.at</t>
  </si>
  <si>
    <t>https://bilder.dasschnelle.at/DasSchnelle/50/5000/9885/045085/G_045085_P_906294851.adn.gif</t>
  </si>
  <si>
    <t>Aydar, Senol, Pizzeria • Neumarkt im Hausruckkreis • Oberösterreich</t>
  </si>
  <si>
    <t>Pizzerias • Aydar, Senol, Schulstraße 2, Neumarkt im Hausruckkreis • Kontakt über aktuelle Telefonnummern ☎ und Adressen ⚑ mit Karte, Routing, Öffnungszeiten, Homepage, E-Mail, vCard und Firmendaten.</t>
  </si>
  <si>
    <t>Schulstraße 2</t>
  </si>
  <si>
    <t>4720</t>
  </si>
  <si>
    <t>Neumarkt im Hausruckkreis</t>
  </si>
  <si>
    <t>48.27324</t>
  </si>
  <si>
    <t>13.72715</t>
  </si>
  <si>
    <t>+43773320743</t>
  </si>
  <si>
    <t>senol_aydar@hotmail.com</t>
  </si>
  <si>
    <t>https://bilder.dasschnelle.at/DasSchnelle/50/5000/9887/041964/G_041964_P_906198660.adn.gif</t>
  </si>
  <si>
    <t>Frauscher, Christian, Lackierbetrieb Frauscher, Lackierer • Neumarkt im Hausruckkreis • Oberösterreich</t>
  </si>
  <si>
    <t>Lackierereien • Frauscher, Christian, Lackierbetrieb Frauscher, Vormarkt 30, Neumarkt im Hausruckkreis • Kontakt über aktuelle Telefonnummern ☎ und Adressen ⚑ mit Karte, Routing, Öffnungszeiten, Homepage, E-Mail, vCard und Firmendaten.</t>
  </si>
  <si>
    <t>Vormarkt 30</t>
  </si>
  <si>
    <t>48.2762</t>
  </si>
  <si>
    <t>13.7223</t>
  </si>
  <si>
    <t>+43773320788</t>
  </si>
  <si>
    <t>frauscher.manuela@gmail.com</t>
  </si>
  <si>
    <t>https://bilder.dasschnelle.at/DasSchnelle/50/5000/9887/041964/I_041964_P_905990503_L_0035969799_1.png</t>
  </si>
  <si>
    <t>https://bilder.dasschnelle.at/DasSchnelle/50/5000/9887/041964/I_041964_P_905990503_B_0035969799_1.gal.png?height=600&amp;width=1000;https://bilder.dasschnelle.at/DasSchnelle/50/5000/9887/041964/I_041964_P_905990503_B_0035969799_2.gal.png?height=300&amp;width=400;https://bilder.dasschnelle.at/DasSchnelle/50/5000/9887/041964/I_041964_P_905990503_B_0035969799_3.gal.png?height=129&amp;width=389;https://bilder.dasschnelle.at/DasSchnelle/50/5000/9887/041964/I_041964_P_905990503_B_0035969799_4.gal.png?height=272&amp;width=400</t>
  </si>
  <si>
    <t>Strasser, Sandra, Friseur • Waizenkirchen • Oberösterreich</t>
  </si>
  <si>
    <t>Friseure • Strasser, Sandra, Kienzlstraße 14, Waizenkirchen • Kontakt über aktuelle Telefonnummern ☎ und Adressen ⚑ mit Karte, Routing, Öffnungszeiten, Homepage, E-Mail, vCard und Firmendaten.</t>
  </si>
  <si>
    <t>Kienzlstraße 14</t>
  </si>
  <si>
    <t>4730</t>
  </si>
  <si>
    <t>Waizenkirchen</t>
  </si>
  <si>
    <t>48.33084</t>
  </si>
  <si>
    <t>13.85604</t>
  </si>
  <si>
    <t>+4372772287</t>
  </si>
  <si>
    <t>haarmodenstrasser@penet.at</t>
  </si>
  <si>
    <t>https://bilder.dasschnelle.at/DasSchnelle/50/5000/9887/041977/G_041977_P_906192380.adn.gif</t>
  </si>
  <si>
    <t>Aichinger-Optik GesmbH • Grieskirchen • Oberösterreich</t>
  </si>
  <si>
    <t>Optik • Aichinger-Optik GesmbH, Roßmarkt 8, Grieskirchen • Kontakt über aktuelle Telefonnummern ☎ und Adressen ⚑ mit Karte, Routing, Öffnungszeiten, Homepage, E-Mail, vCard und Firmendaten.</t>
  </si>
  <si>
    <t>Roßmarkt 8</t>
  </si>
  <si>
    <t>48.23408</t>
  </si>
  <si>
    <t>13.83206</t>
  </si>
  <si>
    <t>+43724862175</t>
  </si>
  <si>
    <t>+43724862177</t>
  </si>
  <si>
    <t>grieskirchen@optik-aichinger.at</t>
  </si>
  <si>
    <t>https://bilder.dasschnelle.at/DasSchnelle/50/5000/9887/041815/G_041815_P_906183917.adn.gif</t>
  </si>
  <si>
    <t>Zauner Johann GmbH, Autohandel • Grieskirchen • Oberösterreich</t>
  </si>
  <si>
    <t>Autohandel • Zauner Johann GmbH, Wengerstraße 12, Grieskirchen • Kontakt über aktuelle Telefonnummern ☎ und Adressen ⚑ mit Karte, Routing, Öffnungszeiten, Homepage, E-Mail, vCard und Firmendaten.</t>
  </si>
  <si>
    <t>Wengerstraße 12</t>
  </si>
  <si>
    <t>48.23251</t>
  </si>
  <si>
    <t>13.82345</t>
  </si>
  <si>
    <t>+43724864991;+43724864992</t>
  </si>
  <si>
    <t>zj@peugeot-zauner.at</t>
  </si>
  <si>
    <t>https://bilder.dasschnelle.at/DasSchnelle/50/5000/9887/041815/G_041815_P_906186524.adn.gif</t>
  </si>
  <si>
    <t>Bind/Dallinger, Dagmar, Mag.med.vet., Tierarzt • Haag am Hausruck • Oberösterreich</t>
  </si>
  <si>
    <t>Tierärzte • Bind/Dallinger, Dagmar, Mag.med.vet., Dorf 5, Haag am Hausruck • Kontakt über aktuelle Telefonnummern ☎ und Adressen ⚑ mit Karte, Routing, Öffnungszeiten, Homepage, E-Mail, vCard und Firmendaten.</t>
  </si>
  <si>
    <t>Dorf 5</t>
  </si>
  <si>
    <t>4680</t>
  </si>
  <si>
    <t>Haag am Hausruck</t>
  </si>
  <si>
    <t>48.1961892</t>
  </si>
  <si>
    <t>13.6515966</t>
  </si>
  <si>
    <t>+436642525126</t>
  </si>
  <si>
    <t>https://bilder.dasschnelle.at/DasSchnelle/50/5000/9887/041816/G_041816_P_906216903.adn.gif</t>
  </si>
  <si>
    <t>Schatzl, Michaela, Gasthof-Fremdenzimmer • Grieskirchen • Oberösterreich</t>
  </si>
  <si>
    <t>Gastgewerbe - Gasthöfe • Schatzl, Michaela, Stadtplatz 2, Grieskirchen • Kontakt über aktuelle Telefonnummern ☎ und Adressen ⚑ mit Karte, Routing, Öffnungszeiten, Homepage, E-Mail, vCard und Firmendaten.</t>
  </si>
  <si>
    <t>Stadtplatz 2</t>
  </si>
  <si>
    <t>48.23485</t>
  </si>
  <si>
    <t>13.83132</t>
  </si>
  <si>
    <t>+43724862679</t>
  </si>
  <si>
    <t>buero@kirchenwirt-schatzl.at</t>
  </si>
  <si>
    <t>https://bilder.dasschnelle.at/DasSchnelle/50/5000/9887/041815/G_041815_P_906221523.adn.gif</t>
  </si>
  <si>
    <t>Redoit Metallbau GmbH • Natternbach • Oberösterreich</t>
  </si>
  <si>
    <t>Metallbau • Redoit Metallbau GmbH, Moosbachweg 5, Natternbach • Kontakt über aktuelle Telefonnummern ☎ und Adressen ⚑ mit Karte, Routing, Öffnungszeiten, Homepage, E-Mail, vCard und Firmendaten.</t>
  </si>
  <si>
    <t>Moosbachweg 5</t>
  </si>
  <si>
    <t>4723</t>
  </si>
  <si>
    <t>Natternbach</t>
  </si>
  <si>
    <t>48.38571</t>
  </si>
  <si>
    <t>13.75009</t>
  </si>
  <si>
    <t>+43727820244;+436644101670;+436643074871</t>
  </si>
  <si>
    <t>verkauf@redoit.at</t>
  </si>
  <si>
    <t>https://bilder.dasschnelle.at/DasSchnelle/50/5000/9887/041962/G_041962_P_906199330.adn.gif</t>
  </si>
  <si>
    <t>Manigatterer, Carina, Friseure • Neukirchen am Walde • Oberösterreich</t>
  </si>
  <si>
    <t>Friseure • Manigatterer, Carina, Marktplatz 28, Neukirchen am Walde • Kontakt über aktuelle Telefonnummern ☎ und Adressen ⚑ mit Karte, Routing, Öffnungszeiten, Homepage, E-Mail, vCard und Firmendaten.</t>
  </si>
  <si>
    <t>Marktplatz 28</t>
  </si>
  <si>
    <t>4724</t>
  </si>
  <si>
    <t>Neukirchen am Walde</t>
  </si>
  <si>
    <t>48.40486</t>
  </si>
  <si>
    <t>13.78104</t>
  </si>
  <si>
    <t>+4372783028</t>
  </si>
  <si>
    <t>salon@haarvision.at</t>
  </si>
  <si>
    <t>https://bilder.dasschnelle.at/DasSchnelle/50/5000/9887/041963/G_041963_P_906199333.adn.gif</t>
  </si>
  <si>
    <t>Kreuzwieser, Susanne, Friseure • Peuerbach • Oberösterreich</t>
  </si>
  <si>
    <t>Friseure • Kreuzwieser, Susanne, Graben 5, Peuerbach • Kontakt über aktuelle Telefonnummern ☎ und Adressen ⚑ mit Karte, Routing, Öffnungszeiten, Homepage, E-Mail, vCard und Firmendaten.</t>
  </si>
  <si>
    <t>Graben 5</t>
  </si>
  <si>
    <t>4722</t>
  </si>
  <si>
    <t>Peuerbach</t>
  </si>
  <si>
    <t>48.34542</t>
  </si>
  <si>
    <t>13.77111</t>
  </si>
  <si>
    <t>+4372762801</t>
  </si>
  <si>
    <t>susanne.kreuzwieser@a1.net</t>
  </si>
  <si>
    <t>https://bilder.dasschnelle.at/DasSchnelle/50/5000/9887/041965/G_041965_P_906198654.adn.gif</t>
  </si>
  <si>
    <t>BARTH GMBH &amp; CO KG, Transporte • Neukirchen am Walde • Oberösterreich</t>
  </si>
  <si>
    <t>Transportunternehmen • BARTH GMBH &amp; CO KG, Hauserstraße 2, Neukirchen am Walde • Kontakt über aktuelle Telefonnummern ☎ und Adressen ⚑ mit Karte, Routing, Öffnungszeiten, Homepage, E-Mail, vCard und Firmendaten.</t>
  </si>
  <si>
    <t>Hauserstraße 2</t>
  </si>
  <si>
    <t>48.40588</t>
  </si>
  <si>
    <t>13.77912</t>
  </si>
  <si>
    <t>+43727832020</t>
  </si>
  <si>
    <t>office@barth-handel-trans.at</t>
  </si>
  <si>
    <t>https://bilder.dasschnelle.at/DasSchnelle/50/5000/9887/041963/G_041963_P_906199334.adn.gif</t>
  </si>
  <si>
    <t>Greiml Wolfgang, Isolierungen GesmbH &amp; Co KG, Isolierungen • Waizenkirchen • Oberösterreich</t>
  </si>
  <si>
    <t>Isolierungen • Greiml Wolfgang, Isolierungen GesmbH &amp; Co KG, Wiesmühle 4, Waizenkirchen • Kontakt über aktuelle Telefonnummern ☎ und Adressen ⚑ mit Karte, Routing, Öffnungszeiten, Homepage, E-Mail, vCard und Firmendaten.</t>
  </si>
  <si>
    <t>Wiesmühle 4</t>
  </si>
  <si>
    <t>48.33449</t>
  </si>
  <si>
    <t>13.85836</t>
  </si>
  <si>
    <t>+43727724010</t>
  </si>
  <si>
    <t>+437277240120</t>
  </si>
  <si>
    <t>isolierungen@greiml.at</t>
  </si>
  <si>
    <t>https://bilder.dasschnelle.at/DasSchnelle/50/5000/9887/041977/I_041977_P_905964525_L_0036234822_1.png</t>
  </si>
  <si>
    <t>https://bilder.dasschnelle.at/DasSchnelle/50/5000/9887/041977/I_041977_P_905964525_B_0036234822_1.gal.png?height=249&amp;width=600;https://bilder.dasschnelle.at/DasSchnelle/50/5000/9887/041977/I_041977_P_905964525_B_0036234822_2.gal.png?height=249&amp;width=600;https://bilder.dasschnelle.at/DasSchnelle/50/5000/9887/041977/I_041977_P_905964525_B_0036234822_3.gal.png?height=249&amp;width=600;https://bilder.dasschnelle.at/DasSchnelle/50/5000/9887/041977/I_041977_P_905964525_B_0036234822_4.gal.png?height=249&amp;width=600;https://bilder.dasschnelle.at/DasSchnelle/50/5000/9887/041977/G_041977_P_906202850.adn.gif</t>
  </si>
  <si>
    <t>TSCHAPO Kisa e.U., Pizzeria • Waizenkirchen • Oberösterreich</t>
  </si>
  <si>
    <t>Pizzerias • TSCHAPO Kisa e.U., Marktplatz 12, Waizenkirchen • Kontakt über aktuelle Telefonnummern ☎ und Adressen ⚑ mit Karte, Routing, Öffnungszeiten, Homepage, E-Mail, vCard und Firmendaten.</t>
  </si>
  <si>
    <t>Marktplatz 12</t>
  </si>
  <si>
    <t>48.32937</t>
  </si>
  <si>
    <t>13.85599</t>
  </si>
  <si>
    <t>+43727736789</t>
  </si>
  <si>
    <t>erol.kisa@aon.at</t>
  </si>
  <si>
    <t>https://bilder.dasschnelle.at/DasSchnelle/50/5000/9887/041977/G_041977_P_906203527.adn.gif</t>
  </si>
  <si>
    <t>Häuserer, Christian, Sonnenschutz • Waizenkirchen • Oberösterreich</t>
  </si>
  <si>
    <t>Elektrohandel, Sonnen u. Insektenschutz • Häuserer, Christian, Inzing 3, Waizenkirchen • Kontakt über aktuelle Telefonnummern ☎ und Adressen ⚑ mit Karte, Routing, Öffnungszeiten, Homepage, E-Mail, vCard und Firmendaten.</t>
  </si>
  <si>
    <t>Inzing 3</t>
  </si>
  <si>
    <t>48.3376519</t>
  </si>
  <si>
    <t>13.8651865</t>
  </si>
  <si>
    <t>+4372772426</t>
  </si>
  <si>
    <t>christian.haeuserer@haeuserer.com</t>
  </si>
  <si>
    <t>https://bilder.dasschnelle.at/DasSchnelle/50/5000/9887/041977/G_041977_P_906216920.adn.gif</t>
  </si>
  <si>
    <t>Wolfsteiner, Gerhard, Schlüsseldienst • Grieskirchen • Oberösterreich</t>
  </si>
  <si>
    <t>Aufsperrdienste, Elektrotechnik, Metallbau, Schlüssel u. Aufsperrdienste • Wolfsteiner, Gerhard, Industriestraße 27, Grieskirchen • Kontakt über aktuelle Telefonnummern ☎ und Adressen ⚑ mit Karte, Routing, Öffnungszeiten, Homepage, E-Mail, vCard und Firmendaten.</t>
  </si>
  <si>
    <t>Industriestraße 27</t>
  </si>
  <si>
    <t>48.22967</t>
  </si>
  <si>
    <t>13.84117</t>
  </si>
  <si>
    <t>+43724868265;+436644017114</t>
  </si>
  <si>
    <t>office@wolfsteiner-key.at</t>
  </si>
  <si>
    <t>https://bilder.dasschnelle.at/DasSchnelle/50/5000/9887/041815/G_041815_P_906186447.adn.gif</t>
  </si>
  <si>
    <t>Oberndorfer, Johannes, Tapeziermeister • Weibern • Oberösterreich</t>
  </si>
  <si>
    <t>Raumausstatter • Oberndorfer, Johannes, Hauptstraße 34, Weibern • Kontakt über aktuelle Telefonnummern ☎ und Adressen ⚑ mit Karte, Routing, Öffnungszeiten, Homepage, E-Mail, vCard und Firmendaten.</t>
  </si>
  <si>
    <t>Hauptstraße 34</t>
  </si>
  <si>
    <t>4675</t>
  </si>
  <si>
    <t>Weibern</t>
  </si>
  <si>
    <t>48.18112</t>
  </si>
  <si>
    <t>13.69822</t>
  </si>
  <si>
    <t>+436649209319</t>
  </si>
  <si>
    <t>werkstatt@handarbeit-auf-lebenszeit.at</t>
  </si>
  <si>
    <t>https://bilder.dasschnelle.at/DasSchnelle/50/5000/9887/041979/G_041979_P_906183908.adn.gif</t>
  </si>
  <si>
    <t>Stadlmair, Franz sen., Ing., Möbelerzeugung • Gallspach • Oberösterreich</t>
  </si>
  <si>
    <t>Möbelhandel • Stadlmair, Franz sen., Ing., Linzerstraße 32, Gallspach • Kontakt über aktuelle Telefonnummern ☎ und Adressen ⚑ mit Karte, Routing, Öffnungszeiten, Homepage, E-Mail, vCard und Firmendaten.</t>
  </si>
  <si>
    <t>Linzerstraße 32</t>
  </si>
  <si>
    <t>4713</t>
  </si>
  <si>
    <t>Gallspach</t>
  </si>
  <si>
    <t>48.20868</t>
  </si>
  <si>
    <t>13.81638</t>
  </si>
  <si>
    <t>+437248623960</t>
  </si>
  <si>
    <t>+4372486239620</t>
  </si>
  <si>
    <t>office@stadlmair.at</t>
  </si>
  <si>
    <t>https://bilder.dasschnelle.at/DasSchnelle/50/5000/9887/041812/G_041812_P_906186502.adn.gif</t>
  </si>
  <si>
    <t>Gütlinger Alfons KG, Karosseriebetrieb • Peuerbach • Oberösterreich</t>
  </si>
  <si>
    <t>Autoreparaturen, Karosseriebau, Lackierereien • Gütlinger Alfons KG, Winkl 2, Peuerbach • Kontakt über aktuelle Telefonnummern ☎ und Adressen ⚑ mit Karte, Routing, Öffnungszeiten, Homepage, E-Mail, vCard und Firmendaten.</t>
  </si>
  <si>
    <t>Winkl 2</t>
  </si>
  <si>
    <t>48.3122913</t>
  </si>
  <si>
    <t>13.7748125</t>
  </si>
  <si>
    <t>+4372762531;+436603084020;+4369910238735</t>
  </si>
  <si>
    <t>office@auto-guetlinger.com</t>
  </si>
  <si>
    <t>https://bilder.dasschnelle.at/DasSchnelle/50/5000/9887/041965/G_041965_P_906198664.adn.gif</t>
  </si>
  <si>
    <t>Zimmerei Speckbacher • Gallspach • Oberösterreich</t>
  </si>
  <si>
    <t>Zimmereien • Zimmerei Speckbacher, Pfarrgraben 8, Gallspach • Kontakt über aktuelle Telefonnummern ☎ und Adressen ⚑ mit Karte, Routing, Öffnungszeiten, Homepage, E-Mail, vCard und Firmendaten.</t>
  </si>
  <si>
    <t>Pfarrgraben 8</t>
  </si>
  <si>
    <t>48.20621</t>
  </si>
  <si>
    <t>13.81764</t>
  </si>
  <si>
    <t>+436643453624</t>
  </si>
  <si>
    <t>info@zimmerei-speckbacher.net</t>
  </si>
  <si>
    <t>https://bilder.dasschnelle.at/DasSchnelle/50/5000/9887/041812/I_041812_P_905990320_L_0037399190_1.png</t>
  </si>
  <si>
    <t>https://bilder.dasschnelle.at/DasSchnelle/50/5000/9887/041812/I_041812_P_905990320_B_0037399190_1.gal.png?height=135&amp;width=180;https://bilder.dasschnelle.at/DasSchnelle/50/5000/9887/041812/I_041812_P_905990320_B_0037399190_2.gal.png?height=292&amp;width=390;https://bilder.dasschnelle.at/DasSchnelle/50/5000/9887/041812/I_041812_P_905990320_B_0037399190_3.gal.png?height=101&amp;width=180</t>
  </si>
  <si>
    <t>Krausgruber, Franz, Malereibetriebe • Rottenbach • Oberösterreich</t>
  </si>
  <si>
    <t>Malereibetriebe • Krausgruber, Franz, Frei 12, Rottenbach • Kontakt über aktuelle Telefonnummern ☎ und Adressen ⚑ mit Karte, Routing, Öffnungszeiten, Homepage, E-Mail, vCard und Firmendaten.</t>
  </si>
  <si>
    <t>Frei 12</t>
  </si>
  <si>
    <t>4681</t>
  </si>
  <si>
    <t>Rottenbach</t>
  </si>
  <si>
    <t>48.2044667</t>
  </si>
  <si>
    <t>13.6813485</t>
  </si>
  <si>
    <t>+4377322876</t>
  </si>
  <si>
    <t>malerei@krausgruber.at</t>
  </si>
  <si>
    <t>https://bilder.dasschnelle.at/DasSchnelle/50/5000/9887/041969/I_041969_P_905947123_L_0036234816_1.png</t>
  </si>
  <si>
    <t>https://bilder.dasschnelle.at/DasSchnelle/50/5000/9887/041969/I_041969_P_905947123_B_0036234816_1.gal.png?height=3000&amp;width=5000</t>
  </si>
  <si>
    <t>Lang, Dieter, Toyota Vertragshändler, Autohandel • Gallspach • Oberösterreich</t>
  </si>
  <si>
    <t>Autohandel • Lang, Dieter, Toyota Vertragshändler, Stifterstraße 6, Gallspach • Kontakt über aktuelle Telefonnummern ☎ und Adressen ⚑ mit Karte, Routing, Öffnungszeiten, Homepage, E-Mail, vCard und Firmendaten.</t>
  </si>
  <si>
    <t>Stifterstraße 6</t>
  </si>
  <si>
    <t>48.20954</t>
  </si>
  <si>
    <t>13.81297</t>
  </si>
  <si>
    <t>+43724861082;+43724868244</t>
  </si>
  <si>
    <t>office@toyota-lang.at</t>
  </si>
  <si>
    <t>https://bilder.dasschnelle.at/DasSchnelle/50/5000/9887/041812/G_041812_P_906216924.adn.gif</t>
  </si>
  <si>
    <t>BAUERNFEIND GmbH, Rohre u -zubehör • Waizenkirchen • Oberösterreich</t>
  </si>
  <si>
    <t>Rohre u. -zubehör • BAUERNFEIND GmbH, Gewerbepark 2, Waizenkirchen • Kontakt über aktuelle Telefonnummern ☎ und Adressen ⚑ mit Karte, Routing, Öffnungszeiten, Homepage, E-Mail, vCard und Firmendaten.</t>
  </si>
  <si>
    <t>48.3211428</t>
  </si>
  <si>
    <t>13.8396201</t>
  </si>
  <si>
    <t>+4372772598</t>
  </si>
  <si>
    <t>+437277259825</t>
  </si>
  <si>
    <t>office@bauernfeind.at</t>
  </si>
  <si>
    <t>https://bilder.dasschnelle.at/DasSchnelle/50/5000/9887/041977/G_041977_P_906216921.adn.gif</t>
  </si>
  <si>
    <t>Reha-Service GmbH, Sanitätsfachhandel • Altenhof am Hausruck • Oberösterreich</t>
  </si>
  <si>
    <t>Sanitätshäuser, Krankenpflegeartikel • Reha-Service GmbH, Hueb 9, Altenhof am Hausruck • Kontakt über aktuelle Telefonnummern ☎ und Adressen ⚑ mit Karte, Routing, Öffnungszeiten, Homepage, E-Mail, vCard und Firmendaten.</t>
  </si>
  <si>
    <t>Hueb 9</t>
  </si>
  <si>
    <t>4674</t>
  </si>
  <si>
    <t>Altenhof am Hausruck</t>
  </si>
  <si>
    <t>48.1316950</t>
  </si>
  <si>
    <t>13.6833312</t>
  </si>
  <si>
    <t>+437735663166</t>
  </si>
  <si>
    <t>office@rehaservice.at</t>
  </si>
  <si>
    <t>https://bilder.dasschnelle.at/DasSchnelle/50/5000/9887/041813/G_041813_P_906198484.adn.gif</t>
  </si>
  <si>
    <t>REIF Malerei GmbH, Malereibetriebe • Hofkirchen an der Trattnach • Oberösterreich</t>
  </si>
  <si>
    <t>Malereibetriebe • REIF Malerei GmbH, Wengerstraße 9, Hofkirchen an der Trattnach • Kontakt über aktuelle Telefonnummern ☎ und Adressen ⚑ mit Karte, Routing, Öffnungszeiten, Homepage, E-Mail, vCard und Firmendaten.</t>
  </si>
  <si>
    <t>Wengerstraße 9</t>
  </si>
  <si>
    <t>4716</t>
  </si>
  <si>
    <t>Hofkirchen an der Trattnach</t>
  </si>
  <si>
    <t>48.22333</t>
  </si>
  <si>
    <t>13.74209</t>
  </si>
  <si>
    <t>+4377342115;+436608100744;+436644609396</t>
  </si>
  <si>
    <t>office@maler-reif.at</t>
  </si>
  <si>
    <t>https://bilder.dasschnelle.at/DasSchnelle/50/5000/9887/041818/I_041818_P_905948723_L_0036234818_1.png</t>
  </si>
  <si>
    <t>https://bilder.dasschnelle.at/DasSchnelle/50/5000/9887/041818/I_041818_P_905948723_B_0036234818_1.gal.png?height=367&amp;width=550;https://bilder.dasschnelle.at/DasSchnelle/50/5000/9887/041818/I_041818_P_905948723_B_0036234818_2.gal.png?height=367&amp;width=550;https://bilder.dasschnelle.at/DasSchnelle/50/5000/9887/041818/I_041818_P_905948723_B_0036234818_3.gal.png?height=367&amp;width=550;https://bilder.dasschnelle.at/DasSchnelle/50/5000/9887/041818/I_041818_P_905948723_B_0036234818_4.gal.png?height=367&amp;width=550;https://bilder.dasschnelle.at/DasSchnelle/50/5000/9887/041818/G_041818_P_906186504.adn.gif</t>
  </si>
  <si>
    <t>Pöttinger Installations GmbH, Installationsunternehmen • Grieskirchen • Oberösterreich</t>
  </si>
  <si>
    <t>Installationsunternehmen • Pöttinger Installations GmbH, Roßmarkt 23, Grieskirchen • Kontakt über aktuelle Telefonnummern ☎ und Adressen ⚑ mit Karte, Routing, Öffnungszeiten, Homepage, E-Mail, vCard und Firmendaten.</t>
  </si>
  <si>
    <t>Roßmarkt 23</t>
  </si>
  <si>
    <t>48.23402</t>
  </si>
  <si>
    <t>13.83021</t>
  </si>
  <si>
    <t>+43724862903</t>
  </si>
  <si>
    <t>pin@poettinger.at</t>
  </si>
  <si>
    <t>https://bilder.dasschnelle.at/DasSchnelle/50/5000/9887/041815/I_041815_P_905949359_L_0036234821_1.png</t>
  </si>
  <si>
    <t>https://bilder.dasschnelle.at/DasSchnelle/50/5000/9887/041815/I_041815_P_905949359_B_0036234821_1.gal.png?height=267&amp;width=400;https://bilder.dasschnelle.at/DasSchnelle/50/5000/9887/041815/I_041815_P_905949359_B_0036234821_2.gal.png?height=480&amp;width=720;https://bilder.dasschnelle.at/DasSchnelle/50/5000/9887/041815/I_041815_P_905949359_B_0036234821_3.gal.png?height=562&amp;width=1000</t>
  </si>
  <si>
    <t>Autohaus Stöbich • Schlüßlberg • Oberösterreich</t>
  </si>
  <si>
    <t>Autohäuser • Autohaus Stöbich, Unternberg 20, Schlüßlberg • Kontakt über aktuelle Telefonnummern ☎ und Adressen ⚑ mit Karte, Routing, Öffnungszeiten, Homepage, E-Mail, vCard und Firmendaten.</t>
  </si>
  <si>
    <t>Unternberg 20</t>
  </si>
  <si>
    <t>4707</t>
  </si>
  <si>
    <t>Schlüßlberg</t>
  </si>
  <si>
    <t>48.2234353</t>
  </si>
  <si>
    <t>13.8504788</t>
  </si>
  <si>
    <t>+437248682900</t>
  </si>
  <si>
    <t>office@stoebich.at</t>
  </si>
  <si>
    <t>https://bilder.dasschnelle.at/DasSchnelle/50/5000/9887/041973/I_041973_P_905985005_L_0036234850_1.png</t>
  </si>
  <si>
    <t>https://bilder.dasschnelle.at/DasSchnelle/50/5000/9887/041973/I_041973_P_905985005_B_0036234850_1.gal.png?height=600&amp;width=600;https://bilder.dasschnelle.at/DasSchnelle/50/5000/9887/041973/I_041973_P_905985005_B_0036234850_2.gal.png?height=540&amp;width=540;https://bilder.dasschnelle.at/DasSchnelle/50/5000/9887/041973/I_041973_P_905985005_B_0036234850_3.gal.png?height=600&amp;width=600;https://bilder.dasschnelle.at/DasSchnelle/50/5000/9887/041973/I_041973_P_905985005_B_0036234850_4.gal.png?height=422&amp;width=422</t>
  </si>
  <si>
    <t>Dobetsberger Anlagenbau u. Metallverarbeitung GmbH • Michaelnbach • Oberösterreich</t>
  </si>
  <si>
    <t>Anlagenbau u. -technik • Dobetsberger Anlagenbau u. Metallverarbeitung GmbH, Schölmlahn 15, Michaelnbach • Kontakt über aktuelle Telefonnummern ☎ und Adressen ⚑ mit Karte, Routing, Öffnungszeiten, Homepage, E-Mail, vCard und Firmendaten.</t>
  </si>
  <si>
    <t>Schölmlahn 15</t>
  </si>
  <si>
    <t>4712</t>
  </si>
  <si>
    <t>Michaelnbach</t>
  </si>
  <si>
    <t>48.3014363</t>
  </si>
  <si>
    <t>13.8096117</t>
  </si>
  <si>
    <t>+4372776020</t>
  </si>
  <si>
    <t>office@dobetsberger.at</t>
  </si>
  <si>
    <t>https://bilder.dasschnelle.at/DasSchnelle/50/5000/9887/041961/G_041961_P_906220654.adn.gif</t>
  </si>
  <si>
    <t>Hofmanninger, Barbara, Friseur • Gaspoltshofen • Oberösterreich</t>
  </si>
  <si>
    <t>Friseure • Hofmanninger, Barbara, Jeding 6, Gaspoltshofen • Kontakt über aktuelle Telefonnummern ☎ und Adressen ⚑ mit Karte, Routing, Öffnungszeiten, Homepage, E-Mail, vCard und Firmendaten.</t>
  </si>
  <si>
    <t>Jeding 6</t>
  </si>
  <si>
    <t>4673</t>
  </si>
  <si>
    <t>Gaspoltshofen</t>
  </si>
  <si>
    <t>48.13913</t>
  </si>
  <si>
    <t>13.73299</t>
  </si>
  <si>
    <t>+43773520149</t>
  </si>
  <si>
    <t>salon@haardesign.cc</t>
  </si>
  <si>
    <t>https://bilder.dasschnelle.at/DasSchnelle/50/5000/9887/041813/G_041813_P_906183907.adn.gif</t>
  </si>
  <si>
    <t>Gas-Wasser-Heizung-Sanitär-Installationen Höftberger GesmbH &amp; Co. KG., Installationen • Aistersheim • Oberösterreich</t>
  </si>
  <si>
    <t>Installationsunternehmen • Gas-Wasser-Heizung-Sanitär-Installationen Höftberger GesmbH &amp; Co. KG., Aistersheim 4, Aistersheim • Kontakt über aktuelle Telefonnummern ☎ und Adressen ⚑ mit Karte, Routing, Öffnungszeiten, Homepage, E-Mail, vCard und Firmendaten.</t>
  </si>
  <si>
    <t>Aistersheim 4</t>
  </si>
  <si>
    <t>4676</t>
  </si>
  <si>
    <t>Aistersheim</t>
  </si>
  <si>
    <t>48.1866589</t>
  </si>
  <si>
    <t>13.7460657</t>
  </si>
  <si>
    <t>+4377342803</t>
  </si>
  <si>
    <t>info@hoeftberger.at</t>
  </si>
  <si>
    <t>https://bilder.dasschnelle.at/DasSchnelle/50/5000/9887/041808/G_041808_P_906183912.adn.gif</t>
  </si>
  <si>
    <t>Eizenberger, Franz, Zimmerei • Peuerbach • Oberösterreich</t>
  </si>
  <si>
    <t>Zimmereien • Eizenberger, Franz, Stelzhamerstraße 2, Peuerbach • Kontakt über aktuelle Telefonnummern ☎ und Adressen ⚑ mit Karte, Routing, Öffnungszeiten, Homepage, E-Mail, vCard und Firmendaten.</t>
  </si>
  <si>
    <t>Stelzhamerstraße 2</t>
  </si>
  <si>
    <t>48.33528</t>
  </si>
  <si>
    <t>13.77262</t>
  </si>
  <si>
    <t>+43727629608</t>
  </si>
  <si>
    <t>office@holzbau-eizenberger.at</t>
  </si>
  <si>
    <t>https://bilder.dasschnelle.at/DasSchnelle/50/5000/9887/041965/I_041965_P_905952167_L_0036234671_1.png</t>
  </si>
  <si>
    <t>https://bilder.dasschnelle.at/DasSchnelle/50/5000/9887/041965/I_041965_P_905952167_B_0036234671_1.gal.png?height=454&amp;width=852;https://bilder.dasschnelle.at/DasSchnelle/50/5000/9887/041965/I_041965_P_905952167_B_0036234671_2.gal.png?height=645&amp;width=851;https://bilder.dasschnelle.at/DasSchnelle/50/5000/9887/041965/I_041965_P_905952167_B_0036234671_3.gal.png?height=550&amp;width=1000</t>
  </si>
  <si>
    <t>Beyer, Brigitte • Peuerbach • Oberösterreich</t>
  </si>
  <si>
    <t>Bestattungsunternehmen • Beyer, Brigitte, Roßanger 8, Peuerbach • Kontakt über aktuelle Telefonnummern ☎ und Adressen ⚑ mit Karte, Routing, Öffnungszeiten, Homepage, E-Mail, vCard und Firmendaten.</t>
  </si>
  <si>
    <t>Roßanger 8</t>
  </si>
  <si>
    <t>48.3456</t>
  </si>
  <si>
    <t>13.77383</t>
  </si>
  <si>
    <t>+437276237319</t>
  </si>
  <si>
    <t>office@bestattung-beyer.at</t>
  </si>
  <si>
    <t>https://bilder.dasschnelle.at/DasSchnelle/50/5000/9887/041965/G_041965_P_906192383.adn.gif</t>
  </si>
  <si>
    <t>Sageder Fenster- u Türenwerk GmbH, Fenster u Türen • Gaisbuchen • Oberösterreich</t>
  </si>
  <si>
    <t>Fenster u. Türen • Sageder Fenster- u Türenwerk GmbH, Gaisbuchen • Kontakt über aktuelle Telefonnummern ☎ und Adressen ⚑ mit Karte, Routing, Öffnungszeiten, Homepage, E-Mail, vCard und Firmendaten.</t>
  </si>
  <si>
    <t>Gaisbuchen</t>
  </si>
  <si>
    <t>48.4152038</t>
  </si>
  <si>
    <t>13.7000552</t>
  </si>
  <si>
    <t>+43727882060;+436641142305;+436642026797;+436642128813;+436644131982;+436644366578;+436645220694;+436645400461;+4366488506542</t>
  </si>
  <si>
    <t>+437278820620</t>
  </si>
  <si>
    <t>martina.sageder@sageder.at</t>
  </si>
  <si>
    <t>https://bilder.dasschnelle.at/DasSchnelle/50/5000/9887/041962/I_041962_P_905986279_L_0036234718_1.png</t>
  </si>
  <si>
    <t>https://bilder.dasschnelle.at/DasSchnelle/50/5000/9887/041962/I_041962_P_905986279_B_0036234718_1.gal.png?height=300&amp;width=450;https://bilder.dasschnelle.at/DasSchnelle/50/5000/9887/041962/I_041962_P_905986279_B_0036234718_2.gal.png?height=300&amp;width=450;https://bilder.dasschnelle.at/DasSchnelle/50/5000/9887/041962/I_041962_P_905986279_B_0036234718_3.gal.png?height=300&amp;width=450;https://bilder.dasschnelle.at/DasSchnelle/50/5000/9887/041962/I_041962_P_905986279_B_0036234718_4.gal.png?height=300&amp;width=450</t>
  </si>
  <si>
    <t>SALON Erika, Friseure • Grieskirchen • Oberösterreich</t>
  </si>
  <si>
    <t>Friseure • SALON Erika, Mühlbachgasse 2, Grieskirchen • Kontakt über aktuelle Telefonnummern ☎ und Adressen ⚑ mit Karte, Routing, Öffnungszeiten, Homepage, E-Mail, vCard und Firmendaten.</t>
  </si>
  <si>
    <t>Mühlbachgasse 2</t>
  </si>
  <si>
    <t>48.23517</t>
  </si>
  <si>
    <t>13.82721</t>
  </si>
  <si>
    <t>+43724868123;+4369915065867</t>
  </si>
  <si>
    <t>https://bilder.dasschnelle.at/DasSchnelle/50/5000/9887/041815/G_041815_P_906186521.adn.gif</t>
  </si>
  <si>
    <t>ECKLMAIR Baggerungen-Bohrtechnik GmbH • Peuerbach • Oberösterreich</t>
  </si>
  <si>
    <t>Baggerungen u. Transporte, Bohrunternehmen • ECKLMAIR Baggerungen-Bohrtechnik GmbH, Steegenstraße 39, Peuerbach • Kontakt über aktuelle Telefonnummern ☎ und Adressen ⚑ mit Karte, Routing, Öffnungszeiten, Homepage, E-Mail, vCard und Firmendaten.</t>
  </si>
  <si>
    <t>Steegenstraße 39</t>
  </si>
  <si>
    <t>48.34067</t>
  </si>
  <si>
    <t>13.76613</t>
  </si>
  <si>
    <t>+4372762774;+43727635235</t>
  </si>
  <si>
    <t>ecklmair.erdbau@aon.at</t>
  </si>
  <si>
    <t>https://bilder.dasschnelle.at/DasSchnelle/50/5000/9887/041965/G_041965_P_906206819.adn.gif</t>
  </si>
  <si>
    <t>Schönleitner, Josef, Malerbetrieb • Weibern • Oberösterreich</t>
  </si>
  <si>
    <t>Malereibetriebe • Schönleitner, Josef, Schwarzgrub 24, Weibern • Kontakt über aktuelle Telefonnummern ☎ und Adressen ⚑ mit Karte, Routing, Öffnungszeiten, Homepage, E-Mail, vCard und Firmendaten.</t>
  </si>
  <si>
    <t>Schwarzgrub 24</t>
  </si>
  <si>
    <t>48.1721600</t>
  </si>
  <si>
    <t>13.6854501</t>
  </si>
  <si>
    <t>+43773239284;+436645046400</t>
  </si>
  <si>
    <t>schoenleitner.josef@aon.at</t>
  </si>
  <si>
    <t>https://bilder.dasschnelle.at/DasSchnelle/50/5000/9887/041979/G_041979_P_906206816.adn.gif</t>
  </si>
  <si>
    <t>Grausgruber KFZ Reparatur &amp; Service GmbH • Haag am Hausruck • Oberösterreich</t>
  </si>
  <si>
    <t>Autoersatzteile u. -zubehör, Autoreparaturen • Grausgruber KFZ Reparatur &amp; Service GmbH, Starhemberg 15, Haag am Hausruck • Kontakt über aktuelle Telefonnummern ☎ und Adressen ⚑ mit Karte, Routing, Öffnungszeiten, Homepage, E-Mail, vCard und Firmendaten.</t>
  </si>
  <si>
    <t>Starhemberg 15</t>
  </si>
  <si>
    <t>48.1885395</t>
  </si>
  <si>
    <t>13.6428131</t>
  </si>
  <si>
    <t>+4377322672</t>
  </si>
  <si>
    <t>office@grausgruber-kfz.at</t>
  </si>
  <si>
    <t>https://bilder.dasschnelle.at/DasSchnelle/50/5000/9887/041816/G_041816_P_906220653.adn.gif</t>
  </si>
  <si>
    <t>Schoberl-Pflasterungen • Gaspoltshofen • Oberösterreich</t>
  </si>
  <si>
    <t>Natursteine u. -platten • Schoberl-Pflasterungen, Hauptstraße 28, Gaspoltshofen • Kontakt über aktuelle Telefonnummern ☎ und Adressen ⚑ mit Karte, Routing, Öffnungszeiten, Homepage, E-Mail, vCard und Firmendaten.</t>
  </si>
  <si>
    <t>Hauptstraße 28</t>
  </si>
  <si>
    <t>48.14183</t>
  </si>
  <si>
    <t>13.73637</t>
  </si>
  <si>
    <t>+436642003543</t>
  </si>
  <si>
    <t>office@schoberl-pflasterungen.at</t>
  </si>
  <si>
    <t>https://bilder.dasschnelle.at/DasSchnelle/50/5000/9887/041813/I_041813_P_905946856_L_0036250603_1.png</t>
  </si>
  <si>
    <t>https://bilder.dasschnelle.at/DasSchnelle/50/5000/9887/041813/I_041813_P_905946856_B_0036250603_1.gal.png?height=750&amp;width=1000;https://bilder.dasschnelle.at/DasSchnelle/50/5000/9887/041813/I_041813_P_905946856_B_0036250603_2.gal.png?height=450&amp;width=800;https://bilder.dasschnelle.at/DasSchnelle/50/5000/9887/041813/I_041813_P_905946856_B_0036250603_3.gal.png?height=450&amp;width=800;https://bilder.dasschnelle.at/DasSchnelle/50/5000/9887/041813/I_041813_P_905946856_B_0036250603_4.gal.png?height=450&amp;width=800</t>
  </si>
  <si>
    <t>Scheuringer, Teana, Friseur • Grieskirchen • Oberösterreich</t>
  </si>
  <si>
    <t>Friseure • Scheuringer, Teana, Friedhofgasse 6, Grieskirchen • Kontakt über aktuelle Telefonnummern ☎ und Adressen ⚑ mit Karte, Routing, Öffnungszeiten, Homepage, E-Mail, vCard und Firmendaten.</t>
  </si>
  <si>
    <t>Friedhofgasse 6</t>
  </si>
  <si>
    <t>48.23353</t>
  </si>
  <si>
    <t>13.83208</t>
  </si>
  <si>
    <t>+43724862562</t>
  </si>
  <si>
    <t>teanascheuringer79@gmail.com</t>
  </si>
  <si>
    <t>https://bilder.dasschnelle.at/DasSchnelle/50/5000/9887/041815/G_041815_P_906186520.adn.gif</t>
  </si>
  <si>
    <t>Benetseder GmbH, Tischlereien • Haag am Hausruck • Oberösterreich</t>
  </si>
  <si>
    <t>Tischlereien • Benetseder GmbH, Manichgattern 27, Haag am Hausruck • Kontakt über aktuelle Telefonnummern ☎ und Adressen ⚑ mit Karte, Routing, Öffnungszeiten, Homepage, E-Mail, vCard und Firmendaten.</t>
  </si>
  <si>
    <t>Manichgattern 27</t>
  </si>
  <si>
    <t>48.1799850</t>
  </si>
  <si>
    <t>13.6427354</t>
  </si>
  <si>
    <t>+4377324382;+436642839230</t>
  </si>
  <si>
    <t>+43773243825</t>
  </si>
  <si>
    <t>info@benetseder.at</t>
  </si>
  <si>
    <t>https://bilder.dasschnelle.at/DasSchnelle/50/5000/9887/041816/I_041816_P_905947118_L_0037277049_1.png</t>
  </si>
  <si>
    <t>https://bilder.dasschnelle.at/DasSchnelle/50/5000/9887/041816/I_041816_P_905947118_B_0037277049_1.gal.png?height=1080&amp;width=720;https://bilder.dasschnelle.at/DasSchnelle/50/5000/9887/041816/I_041816_P_905947118_B_0037277049_2.gal.png?height=800&amp;width=1200;https://bilder.dasschnelle.at/DasSchnelle/50/5000/9887/041816/I_041816_P_905947118_B_0037277049_3.gal.png?height=600&amp;width=1200;https://bilder.dasschnelle.at/DasSchnelle/50/5000/9887/041816/I_041816_P_905947118_B_0037277049_4.gal.png?height=800&amp;width=1200</t>
  </si>
  <si>
    <t>RESCH METALL-DESIGN GmbH, Metallbau • Natternbach • Oberösterreich</t>
  </si>
  <si>
    <t>Metallbau • RESCH METALL-DESIGN GmbH, Hauserstraße 37, Natternbach • Kontakt über aktuelle Telefonnummern ☎ und Adressen ⚑ mit Karte, Routing, Öffnungszeiten, Homepage, E-Mail, vCard und Firmendaten.</t>
  </si>
  <si>
    <t>Hauserstraße 37</t>
  </si>
  <si>
    <t>48.39172</t>
  </si>
  <si>
    <t>13.75278</t>
  </si>
  <si>
    <t>+4372788247</t>
  </si>
  <si>
    <t>office@reschmetall.at</t>
  </si>
  <si>
    <t>https://bilder.dasschnelle.at/DasSchnelle/50/5000/9887/041962/G_041962_P_906222353.adn.gif</t>
  </si>
  <si>
    <t>Hinterhofer, Anita, Friseurin • Hallein • Salzburg</t>
  </si>
  <si>
    <t>Friseure • Hinterhofer, Anita, Salzburger Schützenweg 8, Hallein • Kontakt über aktuelle Telefonnummern ☎ und Adressen ⚑ mit Karte, Routing, Öffnungszeiten, Homepage, E-Mail, vCard und Firmendaten.</t>
  </si>
  <si>
    <t>Salzburger Schützenweg 8</t>
  </si>
  <si>
    <t>5400</t>
  </si>
  <si>
    <t>Hallein</t>
  </si>
  <si>
    <t>47.69508</t>
  </si>
  <si>
    <t>13.08735</t>
  </si>
  <si>
    <t>+43624584348</t>
  </si>
  <si>
    <t>anita.hinterhofer@gmail.com</t>
  </si>
  <si>
    <t>https://bilder.dasschnelle.at/DasSchnelle/50/5000/9889/043591/I_043591_P_905995677_L_0037073503_1.png</t>
  </si>
  <si>
    <t>https://bilder.dasschnelle.at/DasSchnelle/50/5000/9889/043591/I_043591_P_905995677_B_0037073503_1.gal.png?height=196&amp;width=600;https://bilder.dasschnelle.at/DasSchnelle/50/5000/9889/043591/I_043591_P_905995677_B_0037073503_2.gal.png?height=619&amp;width=1109;https://bilder.dasschnelle.at/DasSchnelle/50/5000/9889/043591/I_043591_P_905995677_B_0037073503_3.gal.png?height=195&amp;width=600;https://bilder.dasschnelle.at/DasSchnelle/50/5000/9889/043591/G_043591_P_905995677.adn.gif</t>
  </si>
  <si>
    <t>Steinmetz Fallwickl GesmbH, Steinmetzbetriebe • Hallein • Salzburg</t>
  </si>
  <si>
    <t>Steinmetzbetriebe • Steinmetz Fallwickl GesmbH, Davisstraße 24, Hallein • Kontakt über aktuelle Telefonnummern ☎ und Adressen ⚑ mit Karte, Routing, Öffnungszeiten, Homepage, E-Mail, vCard und Firmendaten.</t>
  </si>
  <si>
    <t>Davisstraße 24</t>
  </si>
  <si>
    <t>47.67992</t>
  </si>
  <si>
    <t>13.09924</t>
  </si>
  <si>
    <t>+43624580227</t>
  </si>
  <si>
    <t>+43624586780</t>
  </si>
  <si>
    <t>office@fallwickl.com</t>
  </si>
  <si>
    <t>https://bilder.dasschnelle.at/DasSchnelle/50/5000/9889/043591/G_043591_P_906045651.adn.gif</t>
  </si>
  <si>
    <t>Rettenbacher, Michael, Landmaschinen • Adnet • Salzburg</t>
  </si>
  <si>
    <t>Landmaschinen • Rettenbacher, Michael, Waidach 97, Adnet • Kontakt über aktuelle Telefonnummern ☎ und Adressen ⚑ mit Karte, Routing, Öffnungszeiten, Homepage, E-Mail, vCard und Firmendaten.</t>
  </si>
  <si>
    <t>Waidach 97</t>
  </si>
  <si>
    <t>5421</t>
  </si>
  <si>
    <t>Adnet</t>
  </si>
  <si>
    <t>47.6893838</t>
  </si>
  <si>
    <t>13.1374106</t>
  </si>
  <si>
    <t>+43624584112;+436642101388</t>
  </si>
  <si>
    <t>lm@rettmich.at</t>
  </si>
  <si>
    <t>https://bilder.dasschnelle.at/DasSchnelle/50/5000/9889/043588/G_043588_P_906013291.adn.gif</t>
  </si>
  <si>
    <t>Auer, Peter, Holzbau • Abtenau • Salzburg</t>
  </si>
  <si>
    <t>Holzbau • Auer, Peter, Au 82, Abtenau • Kontakt über aktuelle Telefonnummern ☎ und Adressen ⚑ mit Karte, Routing, Öffnungszeiten, Homepage, E-Mail, vCard und Firmendaten.</t>
  </si>
  <si>
    <t>Au 82</t>
  </si>
  <si>
    <t>5441</t>
  </si>
  <si>
    <t>Abtenau</t>
  </si>
  <si>
    <t>47.5586534</t>
  </si>
  <si>
    <t>13.3538528</t>
  </si>
  <si>
    <t>+43624344054</t>
  </si>
  <si>
    <t>info@holzbau-peterauer.at</t>
  </si>
  <si>
    <t>https://bilder.dasschnelle.at/DasSchnelle/50/5000/9889/043587/I_043587_P_906058806_L_0037077686_1.png</t>
  </si>
  <si>
    <t>https://bilder.dasschnelle.at/DasSchnelle/50/5000/9889/043587/I_043587_P_906058806_B_0037077686_1.gal.png?height=493&amp;width=720;https://bilder.dasschnelle.at/DasSchnelle/50/5000/9889/043587/I_043587_P_906058806_B_0037077686_2.gal.png?height=540&amp;width=720;https://bilder.dasschnelle.at/DasSchnelle/50/5000/9889/043587/I_043587_P_906058806_B_0037077686_3.gal.png?height=540&amp;width=720;https://bilder.dasschnelle.at/DasSchnelle/50/5000/9889/043587/I_043587_P_906058806_B_0037077686_4.gal.png?height=493&amp;width=720;https://bilder.dasschnelle.at/DasSchnelle/50/5000/9889/043587/G_043587_P_906058806.adn.gif</t>
  </si>
  <si>
    <t>Haigermoser, Maria, Gasthof • Annaberg-Lungötz • Salzburg</t>
  </si>
  <si>
    <t>Gastgewerbe - Gasthöfe • Haigermoser, Maria, Neubach 26 A, Annaberg-Lungötz • Kontakt über aktuelle Telefonnummern ☎ und Adressen ⚑ mit Karte, Routing, Öffnungszeiten, Homepage, E-Mail, vCard und Firmendaten.</t>
  </si>
  <si>
    <t>Neubach 26 A</t>
  </si>
  <si>
    <t>5523</t>
  </si>
  <si>
    <t>Annaberg-Lungötz</t>
  </si>
  <si>
    <t>47.4871554</t>
  </si>
  <si>
    <t>13.4479732</t>
  </si>
  <si>
    <t>+4364637056</t>
  </si>
  <si>
    <t>schichlreit@gmx.at</t>
  </si>
  <si>
    <t>https://bilder.dasschnelle.at/DasSchnelle/50/5000/9889/043589/G_043589_P_906042346.adn.gif</t>
  </si>
  <si>
    <t>Weissenbacher Installationen, Installationen • Puch bei Hallein • Salzburg</t>
  </si>
  <si>
    <t>Installationsunternehmen • Weissenbacher Installationen, Staudenführerweg 690, Puch bei Hallein • Kontakt über aktuelle Telefonnummern ☎ und Adressen ⚑ mit Karte, Routing, Öffnungszeiten, Homepage, E-Mail, vCard und Firmendaten.</t>
  </si>
  <si>
    <t>Staudenführerweg 690</t>
  </si>
  <si>
    <t>5412</t>
  </si>
  <si>
    <t>Puch bei Hallein</t>
  </si>
  <si>
    <t>47.73439</t>
  </si>
  <si>
    <t>13.08938</t>
  </si>
  <si>
    <t>+436769517253</t>
  </si>
  <si>
    <t>office@weissenbacher-installationen.at</t>
  </si>
  <si>
    <t>https://bilder.dasschnelle.at/DasSchnelle/50/5000/9889/043595/G_043595_P_906021775.adn.gif</t>
  </si>
  <si>
    <t>Schaber, Anton Paul, Installationsunternehmen • Hallein • Salzburg</t>
  </si>
  <si>
    <t>Installationsunternehmen • Schaber, Anton Paul, Salzachtalstraße 17, Hallein • Kontakt über aktuelle Telefonnummern ☎ und Adressen ⚑ mit Karte, Routing, Öffnungszeiten, Homepage, E-Mail, vCard und Firmendaten.</t>
  </si>
  <si>
    <t>Salzachtalstraße 17</t>
  </si>
  <si>
    <t>47.68067</t>
  </si>
  <si>
    <t>13.10342</t>
  </si>
  <si>
    <t>+43624581457;+436642437185;+4369917101547</t>
  </si>
  <si>
    <t>anton.schaber@aon.at</t>
  </si>
  <si>
    <t>https://bilder.dasschnelle.at/DasSchnelle/50/5000/9889/043591/G_043591_P_906040481.adn.gif</t>
  </si>
  <si>
    <t>Karosseriebau Essl GmbH • Golling an der Salzach • Salzburg</t>
  </si>
  <si>
    <t>Karosseriebau • Karosseriebau Essl GmbH, Bluntaustraße 200, Golling an der Salzach • Kontakt über aktuelle Telefonnummern ☎ und Adressen ⚑ mit Karte, Routing, Öffnungszeiten, Homepage, E-Mail, vCard und Firmendaten.</t>
  </si>
  <si>
    <t>Bluntaustraße 200</t>
  </si>
  <si>
    <t>5440</t>
  </si>
  <si>
    <t>Golling an der Salzach</t>
  </si>
  <si>
    <t>47.59612</t>
  </si>
  <si>
    <t>13.16334</t>
  </si>
  <si>
    <t>+436645358133</t>
  </si>
  <si>
    <t>karosseriebau.essl.gmbh@sbg.at</t>
  </si>
  <si>
    <t>https://bilder.dasschnelle.at/DasSchnelle/50/5000/9889/043590/G_043590_P_906070102.adn.gif</t>
  </si>
  <si>
    <t>Gasthof Krisplwirt • Krispl • Salzburg</t>
  </si>
  <si>
    <t>Gastgewerbe - Gasthöfe • Gasthof Krisplwirt, Krispl 17, Krispl • Kontakt über aktuelle Telefonnummern ☎ und Adressen ⚑ mit Karte, Routing, Öffnungszeiten, Homepage, E-Mail, vCard und Firmendaten.</t>
  </si>
  <si>
    <t>Krispl 17</t>
  </si>
  <si>
    <t>5425</t>
  </si>
  <si>
    <t>Krispl</t>
  </si>
  <si>
    <t>47.7161397</t>
  </si>
  <si>
    <t>13.1800071</t>
  </si>
  <si>
    <t>+436644505210</t>
  </si>
  <si>
    <t>office@krisplwirt.at</t>
  </si>
  <si>
    <t>https://bilder.dasschnelle.at/DasSchnelle/50/5000/9889/043592/G_043592_P_906270916.adn.gif</t>
  </si>
  <si>
    <t>Ratzer, Karin, Dr.med.univ., FA f Frauenheilkunde u Geburtshilfe • Hallein • Salzburg</t>
  </si>
  <si>
    <t>Ärzte / Fachärzte f. Frauenheilkunde u. Geburtshilfe • Ratzer, Karin, Dr.med.univ., Kuffergasse 9 /13, Hallein • Kontakt über aktuelle Telefonnummern ☎ und Adressen ⚑ mit Karte, Routing, Öffnungszeiten, Homepage, E-Mail, vCard und Firmendaten.</t>
  </si>
  <si>
    <t>Kuffergasse 9 /13</t>
  </si>
  <si>
    <t>47.68293</t>
  </si>
  <si>
    <t>13.09413</t>
  </si>
  <si>
    <t>+43624586800</t>
  </si>
  <si>
    <t>karin.ratzer@medway.at</t>
  </si>
  <si>
    <t>https://bilder.dasschnelle.at/DasSchnelle/50/5000/9889/043591/G_043591_P_906281376.adn.gif</t>
  </si>
  <si>
    <t>Schöberl, Christian, Malerei • Hallein • Salzburg</t>
  </si>
  <si>
    <t>Malereibetriebe • Schöberl, Christian, Burglehenweg 12, Hallein • Kontakt über aktuelle Telefonnummern ☎ und Adressen ⚑ mit Karte, Routing, Öffnungszeiten, Homepage, E-Mail, vCard und Firmendaten.</t>
  </si>
  <si>
    <t>Burglehenweg 12</t>
  </si>
  <si>
    <t>47.70753</t>
  </si>
  <si>
    <t>13.06709</t>
  </si>
  <si>
    <t>+436644406333</t>
  </si>
  <si>
    <t>schoeberl.rehhof@gmx.at</t>
  </si>
  <si>
    <t>https://bilder.dasschnelle.at/DasSchnelle/50/5000/9889/043591/G_043591_P_906245171.adn.gif</t>
  </si>
  <si>
    <t>Gasthaus Alpenblick-Krispl • Krispl • Salzburg</t>
  </si>
  <si>
    <t>Gastgewerbe - Gasthöfe • Gasthaus Alpenblick-Krispl, Krispl 15, Krispl • Kontakt über aktuelle Telefonnummern ☎ und Adressen ⚑ mit Karte, Routing, Öffnungszeiten, Homepage, E-Mail, vCard und Firmendaten.</t>
  </si>
  <si>
    <t>Krispl 15</t>
  </si>
  <si>
    <t>47.7149147</t>
  </si>
  <si>
    <t>13.1771179</t>
  </si>
  <si>
    <t>+436240272</t>
  </si>
  <si>
    <t>office@alpenblick-krispl.at</t>
  </si>
  <si>
    <t>https://bilder.dasschnelle.at/DasSchnelle/50/5000/9889/043592/G_043592_P_906285702.adn.gif</t>
  </si>
  <si>
    <t>Schorn, Theresia, Physiotherapie • Kuchl • Salzburg</t>
  </si>
  <si>
    <t>Physiotherapie • Schorn, Theresia, Garnei 17, Kuchl • Kontakt über aktuelle Telefonnummern ☎ und Adressen ⚑ mit Karte, Routing, Öffnungszeiten, Homepage, E-Mail, vCard und Firmendaten.</t>
  </si>
  <si>
    <t>Garnei 17</t>
  </si>
  <si>
    <t>5431</t>
  </si>
  <si>
    <t>Kuchl</t>
  </si>
  <si>
    <t>47.6474980</t>
  </si>
  <si>
    <t>13.1344771</t>
  </si>
  <si>
    <t>+436648662924</t>
  </si>
  <si>
    <t>office@pt-schorn.at</t>
  </si>
  <si>
    <t>https://bilder.dasschnelle.at/DasSchnelle/50/5000/9889/043593/G_043593_P_906277480.adn.gif</t>
  </si>
  <si>
    <t>Physiotherapie und Osteopathie Reiter • Golling an der Salzach • Salzburg</t>
  </si>
  <si>
    <t>Physiotherapie • Physiotherapie und Osteopathie Reiter, Rabensteinweg 325, Golling an der Salzach • Kontakt über aktuelle Telefonnummern ☎ und Adressen ⚑ mit Karte, Routing, Öffnungszeiten, Homepage, E-Mail, vCard und Firmendaten.</t>
  </si>
  <si>
    <t>Rabensteinweg 325</t>
  </si>
  <si>
    <t>47.60041</t>
  </si>
  <si>
    <t>13.17233</t>
  </si>
  <si>
    <t>+436641989584</t>
  </si>
  <si>
    <t>physiotherapie-reiter@cablelink.at</t>
  </si>
  <si>
    <t>https://bilder.dasschnelle.at/DasSchnelle/50/5000/9889/043590/G_043590_P_906281377.adn.gif</t>
  </si>
  <si>
    <t>Wittner, Gudrun, Blumen • Kuchl • Salzburg</t>
  </si>
  <si>
    <t>Blumenhandel • Wittner, Gudrun, Markt 9, Kuchl • Kontakt über aktuelle Telefonnummern ☎ und Adressen ⚑ mit Karte, Routing, Öffnungszeiten, Homepage, E-Mail, vCard und Firmendaten.</t>
  </si>
  <si>
    <t>Markt 9</t>
  </si>
  <si>
    <t>47.62632</t>
  </si>
  <si>
    <t>13.1449</t>
  </si>
  <si>
    <t>+43624420023</t>
  </si>
  <si>
    <t>blumen.niebauer@gmx.at</t>
  </si>
  <si>
    <t>https://bilder.dasschnelle.at/DasSchnelle/50/5000/9889/043593/G_043593_P_906250275.adn.gif</t>
  </si>
  <si>
    <t>Wenger, Josef, Elektrounternehmen • Adnet • Salzburg</t>
  </si>
  <si>
    <t>Elektroinstallationsunternehmen, Elektrounternehmen • Wenger, Josef, Adnet 221 G, Adnet • Kontakt über aktuelle Telefonnummern ☎ und Adressen ⚑ mit Karte, Routing, Öffnungszeiten, Homepage, E-Mail, vCard und Firmendaten.</t>
  </si>
  <si>
    <t>Adnet 221 G</t>
  </si>
  <si>
    <t>47.6972981</t>
  </si>
  <si>
    <t>13.1259124</t>
  </si>
  <si>
    <t>+43624580966;+436645412026;+436642828647</t>
  </si>
  <si>
    <t>+436245809669</t>
  </si>
  <si>
    <t>anita@elektro-wenger.at</t>
  </si>
  <si>
    <t>https://bilder.dasschnelle.at/DasSchnelle/50/5000/9889/043588/G_043588_P_906249201.adn.gif</t>
  </si>
  <si>
    <t>Falch, Gerald, Optik Stöckl, Optik • Hallein • Salzburg</t>
  </si>
  <si>
    <t>Optik • Falch, Gerald, Optik Stöckl, Bahnhofstraße 2, Hallein • Kontakt über aktuelle Telefonnummern ☎ und Adressen ⚑ mit Karte, Routing, Öffnungszeiten, Homepage, E-Mail, vCard und Firmendaten.</t>
  </si>
  <si>
    <t>47.6836600</t>
  </si>
  <si>
    <t>13.0979200</t>
  </si>
  <si>
    <t>+43624584444</t>
  </si>
  <si>
    <t>+436245844445</t>
  </si>
  <si>
    <t>optikstoeckl@aon.at</t>
  </si>
  <si>
    <t>https://bilder.dasschnelle.at/DasSchnelle/50/5000/9889/043591/G_043591_P_906263339.adn.gif</t>
  </si>
  <si>
    <t>Hötzenauer, Gerald • Annaberg im Lammertal • Salzburg</t>
  </si>
  <si>
    <t>Versicherungsmakler • Hötzenauer, Gerald, Annaberg im Lammertal 86, Annaberg im Lammertal • Kontakt über aktuelle Telefonnummern ☎ und Adressen ⚑ mit Karte, Routing, Öffnungszeiten, Homepage, E-Mail, vCard und Firmendaten.</t>
  </si>
  <si>
    <t>Annaberg im Lammertal 86</t>
  </si>
  <si>
    <t>5524</t>
  </si>
  <si>
    <t>Annaberg im Lammertal</t>
  </si>
  <si>
    <t>47.5143061</t>
  </si>
  <si>
    <t>13.4521201</t>
  </si>
  <si>
    <t>+43646360040</t>
  </si>
  <si>
    <t>info@hoetzenauer.at</t>
  </si>
  <si>
    <t>https://bilder.dasschnelle.at/DasSchnelle/50/5000/9889/043589/G_043589_P_906283845.adn.gif</t>
  </si>
  <si>
    <t>Friedrich &amp; Simonutti OG Steuerberatungsgesellschaft • Hallein • Salzburg</t>
  </si>
  <si>
    <t>Steuerberater • Friedrich &amp; Simonutti OG Steuerberatungsgesellschaft, Glaneckerweg 11, Hallein • Kontakt über aktuelle Telefonnummern ☎ und Adressen ⚑ mit Karte, Routing, Öffnungszeiten, Homepage, E-Mail, vCard und Firmendaten.</t>
  </si>
  <si>
    <t>Glaneckerweg 11</t>
  </si>
  <si>
    <t>47.70277</t>
  </si>
  <si>
    <t>13.07201</t>
  </si>
  <si>
    <t>+436245735910</t>
  </si>
  <si>
    <t>office@steuermanager.at</t>
  </si>
  <si>
    <t>https://bilder.dasschnelle.at/DasSchnelle/50/5000/9889/043591/G_043591_P_906274677.adn.gif</t>
  </si>
  <si>
    <t>Steindl-Mayr OHG Mercedes-Benz Vertragswerkstätte, Autohaus • Kuchl • Salzburg</t>
  </si>
  <si>
    <t>Autohandel • Steindl-Mayr OHG Mercedes-Benz Vertragswerkstätte, Garnei 139, Kuchl • Kontakt über aktuelle Telefonnummern ☎ und Adressen ⚑ mit Karte, Routing, Öffnungszeiten, Homepage, E-Mail, vCard und Firmendaten.</t>
  </si>
  <si>
    <t>Garnei 139</t>
  </si>
  <si>
    <t>47.6489220</t>
  </si>
  <si>
    <t>13.1324112</t>
  </si>
  <si>
    <t>+43624584054</t>
  </si>
  <si>
    <t>office@steindl-mayr.at</t>
  </si>
  <si>
    <t>https://bilder.dasschnelle.at/DasSchnelle/50/5000/9889/043593/I_043593_P_906050314_L_0037076207_1.png</t>
  </si>
  <si>
    <t>https://bilder.dasschnelle.at/DasSchnelle/50/5000/9889/043593/I_043593_P_906050314_B_0037076207_1.gal.png?height=371&amp;width=720;https://bilder.dasschnelle.at/DasSchnelle/50/5000/9889/043593/I_043593_P_906050314_B_0037076207_2.gal.png?height=308&amp;width=720;https://bilder.dasschnelle.at/DasSchnelle/50/5000/9889/043593/I_043593_P_906050314_B_0037076207_3.gal.png?height=480&amp;width=720;https://bilder.dasschnelle.at/DasSchnelle/50/5000/9889/043593/I_043593_P_906050314_B_0037076207_4.gal.png?height=480&amp;width=720</t>
  </si>
  <si>
    <t>Zuckerstätter, Anton, Ing., Baumeister • Oberalm • Salzburg</t>
  </si>
  <si>
    <t>Baumeister • Zuckerstätter, Anton, Ing., Wiestalstraße 36, Oberalm • Kontakt über aktuelle Telefonnummern ☎ und Adressen ⚑ mit Karte, Routing, Öffnungszeiten, Homepage, E-Mail, vCard und Firmendaten.</t>
  </si>
  <si>
    <t>Wiestalstraße 36</t>
  </si>
  <si>
    <t>5411</t>
  </si>
  <si>
    <t>Oberalm</t>
  </si>
  <si>
    <t>47.71396</t>
  </si>
  <si>
    <t>13.12367</t>
  </si>
  <si>
    <t>+43624581322;+4369918231739</t>
  </si>
  <si>
    <t>a-zuckerstaetter@utanet.at</t>
  </si>
  <si>
    <t>https://bilder.dasschnelle.at/DasSchnelle/50/5000/9889/043594/G_043594_P_906248461.adn.gif</t>
  </si>
  <si>
    <t>W. Brandl GesmbH, Elektrounternehmen • Vigaun • Salzburg</t>
  </si>
  <si>
    <t>Elektrounternehmen • W. Brandl GesmbH, Langgasse 114, Vigaun • Kontakt über aktuelle Telefonnummern ☎ und Adressen ⚑ mit Karte, Routing, Öffnungszeiten, Homepage, E-Mail, vCard und Firmendaten.</t>
  </si>
  <si>
    <t>Langgasse 114</t>
  </si>
  <si>
    <t>5424</t>
  </si>
  <si>
    <t>Vigaun</t>
  </si>
  <si>
    <t>47.66447</t>
  </si>
  <si>
    <t>13.13792</t>
  </si>
  <si>
    <t>+436641332410</t>
  </si>
  <si>
    <t>elektro.brandl@gmx.at</t>
  </si>
  <si>
    <t>https://bilder.dasschnelle.at/DasSchnelle/50/5000/9889/043599/G_043599_P_906258930.adn.gif</t>
  </si>
  <si>
    <t>Oberhuber, Helge, Dr., öffentl Notar • Golling an der Salzach • Salzburg</t>
  </si>
  <si>
    <t>Notare • Oberhuber, Helge, Dr., Markt 61, Golling an der Salzach • Kontakt über aktuelle Telefonnummern ☎ und Adressen ⚑ mit Karte, Routing, Öffnungszeiten, Homepage, E-Mail, vCard und Firmendaten.</t>
  </si>
  <si>
    <t>Markt 61</t>
  </si>
  <si>
    <t>47.59674</t>
  </si>
  <si>
    <t>13.1678</t>
  </si>
  <si>
    <t>+4362444354</t>
  </si>
  <si>
    <t>+436244435422</t>
  </si>
  <si>
    <t>oberhuber@notar.at</t>
  </si>
  <si>
    <t>https://bilder.dasschnelle.at/DasSchnelle/50/5000/9889/043590/G_043590_P_906285704.adn.gif</t>
  </si>
  <si>
    <t>Hornhütte, Inh: Blasius Wallinger, Skihütte • Rußbach am Pass • Salzburg</t>
  </si>
  <si>
    <t>Gastgewerbe - Gasthöfe • Hornhütte, Inh: Blasius Wallinger, Schattau 37, Rußbach am Pass • Kontakt über aktuelle Telefonnummern ☎ und Adressen ⚑ mit Karte, Routing, Öffnungszeiten, Homepage, E-Mail, vCard und Firmendaten.</t>
  </si>
  <si>
    <t>Schattau 37</t>
  </si>
  <si>
    <t>Rußbach am Pass</t>
  </si>
  <si>
    <t>47.6159308</t>
  </si>
  <si>
    <t>13.1421770</t>
  </si>
  <si>
    <t>+436643022548</t>
  </si>
  <si>
    <t>blasius@hornhuette.at</t>
  </si>
  <si>
    <t>https://bilder.dasschnelle.at/DasSchnelle/50/5000/9889/043596/G_043596_P_906275309.adn.gif</t>
  </si>
  <si>
    <t>Lienbacher, Christina Katharina, Massage • Golling an der Salzach • Salzburg</t>
  </si>
  <si>
    <t>Fußpflege • Lienbacher, Christina Katharina, Bründlweg 276, Golling an der Salzach • Kontakt über aktuelle Telefonnummern ☎ und Adressen ⚑ mit Karte, Routing, Öffnungszeiten, Homepage, E-Mail, vCard und Firmendaten.</t>
  </si>
  <si>
    <t>Bründlweg 276</t>
  </si>
  <si>
    <t>47.59626</t>
  </si>
  <si>
    <t>13.17736</t>
  </si>
  <si>
    <t>+436643045451</t>
  </si>
  <si>
    <t>christina.lienbacher@sbg.at</t>
  </si>
  <si>
    <t>https://bilder.dasschnelle.at/DasSchnelle/50/5000/9889/043590/G_043590_P_906282724.adn.gif</t>
  </si>
  <si>
    <t>Ritter, Anita, Dr., FA f Augenheilkunde und Optometrie • Hallein • Salzburg</t>
  </si>
  <si>
    <t>Ärzte / Fachärzte f. Augenheilkunde u. Optometrie • Ritter, Anita, Dr., Griesplatz 8, Hallein • Kontakt über aktuelle Telefonnummern ☎ und Adressen ⚑ mit Karte, Routing, Öffnungszeiten, Homepage, E-Mail, vCard und Firmendaten.</t>
  </si>
  <si>
    <t>Griesplatz 8</t>
  </si>
  <si>
    <t>47.68131</t>
  </si>
  <si>
    <t>13.0964</t>
  </si>
  <si>
    <t>+43624572327</t>
  </si>
  <si>
    <t>anita-ritter@gmx.net</t>
  </si>
  <si>
    <t>https://bilder.dasschnelle.at/DasSchnelle/50/5000/9889/043591/G_043591_P_906285703.adn.gif</t>
  </si>
  <si>
    <t>Hölzl, Karin, Friseur • Kuchl • Salzburg</t>
  </si>
  <si>
    <t>Friseure • Hölzl, Karin, Markt 87, Kuchl • Kontakt über aktuelle Telefonnummern ☎ und Adressen ⚑ mit Karte, Routing, Öffnungszeiten, Homepage, E-Mail, vCard und Firmendaten.</t>
  </si>
  <si>
    <t>Markt 87</t>
  </si>
  <si>
    <t>47.62522</t>
  </si>
  <si>
    <t>13.1446</t>
  </si>
  <si>
    <t>+43624421162</t>
  </si>
  <si>
    <t>office@hairzstueck.at</t>
  </si>
  <si>
    <t>https://bilder.dasschnelle.at/DasSchnelle/50/5000/9889/043593/G_043593_P_906250255.adn.gif</t>
  </si>
  <si>
    <t>Aqua Salza Wellness &amp; Bad Golling GmbH, Bäder • Golling an der Salzach • Salzburg</t>
  </si>
  <si>
    <t>Bäderstudios, Wellness- u. Vitalcenter • Aqua Salza Wellness &amp; Bad Golling GmbH, Möslstraße 199, Golling an der Salzach • Kontakt über aktuelle Telefonnummern ☎ und Adressen ⚑ mit Karte, Routing, Öffnungszeiten, Homepage, E-Mail, vCard und Firmendaten.</t>
  </si>
  <si>
    <t>Möslstraße 199</t>
  </si>
  <si>
    <t>47.59606</t>
  </si>
  <si>
    <t>13.1748</t>
  </si>
  <si>
    <t>+43624420040</t>
  </si>
  <si>
    <t>info@aqua-salza.at</t>
  </si>
  <si>
    <t>https://bilder.dasschnelle.at/DasSchnelle/50/5000/9889/043590/G_043590_P_906258929.adn.gif</t>
  </si>
  <si>
    <t>CAFE SALITRI, Sollereder Christopher • Hallein • Salzburg</t>
  </si>
  <si>
    <t>Cafés • CAFE SALITRI, Sollereder Christopher, Raitenaustraße 3, Hallein • Kontakt über aktuelle Telefonnummern ☎ und Adressen ⚑ mit Karte, Routing, Öffnungszeiten, Homepage, E-Mail, vCard und Firmendaten.</t>
  </si>
  <si>
    <t>Raitenaustraße 3</t>
  </si>
  <si>
    <t>47.68169</t>
  </si>
  <si>
    <t>13.09488</t>
  </si>
  <si>
    <t>+43624571044</t>
  </si>
  <si>
    <t>willkommen@cafesalitri.at</t>
  </si>
  <si>
    <t>Gasthaus Fürndörfler • Hitzendorf • Steiermark</t>
  </si>
  <si>
    <t>Gastgewerbe - Gasthöfe • Gasthaus Fürndörfler, Hitzendorf 228, Hitzendorf • Kontakt über aktuelle Telefonnummern ☎ und Adressen ⚑ mit Karte, Routing, Öffnungszeiten, Homepage, E-Mail, vCard und Firmendaten.</t>
  </si>
  <si>
    <t>Hitzendorf 228</t>
  </si>
  <si>
    <t>8151</t>
  </si>
  <si>
    <t>Hitzendorf</t>
  </si>
  <si>
    <t>47.0319664</t>
  </si>
  <si>
    <t>15.3057121</t>
  </si>
  <si>
    <t>+4331372279</t>
  </si>
  <si>
    <t>office@gasthaus-fuerndoerfler.at</t>
  </si>
  <si>
    <t>https://bilder.dasschnelle.at/DasSchnelle/50/5000/9883/061360/G_061360_P_906227539.adn.gif</t>
  </si>
  <si>
    <t>Gollinger, Haustechnische Systeme • Gratwein-Strassengel • Steiermark</t>
  </si>
  <si>
    <t>Installationsunternehmen • Gollinger, Schulstraße 1, Gratwein-Strassengel • Kontakt über aktuelle Telefonnummern ☎ und Adressen ⚑ mit Karte, Routing, Öffnungszeiten, Homepage, E-Mail, vCard und Firmendaten.</t>
  </si>
  <si>
    <t>Schulstraße 1</t>
  </si>
  <si>
    <t>8111</t>
  </si>
  <si>
    <t>Gratwein-Strassengel</t>
  </si>
  <si>
    <t>47.11325</t>
  </si>
  <si>
    <t>15.33641</t>
  </si>
  <si>
    <t>+43312453587;+4369910030147</t>
  </si>
  <si>
    <t>office@gollinger.info</t>
  </si>
  <si>
    <t>https://bilder.dasschnelle.at/DasSchnelle/50/5000/9883/061359/G_061359_P_906297265.adn.gif</t>
  </si>
  <si>
    <t>Fahrschule Gratwein KG • Gratwein • Steiermark</t>
  </si>
  <si>
    <t>Fahrschulen • Fahrschule Gratwein KG, Murfeldstraße 6, Gratwein • Kontakt über aktuelle Telefonnummern ☎ und Adressen ⚑ mit Karte, Routing, Öffnungszeiten, Homepage, E-Mail, vCard und Firmendaten.</t>
  </si>
  <si>
    <t>Murfeldstraße 6</t>
  </si>
  <si>
    <t>8112</t>
  </si>
  <si>
    <t>Gratwein</t>
  </si>
  <si>
    <t>47.13348</t>
  </si>
  <si>
    <t>15.32188</t>
  </si>
  <si>
    <t>+43312451414</t>
  </si>
  <si>
    <t>office@fahrschule-gratwein.com</t>
  </si>
  <si>
    <t>https://bilder.dasschnelle.at/DasSchnelle/50/5000/9883/061359/G_061359_P_906297554.adn.gif</t>
  </si>
  <si>
    <t>JP Etechnik e.U. • Frohnleiten • Steiermark</t>
  </si>
  <si>
    <t>Elektrotechnik • JP Etechnik e.U., Adriach-Rabenstein 51, Frohnleiten • Kontakt über aktuelle Telefonnummern ☎ und Adressen ⚑ mit Karte, Routing, Öffnungszeiten, Homepage, E-Mail, vCard und Firmendaten.</t>
  </si>
  <si>
    <t>Adriach-Rabenstein 51</t>
  </si>
  <si>
    <t>8130</t>
  </si>
  <si>
    <t>Frohnleiten</t>
  </si>
  <si>
    <t>47.2292954</t>
  </si>
  <si>
    <t>15.3211897</t>
  </si>
  <si>
    <t>+436602246457</t>
  </si>
  <si>
    <t>jp-etechnik@gmx.at</t>
  </si>
  <si>
    <t>https://bilder.dasschnelle.at/DasSchnelle/50/5000/9883/061362/G_061362_P_906297267.adn.gif</t>
  </si>
  <si>
    <t>Schönheitsgefühl Sabine Raninger, Kosmetik • Sankt Oswald bei Plankenwarth • Steiermark</t>
  </si>
  <si>
    <t>Fingernagelstudios • Schönheitsgefühl Sabine Raninger, Sankt Oswald bei Plankenwarth 100, Sankt Oswald bei Plankenwarth • Kontakt über aktuelle Telefonnummern ☎ und Adressen ⚑ mit Karte, Routing, Öffnungszeiten, Homepage, E-Mail, vCard und Firmendaten.</t>
  </si>
  <si>
    <t>Sankt Oswald bei Plankenwarth 100</t>
  </si>
  <si>
    <t>8113</t>
  </si>
  <si>
    <t>Sankt Oswald bei Plankenwarth</t>
  </si>
  <si>
    <t>47.0867750</t>
  </si>
  <si>
    <t>15.2909106</t>
  </si>
  <si>
    <t>+436641306482</t>
  </si>
  <si>
    <t>sabine@schönheitsgefühl.at</t>
  </si>
  <si>
    <t>https://bilder.dasschnelle.at/DasSchnelle/50/5000/9883/042349/G_042349_P_906297551.adn.gif</t>
  </si>
  <si>
    <t>KFZ Technik, Amir Crnkic • Frohnleiten • Steiermark</t>
  </si>
  <si>
    <t>Kfz-Werkstätte • KFZ Technik, Amir Crnkic, Brucker Straße 6, Frohnleiten • Kontakt über aktuelle Telefonnummern ☎ und Adressen ⚑ mit Karte, Routing, Öffnungszeiten, Homepage, E-Mail, vCard und Firmendaten.</t>
  </si>
  <si>
    <t>Brucker Straße 6</t>
  </si>
  <si>
    <t>47.2758839</t>
  </si>
  <si>
    <t>15.3269896</t>
  </si>
  <si>
    <t>+436764755338</t>
  </si>
  <si>
    <t>c.r.amir@live.at</t>
  </si>
  <si>
    <t>https://bilder.dasschnelle.at/DasSchnelle/50/5000/9883/061362/I_061362_P_906061823_B_0038395659_1.gal.png?height=720&amp;width=960;https://bilder.dasschnelle.at/DasSchnelle/50/5000/9883/061362/G_061362_P_906297553.adn.gif</t>
  </si>
  <si>
    <t>Lesky, Jürgen, Tore-Türen-Haustüren • Sankt Bartholomä • Steiermark</t>
  </si>
  <si>
    <t>Türen • Lesky, Jürgen, Jaritzberg 97, Sankt Bartholomä • Kontakt über aktuelle Telefonnummern ☎ und Adressen ⚑ mit Karte, Routing, Öffnungszeiten, Homepage, E-Mail, vCard und Firmendaten.</t>
  </si>
  <si>
    <t>Jaritzberg 97</t>
  </si>
  <si>
    <t>Sankt Bartholomä</t>
  </si>
  <si>
    <t>47.0754821</t>
  </si>
  <si>
    <t>15.2657455</t>
  </si>
  <si>
    <t>+436641923652</t>
  </si>
  <si>
    <t>juergen.lesky@aon.at</t>
  </si>
  <si>
    <t>https://bilder.dasschnelle.at/DasSchnelle/50/5000/9883/042347/I_042347_P_906060663_L_0036000319_1.png</t>
  </si>
  <si>
    <t>https://bilder.dasschnelle.at/DasSchnelle/50/5000/9883/042347/G_042347_P_906297552.adn.gif</t>
  </si>
  <si>
    <t>Heiningers Schlemmerei, Gastgewerbe • Frohnleiten • Steiermark</t>
  </si>
  <si>
    <t>Cafe-Restaurants • Heiningers Schlemmerei, Brucker Straße 7, Frohnleiten • Kontakt über aktuelle Telefonnummern ☎ und Adressen ⚑ mit Karte, Routing, Öffnungszeiten, Homepage, E-Mail, vCard und Firmendaten.</t>
  </si>
  <si>
    <t>Brucker Straße 7</t>
  </si>
  <si>
    <t>47.26925</t>
  </si>
  <si>
    <t>15.32676</t>
  </si>
  <si>
    <t>+43312644444</t>
  </si>
  <si>
    <t>info@heiningers-schlemmerei.at</t>
  </si>
  <si>
    <t>https://bilder.dasschnelle.at/DasSchnelle/50/5000/9883/061362/G_061362_P_906297271.adn.gif</t>
  </si>
  <si>
    <t>Pabst, Johann, Tischlerei • Thoneben • Steiermark</t>
  </si>
  <si>
    <t>Tischlereien • Pabst, Johann, Vorderer Weißeck 8, Thoneben • Kontakt über aktuelle Telefonnummern ☎ und Adressen ⚑ mit Karte, Routing, Öffnungszeiten, Homepage, E-Mail, vCard und Firmendaten.</t>
  </si>
  <si>
    <t>Vorderer Weißeck 8</t>
  </si>
  <si>
    <t>8102</t>
  </si>
  <si>
    <t>Thoneben</t>
  </si>
  <si>
    <t>47.218917</t>
  </si>
  <si>
    <t>15.4432748</t>
  </si>
  <si>
    <t>+43312722670</t>
  </si>
  <si>
    <t>tischlerei.pabst@gmx.at</t>
  </si>
  <si>
    <t>https://bilder.dasschnelle.at/DasSchnelle/50/5000/9883/042353/G_042353_P_906297557.adn.gif</t>
  </si>
  <si>
    <t>Leitner, Ernst, Malermeister • Peggau • Steiermark</t>
  </si>
  <si>
    <t>Malereibetriebe • Leitner, Ernst, Übelbacher Straße 10, Peggau • Kontakt über aktuelle Telefonnummern ☎ und Adressen ⚑ mit Karte, Routing, Öffnungszeiten, Homepage, E-Mail, vCard und Firmendaten.</t>
  </si>
  <si>
    <t>Übelbacher Straße 10</t>
  </si>
  <si>
    <t>8120</t>
  </si>
  <si>
    <t>Peggau</t>
  </si>
  <si>
    <t>47.20313</t>
  </si>
  <si>
    <t>15.34243</t>
  </si>
  <si>
    <t>+436644828861;+43312741709</t>
  </si>
  <si>
    <t>maler-leitner@aon.at</t>
  </si>
  <si>
    <t>https://bilder.dasschnelle.at/DasSchnelle/50/5000/9883/042341/G_042341_P_906297260.adn.gif</t>
  </si>
  <si>
    <t>Redstone OG, Tischler • Röthelstein • Steiermark</t>
  </si>
  <si>
    <t>Tischlereien • Redstone OG, Röthelstein 67, Röthelstein • Kontakt über aktuelle Telefonnummern ☎ und Adressen ⚑ mit Karte, Routing, Öffnungszeiten, Homepage, E-Mail, vCard und Firmendaten.</t>
  </si>
  <si>
    <t>Röthelstein 67</t>
  </si>
  <si>
    <t>8131</t>
  </si>
  <si>
    <t>Röthelstein</t>
  </si>
  <si>
    <t>47.3073289</t>
  </si>
  <si>
    <t>15.3655143</t>
  </si>
  <si>
    <t>+436645876320</t>
  </si>
  <si>
    <t>info@tischlerei-redstone.at</t>
  </si>
  <si>
    <t>https://bilder.dasschnelle.at/DasSchnelle/50/5000/9883/061362/G_061362_P_906297273.adn.gif</t>
  </si>
  <si>
    <t>Haustechnik Baumann • Sankt Oswald bei Plankenwarth • Steiermark</t>
  </si>
  <si>
    <t>Haustechnik • Haustechnik Baumann, Sankt Oswald bei Plankenwarth 223, Sankt Oswald bei Plankenwarth • Kontakt über aktuelle Telefonnummern ☎ und Adressen ⚑ mit Karte, Routing, Öffnungszeiten, Homepage, E-Mail, vCard und Firmendaten.</t>
  </si>
  <si>
    <t>Sankt Oswald bei Plankenwarth 223</t>
  </si>
  <si>
    <t>47.0912128</t>
  </si>
  <si>
    <t>15.3024703</t>
  </si>
  <si>
    <t>+436641640568</t>
  </si>
  <si>
    <t>firma.baumann@aon.at</t>
  </si>
  <si>
    <t>https://bilder.dasschnelle.at/DasSchnelle/50/5000/9883/042349/G_042349_P_906297556.adn.gif</t>
  </si>
  <si>
    <t>Grimm, Elisabeth, Fußpflege • Gratkorn • Steiermark</t>
  </si>
  <si>
    <t>Fußpflege • Grimm, Elisabeth, Grazer Straße 10, Gratkorn • Kontakt über aktuelle Telefonnummern ☎ und Adressen ⚑ mit Karte, Routing, Öffnungszeiten, Homepage, E-Mail, vCard und Firmendaten.</t>
  </si>
  <si>
    <t>Grazer Straße 10</t>
  </si>
  <si>
    <t>8101</t>
  </si>
  <si>
    <t>Gratkorn</t>
  </si>
  <si>
    <t>47.1319300</t>
  </si>
  <si>
    <t>15.3396300</t>
  </si>
  <si>
    <t>+43312425405;+436767064978</t>
  </si>
  <si>
    <t>office@primabella.at</t>
  </si>
  <si>
    <t>https://bilder.dasschnelle.at/DasSchnelle/50/5000/9883/042322/G_042322_P_906297262.adn.gif</t>
  </si>
  <si>
    <t>Praxmarer, Peter, Kunstschmiede • Umhausen • Tirol</t>
  </si>
  <si>
    <t>Kunstschmieden • Praxmarer, Peter, Dorf 3, Umhausen • Kontakt über aktuelle Telefonnummern ☎ und Adressen ⚑ mit Karte, Routing, Öffnungszeiten, Homepage, E-Mail, vCard und Firmendaten.</t>
  </si>
  <si>
    <t>Dorf 3</t>
  </si>
  <si>
    <t>6441</t>
  </si>
  <si>
    <t>Umhausen</t>
  </si>
  <si>
    <t>47.14046</t>
  </si>
  <si>
    <t>10.92542</t>
  </si>
  <si>
    <t>+4352555659</t>
  </si>
  <si>
    <t>info@die-kunstschmiede.at</t>
  </si>
  <si>
    <t>https://bilder.dasschnelle.at/DasSchnelle/50/5000/9894/045658/G_045658_P_906219575.adn.gif</t>
  </si>
  <si>
    <t>Holzknecht, Dominik, Natursteine • Umhausen • Tirol</t>
  </si>
  <si>
    <t>Natursteine u. -platten • Holzknecht, Dominik, Hintere Gasse 19, Umhausen • Kontakt über aktuelle Telefonnummern ☎ und Adressen ⚑ mit Karte, Routing, Öffnungszeiten, Homepage, E-Mail, vCard und Firmendaten.</t>
  </si>
  <si>
    <t>Hintere Gasse 19</t>
  </si>
  <si>
    <t>47.13771</t>
  </si>
  <si>
    <t>10.92759</t>
  </si>
  <si>
    <t>+436649477783</t>
  </si>
  <si>
    <t>holzknecht.natursteine@gmail.com</t>
  </si>
  <si>
    <t>https://bilder.dasschnelle.at/DasSchnelle/50/5000/9894/045658/G_045658_P_906221511.adn.gif</t>
  </si>
  <si>
    <t>Schiregion Hochoetz Erschließungs-GmbH &amp; Co KG, Bergbahnen • Oetz • Tirol</t>
  </si>
  <si>
    <t>Bergbahnen • Schiregion Hochoetz Erschließungs-GmbH &amp; Co KG, Angerweg 13, Oetz • Kontakt über aktuelle Telefonnummern ☎ und Adressen ⚑ mit Karte, Routing, Öffnungszeiten, Homepage, E-Mail, vCard und Firmendaten.</t>
  </si>
  <si>
    <t>Angerweg 13</t>
  </si>
  <si>
    <t>6433</t>
  </si>
  <si>
    <t>Oetz</t>
  </si>
  <si>
    <t>47.19999</t>
  </si>
  <si>
    <t>10.90316</t>
  </si>
  <si>
    <t>+4352526385</t>
  </si>
  <si>
    <t>+435252638515</t>
  </si>
  <si>
    <t>info@hochoetz.at</t>
  </si>
  <si>
    <t>https://bilder.dasschnelle.at/DasSchnelle/50/5000/9894/045649/G_045649_P_906225928.adn.gif</t>
  </si>
  <si>
    <t>Master Cut, Friseur • Imst • Tirol</t>
  </si>
  <si>
    <t>Friseure • Master Cut, Hermann-Gmeiner-Straße 1, Imst • Kontakt über aktuelle Telefonnummern ☎ und Adressen ⚑ mit Karte, Routing, Öffnungszeiten, Homepage, E-Mail, vCard und Firmendaten.</t>
  </si>
  <si>
    <t>Hermann-Gmeiner-Straße 1</t>
  </si>
  <si>
    <t>6460</t>
  </si>
  <si>
    <t>Imst</t>
  </si>
  <si>
    <t>47.2293</t>
  </si>
  <si>
    <t>10.72699</t>
  </si>
  <si>
    <t>+436507222678</t>
  </si>
  <si>
    <t>https://bilder.dasschnelle.at/DasSchnelle/50/5000/9894/045638/G_045638_P_906236023.adn.gif</t>
  </si>
  <si>
    <t>Flir Wolfgang e.U. • Arzl im Pitztal • Tirol</t>
  </si>
  <si>
    <t>Elektrounternehmen • Flir Wolfgang e.U., Dorfstraße 58, Arzl im Pitztal • Kontakt über aktuelle Telefonnummern ☎ und Adressen ⚑ mit Karte, Routing, Öffnungszeiten, Homepage, E-Mail, vCard und Firmendaten.</t>
  </si>
  <si>
    <t>Dorfstraße 58</t>
  </si>
  <si>
    <t>6471</t>
  </si>
  <si>
    <t>Arzl im Pitztal</t>
  </si>
  <si>
    <t>47.20553</t>
  </si>
  <si>
    <t>10.76086</t>
  </si>
  <si>
    <t>+43541264257</t>
  </si>
  <si>
    <t>info@elektro-flir.at</t>
  </si>
  <si>
    <t>https://bilder.dasschnelle.at/DasSchnelle/50/5000/9894/045636/G_045636_P_906229980.adn.gif</t>
  </si>
  <si>
    <t>Gstrein, Gotthard, KFZ-Technik • Sölden • Tirol</t>
  </si>
  <si>
    <t>Autoreparaturen • Gstrein, Gotthard, Ötztalstraße 4, Sölden • Kontakt über aktuelle Telefonnummern ☎ und Adressen ⚑ mit Karte, Routing, Öffnungszeiten, Homepage, E-Mail, vCard und Firmendaten.</t>
  </si>
  <si>
    <t>Ötztalstraße 4</t>
  </si>
  <si>
    <t>6450</t>
  </si>
  <si>
    <t>Sölden</t>
  </si>
  <si>
    <t>46.94841</t>
  </si>
  <si>
    <t>11.01488</t>
  </si>
  <si>
    <t>+4352543829;+436643912950</t>
  </si>
  <si>
    <t>+4352543796</t>
  </si>
  <si>
    <t>info@kfz-gstrein.at</t>
  </si>
  <si>
    <t>https://bilder.dasschnelle.at/DasSchnelle/50/5000/9894/045655/G_045655_P_906212182.adn.gif</t>
  </si>
  <si>
    <t>Fiegl, Harald, Friseur • Sölden • Tirol</t>
  </si>
  <si>
    <t>Friseure • Fiegl, Harald, Dorfstraße 104, Sölden • Kontakt über aktuelle Telefonnummern ☎ und Adressen ⚑ mit Karte, Routing, Öffnungszeiten, Homepage, E-Mail, vCard und Firmendaten.</t>
  </si>
  <si>
    <t>Dorfstraße 104</t>
  </si>
  <si>
    <t>46.96594</t>
  </si>
  <si>
    <t>11.00705</t>
  </si>
  <si>
    <t>+4352542238</t>
  </si>
  <si>
    <t>info@friseur-fiegl.at</t>
  </si>
  <si>
    <t>https://bilder.dasschnelle.at/DasSchnelle/50/5000/9894/045655/G_045655_P_906212185.adn.gif</t>
  </si>
  <si>
    <t>Malerei Müller GmbH • Oetz • Tirol</t>
  </si>
  <si>
    <t>Malereibetriebe • Malerei Müller GmbH, Dorfstraße 36, Oetz • Kontakt über aktuelle Telefonnummern ☎ und Adressen ⚑ mit Karte, Routing, Öffnungszeiten, Homepage, E-Mail, vCard und Firmendaten.</t>
  </si>
  <si>
    <t>Dorfstraße 36</t>
  </si>
  <si>
    <t>47.20475</t>
  </si>
  <si>
    <t>10.89535</t>
  </si>
  <si>
    <t>+436644384520</t>
  </si>
  <si>
    <t>info@malerei-mueller.at</t>
  </si>
  <si>
    <t>https://bilder.dasschnelle.at/DasSchnelle/50/5000/9894/045649/G_045649_P_906230712.adn.gif</t>
  </si>
  <si>
    <t>Schöpf GmbH u. Co. KG, Metalltechnik • Längenfeld • Tirol</t>
  </si>
  <si>
    <t>Metallbau • Schöpf GmbH u. Co. KG, Au 144, Längenfeld • Kontakt über aktuelle Telefonnummern ☎ und Adressen ⚑ mit Karte, Routing, Öffnungszeiten, Homepage, E-Mail, vCard und Firmendaten.</t>
  </si>
  <si>
    <t>Au 144</t>
  </si>
  <si>
    <t>6444</t>
  </si>
  <si>
    <t>Längenfeld</t>
  </si>
  <si>
    <t>47.10137</t>
  </si>
  <si>
    <t>10.95239</t>
  </si>
  <si>
    <t>+4352535576</t>
  </si>
  <si>
    <t>w.schoepf@metalltechnik-schoepf.at</t>
  </si>
  <si>
    <t>https://bilder.dasschnelle.at/DasSchnelle/50/5000/9894/045643/G_045643_P_906209707.adn.gif</t>
  </si>
  <si>
    <t>Spenglerei Auer Bruno GmbH • Oetz • Tirol</t>
  </si>
  <si>
    <t>Spenglereien • Spenglerei Auer Bruno GmbH, Schrofen 10, Oetz • Kontakt über aktuelle Telefonnummern ☎ und Adressen ⚑ mit Karte, Routing, Öffnungszeiten, Homepage, E-Mail, vCard und Firmendaten.</t>
  </si>
  <si>
    <t>Schrofen 10</t>
  </si>
  <si>
    <t>47.20648</t>
  </si>
  <si>
    <t>10.9002</t>
  </si>
  <si>
    <t>+43541261522;+43676844687100</t>
  </si>
  <si>
    <t>info@spenglerei-auer.at</t>
  </si>
  <si>
    <t>https://bilder.dasschnelle.at/DasSchnelle/50/5000/9894/045649/G_045649_P_906226718.adn.gif</t>
  </si>
  <si>
    <t>Steck, Klaus, Physiotherapie West • Imst • Tirol</t>
  </si>
  <si>
    <t>Physiotherapie • Steck, Klaus, Physiotherapie West, Dr.-Carl-Pfeiffenberger-Straße 24, Imst • Kontakt über aktuelle Telefonnummern ☎ und Adressen ⚑ mit Karte, Routing, Öffnungszeiten, Homepage, E-Mail, vCard und Firmendaten.</t>
  </si>
  <si>
    <t>Dr.-Carl-Pfeiffenberger-Straße 24</t>
  </si>
  <si>
    <t>47.2370143</t>
  </si>
  <si>
    <t>10.7388583</t>
  </si>
  <si>
    <t>+43541262371</t>
  </si>
  <si>
    <t>info@physiotherapie-west.at</t>
  </si>
  <si>
    <t>https://bilder.dasschnelle.at/DasSchnelle/50/5000/9894/045636/G_045636_P_906227540.adn.gif</t>
  </si>
  <si>
    <t>Föger, Matthias, Trockenbau • Silz • Tirol</t>
  </si>
  <si>
    <t>Trockenausbau • Föger, Matthias, Franz-Xaver-Renn-Weg 7, Silz • Kontakt über aktuelle Telefonnummern ☎ und Adressen ⚑ mit Karte, Routing, Öffnungszeiten, Homepage, E-Mail, vCard und Firmendaten.</t>
  </si>
  <si>
    <t>Franz-Xaver-Renn-Weg 7</t>
  </si>
  <si>
    <t>6424</t>
  </si>
  <si>
    <t>Silz</t>
  </si>
  <si>
    <t>47.27132</t>
  </si>
  <si>
    <t>10.94311</t>
  </si>
  <si>
    <t>+436644224092</t>
  </si>
  <si>
    <t>tb.foeger@gmx.at</t>
  </si>
  <si>
    <t>https://bilder.dasschnelle.at/DasSchnelle/50/5000/9894/045654/I_045654_P_905990515_L_0036261634_1.png</t>
  </si>
  <si>
    <t>https://bilder.dasschnelle.at/DasSchnelle/50/5000/9894/045654/I_045654_P_905990515_B_0036261634_1.gal.png?height=478&amp;width=600;https://bilder.dasschnelle.at/DasSchnelle/50/5000/9894/045654/I_045654_P_905990515_B_0036261634_2.gal.png?height=483&amp;width=600;https://bilder.dasschnelle.at/DasSchnelle/50/5000/9894/045654/I_045654_P_905990515_B_0036261634_3.gal.png?height=488&amp;width=600;https://bilder.dasschnelle.at/DasSchnelle/50/5000/9894/045654/I_045654_P_905990515_B_0036261634_4.gal.png?height=291&amp;width=600</t>
  </si>
  <si>
    <t>Schöpf Bau + Putz GmbH • Umhausen • Tirol</t>
  </si>
  <si>
    <t>Bauunternehmen • Schöpf Bau + Putz GmbH, Dreschgasse 2, Umhausen • Kontakt über aktuelle Telefonnummern ☎ und Adressen ⚑ mit Karte, Routing, Öffnungszeiten, Homepage, E-Mail, vCard und Firmendaten.</t>
  </si>
  <si>
    <t>Dreschgasse 2</t>
  </si>
  <si>
    <t>47.13924</t>
  </si>
  <si>
    <t>10.92223</t>
  </si>
  <si>
    <t>+4352555676</t>
  </si>
  <si>
    <t>schoepf.bau@gmx.net</t>
  </si>
  <si>
    <t>https://bilder.dasschnelle.at/DasSchnelle/50/5000/9894/045658/G_045658_P_906222336.adn.gif</t>
  </si>
  <si>
    <t>Leiner Birgit e.U., Juwelier • Ötztal-Bahnhof • Tirol</t>
  </si>
  <si>
    <t>Juweliere • Leiner Birgit e.U., Turmstraße 10, Ötztal-Bahnhof • Kontakt über aktuelle Telefonnummern ☎ und Adressen ⚑ mit Karte, Routing, Öffnungszeiten, Homepage, E-Mail, vCard und Firmendaten.</t>
  </si>
  <si>
    <t>Turmstraße 10</t>
  </si>
  <si>
    <t>6430</t>
  </si>
  <si>
    <t>Ötztal-Bahnhof</t>
  </si>
  <si>
    <t>47.23585</t>
  </si>
  <si>
    <t>10.85376</t>
  </si>
  <si>
    <t>+43526688271</t>
  </si>
  <si>
    <t>office@leinerschmuck.at</t>
  </si>
  <si>
    <t>https://bilder.dasschnelle.at/DasSchnelle/50/5000/9894/506343/G_506343_P_906190489.adn.gif</t>
  </si>
  <si>
    <t>Förg Eduard GmbH &amp; Co KG, Kohle-Koks-Heizöl • Silz • Tirol</t>
  </si>
  <si>
    <t>Brennstoffhandel • Förg Eduard GmbH &amp; Co KG, Johann-Georg-Oegg-Straße 13, Silz • Kontakt über aktuelle Telefonnummern ☎ und Adressen ⚑ mit Karte, Routing, Öffnungszeiten, Homepage, E-Mail, vCard und Firmendaten.</t>
  </si>
  <si>
    <t>Johann-Georg-Oegg-Straße 13</t>
  </si>
  <si>
    <t>47.26781</t>
  </si>
  <si>
    <t>10.9316</t>
  </si>
  <si>
    <t>+4352636381</t>
  </si>
  <si>
    <t>eduard.foerg@speed.at</t>
  </si>
  <si>
    <t>https://bilder.dasschnelle.at/DasSchnelle/50/5000/9894/045654/G_045654_P_906190488.adn.gif</t>
  </si>
  <si>
    <t>Georg's Haus &amp; Gartenservice • Imst • Tirol</t>
  </si>
  <si>
    <t>Gartencenter • Georg's Haus &amp; Gartenservice, Lehngasse 42, Imst • Kontakt über aktuelle Telefonnummern ☎ und Adressen ⚑ mit Karte, Routing, Öffnungszeiten, Homepage, E-Mail, vCard und Firmendaten.</t>
  </si>
  <si>
    <t>Lehngasse 42</t>
  </si>
  <si>
    <t>47.24999</t>
  </si>
  <si>
    <t>10.74089</t>
  </si>
  <si>
    <t>+436642143387</t>
  </si>
  <si>
    <t>hausservice@cni.at</t>
  </si>
  <si>
    <t>https://bilder.dasschnelle.at/DasSchnelle/50/5000/9894/045638/G_045638_P_906232917.adn.gif</t>
  </si>
  <si>
    <t>Ötztaler Schafwollzentrum - Regensburger GmbH • Umhausen • Tirol</t>
  </si>
  <si>
    <t>Wolle u. Wollwaren • Ötztaler Schafwollzentrum - Regensburger GmbH, Lehnpuit 2, Umhausen • Kontakt über aktuelle Telefonnummern ☎ und Adressen ⚑ mit Karte, Routing, Öffnungszeiten, Homepage, E-Mail, vCard und Firmendaten.</t>
  </si>
  <si>
    <t>Lehnpuit 2</t>
  </si>
  <si>
    <t>47.1414</t>
  </si>
  <si>
    <t>10.92237</t>
  </si>
  <si>
    <t>+4352555293</t>
  </si>
  <si>
    <t>regensburger@telering.at</t>
  </si>
  <si>
    <t>https://bilder.dasschnelle.at/DasSchnelle/50/5000/9894/045658/G_045658_P_906220651.adn.gif</t>
  </si>
  <si>
    <t>Heizung-Sanitär Schöpf GmbH • Längenfeld • Tirol</t>
  </si>
  <si>
    <t>Heizungen, Installationsunternehmen • Heizung-Sanitär Schöpf GmbH, Au 279, Längenfeld • Kontakt über aktuelle Telefonnummern ☎ und Adressen ⚑ mit Karte, Routing, Öffnungszeiten, Homepage, E-Mail, vCard und Firmendaten.</t>
  </si>
  <si>
    <t>Au 279</t>
  </si>
  <si>
    <t>47.10041</t>
  </si>
  <si>
    <t>10.95249</t>
  </si>
  <si>
    <t>+43525320902</t>
  </si>
  <si>
    <t>office@heizung-sanitaer-schoepf.at</t>
  </si>
  <si>
    <t>https://bilder.dasschnelle.at/DasSchnelle/50/5000/9894/045643/I_045643_P_905987427_L_0036253825_1.png</t>
  </si>
  <si>
    <t>https://bilder.dasschnelle.at/DasSchnelle/50/5000/9894/045643/I_045643_P_905987427_B_0036253825_1.gal.png?height=360&amp;width=600;https://bilder.dasschnelle.at/DasSchnelle/50/5000/9894/045643/I_045643_P_905987427_B_0036253825_2.gal.png?height=194&amp;width=259;https://bilder.dasschnelle.at/DasSchnelle/50/5000/9894/045643/I_045643_P_905987427_B_0036253825_3.gal.png?height=194&amp;width=259;https://bilder.dasschnelle.at/DasSchnelle/50/5000/9894/045643/G_045643_P_906222812.adn.gif</t>
  </si>
  <si>
    <t>Olina Küchen Imst • Imst • Tirol</t>
  </si>
  <si>
    <t>Küchenstudios • Olina Küchen Imst, Thomas-Walch-Straße 35 A, Imst • Kontakt über aktuelle Telefonnummern ☎ und Adressen ⚑ mit Karte, Routing, Öffnungszeiten, Homepage, E-Mail, vCard und Firmendaten.</t>
  </si>
  <si>
    <t>Thomas-Walch-Straße 35 A</t>
  </si>
  <si>
    <t>47.2483435</t>
  </si>
  <si>
    <t>10.7435618</t>
  </si>
  <si>
    <t>+436769402865</t>
  </si>
  <si>
    <t>olina.imst@olina.com</t>
  </si>
  <si>
    <t>https://bilder.dasschnelle.at/DasSchnelle/50/5000/9894/045638/I_045638_P_906009540_L_0038053672_1.png</t>
  </si>
  <si>
    <t>https://bilder.dasschnelle.at/DasSchnelle/50/5000/9894/045638/I_045638_P_906009540_B_0038053672_1.gal.png?height=899&amp;width=1200;https://bilder.dasschnelle.at/DasSchnelle/50/5000/9894/045638/I_045638_P_906009540_B_0038053672_2.gal.png?height=653&amp;width=900;https://bilder.dasschnelle.at/DasSchnelle/50/5000/9894/045638/I_045638_P_906009540_B_0038053672_3.gal.png?height=600&amp;width=800;https://bilder.dasschnelle.at/DasSchnelle/50/5000/9894/045638/I_045638_P_906009540_B_0038053672_4.gal.png?height=899&amp;width=1200</t>
  </si>
  <si>
    <t>Schmid, Franz, Vollwärmeschutz • Umhausen • Tirol</t>
  </si>
  <si>
    <t>Innen- u. Aussenputze • Schmid, Franz, Niederthai 101, Umhausen • Kontakt über aktuelle Telefonnummern ☎ und Adressen ⚑ mit Karte, Routing, Öffnungszeiten, Homepage, E-Mail, vCard und Firmendaten.</t>
  </si>
  <si>
    <t>Niederthai 101</t>
  </si>
  <si>
    <t>47.1248578</t>
  </si>
  <si>
    <t>10.9613589</t>
  </si>
  <si>
    <t>+436643586024</t>
  </si>
  <si>
    <t>fam.schmid@tele2.at</t>
  </si>
  <si>
    <t>https://bilder.dasschnelle.at/DasSchnelle/50/5000/9894/045658/I_045658_P_905977993_L_0035970062_1.png</t>
  </si>
  <si>
    <t>https://bilder.dasschnelle.at/DasSchnelle/50/5000/9894/045658/G_045658_P_906214489.adn.gif</t>
  </si>
  <si>
    <t>Schreier, Günter, Schlosserei • Karres • Tirol</t>
  </si>
  <si>
    <t>Schlossereien • Schreier, Günter, Bundesstraße 142, Karres • Kontakt über aktuelle Telefonnummern ☎ und Adressen ⚑ mit Karte, Routing, Öffnungszeiten, Homepage, E-Mail, vCard und Firmendaten.</t>
  </si>
  <si>
    <t>Bundesstraße 142</t>
  </si>
  <si>
    <t>6462</t>
  </si>
  <si>
    <t>Karres</t>
  </si>
  <si>
    <t>47.2148076</t>
  </si>
  <si>
    <t>10.7824653</t>
  </si>
  <si>
    <t>+43541268905</t>
  </si>
  <si>
    <t>info@guenters-schlosserei.at</t>
  </si>
  <si>
    <t>https://bilder.dasschnelle.at/DasSchnelle/50/5000/9894/045641/I_045641_P_905999462_L_0036253751_1.png</t>
  </si>
  <si>
    <t>https://bilder.dasschnelle.at/DasSchnelle/50/5000/9894/045641/I_045641_P_905999462_B_0036253751_1.gal.png?height=530&amp;width=1000;https://bilder.dasschnelle.at/DasSchnelle/50/5000/9894/045641/I_045641_P_905999462_B_0036253751_2.gal.png?height=545&amp;width=1000;https://bilder.dasschnelle.at/DasSchnelle/50/5000/9894/045641/I_045641_P_905999462_B_0036253751_3.gal.png?height=546&amp;width=1000;https://bilder.dasschnelle.at/DasSchnelle/50/5000/9894/045641/I_045641_P_905999462_B_0036253751_4.gal.png?height=551&amp;width=1000</t>
  </si>
  <si>
    <t>Reca - Fliesen &amp; Steine GmbH • Imst • Tirol</t>
  </si>
  <si>
    <t>Fliesen u. Plattenverlegungen • Reca - Fliesen &amp; Steine GmbH, Fabrikstraße 9, Imst • Kontakt über aktuelle Telefonnummern ☎ und Adressen ⚑ mit Karte, Routing, Öffnungszeiten, Homepage, E-Mail, vCard und Firmendaten.</t>
  </si>
  <si>
    <t>Fabrikstraße 9</t>
  </si>
  <si>
    <t>47.23538</t>
  </si>
  <si>
    <t>10.75136</t>
  </si>
  <si>
    <t>+435412668880;+4369917908889</t>
  </si>
  <si>
    <t>+43541263888</t>
  </si>
  <si>
    <t>info@posch.reca.at</t>
  </si>
  <si>
    <t>https://bilder.dasschnelle.at/DasSchnelle/50/5000/9894/045638/I_045638_P_905999468_L_0036237491_1.png</t>
  </si>
  <si>
    <t>https://bilder.dasschnelle.at/DasSchnelle/50/5000/9894/045638/I_045638_P_905999468_B_0036237491_1.gal.png?height=337&amp;width=600;https://bilder.dasschnelle.at/DasSchnelle/50/5000/9894/045638/I_045638_P_905999468_B_0036237491_2.gal.png?height=337&amp;width=600;https://bilder.dasschnelle.at/DasSchnelle/50/5000/9894/045638/I_045638_P_905999468_B_0036237491_3.gal.png?height=337&amp;width=600;https://bilder.dasschnelle.at/DasSchnelle/50/5000/9894/045638/I_045638_P_905999468_B_0036237491_4.gal.png?height=337&amp;width=600</t>
  </si>
  <si>
    <t>Gabl, Elmar, Landwirtschaftliche Produkte • Arzl im Pitztal • Tirol</t>
  </si>
  <si>
    <t>Landwirtschaftliche Produkte • Gabl, Elmar, Mairhof 8, Arzl im Pitztal • Kontakt über aktuelle Telefonnummern ☎ und Adressen ⚑ mit Karte, Routing, Öffnungszeiten, Homepage, E-Mail, vCard und Firmendaten.</t>
  </si>
  <si>
    <t>Mairhof 8</t>
  </si>
  <si>
    <t>47.20399</t>
  </si>
  <si>
    <t>10.77481</t>
  </si>
  <si>
    <t>+43541267723</t>
  </si>
  <si>
    <t>anders-hofladen@aon.at</t>
  </si>
  <si>
    <t>https://bilder.dasschnelle.at/DasSchnelle/50/5000/9894/045636/G_045636_P_906229983.adn.gif</t>
  </si>
  <si>
    <t>SteinTec GmbH &amp; Co. KG, Steinmetzbetrieb • Umhausen • Tirol</t>
  </si>
  <si>
    <t>Steinmetzbetriebe • SteinTec GmbH &amp; Co. KG, Gewerbegebiet Vorderes Ötztal 2, Umhausen • Kontakt über aktuelle Telefonnummern ☎ und Adressen ⚑ mit Karte, Routing, Öffnungszeiten, Homepage, E-Mail, vCard und Firmendaten.</t>
  </si>
  <si>
    <t>Gewerbegebiet Vorderes Ötztal 2</t>
  </si>
  <si>
    <t>47.16557</t>
  </si>
  <si>
    <t>10.90901</t>
  </si>
  <si>
    <t>+43525550054;+436648214650;+436648214651</t>
  </si>
  <si>
    <t>+4352555005454</t>
  </si>
  <si>
    <t>office@steintec.at</t>
  </si>
  <si>
    <t>https://bilder.dasschnelle.at/DasSchnelle/50/5000/9894/045658/I_045658_P_906004302_L_0035970691_1.png</t>
  </si>
  <si>
    <t>https://bilder.dasschnelle.at/DasSchnelle/50/5000/9894/045658/I_045658_P_906004302_B_0035970691_1.gal.png?height=546&amp;width=760;https://bilder.dasschnelle.at/DasSchnelle/50/5000/9894/045658/I_045658_P_906004302_B_0035970691_2.gal.png?height=567&amp;width=771;https://bilder.dasschnelle.at/DasSchnelle/50/5000/9894/045658/I_045658_P_906004302_B_0035970691_3.gal.png?height=564&amp;width=772;https://bilder.dasschnelle.at/DasSchnelle/50/5000/9894/045658/I_045658_P_906004302_B_0035970691_4.gal.png?height=556&amp;width=764</t>
  </si>
  <si>
    <t>Köll Raumausstattung KG • Sautens • Tirol</t>
  </si>
  <si>
    <t>Raumausstatter • Köll Raumausstattung KG, Dorfstraße 98, Sautens • Kontakt über aktuelle Telefonnummern ☎ und Adressen ⚑ mit Karte, Routing, Öffnungszeiten, Homepage, E-Mail, vCard und Firmendaten.</t>
  </si>
  <si>
    <t>Dorfstraße 98</t>
  </si>
  <si>
    <t>6432</t>
  </si>
  <si>
    <t>Sautens</t>
  </si>
  <si>
    <t>47.21005</t>
  </si>
  <si>
    <t>10.86076</t>
  </si>
  <si>
    <t>+4352526544</t>
  </si>
  <si>
    <t>+43525265444</t>
  </si>
  <si>
    <t>office@koell.tirol</t>
  </si>
  <si>
    <t>https://bilder.dasschnelle.at/DasSchnelle/50/5000/9894/045653/G_045653_P_906203531.adn.gif</t>
  </si>
  <si>
    <t>Müller Ludwig GmbH, Reinigungsapparate u -geräte • Imst • Tirol</t>
  </si>
  <si>
    <t>Reinigungsapparate u. -geräte • Müller Ludwig GmbH, Gewerbepark 16, Imst • Kontakt über aktuelle Telefonnummern ☎ und Adressen ⚑ mit Karte, Routing, Öffnungszeiten, Homepage, E-Mail, vCard und Firmendaten.</t>
  </si>
  <si>
    <t>Gewerbepark 16</t>
  </si>
  <si>
    <t>47.21808</t>
  </si>
  <si>
    <t>10.74672</t>
  </si>
  <si>
    <t>+43541264031</t>
  </si>
  <si>
    <t>office@kaercher-center-mueller.at</t>
  </si>
  <si>
    <t>https://bilder.dasschnelle.at/DasSchnelle/50/5000/9894/045638/G_045638_P_906203798.adn.gif</t>
  </si>
  <si>
    <t>Grüner, Gudrun, Hotel • Längenfeld • Tirol</t>
  </si>
  <si>
    <t>Gastgewerbe - Gasthöfe • Grüner, Gudrun, Gries 32, Längenfeld • Kontakt über aktuelle Telefonnummern ☎ und Adressen ⚑ mit Karte, Routing, Öffnungszeiten, Homepage, E-Mail, vCard und Firmendaten.</t>
  </si>
  <si>
    <t>Gries 32</t>
  </si>
  <si>
    <t>47.07131</t>
  </si>
  <si>
    <t>11.02056</t>
  </si>
  <si>
    <t>+4352535119;+4352535013;+4352535138</t>
  </si>
  <si>
    <t>info@gasthof-schoepf.com</t>
  </si>
  <si>
    <t>https://bilder.dasschnelle.at/DasSchnelle/50/5000/9894/045643/G_045643_P_906198667.adn.gif</t>
  </si>
  <si>
    <t>Meier, Jörg, Dr.med.univ., FA f Frauenheilkunde u Geburtshilfe • Imst • Tirol</t>
  </si>
  <si>
    <t>Ärzte / Fachärzte f. Frauenheilkunde u. Geburtshilfe • Meier, Jörg, Dr.med.univ., Stadtplatz 8, Imst • Kontakt über aktuelle Telefonnummern ☎ und Adressen ⚑ mit Karte, Routing, Öffnungszeiten, Homepage, E-Mail, vCard und Firmendaten.</t>
  </si>
  <si>
    <t>Stadtplatz 8</t>
  </si>
  <si>
    <t>47.23836</t>
  </si>
  <si>
    <t>10.74245</t>
  </si>
  <si>
    <t>+43541263504</t>
  </si>
  <si>
    <t>joerg.meier@medway.at</t>
  </si>
  <si>
    <t>https://bilder.dasschnelle.at/DasSchnelle/50/5000/9894/045638/G_045638_P_906218284.adn.gif</t>
  </si>
  <si>
    <t>GEGS Energie- und Gebäudetechnik GmbH, Sanitäranlagen u -einrichtungen • Oetz • Tirol</t>
  </si>
  <si>
    <t>Sanitäranlagen u. -einrichtungen • GEGS Energie- und Gebäudetechnik GmbH, Ebene 21, Oetz • Kontakt über aktuelle Telefonnummern ☎ und Adressen ⚑ mit Karte, Routing, Öffnungszeiten, Homepage, E-Mail, vCard und Firmendaten.</t>
  </si>
  <si>
    <t>Ebene 21</t>
  </si>
  <si>
    <t>47.21371</t>
  </si>
  <si>
    <t>10.86971</t>
  </si>
  <si>
    <t>+4352526065</t>
  </si>
  <si>
    <t>office@gegs.tirol</t>
  </si>
  <si>
    <t>https://bilder.dasschnelle.at/DasSchnelle/50/5000/9894/045649/G_045649_P_906202835.adn.gif</t>
  </si>
  <si>
    <t>Heizung - Sanitär - Solar Hartwig Gstrein GmbH • Wenns • Tirol</t>
  </si>
  <si>
    <t>Heizungen, Solaranlagen • Heizung - Sanitär - Solar Hartwig Gstrein GmbH, Unterdorf 51, Wenns • Kontakt über aktuelle Telefonnummern ☎ und Adressen ⚑ mit Karte, Routing, Öffnungszeiten, Homepage, E-Mail, vCard und Firmendaten.</t>
  </si>
  <si>
    <t>Unterdorf 51</t>
  </si>
  <si>
    <t>6473</t>
  </si>
  <si>
    <t>Wenns</t>
  </si>
  <si>
    <t>47.1697500</t>
  </si>
  <si>
    <t>10.7320700</t>
  </si>
  <si>
    <t>+43541486048;+436642116256</t>
  </si>
  <si>
    <t>info@gstre.in</t>
  </si>
  <si>
    <t>https://bilder.dasschnelle.at/DasSchnelle/50/5000/9894/045659/G_045659_P_906229981.adn.gif</t>
  </si>
  <si>
    <t>Pro Keramik GmbH, Fliesen • Imst • Tirol</t>
  </si>
  <si>
    <t>Fliesenfachhandel • Pro Keramik GmbH, Thomas-Walch-Straße 35, Imst • Kontakt über aktuelle Telefonnummern ☎ und Adressen ⚑ mit Karte, Routing, Öffnungszeiten, Homepage, E-Mail, vCard und Firmendaten.</t>
  </si>
  <si>
    <t>Thomas-Walch-Straße 35</t>
  </si>
  <si>
    <t>47.24842</t>
  </si>
  <si>
    <t>10.74363</t>
  </si>
  <si>
    <t>+43541261996</t>
  </si>
  <si>
    <t>info@prokeramik.at</t>
  </si>
  <si>
    <t>https://bilder.dasschnelle.at/DasSchnelle/50/5000/9894/045638/G_045638_P_906231150.adn.gif</t>
  </si>
  <si>
    <t>Gartenwelt Oppl GmbH, Garten- u Landschaftsgestaltung • Imst • Tirol</t>
  </si>
  <si>
    <t>Garten- u. Landschaftsgestaltung • Gartenwelt Oppl GmbH, Industriezone 32, Imst • Kontakt über aktuelle Telefonnummern ☎ und Adressen ⚑ mit Karte, Routing, Öffnungszeiten, Homepage, E-Mail, vCard und Firmendaten.</t>
  </si>
  <si>
    <t>Industriezone 32</t>
  </si>
  <si>
    <t>47.21897</t>
  </si>
  <si>
    <t>10.73516</t>
  </si>
  <si>
    <t>+43541266062</t>
  </si>
  <si>
    <t>+4354126606266</t>
  </si>
  <si>
    <t>info@oppl.at</t>
  </si>
  <si>
    <t>https://bilder.dasschnelle.at/DasSchnelle/50/5000/9894/045638/G_045638_P_906236021.adn.gif</t>
  </si>
  <si>
    <t>Benny's Fliesenwelt • Längenfeld • Tirol</t>
  </si>
  <si>
    <t>Fliesenfachhandel • Benny's Fliesenwelt, Längenfeld 82 a, Längenfeld • Kontakt über aktuelle Telefonnummern ☎ und Adressen ⚑ mit Karte, Routing, Öffnungszeiten, Homepage, E-Mail, vCard und Firmendaten.</t>
  </si>
  <si>
    <t>Längenfeld 82 a</t>
  </si>
  <si>
    <t>47.0685837</t>
  </si>
  <si>
    <t>10.9696443</t>
  </si>
  <si>
    <t>+436508630464</t>
  </si>
  <si>
    <t>buero@bennys-fliesenwelt.at</t>
  </si>
  <si>
    <t>https://bilder.dasschnelle.at/DasSchnelle/50/5000/9894/045643/G_045643_P_906249211.adn.gif</t>
  </si>
  <si>
    <t>Bacher Dachbau GmbH. • Längenfeld • Tirol</t>
  </si>
  <si>
    <t>Spenglereien • Bacher Dachbau GmbH., Oberlängenfeld 108, Längenfeld • Kontakt über aktuelle Telefonnummern ☎ und Adressen ⚑ mit Karte, Routing, Öffnungszeiten, Homepage, E-Mail, vCard und Firmendaten.</t>
  </si>
  <si>
    <t>Oberlängenfeld 108</t>
  </si>
  <si>
    <t>47.0669</t>
  </si>
  <si>
    <t>10.96938</t>
  </si>
  <si>
    <t>+4352535750</t>
  </si>
  <si>
    <t>info@bachert-soehne.com</t>
  </si>
  <si>
    <t>https://bilder.dasschnelle.at/DasSchnelle/50/5000/9894/045643/G_045643_P_906213606.adn.gif</t>
  </si>
  <si>
    <t>Schober-Glas GmbH • Ötztal-Bahnhof • Tirol</t>
  </si>
  <si>
    <t>Glasereien • Schober-Glas GmbH, Bahnhofstraße 14, Ötztal-Bahnhof • Kontakt über aktuelle Telefonnummern ☎ und Adressen ⚑ mit Karte, Routing, Öffnungszeiten, Homepage, E-Mail, vCard und Firmendaten.</t>
  </si>
  <si>
    <t>Bahnhofstraße 14</t>
  </si>
  <si>
    <t>47.23636</t>
  </si>
  <si>
    <t>10.86055</t>
  </si>
  <si>
    <t>+43526688869</t>
  </si>
  <si>
    <t>+43526688868</t>
  </si>
  <si>
    <t>info@glasschober.at</t>
  </si>
  <si>
    <t>https://bilder.dasschnelle.at/DasSchnelle/50/5000/9894/506343/I_045637_P_905963700_L_0035970927_1.png</t>
  </si>
  <si>
    <t>https://bilder.dasschnelle.at/DasSchnelle/50/5000/9894/506343/I_045637_P_905963700_B_0035970927_1.gal.png?height=312&amp;width=555;https://bilder.dasschnelle.at/DasSchnelle/50/5000/9894/506343/I_045637_P_905963700_B_0035970927_2.gal.png?height=400&amp;width=600;https://bilder.dasschnelle.at/DasSchnelle/50/5000/9894/506343/I_045637_P_905963700_B_0035970927_3.gal.png?height=400&amp;width=600;https://bilder.dasschnelle.at/DasSchnelle/50/5000/9894/506343/I_045637_P_905963700_B_0035970927_4.gal.png?height=600&amp;width=400</t>
  </si>
  <si>
    <t>Autohaus Josef Schöpf GmbH • Imst • Tirol</t>
  </si>
  <si>
    <t>Autohandel • Autohaus Josef Schöpf GmbH, Industriezone 54, Imst • Kontakt über aktuelle Telefonnummern ☎ und Adressen ⚑ mit Karte, Routing, Öffnungszeiten, Homepage, E-Mail, vCard und Firmendaten.</t>
  </si>
  <si>
    <t>Industriezone 54</t>
  </si>
  <si>
    <t>10.72734</t>
  </si>
  <si>
    <t>+43541264526</t>
  </si>
  <si>
    <t>schoepf@partner.renault.at</t>
  </si>
  <si>
    <t>https://bilder.dasschnelle.at/DasSchnelle/50/5000/9894/045638/G_045638_P_906192386.adn.gif</t>
  </si>
  <si>
    <t>Holzknecht, Roland, Erdbau • Längenfeld • Tirol</t>
  </si>
  <si>
    <t>Erdbau • Holzknecht, Roland, Lehn 25 a, Längenfeld • Kontakt über aktuelle Telefonnummern ☎ und Adressen ⚑ mit Karte, Routing, Öffnungszeiten, Homepage, E-Mail, vCard und Firmendaten.</t>
  </si>
  <si>
    <t>Lehn 25 a</t>
  </si>
  <si>
    <t>47.08443</t>
  </si>
  <si>
    <t>10.94516</t>
  </si>
  <si>
    <t>+436643419011</t>
  </si>
  <si>
    <t>erdbau.holzknecht@aon.at</t>
  </si>
  <si>
    <t>https://bilder.dasschnelle.at/DasSchnelle/50/5000/9894/045643/G_045643_P_906209708.adn.gif</t>
  </si>
  <si>
    <t>Pixner OG Malerei • Umhausen • Tirol</t>
  </si>
  <si>
    <t>Malereibetriebe • Pixner OG Malerei, Östen 53, Umhausen • Kontakt über aktuelle Telefonnummern ☎ und Adressen ⚑ mit Karte, Routing, Öffnungszeiten, Homepage, E-Mail, vCard und Firmendaten.</t>
  </si>
  <si>
    <t>Östen 53</t>
  </si>
  <si>
    <t>47.1483055</t>
  </si>
  <si>
    <t>10.9155035</t>
  </si>
  <si>
    <t>+43525551068</t>
  </si>
  <si>
    <t>malerei.pixner@aon.at</t>
  </si>
  <si>
    <t>https://bilder.dasschnelle.at/DasSchnelle/50/5000/9894/045658/I_045658_P_905992667_L_0036253711_1.png</t>
  </si>
  <si>
    <t>https://bilder.dasschnelle.at/DasSchnelle/50/5000/9894/045658/I_045658_P_905992667_B_0036253711_1.gal.png?height=398&amp;width=600;https://bilder.dasschnelle.at/DasSchnelle/50/5000/9894/045658/I_045658_P_905992667_B_0036253711_2.gal.png?height=398&amp;width=600;https://bilder.dasschnelle.at/DasSchnelle/50/5000/9894/045658/I_045658_P_905992667_B_0036253711_3.gal.png?height=398&amp;width=600;https://bilder.dasschnelle.at/DasSchnelle/50/5000/9894/045658/I_045658_P_905992667_B_0036253711_4.gal.png?height=398&amp;width=600</t>
  </si>
  <si>
    <t>Neuner, Kurt, Malermeister • Imst • Tirol</t>
  </si>
  <si>
    <t>Malereibetriebe • Neuner, Kurt, Auf Arzill 11, Imst • Kontakt über aktuelle Telefonnummern ☎ und Adressen ⚑ mit Karte, Routing, Öffnungszeiten, Homepage, E-Mail, vCard und Firmendaten.</t>
  </si>
  <si>
    <t>Auf Arzill 11</t>
  </si>
  <si>
    <t>47.23791</t>
  </si>
  <si>
    <t>10.74375</t>
  </si>
  <si>
    <t>+43541266518</t>
  </si>
  <si>
    <t>info@malerei-neuner.at</t>
  </si>
  <si>
    <t>https://bilder.dasschnelle.at/DasSchnelle/50/5000/9894/045638/G_045638_P_906240639.adn.gif</t>
  </si>
  <si>
    <t>Schöpf, Roland, Kaminbau • Oetz • Tirol</t>
  </si>
  <si>
    <t>Kamine u. Kaminbau • Schöpf, Roland, Gewerbegebiet 1, Oetz • Kontakt über aktuelle Telefonnummern ☎ und Adressen ⚑ mit Karte, Routing, Öffnungszeiten, Homepage, E-Mail, vCard und Firmendaten.</t>
  </si>
  <si>
    <t>Gewerbegebiet 1</t>
  </si>
  <si>
    <t>47.18567</t>
  </si>
  <si>
    <t>10.90686</t>
  </si>
  <si>
    <t>+43525221545</t>
  </si>
  <si>
    <t>office@rs-kaminbau.at</t>
  </si>
  <si>
    <t>https://bilder.dasschnelle.at/DasSchnelle/50/5000/9894/045649/G_045649_P_906236020.adn.gif</t>
  </si>
  <si>
    <t>Ida's Fliesenstudio GesmbH • Arzl im Pitztal • Tirol</t>
  </si>
  <si>
    <t>Fliesenfachhandel • Ida's Fliesenstudio GesmbH, Gewerbepark Pitztal 11, Arzl im Pitztal • Kontakt über aktuelle Telefonnummern ☎ und Adressen ⚑ mit Karte, Routing, Öffnungszeiten, Homepage, E-Mail, vCard und Firmendaten.</t>
  </si>
  <si>
    <t>Gewerbepark Pitztal 11</t>
  </si>
  <si>
    <t>47.21569</t>
  </si>
  <si>
    <t>10.75515</t>
  </si>
  <si>
    <t>+43541262747</t>
  </si>
  <si>
    <t>+43541262746</t>
  </si>
  <si>
    <t>info@fliesenstudio.at</t>
  </si>
  <si>
    <t>https://bilder.dasschnelle.at/DasSchnelle/50/5000/9894/045636/I_045636_P_906005436_L_0036261717_1.png</t>
  </si>
  <si>
    <t>https://bilder.dasschnelle.at/DasSchnelle/50/5000/9894/045636/I_045636_P_906005436_B_0036261717_1.gal.png?height=436&amp;width=590;https://bilder.dasschnelle.at/DasSchnelle/50/5000/9894/045636/I_045636_P_906005436_B_0036261717_2.gal.png?height=395&amp;width=590;https://bilder.dasschnelle.at/DasSchnelle/50/5000/9894/045636/G_045636_P_906240611.adn.gif</t>
  </si>
  <si>
    <t>Stengg, Simon, Sanitär • Obsteig • Tirol</t>
  </si>
  <si>
    <t>Heizungen, Installationsunternehmen, Solartechnik • Stengg, Simon, Oberer Mooswaldweg 21, Obsteig • Kontakt über aktuelle Telefonnummern ☎ und Adressen ⚑ mit Karte, Routing, Öffnungszeiten, Homepage, E-Mail, vCard und Firmendaten.</t>
  </si>
  <si>
    <t>Oberer Mooswaldweg 21</t>
  </si>
  <si>
    <t>6416</t>
  </si>
  <si>
    <t>Obsteig</t>
  </si>
  <si>
    <t>47.30188</t>
  </si>
  <si>
    <t>10.91244</t>
  </si>
  <si>
    <t>+436643052784</t>
  </si>
  <si>
    <t>info@simonstengg.at</t>
  </si>
  <si>
    <t>https://bilder.dasschnelle.at/DasSchnelle/50/5000/9894/045648/G_045648_P_906245161.adn.gif</t>
  </si>
  <si>
    <t>Schatz, Christian, Tapezierer • Imst • Tirol</t>
  </si>
  <si>
    <t>Raumausstatter, Tapezierer • Schatz, Christian, Stadtplatz 9 a, Imst • Kontakt über aktuelle Telefonnummern ☎ und Adressen ⚑ mit Karte, Routing, Öffnungszeiten, Homepage, E-Mail, vCard und Firmendaten.</t>
  </si>
  <si>
    <t>Stadtplatz 9 a</t>
  </si>
  <si>
    <t>47.2388</t>
  </si>
  <si>
    <t>10.74202</t>
  </si>
  <si>
    <t>+43541264356;+436641232920</t>
  </si>
  <si>
    <t>raumausstattung-schatz@cni.at</t>
  </si>
  <si>
    <t>https://bilder.dasschnelle.at/DasSchnelle/50/5000/9894/045638/I_045638_P_906006304_L_0036253906_1.png</t>
  </si>
  <si>
    <t>https://bilder.dasschnelle.at/DasSchnelle/50/5000/9894/045638/I_045638_P_906006304_B_0036253906_1.gal.png?height=420&amp;width=600;https://bilder.dasschnelle.at/DasSchnelle/50/5000/9894/045638/I_045638_P_906006304_B_0036253906_2.gal.png?height=400&amp;width=600;https://bilder.dasschnelle.at/DasSchnelle/50/5000/9894/045638/I_045638_P_906006304_B_0036253906_3.gal.png?height=400&amp;width=600;https://bilder.dasschnelle.at/DasSchnelle/50/5000/9894/045638/I_045638_P_906006304_B_0036253906_4.gal.png?height=400&amp;width=600</t>
  </si>
  <si>
    <t>Prantl, Gottfried, Tischlerei • Längenfeld • Tirol</t>
  </si>
  <si>
    <t>Tischlereien • Prantl, Gottfried, Unterried 182, Längenfeld • Kontakt über aktuelle Telefonnummern ☎ und Adressen ⚑ mit Karte, Routing, Öffnungszeiten, Homepage, E-Mail, vCard und Firmendaten.</t>
  </si>
  <si>
    <t>Unterried 182</t>
  </si>
  <si>
    <t>47.08656</t>
  </si>
  <si>
    <t>10.9439</t>
  </si>
  <si>
    <t>+4352535388</t>
  </si>
  <si>
    <t>tischlerei-prantl@aon.at</t>
  </si>
  <si>
    <t>https://bilder.dasschnelle.at/DasSchnelle/50/5000/9894/045643/G_045643_P_906202833.adn.gif</t>
  </si>
  <si>
    <t>Huber Peter GmbH Steigwerk, Tischlereien • Imst • Tirol</t>
  </si>
  <si>
    <t>Tischlereien • Huber Peter GmbH Steigwerk, Gschnallenhöfe 4, Imst • Kontakt über aktuelle Telefonnummern ☎ und Adressen ⚑ mit Karte, Routing, Öffnungszeiten, Homepage, E-Mail, vCard und Firmendaten.</t>
  </si>
  <si>
    <t>Gschnallenhöfe 4</t>
  </si>
  <si>
    <t>47.21796</t>
  </si>
  <si>
    <t>10.71931</t>
  </si>
  <si>
    <t>+43541261671</t>
  </si>
  <si>
    <t>daniela@tischlerei-huber-peter.at</t>
  </si>
  <si>
    <t>https://bilder.dasschnelle.at/DasSchnelle/50/5000/9894/045638/I_045638_P_906009506_L_0035970512_1.png</t>
  </si>
  <si>
    <t>https://bilder.dasschnelle.at/DasSchnelle/50/5000/9894/045638/I_045638_P_906009506_B_0035970512_1.gal.png?height=800&amp;width=450;https://bilder.dasschnelle.at/DasSchnelle/50/5000/9894/045638/I_045638_P_906009506_B_0035970512_2.gal.png?height=800&amp;width=450;https://bilder.dasschnelle.at/DasSchnelle/50/5000/9894/045638/I_045638_P_906009506_B_0035970512_3.gal.png?height=450&amp;width=800;https://bilder.dasschnelle.at/DasSchnelle/50/5000/9894/045638/I_045638_P_906009506_B_0035970512_4.gal.png?height=448&amp;width=705</t>
  </si>
  <si>
    <t>Alic Sanela, Pizza • Hollabrunn • Niederösterreich</t>
  </si>
  <si>
    <t>Pizzerias • Alic Sanela, Lothringerplatz 1, Hollabrunn • Kontakt über aktuelle Telefonnummern ☎ und Adressen ⚑ mit Karte, Routing, Öffnungszeiten, Homepage, E-Mail, vCard und Firmendaten.</t>
  </si>
  <si>
    <t>Lothringerplatz 1</t>
  </si>
  <si>
    <t>2020</t>
  </si>
  <si>
    <t>Hollabrunn</t>
  </si>
  <si>
    <t>48.56605</t>
  </si>
  <si>
    <t>16.07931</t>
  </si>
  <si>
    <t>+43295235734</t>
  </si>
  <si>
    <t>bestellung@grill-sanela.at</t>
  </si>
  <si>
    <t>https://bilder.dasschnelle.at/DasSchnelle/50/5000/9892/045551/G_045551_P_906142631.adn.gif</t>
  </si>
  <si>
    <t>IMMOBILIEN MAG. WAITZ GmbH u. MOKESCH OG, Immobilien • Hollabrunn • Niederösterreich</t>
  </si>
  <si>
    <t>Immobilien • IMMOBILIEN MAG. WAITZ GmbH u. MOKESCH OG, Mühlgasse 1, Hollabrunn • Kontakt über aktuelle Telefonnummern ☎ und Adressen ⚑ mit Karte, Routing, Öffnungszeiten, Homepage, E-Mail, vCard und Firmendaten.</t>
  </si>
  <si>
    <t>Mühlgasse 1</t>
  </si>
  <si>
    <t>48.56654</t>
  </si>
  <si>
    <t>16.08035</t>
  </si>
  <si>
    <t>+43295226220</t>
  </si>
  <si>
    <t>office@immobilien-weinviertel.at</t>
  </si>
  <si>
    <t>https://bilder.dasschnelle.at/DasSchnelle/50/5000/9892/045551/G_045551_P_906132026.adn.gif</t>
  </si>
  <si>
    <t>Seewald Rainer e.U., Bauspenglereien • Hollabrunn • Niederösterreich</t>
  </si>
  <si>
    <t>Bauspenglereien • Seewald Rainer e.U., Znaimerstraße 18, Hollabrunn • Kontakt über aktuelle Telefonnummern ☎ und Adressen ⚑ mit Karte, Routing, Öffnungszeiten, Homepage, E-Mail, vCard und Firmendaten.</t>
  </si>
  <si>
    <t>Znaimerstraße 18</t>
  </si>
  <si>
    <t>48.5676335</t>
  </si>
  <si>
    <t>16.078765</t>
  </si>
  <si>
    <t>+43295226100</t>
  </si>
  <si>
    <t>office@spenglerei-seewald.at</t>
  </si>
  <si>
    <t>https://bilder.dasschnelle.at/DasSchnelle/50/5000/9892/045551/G_045551_P_906137895.adn.gif</t>
  </si>
  <si>
    <t>Brandl, Gerda, Mag., Psychotherapie • Retz • Niederösterreich</t>
  </si>
  <si>
    <t>Psychotherapie • Brandl, Gerda, Mag., Waldstraße 19, Retz • Kontakt über aktuelle Telefonnummern ☎ und Adressen ⚑ mit Karte, Routing, Öffnungszeiten, Homepage, E-Mail, vCard und Firmendaten.</t>
  </si>
  <si>
    <t>Waldstraße 19</t>
  </si>
  <si>
    <t>2070</t>
  </si>
  <si>
    <t>Retz</t>
  </si>
  <si>
    <t>48.78299</t>
  </si>
  <si>
    <t>15.97067</t>
  </si>
  <si>
    <t>+4369911201726</t>
  </si>
  <si>
    <t>https://bilder.dasschnelle.at/DasSchnelle/50/5000/9892/041378/I_041378_P_905926941_L_0037279958_1.png</t>
  </si>
  <si>
    <t>https://bilder.dasschnelle.at/DasSchnelle/50/5000/9892/041378/I_041378_P_905926941_B_0037279958_1.gal.png?height=400&amp;width=600</t>
  </si>
  <si>
    <t>REMAX, Immobilien • Hollabrunn • Niederösterreich</t>
  </si>
  <si>
    <t>Immobilien • REMAX, Anton Ehrenfriedstrasse 7 a, Hollabrunn • Kontakt über aktuelle Telefonnummern ☎ und Adressen ⚑ mit Karte, Routing, Öffnungszeiten, Homepage, E-Mail, vCard und Firmendaten.</t>
  </si>
  <si>
    <t>Anton Ehrenfriedstrasse 7 a</t>
  </si>
  <si>
    <t>48.5596500</t>
  </si>
  <si>
    <t>16.0697900</t>
  </si>
  <si>
    <t>+436509940235</t>
  </si>
  <si>
    <t>office@remax-gold.at</t>
  </si>
  <si>
    <t>https://bilder.dasschnelle.at/DasSchnelle/50/5000/9892/045551/I_045551_P_905913204_L_0038508138_1.png</t>
  </si>
  <si>
    <t>https://bilder.dasschnelle.at/DasSchnelle/50/5000/9892/045551/I_045551_P_905913204_B_0038508138_1.gal.png?height=600&amp;width=600;https://bilder.dasschnelle.at/DasSchnelle/50/5000/9892/045551/I_045551_P_905913204_B_0038508138_2.gal.png?height=450&amp;width=600;https://bilder.dasschnelle.at/DasSchnelle/50/5000/9892/045551/I_045551_P_905913204_B_0038508138_3.gal.png?height=450&amp;width=600;https://bilder.dasschnelle.at/DasSchnelle/50/5000/9892/045551/I_045551_P_905913204_B_0038508138_4.gal.png?height=450&amp;width=600</t>
  </si>
  <si>
    <t>Hofer, Agnes, Dr. med., FA Für Frauenheilkunde u. Geburtshilfe • Hollabrunn • Niederösterreich</t>
  </si>
  <si>
    <t>Ärzte / Fachärzte f. Kinder u. Jugendheilkunde • Hofer, Agnes, Dr. med., Sparkassegasse 36-Ärztezentrum,, Hollabrunn • Kontakt über aktuelle Telefonnummern ☎ und Adressen ⚑ mit Karte, Routing, Öffnungszeiten, Homepage, E-Mail, vCard und Firmendaten.</t>
  </si>
  <si>
    <t>Sparkassegasse 36-Ärztezentrum,</t>
  </si>
  <si>
    <t>48.56586</t>
  </si>
  <si>
    <t>16.07997</t>
  </si>
  <si>
    <t>+43295230999</t>
  </si>
  <si>
    <t>mail@agneshofer.at</t>
  </si>
  <si>
    <t>https://bilder.dasschnelle.at/DasSchnelle/50/5000/9892/045551/G_045551_P_906171756.adn.gif</t>
  </si>
  <si>
    <t>ELEKTRO PIGLMAIER eU, Elektro • Hollabrunn • Niederösterreich</t>
  </si>
  <si>
    <t>Elektrogeräte u. -bedarf • ELEKTRO PIGLMAIER eU, Badhausgasse 5, Hollabrunn • Kontakt über aktuelle Telefonnummern ☎ und Adressen ⚑ mit Karte, Routing, Öffnungszeiten, Homepage, E-Mail, vCard und Firmendaten.</t>
  </si>
  <si>
    <t>Badhausgasse 5</t>
  </si>
  <si>
    <t>48.56135</t>
  </si>
  <si>
    <t>16.07673</t>
  </si>
  <si>
    <t>+4329522516;+4367762938045</t>
  </si>
  <si>
    <t>office@elektropiglmaier.at</t>
  </si>
  <si>
    <t>https://bilder.dasschnelle.at/DasSchnelle/50/5000/9892/045551/G_045551_P_906127734.adn.gif</t>
  </si>
  <si>
    <t>Schirrer GmbH, Holzbau • Ravelsbach • Niederösterreich</t>
  </si>
  <si>
    <t>Holzbau • Schirrer GmbH, Hauptstraße 46, Ravelsbach • Kontakt über aktuelle Telefonnummern ☎ und Adressen ⚑ mit Karte, Routing, Öffnungszeiten, Homepage, E-Mail, vCard und Firmendaten.</t>
  </si>
  <si>
    <t>3720</t>
  </si>
  <si>
    <t>Ravelsbach</t>
  </si>
  <si>
    <t>48.55038</t>
  </si>
  <si>
    <t>15.84424</t>
  </si>
  <si>
    <t>+436641518301</t>
  </si>
  <si>
    <t>office@holzbau-schirrer.at</t>
  </si>
  <si>
    <t>https://bilder.dasschnelle.at/DasSchnelle/50/5000/9892/041376/G_041376_P_906133843.adn.gif</t>
  </si>
  <si>
    <t>ELEKTRO SPONNER, Elektro • Hadres • Niederösterreich</t>
  </si>
  <si>
    <t>Elektrogeräte u. -bedarf • ELEKTRO SPONNER, Hadres • Kontakt über aktuelle Telefonnummern ☎ und Adressen ⚑ mit Karte, Routing, Öffnungszeiten, Homepage, E-Mail, vCard und Firmendaten.</t>
  </si>
  <si>
    <t>2061</t>
  </si>
  <si>
    <t>Hadres</t>
  </si>
  <si>
    <t>48.7084663</t>
  </si>
  <si>
    <t>16.1349713</t>
  </si>
  <si>
    <t>+4329432308</t>
  </si>
  <si>
    <t>office@elektro-sponner.at</t>
  </si>
  <si>
    <t>https://bilder.dasschnelle.at/DasSchnelle/50/5000/9892/045546/G_045546_P_906132042.adn.gif</t>
  </si>
  <si>
    <t>Bradac, Günther, Blumen und Garten • Hollabrunn • Niederösterreich</t>
  </si>
  <si>
    <t>Blumenhandel • Bradac, Günther, Lothringerplatz 12, Hollabrunn • Kontakt über aktuelle Telefonnummern ☎ und Adressen ⚑ mit Karte, Routing, Öffnungszeiten, Homepage, E-Mail, vCard und Firmendaten.</t>
  </si>
  <si>
    <t>Lothringerplatz 12</t>
  </si>
  <si>
    <t>48.56604</t>
  </si>
  <si>
    <t>16.08008</t>
  </si>
  <si>
    <t>+4329524859</t>
  </si>
  <si>
    <t>blumen@bradac.at</t>
  </si>
  <si>
    <t>https://bilder.dasschnelle.at/DasSchnelle/50/5000/9892/045551/G_045551_P_906137852.adn.gif</t>
  </si>
  <si>
    <t>Gasthaus zum goldenen Engel, Fam. Rammel • Hollabrunn • Niederösterreich</t>
  </si>
  <si>
    <t>Gastgewerbe - Gasthöfe • Gasthaus zum goldenen Engel, Fam. Rammel, Lothringerplatz 11, Hollabrunn • Kontakt über aktuelle Telefonnummern ☎ und Adressen ⚑ mit Karte, Routing, Öffnungszeiten, Homepage, E-Mail, vCard und Firmendaten.</t>
  </si>
  <si>
    <t>Lothringerplatz 11</t>
  </si>
  <si>
    <t>48.56628</t>
  </si>
  <si>
    <t>16.08054</t>
  </si>
  <si>
    <t>+4329522161</t>
  </si>
  <si>
    <t>office@gasthausrammel.at</t>
  </si>
  <si>
    <t>https://bilder.dasschnelle.at/DasSchnelle/50/5000/9892/045551/G_045551_P_906137858.adn.gif</t>
  </si>
  <si>
    <t>Ladentrog, Marcus, Landesproduktenhandel • Retz • Niederösterreich</t>
  </si>
  <si>
    <t>Landesprodukte • Ladentrog, Marcus, Kellergasse 2, Retz • Kontakt über aktuelle Telefonnummern ☎ und Adressen ⚑ mit Karte, Routing, Öffnungszeiten, Homepage, E-Mail, vCard und Firmendaten.</t>
  </si>
  <si>
    <t>Kellergasse 2</t>
  </si>
  <si>
    <t>48.74806</t>
  </si>
  <si>
    <t>15.94451</t>
  </si>
  <si>
    <t>+4329423660</t>
  </si>
  <si>
    <t>office@ladentrog.at</t>
  </si>
  <si>
    <t>https://bilder.dasschnelle.at/DasSchnelle/50/5000/9892/041377/G_041377_P_906137894.adn.gif</t>
  </si>
  <si>
    <t>Spenglerei Dachdeckerei Pollak GmbH, Spenglereien • Retz • Niederösterreich</t>
  </si>
  <si>
    <t>Spenglereien • Spenglerei Dachdeckerei Pollak GmbH, Industriestraße 4, Retz • Kontakt über aktuelle Telefonnummern ☎ und Adressen ⚑ mit Karte, Routing, Öffnungszeiten, Homepage, E-Mail, vCard und Firmendaten.</t>
  </si>
  <si>
    <t>48.75442</t>
  </si>
  <si>
    <t>15.96099</t>
  </si>
  <si>
    <t>+4329422335;+4329422497</t>
  </si>
  <si>
    <t>office@spenglerei-pollak.at</t>
  </si>
  <si>
    <t>https://bilder.dasschnelle.at/DasSchnelle/50/5000/9892/041377/G_041377_P_906131506.adn.gif</t>
  </si>
  <si>
    <t>Authried, Alfred, KFZ-Fachbetrieb • Maissau • Niederösterreich</t>
  </si>
  <si>
    <t>Autoreparaturen • Authried, Alfred, Wiener Straße 5, Maissau • Kontakt über aktuelle Telefonnummern ☎ und Adressen ⚑ mit Karte, Routing, Öffnungszeiten, Homepage, E-Mail, vCard und Firmendaten.</t>
  </si>
  <si>
    <t>Wiener Straße 5</t>
  </si>
  <si>
    <t>3712</t>
  </si>
  <si>
    <t>Maissau</t>
  </si>
  <si>
    <t>48.57225</t>
  </si>
  <si>
    <t>15.8308</t>
  </si>
  <si>
    <t>+43295882227</t>
  </si>
  <si>
    <t>+43295884166</t>
  </si>
  <si>
    <t>office@authried.at</t>
  </si>
  <si>
    <t>https://bilder.dasschnelle.at/DasSchnelle/50/5000/9892/045553/G_045553_P_906132027.adn.gif</t>
  </si>
  <si>
    <t>Prikasky, Markus, Dr.med., Ärzte / f Allgemeinmedizin • Retz • Niederösterreich</t>
  </si>
  <si>
    <t>Ärzte / f Allgemeinmedizin • Prikasky, Markus, Dr.med., Znaimer Straße 21, Retz • Kontakt über aktuelle Telefonnummern ☎ und Adressen ⚑ mit Karte, Routing, Öffnungszeiten, Homepage, E-Mail, vCard und Firmendaten.</t>
  </si>
  <si>
    <t>Znaimer Straße 21</t>
  </si>
  <si>
    <t>48.7601308</t>
  </si>
  <si>
    <t>15.9527390</t>
  </si>
  <si>
    <t>+4329422400</t>
  </si>
  <si>
    <t>https://bilder.dasschnelle.at/DasSchnelle/50/5000/9892/041377/G_041377_P_906150986.adn.gif</t>
  </si>
  <si>
    <t>Installationstechnik Gailer • Feldkirchen in Kärnten • Kärnten</t>
  </si>
  <si>
    <t>Heizungen • Installationstechnik Gailer, St. Veiterstraße 21, Feldkirchen in Kärnten • Kontakt über aktuelle Telefonnummern ☎ und Adressen ⚑ mit Karte, Routing, Öffnungszeiten, Homepage, E-Mail, vCard und Firmendaten.</t>
  </si>
  <si>
    <t>St. Veiterstraße 21</t>
  </si>
  <si>
    <t>9560</t>
  </si>
  <si>
    <t>Feldkirchen in Kärnten</t>
  </si>
  <si>
    <t>46.7199945</t>
  </si>
  <si>
    <t>14.1095462</t>
  </si>
  <si>
    <t>+436641278468</t>
  </si>
  <si>
    <t>office@installationen-gailer.at</t>
  </si>
  <si>
    <t>https://bilder.dasschnelle.at/DasSchnelle/50/5000/9880/042048/I_043345_P_905863091_L_0038009183_1.png</t>
  </si>
  <si>
    <t>https://bilder.dasschnelle.at/DasSchnelle/50/5000/9880/042048/I_043345_P_905863091_B_0038009183_1.gal.png?height=613&amp;width=460;https://bilder.dasschnelle.at/DasSchnelle/50/5000/9880/042048/I_043345_P_905863091_B_0038009183_2.gal.png?height=345&amp;width=460;https://bilder.dasschnelle.at/DasSchnelle/50/5000/9880/042048/I_043345_P_905863091_B_0038009183_3.gal.png?height=910&amp;width=512;https://bilder.dasschnelle.at/DasSchnelle/50/5000/9880/042048/I_043345_P_905863091_B_0038009183_4.gal.png?height=1108&amp;width=624</t>
  </si>
  <si>
    <t>Bau-Möbeltischlerei Pirker • Gnesau • Kärnten</t>
  </si>
  <si>
    <t>Tischlereien • Bau-Möbeltischlerei Pirker, Gnesau 47 A, Gnesau • Kontakt über aktuelle Telefonnummern ☎ und Adressen ⚑ mit Karte, Routing, Öffnungszeiten, Homepage, E-Mail, vCard und Firmendaten.</t>
  </si>
  <si>
    <t>Gnesau 47 A</t>
  </si>
  <si>
    <t>9563</t>
  </si>
  <si>
    <t>Gnesau</t>
  </si>
  <si>
    <t>46.7753387</t>
  </si>
  <si>
    <t>13.9625772</t>
  </si>
  <si>
    <t>+434278270</t>
  </si>
  <si>
    <t>buchhaltung@tischlerei-pirker.at</t>
  </si>
  <si>
    <t>https://bilder.dasschnelle.at/DasSchnelle/50/5000/9880/042050/I_042050_P_905866316_L_0037241740_1.png</t>
  </si>
  <si>
    <t>https://bilder.dasschnelle.at/DasSchnelle/50/5000/9880/042050/I_042050_P_905866316_B_0037241740_1.gal.png?height=450&amp;width=600;https://bilder.dasschnelle.at/DasSchnelle/50/5000/9880/042050/I_042050_P_905866316_B_0037241740_2.gal.png?height=450&amp;width=600;https://bilder.dasschnelle.at/DasSchnelle/50/5000/9880/042050/I_042050_P_905866316_B_0037241740_3.gal.png?height=430&amp;width=600;https://bilder.dasschnelle.at/DasSchnelle/50/5000/9880/042050/I_042050_P_905866316_B_0037241740_4.gal.png?height=450&amp;width=600</t>
  </si>
  <si>
    <t>Heizung &amp; Sanitärtechnik Lackner Markus GmbH • Steuerberg • Kärnten</t>
  </si>
  <si>
    <t>Sanitärtechnik • Heizung &amp; Sanitärtechnik Lackner Markus GmbH, Unterhof 25, Steuerberg • Kontakt über aktuelle Telefonnummern ☎ und Adressen ⚑ mit Karte, Routing, Öffnungszeiten, Homepage, E-Mail, vCard und Firmendaten.</t>
  </si>
  <si>
    <t>Unterhof 25</t>
  </si>
  <si>
    <t>Steuerberg</t>
  </si>
  <si>
    <t>46.7901089</t>
  </si>
  <si>
    <t>14.1244081</t>
  </si>
  <si>
    <t>+436604021406</t>
  </si>
  <si>
    <t>markus@heizungstechnik-lackner.at</t>
  </si>
  <si>
    <t>https://bilder.dasschnelle.at/DasSchnelle/50/5000/9880/042056/I_042056_P_905898818_L_0038479560_1.png</t>
  </si>
  <si>
    <t>https://bilder.dasschnelle.at/DasSchnelle/50/5000/9880/042056/I_042056_P_905898818_B_0038479560_1.gal.png?height=392&amp;width=600;https://bilder.dasschnelle.at/DasSchnelle/50/5000/9880/042056/I_042056_P_905898818_B_0038479560_2.gal.png?height=392&amp;width=600;https://bilder.dasschnelle.at/DasSchnelle/50/5000/9880/042056/I_042056_P_905898818_B_0038479560_3.gal.png?height=392&amp;width=600;https://bilder.dasschnelle.at/DasSchnelle/50/5000/9880/042056/I_042056_P_905898818_B_0038479560_4.gal.png?height=392&amp;width=600</t>
  </si>
  <si>
    <t>NIMO Kaufhaus GmbH, Kaufhaus • Feldkirchen • Kärnten</t>
  </si>
  <si>
    <t>Kaufhäuser • NIMO Kaufhaus GmbH, Kirchgasse 5, Feldkirchen • Kontakt über aktuelle Telefonnummern ☎ und Adressen ⚑ mit Karte, Routing, Öffnungszeiten, Homepage, E-Mail, vCard und Firmendaten.</t>
  </si>
  <si>
    <t>Kirchgasse 5</t>
  </si>
  <si>
    <t>Feldkirchen</t>
  </si>
  <si>
    <t>46.7247643</t>
  </si>
  <si>
    <t>14.0929084</t>
  </si>
  <si>
    <t>+4342762134</t>
  </si>
  <si>
    <t>info@nimo-mode.at</t>
  </si>
  <si>
    <t>https://bilder.dasschnelle.at/DasSchnelle/50/5000/9880/042048/I_042048_P_905870315_L_0035994611_1.png</t>
  </si>
  <si>
    <t>https://bilder.dasschnelle.at/DasSchnelle/50/5000/9880/042048/I_042048_P_905870315_B_0035994611_1.gal.png?height=388&amp;width=580;https://bilder.dasschnelle.at/DasSchnelle/50/5000/9880/042048/I_042048_P_905870315_B_0035994611_2.gal.png?height=786&amp;width=1117;https://bilder.dasschnelle.at/DasSchnelle/50/5000/9880/042048/I_042048_P_905870315_B_0035994611_3.gal.png?height=790&amp;width=1149;https://bilder.dasschnelle.at/DasSchnelle/50/5000/9880/042048/I_042048_P_905870315_B_0035994611_4.gal.png?height=463&amp;width=694</t>
  </si>
  <si>
    <t>Glatz, Christian, Sanierungen • Himmelberg • Kärnten</t>
  </si>
  <si>
    <t>Sanierungen • Glatz, Christian, Markusweg 10, Himmelberg • Kontakt über aktuelle Telefonnummern ☎ und Adressen ⚑ mit Karte, Routing, Öffnungszeiten, Homepage, E-Mail, vCard und Firmendaten.</t>
  </si>
  <si>
    <t>Markusweg 10</t>
  </si>
  <si>
    <t>9562</t>
  </si>
  <si>
    <t>Himmelberg</t>
  </si>
  <si>
    <t>46.74823</t>
  </si>
  <si>
    <t>14.04193</t>
  </si>
  <si>
    <t>+436649260532;+436649260524</t>
  </si>
  <si>
    <t>glatz@go2service.at</t>
  </si>
  <si>
    <t>https://bilder.dasschnelle.at/DasSchnelle/50/5000/9880/042051/I_042051_P_905863089_L_0038013085_1.png</t>
  </si>
  <si>
    <t>https://bilder.dasschnelle.at/DasSchnelle/50/5000/9880/042051/G_042051_P_906123666.adn.gif</t>
  </si>
  <si>
    <t>Fliesßen Gößler e.U., Fliesenleger • Neustift im Mühlkreis • Oberösterreich</t>
  </si>
  <si>
    <t>Fliesenfachhandel • Fliesßen Gößler e.U., Pühret 6, Neustift im Mühlkreis • Kontakt über aktuelle Telefonnummern ☎ und Adressen ⚑ mit Karte, Routing, Öffnungszeiten, Homepage, E-Mail, vCard und Firmendaten.</t>
  </si>
  <si>
    <t>Pühret 6</t>
  </si>
  <si>
    <t>4143</t>
  </si>
  <si>
    <t>Neustift im Mühlkreis</t>
  </si>
  <si>
    <t>48.5037551</t>
  </si>
  <si>
    <t>13.7556391</t>
  </si>
  <si>
    <t>+436767713310</t>
  </si>
  <si>
    <t>office@fliesen-goessler.at</t>
  </si>
  <si>
    <t>https://bilder.dasschnelle.at/DasSchnelle/50/5000/9923/042288/G_042288_P_906209710.adn.gif</t>
  </si>
  <si>
    <t>ÖVP-Landesparteileitung Politik • Rohrbach • Oberösterreich</t>
  </si>
  <si>
    <t>Politische Parteien • ÖVP-Landesparteileitung Politik, Hanriederstraße 8 14, Rohrbach • Kontakt über aktuelle Telefonnummern ☎ und Adressen ⚑ mit Karte, Routing, Öffnungszeiten, Homepage, E-Mail, vCard und Firmendaten.</t>
  </si>
  <si>
    <t>Hanriederstraße 8 14</t>
  </si>
  <si>
    <t>4150</t>
  </si>
  <si>
    <t>Rohrbach</t>
  </si>
  <si>
    <t>48.5726445</t>
  </si>
  <si>
    <t>13.9890773</t>
  </si>
  <si>
    <t>+4372898145</t>
  </si>
  <si>
    <t>rohrbach@ooevp.at</t>
  </si>
  <si>
    <t>https://bilder.dasschnelle.at/DasSchnelle/50/5000/9923/061480/G_061480_P_906162159.adn.gif</t>
  </si>
  <si>
    <t>Wiesinger Versicherungsmakler GmbH • Peilstein im Mühlviertel • Oberösterreich</t>
  </si>
  <si>
    <t>Versicherungsmakler • Wiesinger Versicherungsmakler GmbH, Marktstraße 11, Peilstein im Mühlviertel • Kontakt über aktuelle Telefonnummern ☎ und Adressen ⚑ mit Karte, Routing, Öffnungszeiten, Homepage, E-Mail, vCard und Firmendaten.</t>
  </si>
  <si>
    <t>Marktstraße 11</t>
  </si>
  <si>
    <t>4153</t>
  </si>
  <si>
    <t>Peilstein im Mühlviertel</t>
  </si>
  <si>
    <t>48.61734</t>
  </si>
  <si>
    <t>13.89604</t>
  </si>
  <si>
    <t>+4372877746;+436764627868</t>
  </si>
  <si>
    <t>office@vb-wiesinger.at</t>
  </si>
  <si>
    <t>https://bilder.dasschnelle.at/DasSchnelle/50/5000/9923/042285/G_042285_P_906185801.adn.gif</t>
  </si>
  <si>
    <t>Sigl, Barbara, Babsi's Styling Lounge, Friseur • Aigen-Schlägl • Oberösterreich</t>
  </si>
  <si>
    <t>Friseure • Sigl, Barbara, Babsi's Styling Lounge, Grüner Weg 22, Aigen-Schlägl • Kontakt über aktuelle Telefonnummern ☎ und Adressen ⚑ mit Karte, Routing, Öffnungszeiten, Homepage, E-Mail, vCard und Firmendaten.</t>
  </si>
  <si>
    <t>Grüner Weg 22</t>
  </si>
  <si>
    <t>4160</t>
  </si>
  <si>
    <t>Aigen-Schlägl</t>
  </si>
  <si>
    <t>48.64112</t>
  </si>
  <si>
    <t>13.97147</t>
  </si>
  <si>
    <t>+436803117520</t>
  </si>
  <si>
    <t>sigl.barbara3@gmail.com</t>
  </si>
  <si>
    <t>https://bilder.dasschnelle.at/DasSchnelle/50/5000/9923/061481/G_061481_P_906147293.adn.gif</t>
  </si>
  <si>
    <t>Enzenhofer, Johann, Fleischerei • Sankt Peter • Oberösterreich</t>
  </si>
  <si>
    <t>Fleischhauereien • Enzenhofer, Johann, Markt 12, Sankt Peter • Kontakt über aktuelle Telefonnummern ☎ und Adressen ⚑ mit Karte, Routing, Öffnungszeiten, Homepage, E-Mail, vCard und Firmendaten.</t>
  </si>
  <si>
    <t>Markt 12</t>
  </si>
  <si>
    <t>4171</t>
  </si>
  <si>
    <t>Sankt Peter</t>
  </si>
  <si>
    <t>48.5021262</t>
  </si>
  <si>
    <t>14.0830525</t>
  </si>
  <si>
    <t>+43728287087</t>
  </si>
  <si>
    <t>enzenhofer1965@gmail.com</t>
  </si>
  <si>
    <t>https://bilder.dasschnelle.at/DasSchnelle/50/5000/9923/042293/G_042293_P_906162160.adn.gif</t>
  </si>
  <si>
    <t>Scholl, Robert, Malermeister • Arnreit • Oberösterreich</t>
  </si>
  <si>
    <t>Malereibetriebe • Scholl, Robert, Liebenstein 6, Arnreit • Kontakt über aktuelle Telefonnummern ☎ und Adressen ⚑ mit Karte, Routing, Öffnungszeiten, Homepage, E-Mail, vCard und Firmendaten.</t>
  </si>
  <si>
    <t>Liebenstein 6</t>
  </si>
  <si>
    <t>4122</t>
  </si>
  <si>
    <t>Arnreit</t>
  </si>
  <si>
    <t>48.5167787</t>
  </si>
  <si>
    <t>13.9900416</t>
  </si>
  <si>
    <t>+436644320742</t>
  </si>
  <si>
    <t>office@malerei-scholl.at</t>
  </si>
  <si>
    <t>https://bilder.dasschnelle.at/DasSchnelle/50/5000/9923/042264/G_042264_P_906197578.adn.gif</t>
  </si>
  <si>
    <t>Top Optik GmbH, Optik • Rohrbach • Oberösterreich</t>
  </si>
  <si>
    <t>Optik • Top Optik GmbH, Stadtplatz 10, Rohrbach • Kontakt über aktuelle Telefonnummern ☎ und Adressen ⚑ mit Karte, Routing, Öffnungszeiten, Homepage, E-Mail, vCard und Firmendaten.</t>
  </si>
  <si>
    <t>Stadtplatz 10</t>
  </si>
  <si>
    <t>48.5718398</t>
  </si>
  <si>
    <t>13.9925844</t>
  </si>
  <si>
    <t>+4372896460</t>
  </si>
  <si>
    <t>rohbach@topoptik.at</t>
  </si>
  <si>
    <t>Silandra Style, Boutique • Aigen-Schlägl • Oberösterreich</t>
  </si>
  <si>
    <t>Boutiquen, Handelsunternehmen • Silandra Style, Schlägler-Hauptstraße 14, Aigen-Schlägl • Kontakt über aktuelle Telefonnummern ☎ und Adressen ⚑ mit Karte, Routing, Öffnungszeiten, Homepage, E-Mail, vCard und Firmendaten.</t>
  </si>
  <si>
    <t>Schlägler-Hauptstraße 14</t>
  </si>
  <si>
    <t>48.63573</t>
  </si>
  <si>
    <t>13.96376</t>
  </si>
  <si>
    <t>+43728120544</t>
  </si>
  <si>
    <t>office@silandra.at</t>
  </si>
  <si>
    <t>https://bilder.dasschnelle.at/DasSchnelle/50/5000/9923/061481/G_061481_P_906167332.adn.gif</t>
  </si>
  <si>
    <t>Dorfner, Gasthäuser und Gasthöfe • Rohrbach • Oberösterreich</t>
  </si>
  <si>
    <t>Gastgewerbe - Gasthöfe • Dorfner, Stadtplatz 25, Rohrbach • Kontakt über aktuelle Telefonnummern ☎ und Adressen ⚑ mit Karte, Routing, Öffnungszeiten, Homepage, E-Mail, vCard und Firmendaten.</t>
  </si>
  <si>
    <t>Stadtplatz 25</t>
  </si>
  <si>
    <t>48.5719745</t>
  </si>
  <si>
    <t>13.9905273</t>
  </si>
  <si>
    <t>+4372894332</t>
  </si>
  <si>
    <t>willkommen@gasthof-dorfner.at</t>
  </si>
  <si>
    <t>https://bilder.dasschnelle.at/DasSchnelle/50/5000/9923/061480/G_061480_P_906179609.adn.gif</t>
  </si>
  <si>
    <t>Teamordination Dr. Stütz, FA f Allgemeinmedizin • Rohrbach • Oberösterreich</t>
  </si>
  <si>
    <t>Ärzte / f Allgemeinmedizin • Teamordination Dr. Stütz, Stadtplatz 17, Rohrbach • Kontakt über aktuelle Telefonnummern ☎ und Adressen ⚑ mit Karte, Routing, Öffnungszeiten, Homepage, E-Mail, vCard und Firmendaten.</t>
  </si>
  <si>
    <t>Stadtplatz 17</t>
  </si>
  <si>
    <t>48.5715425</t>
  </si>
  <si>
    <t>13.9923940</t>
  </si>
  <si>
    <t>+43728940030100</t>
  </si>
  <si>
    <t>allgemeinmedizin@mdz-rohrbach.at</t>
  </si>
  <si>
    <t>https://bilder.dasschnelle.at/DasSchnelle/50/5000/9923/061480/G_061480_P_906143397.adn.gif</t>
  </si>
  <si>
    <t>Hair &amp; Style, Friseur • Aigen-Schlägl • Oberösterreich</t>
  </si>
  <si>
    <t>Friseure • Hair &amp; Style, Mitterweg 3, Aigen-Schlägl • Kontakt über aktuelle Telefonnummern ☎ und Adressen ⚑ mit Karte, Routing, Öffnungszeiten, Homepage, E-Mail, vCard und Firmendaten.</t>
  </si>
  <si>
    <t>Mitterweg 3</t>
  </si>
  <si>
    <t>48.63758</t>
  </si>
  <si>
    <t>13.96091</t>
  </si>
  <si>
    <t>+436507201649</t>
  </si>
  <si>
    <t>hair.style.judith@aon.at</t>
  </si>
  <si>
    <t>https://bilder.dasschnelle.at/DasSchnelle/50/5000/9923/061481/G_061481_P_906167331.adn.gif</t>
  </si>
  <si>
    <t>Vitalhotel Lembacherhof, Hotel • Lembach im Mühlkreis • Oberösterreich</t>
  </si>
  <si>
    <t>Restaurants • Vitalhotel Lembacherhof, Falkensteinstraße 4, Lembach im Mühlkreis • Kontakt über aktuelle Telefonnummern ☎ und Adressen ⚑ mit Karte, Routing, Öffnungszeiten, Homepage, E-Mail, vCard und Firmendaten.</t>
  </si>
  <si>
    <t>Falkensteinstraße 4</t>
  </si>
  <si>
    <t>4132</t>
  </si>
  <si>
    <t>Lembach im Mühlkreis</t>
  </si>
  <si>
    <t>48.4953</t>
  </si>
  <si>
    <t>13.89353</t>
  </si>
  <si>
    <t>+43728682570</t>
  </si>
  <si>
    <t>office@lembacherhof.com</t>
  </si>
  <si>
    <t>https://bilder.dasschnelle.at/DasSchnelle/50/5000/9923/042277/G_042277_P_906167326.adn.gif</t>
  </si>
  <si>
    <t>Leibetseder Gastronomie &amp; Fleischwaren GmbH, Fleischhauereien • Rohrbach-Berg • Oberösterreich</t>
  </si>
  <si>
    <t>Fleischhauereien • Leibetseder Gastronomie &amp; Fleischwaren GmbH, Stadtplatz 27, Rohrbach-Berg • Kontakt über aktuelle Telefonnummern ☎ und Adressen ⚑ mit Karte, Routing, Öffnungszeiten, Homepage, E-Mail, vCard und Firmendaten.</t>
  </si>
  <si>
    <t>Stadtplatz 27</t>
  </si>
  <si>
    <t>Rohrbach-Berg</t>
  </si>
  <si>
    <t>48.5722504</t>
  </si>
  <si>
    <t>13.9902301</t>
  </si>
  <si>
    <t>+4372894276</t>
  </si>
  <si>
    <t>Info@essenvombesten.at</t>
  </si>
  <si>
    <t>https://bilder.dasschnelle.at/DasSchnelle/50/5000/9923/061480/G_061480_P_906156970.adn.gif</t>
  </si>
  <si>
    <t>Eisner, Adolf, Baggerunternehmen • Kollerschlag • Oberösterreich</t>
  </si>
  <si>
    <t>Baggerungen u. Transporte • Eisner, Adolf, Sauedt 6, Kollerschlag • Kontakt über aktuelle Telefonnummern ☎ und Adressen ⚑ mit Karte, Routing, Öffnungszeiten, Homepage, E-Mail, vCard und Firmendaten.</t>
  </si>
  <si>
    <t>Sauedt 6</t>
  </si>
  <si>
    <t>4154</t>
  </si>
  <si>
    <t>Kollerschlag</t>
  </si>
  <si>
    <t>48.6131850</t>
  </si>
  <si>
    <t>13.8576513</t>
  </si>
  <si>
    <t>+4372878243;+436644201616</t>
  </si>
  <si>
    <t>office@erdbau-eisner.at</t>
  </si>
  <si>
    <t>https://bilder.dasschnelle.at/DasSchnelle/50/5000/9923/042276/I_042276_P_905932369_L_0036177379_1.png</t>
  </si>
  <si>
    <t>https://bilder.dasschnelle.at/DasSchnelle/50/5000/9923/042276/I_042276_P_905932369_B_0036177379_1.gal.png?height=400&amp;width=600;https://bilder.dasschnelle.at/DasSchnelle/50/5000/9923/042276/I_042276_P_905932369_B_0036177379_2.gal.png?height=400&amp;width=600;https://bilder.dasschnelle.at/DasSchnelle/50/5000/9923/042276/I_042276_P_905932369_B_0036177379_3.gal.png?height=400&amp;width=600;https://bilder.dasschnelle.at/DasSchnelle/50/5000/9923/042276/I_042276_P_905932369_B_0036177379_4.gal.png?height=400&amp;width=600</t>
  </si>
  <si>
    <t>Eisner, Stefan, Tischler • Kollerschlag • Oberösterreich</t>
  </si>
  <si>
    <t>Tischlereien • Eisner, Stefan, Sauedt 9, Kollerschlag • Kontakt über aktuelle Telefonnummern ☎ und Adressen ⚑ mit Karte, Routing, Öffnungszeiten, Homepage, E-Mail, vCard und Firmendaten.</t>
  </si>
  <si>
    <t>Sauedt 9</t>
  </si>
  <si>
    <t>48.6128535</t>
  </si>
  <si>
    <t>13.8590541</t>
  </si>
  <si>
    <t>+436644019707</t>
  </si>
  <si>
    <t>tems-eisner@aon.at</t>
  </si>
  <si>
    <t>https://bilder.dasschnelle.at/DasSchnelle/50/5000/9923/042276/G_042276_P_906169862.adn.gif</t>
  </si>
  <si>
    <t>Stumpner, Peter, Dr., FA f Frauenheilkunde u Geburtshilfe • Rohrbach • Oberösterreich</t>
  </si>
  <si>
    <t>Ärzte / Fachärzte f. Frauenheilkunde u. Geburtshilfe • Stumpner, Peter, Dr., Mitterfeld 13 a, Rohrbach • Kontakt über aktuelle Telefonnummern ☎ und Adressen ⚑ mit Karte, Routing, Öffnungszeiten, Homepage, E-Mail, vCard und Firmendaten.</t>
  </si>
  <si>
    <t>Mitterfeld 13 a</t>
  </si>
  <si>
    <t>48.5711990</t>
  </si>
  <si>
    <t>13.9838080</t>
  </si>
  <si>
    <t>+4372896151</t>
  </si>
  <si>
    <t>ordination-stumpner@miex.cc</t>
  </si>
  <si>
    <t>https://bilder.dasschnelle.at/DasSchnelle/50/5000/9923/061480/G_061480_P_906142647.adn.gif</t>
  </si>
  <si>
    <t>Mairhofer, Gerhard, Motorräder • Hofkirchen im Mühlkreis • Oberösterreich</t>
  </si>
  <si>
    <t>Autohandel, Mopeds u. Motorräder • Mairhofer, Gerhard, Waldweg 2, Hofkirchen im Mühlkreis • Kontakt über aktuelle Telefonnummern ☎ und Adressen ⚑ mit Karte, Routing, Öffnungszeiten, Homepage, E-Mail, vCard und Firmendaten.</t>
  </si>
  <si>
    <t>Waldweg 2</t>
  </si>
  <si>
    <t>4142</t>
  </si>
  <si>
    <t>Hofkirchen im Mühlkreis</t>
  </si>
  <si>
    <t>48.4818572</t>
  </si>
  <si>
    <t>13.8274116</t>
  </si>
  <si>
    <t>+4372856318;+436644054406</t>
  </si>
  <si>
    <t>+43728524632</t>
  </si>
  <si>
    <t>info@kfz-mairhofer.at</t>
  </si>
  <si>
    <t>https://bilder.dasschnelle.at/DasSchnelle/50/5000/9923/042271/G_042271_P_906178276.adn.gif</t>
  </si>
  <si>
    <t>Atzlsdorfer, Carola, Kosmetik-Fußpflegestudio • Rohrbach • Oberösterreich</t>
  </si>
  <si>
    <t>Fußpflege, Kosmetik • Atzlsdorfer, Carola, Linzer Straße 7, Rohrbach • Kontakt über aktuelle Telefonnummern ☎ und Adressen ⚑ mit Karte, Routing, Öffnungszeiten, Homepage, E-Mail, vCard und Firmendaten.</t>
  </si>
  <si>
    <t>Linzer Straße 7</t>
  </si>
  <si>
    <t>48.5710507</t>
  </si>
  <si>
    <t>13.9936615</t>
  </si>
  <si>
    <t>+4372894878</t>
  </si>
  <si>
    <t>kosmetik@carola.at</t>
  </si>
  <si>
    <t>https://bilder.dasschnelle.at/DasSchnelle/50/5000/9923/061480/G_061480_P_906161090.adn.gif</t>
  </si>
  <si>
    <t>Rammerstorfer, Raphaela, Ergotherapeutin • Rohrbach • Oberösterreich</t>
  </si>
  <si>
    <t>Ergotherapie • Rammerstorfer, Raphaela, Bahnhofstraße 7-9, Rohrbach • Kontakt über aktuelle Telefonnummern ☎ und Adressen ⚑ mit Karte, Routing, Öffnungszeiten, Homepage, E-Mail, vCard und Firmendaten.</t>
  </si>
  <si>
    <t>Bahnhofstraße 7-9</t>
  </si>
  <si>
    <t>48.5741695</t>
  </si>
  <si>
    <t>13.9902491</t>
  </si>
  <si>
    <t>+436769360037</t>
  </si>
  <si>
    <t>raphaela.rammerstorfer@gmx.at</t>
  </si>
  <si>
    <t>https://bilder.dasschnelle.at/DasSchnelle/50/5000/9923/061480/G_061480_P_906137891.adn.gif</t>
  </si>
  <si>
    <t>Krauck, Franz, Autohandel • Sankt Johann am Wimberg • Oberösterreich</t>
  </si>
  <si>
    <t>Autohandel • Krauck, Franz, Wimbergstraße 6, Sankt Johann am Wimberg • Kontakt über aktuelle Telefonnummern ☎ und Adressen ⚑ mit Karte, Routing, Öffnungszeiten, Homepage, E-Mail, vCard und Firmendaten.</t>
  </si>
  <si>
    <t>Wimbergstraße 6</t>
  </si>
  <si>
    <t>4172</t>
  </si>
  <si>
    <t>Sankt Johann am Wimberg</t>
  </si>
  <si>
    <t>48.48958</t>
  </si>
  <si>
    <t>14.13053</t>
  </si>
  <si>
    <t>+4372177202</t>
  </si>
  <si>
    <t>office@auto-krauck.at</t>
  </si>
  <si>
    <t>https://bilder.dasschnelle.at/DasSchnelle/50/5000/9923/042290/G_042290_P_906162758.adn.gif</t>
  </si>
  <si>
    <t>Altenhofer, Florian, Forstwirtschaft • Altenfelden • Oberösterreich</t>
  </si>
  <si>
    <t>Forstbetrieb • Altenhofer, Florian, Urzenweg 26, Altenfelden • Kontakt über aktuelle Telefonnummern ☎ und Adressen ⚑ mit Karte, Routing, Öffnungszeiten, Homepage, E-Mail, vCard und Firmendaten.</t>
  </si>
  <si>
    <t>Urzenweg 26</t>
  </si>
  <si>
    <t>4121</t>
  </si>
  <si>
    <t>Altenfelden</t>
  </si>
  <si>
    <t>48.48036</t>
  </si>
  <si>
    <t>13.96739</t>
  </si>
  <si>
    <t>+436606806022</t>
  </si>
  <si>
    <t>florianaltenhofer@icloud.com</t>
  </si>
  <si>
    <t>https://bilder.dasschnelle.at/DasSchnelle/50/5000/9923/042263/G_042263_P_906179619.adn.gif</t>
  </si>
  <si>
    <t>Zalto-Höglinger, Gasthaus • Kirchberg ob der Donau • Oberösterreich</t>
  </si>
  <si>
    <t>Fleischhauereien, Lebensmittel • Zalto-Höglinger, Ortsplatz 8, Kirchberg ob der Donau • Kontakt über aktuelle Telefonnummern ☎ und Adressen ⚑ mit Karte, Routing, Öffnungszeiten, Homepage, E-Mail, vCard und Firmendaten.</t>
  </si>
  <si>
    <t>Ortsplatz 8</t>
  </si>
  <si>
    <t>4131</t>
  </si>
  <si>
    <t>Kirchberg ob der Donau</t>
  </si>
  <si>
    <t>48.44467</t>
  </si>
  <si>
    <t>13.93631</t>
  </si>
  <si>
    <t>+4372824003</t>
  </si>
  <si>
    <t>office@zalto-hoeglinger.at</t>
  </si>
  <si>
    <t>https://bilder.dasschnelle.at/DasSchnelle/50/5000/9923/042273/G_042273_P_906183878.adn.gif</t>
  </si>
  <si>
    <t>Blitzschutz Hartl • Arnreit • Oberösterreich</t>
  </si>
  <si>
    <t>Blitzableiter u. Blitzschutzanlagen • Blitzschutz Hartl, Liebenstein 26, Arnreit • Kontakt über aktuelle Telefonnummern ☎ und Adressen ⚑ mit Karte, Routing, Öffnungszeiten, Homepage, E-Mail, vCard und Firmendaten.</t>
  </si>
  <si>
    <t>Liebenstein 26</t>
  </si>
  <si>
    <t>48.5173780</t>
  </si>
  <si>
    <t>13.9899891</t>
  </si>
  <si>
    <t>+436641034785</t>
  </si>
  <si>
    <t>office@blitzschutz-hartl.at</t>
  </si>
  <si>
    <t>https://bilder.dasschnelle.at/DasSchnelle/50/5000/9923/042264/G_042264_P_906151748.adn.gif</t>
  </si>
  <si>
    <t>Falkinger, Bernhard, Baumaschinen • Putzleinsdorf • Oberösterreich</t>
  </si>
  <si>
    <t>Baumaschinen u. -geräte • Falkinger, Bernhard, Hanriederstraße 10, Putzleinsdorf • Kontakt über aktuelle Telefonnummern ☎ und Adressen ⚑ mit Karte, Routing, Öffnungszeiten, Homepage, E-Mail, vCard und Firmendaten.</t>
  </si>
  <si>
    <t>Hanriederstraße 10</t>
  </si>
  <si>
    <t>4134</t>
  </si>
  <si>
    <t>Putzleinsdorf</t>
  </si>
  <si>
    <t>48.51405</t>
  </si>
  <si>
    <t>13.87238</t>
  </si>
  <si>
    <t>+4372867515;+436508569070</t>
  </si>
  <si>
    <t>office@baumaschinen-falkinger.at</t>
  </si>
  <si>
    <t>https://bilder.dasschnelle.at/DasSchnelle/50/5000/9923/042287/I_042287_P_905928040_L_0035999245_1.png</t>
  </si>
  <si>
    <t>https://bilder.dasschnelle.at/DasSchnelle/50/5000/9923/042287/I_042287_P_905928040_B_0035999245_1.gal.png?height=290&amp;width=600;https://bilder.dasschnelle.at/DasSchnelle/50/5000/9923/042287/I_042287_P_905928040_B_0035999245_2.gal.png?height=169&amp;width=300;https://bilder.dasschnelle.at/DasSchnelle/50/5000/9923/042287/I_042287_P_905928040_B_0035999245_3.gal.png?height=290&amp;width=600;https://bilder.dasschnelle.at/DasSchnelle/50/5000/9923/042287/I_042287_P_905928040_B_0035999245_4.gal.png?height=337&amp;width=600</t>
  </si>
  <si>
    <t>Gasthof Post, Gastgewerbe - Gasthöfe • Peilstein im Mühlviertel • Oberösterreich</t>
  </si>
  <si>
    <t>Gastgewerbe - Gasthöfe • Gasthof Post, Stifterstraße 6, Peilstein im Mühlviertel • Kontakt über aktuelle Telefonnummern ☎ und Adressen ⚑ mit Karte, Routing, Öffnungszeiten, Homepage, E-Mail, vCard und Firmendaten.</t>
  </si>
  <si>
    <t>48.61858</t>
  </si>
  <si>
    <t>13.89354</t>
  </si>
  <si>
    <t>+43728772160</t>
  </si>
  <si>
    <t>kontakt@gasthofpost.eu</t>
  </si>
  <si>
    <t>https://bilder.dasschnelle.at/DasSchnelle/50/5000/9923/042285/G_042285_P_906192387.adn.gif</t>
  </si>
  <si>
    <t>Reini´S Autokosmetik • Ulrichsberg • Oberösterreich</t>
  </si>
  <si>
    <t>Autoaufbereitung • Reini´S Autokosmetik, Stollnberg 24, Ulrichsberg • Kontakt über aktuelle Telefonnummern ☎ und Adressen ⚑ mit Karte, Routing, Öffnungszeiten, Homepage, E-Mail, vCard und Firmendaten.</t>
  </si>
  <si>
    <t>Stollnberg 24</t>
  </si>
  <si>
    <t>4161</t>
  </si>
  <si>
    <t>Ulrichsberg</t>
  </si>
  <si>
    <t>48.6766700</t>
  </si>
  <si>
    <t>13.9233300</t>
  </si>
  <si>
    <t>+436648280293</t>
  </si>
  <si>
    <t>reini.schlaegl82@gmail.com</t>
  </si>
  <si>
    <t>https://bilder.dasschnelle.at/DasSchnelle/50/5000/9923/042301/G_042301_P_906179611.adn.gif</t>
  </si>
  <si>
    <t>Nigl, Horst, Versicherungsmakler • Rohrbach • Oberösterreich</t>
  </si>
  <si>
    <t>Finanzdienstleistungen, Versicherungsmakler • Nigl, Horst, Teichwiese 2, Rohrbach • Kontakt über aktuelle Telefonnummern ☎ und Adressen ⚑ mit Karte, Routing, Öffnungszeiten, Homepage, E-Mail, vCard und Firmendaten.</t>
  </si>
  <si>
    <t>Teichwiese 2</t>
  </si>
  <si>
    <t>48.57619</t>
  </si>
  <si>
    <t>13.99323</t>
  </si>
  <si>
    <t>+436641340302</t>
  </si>
  <si>
    <t>h.nigl@lml.at</t>
  </si>
  <si>
    <t>https://bilder.dasschnelle.at/DasSchnelle/50/5000/9923/061480/G_061480_P_906161089.adn.gif</t>
  </si>
  <si>
    <t>Kneidinger, Elke, Blumen &amp; Deko • Rohrbach • Oberösterreich</t>
  </si>
  <si>
    <t>Blumenhandel • Kneidinger, Elke, Am Bunderhügel 1, Rohrbach • Kontakt über aktuelle Telefonnummern ☎ und Adressen ⚑ mit Karte, Routing, Öffnungszeiten, Homepage, E-Mail, vCard und Firmendaten.</t>
  </si>
  <si>
    <t>Am Bunderhügel 1</t>
  </si>
  <si>
    <t>48.5680019</t>
  </si>
  <si>
    <t>13.9834558</t>
  </si>
  <si>
    <t>+4372895231</t>
  </si>
  <si>
    <t>elke@blumenunddeko.com</t>
  </si>
  <si>
    <t>https://bilder.dasschnelle.at/DasSchnelle/50/5000/9923/061480/G_061480_P_906154309.adn.gif</t>
  </si>
  <si>
    <t>Ploch Autopflege GmbH • Aigen-Schlägl • Oberösterreich</t>
  </si>
  <si>
    <t>Autopflege • Ploch Autopflege GmbH, Mühlweg 38, Aigen-Schlägl • Kontakt über aktuelle Telefonnummern ☎ und Adressen ⚑ mit Karte, Routing, Öffnungszeiten, Homepage, E-Mail, vCard und Firmendaten.</t>
  </si>
  <si>
    <t>Mühlweg 38</t>
  </si>
  <si>
    <t>48.6410034</t>
  </si>
  <si>
    <t>13.9649918</t>
  </si>
  <si>
    <t>+436644028487</t>
  </si>
  <si>
    <t>stefan@ploch-autopflege.at</t>
  </si>
  <si>
    <t>https://bilder.dasschnelle.at/DasSchnelle/50/5000/9923/061481/G_061481_P_906151749.adn.gif</t>
  </si>
  <si>
    <t>Villa Sinnenreich Museum Rohrbach • Rohrbach • Oberösterreich</t>
  </si>
  <si>
    <t>Museen • Villa Sinnenreich Museum Rohrbach, Bahnhofstraße 19, Rohrbach • Kontakt über aktuelle Telefonnummern ☎ und Adressen ⚑ mit Karte, Routing, Öffnungszeiten, Homepage, E-Mail, vCard und Firmendaten.</t>
  </si>
  <si>
    <t>48.5757828</t>
  </si>
  <si>
    <t>13.9893619</t>
  </si>
  <si>
    <t>+4372892245820</t>
  </si>
  <si>
    <t>stadt@rohrbach-berg.ooe.gv.at</t>
  </si>
  <si>
    <t>https://bilder.dasschnelle.at/DasSchnelle/50/5000/9923/061480/G_061480_P_906179610.adn.gif</t>
  </si>
  <si>
    <t>Ornetsmüller Bau GmbH, Bauunternehmen • Riedau • Oberösterreich</t>
  </si>
  <si>
    <t>Bauunternehmen • Ornetsmüller Bau GmbH, Bahnhofstraße 59, Riedau • Kontakt über aktuelle Telefonnummern ☎ und Adressen ⚑ mit Karte, Routing, Öffnungszeiten, Homepage, E-Mail, vCard und Firmendaten.</t>
  </si>
  <si>
    <t>Bahnhofstraße 59</t>
  </si>
  <si>
    <t>4752</t>
  </si>
  <si>
    <t>Riedau</t>
  </si>
  <si>
    <t>48.3052028</t>
  </si>
  <si>
    <t>13.6280496</t>
  </si>
  <si>
    <t>+43776461028</t>
  </si>
  <si>
    <t>a.praschl@ornetsmueller-bau.at</t>
  </si>
  <si>
    <t>https://bilder.dasschnelle.at/DasSchnelle/50/5000/9926/042791/G_042791_P_906123953.adn.gif</t>
  </si>
  <si>
    <t>Dullinger, Konrad, Autohandel • Esternberg • Oberösterreich</t>
  </si>
  <si>
    <t>Autohandel • Dullinger, Konrad, Hauptstraße 52, Esternberg • Kontakt über aktuelle Telefonnummern ☎ und Adressen ⚑ mit Karte, Routing, Öffnungszeiten, Homepage, E-Mail, vCard und Firmendaten.</t>
  </si>
  <si>
    <t>Hauptstraße 52</t>
  </si>
  <si>
    <t>4092</t>
  </si>
  <si>
    <t>Esternberg</t>
  </si>
  <si>
    <t>48.54255</t>
  </si>
  <si>
    <t>13.57688</t>
  </si>
  <si>
    <t>+4377146200</t>
  </si>
  <si>
    <t>info@auto-dullinger.com</t>
  </si>
  <si>
    <t>https://bilder.dasschnelle.at/DasSchnelle/50/5000/9926/042784/G_042784_P_906297564.adn.gif</t>
  </si>
  <si>
    <t>Goldberger, Markus, Glaserei • Wernstein am Inn • Oberösterreich</t>
  </si>
  <si>
    <t>Glasereien • Goldberger, Markus, Hofötzer Straße 10, Wernstein am Inn • Kontakt über aktuelle Telefonnummern ☎ und Adressen ⚑ mit Karte, Routing, Öffnungszeiten, Homepage, E-Mail, vCard und Firmendaten.</t>
  </si>
  <si>
    <t>Hofötzer Straße 10</t>
  </si>
  <si>
    <t>4783</t>
  </si>
  <si>
    <t>Wernstein am Inn</t>
  </si>
  <si>
    <t>48.51102</t>
  </si>
  <si>
    <t>13.46138</t>
  </si>
  <si>
    <t>+436504058289</t>
  </si>
  <si>
    <t>info@glaserei-goldberger.at</t>
  </si>
  <si>
    <t>https://bilder.dasschnelle.at/DasSchnelle/50/5000/9926/042804/G_042804_P_906297565.adn.gif</t>
  </si>
  <si>
    <t>Bittner, Marietta, Physiotherapeutin • Schärding • Oberösterreich</t>
  </si>
  <si>
    <t>Physiotherapie • Bittner, Marietta, Innbruckstraße 7, Schärding • Kontakt über aktuelle Telefonnummern ☎ und Adressen ⚑ mit Karte, Routing, Öffnungszeiten, Homepage, E-Mail, vCard und Firmendaten.</t>
  </si>
  <si>
    <t>Innbruckstraße 7</t>
  </si>
  <si>
    <t>4780</t>
  </si>
  <si>
    <t>Schärding</t>
  </si>
  <si>
    <t>48.45593</t>
  </si>
  <si>
    <t>13.43049</t>
  </si>
  <si>
    <t>+436644025737</t>
  </si>
  <si>
    <t>https://bilder.dasschnelle.at/DasSchnelle/50/5000/9926/042797/G_042797_P_906298004.adn.gif</t>
  </si>
  <si>
    <t>Grubeck Ernst &amp; Mag. Christoph Dann, Rechtsanwälte • Schärding Innere Stadt • Oberösterreich</t>
  </si>
  <si>
    <t>Rechtsanwälte • Grubeck Ernst &amp; Mag. Christoph Dann, Lamprechtstraße 2, Schärding Innere Stadt • Kontakt über aktuelle Telefonnummern ☎ und Adressen ⚑ mit Karte, Routing, Öffnungszeiten, Homepage, E-Mail, vCard und Firmendaten.</t>
  </si>
  <si>
    <t>Lamprechtstraße 2</t>
  </si>
  <si>
    <t>Schärding Innere Stadt</t>
  </si>
  <si>
    <t>48.45583</t>
  </si>
  <si>
    <t>13.43071</t>
  </si>
  <si>
    <t>+43771251330</t>
  </si>
  <si>
    <t>office@grubeck-danner.at</t>
  </si>
  <si>
    <t>https://bilder.dasschnelle.at/DasSchnelle/50/5000/9926/042797/I_042797_P_906080888_L_0035993531_1.png</t>
  </si>
  <si>
    <t>https://bilder.dasschnelle.at/DasSchnelle/50/5000/9926/042797/I_042797_P_906080888_B_0035993531_1.gal.png?height=319&amp;width=831;https://bilder.dasschnelle.at/DasSchnelle/50/5000/9926/042797/I_042797_P_906080888_B_0035993531_2.gal.png?height=248&amp;width=375</t>
  </si>
  <si>
    <t>Manaberger, Wolfgang, Betonbohr- u. Sägearbeiten • Raab • Oberösterreich</t>
  </si>
  <si>
    <t>Betonbohr- u. sägedienst • Manaberger, Wolfgang, Krennhof 2, Raab • Kontakt über aktuelle Telefonnummern ☎ und Adressen ⚑ mit Karte, Routing, Öffnungszeiten, Homepage, E-Mail, vCard und Firmendaten.</t>
  </si>
  <si>
    <t>Krennhof 2</t>
  </si>
  <si>
    <t>4760</t>
  </si>
  <si>
    <t>Raab</t>
  </si>
  <si>
    <t>48.3423600</t>
  </si>
  <si>
    <t>13.6440200</t>
  </si>
  <si>
    <t>+4369911868489</t>
  </si>
  <si>
    <t>stemmbo@gmx.at</t>
  </si>
  <si>
    <t>EGGER RAUMDESIGN GmbH • Schladming • Steiermark</t>
  </si>
  <si>
    <t>Raumausstatter • EGGER RAUMDESIGN GmbH, Berggasse 483, Schladming • Kontakt über aktuelle Telefonnummern ☎ und Adressen ⚑ mit Karte, Routing, Öffnungszeiten, Homepage, E-Mail, vCard und Firmendaten.</t>
  </si>
  <si>
    <t>Berggasse 483</t>
  </si>
  <si>
    <t>47.3904</t>
  </si>
  <si>
    <t>13.69015</t>
  </si>
  <si>
    <t>+433687229050</t>
  </si>
  <si>
    <t>egger@egger-raumdesign.at</t>
  </si>
  <si>
    <t>https://bilder.dasschnelle.at/DasSchnelle/50/5000/9928/061454/G_061454_P_906178312.adn.gif</t>
  </si>
  <si>
    <t>Steinrisser, Albert, Mag., Rechtsanwalt • Schladming • Steiermark</t>
  </si>
  <si>
    <t>Rechtsanwälte • Steinrisser, Albert, Mag., Pfarrgasse 2, Schladming • Kontakt über aktuelle Telefonnummern ☎ und Adressen ⚑ mit Karte, Routing, Öffnungszeiten, Homepage, E-Mail, vCard und Firmendaten.</t>
  </si>
  <si>
    <t>Pfarrgasse 2</t>
  </si>
  <si>
    <t>47.39219</t>
  </si>
  <si>
    <t>13.68835</t>
  </si>
  <si>
    <t>+43368723777;+436642700777;+4369913018816</t>
  </si>
  <si>
    <t>office@ra-steinrisser.at</t>
  </si>
  <si>
    <t>https://bilder.dasschnelle.at/DasSchnelle/50/5000/9928/061454/G_061454_P_906172095.adn.gif</t>
  </si>
  <si>
    <t>Bechter KEG, Erdbau • Gröbming • Steiermark</t>
  </si>
  <si>
    <t>Erdarbeiten • Bechter KEG, Stoderstraße 695, Gröbming • Kontakt über aktuelle Telefonnummern ☎ und Adressen ⚑ mit Karte, Routing, Öffnungszeiten, Homepage, E-Mail, vCard und Firmendaten.</t>
  </si>
  <si>
    <t>Stoderstraße 695</t>
  </si>
  <si>
    <t>8962</t>
  </si>
  <si>
    <t>Gröbming</t>
  </si>
  <si>
    <t>47.44476</t>
  </si>
  <si>
    <t>13.88922</t>
  </si>
  <si>
    <t>+43368524232</t>
  </si>
  <si>
    <t>bechter.erdbauer@aon.at</t>
  </si>
  <si>
    <t>https://bilder.dasschnelle.at/DasSchnelle/50/5000/9928/044357/G_044357_P_906202012.adn.gif</t>
  </si>
  <si>
    <t>Ambient Trockenbau Mairan Miron e.U • Schladming • Steiermark</t>
  </si>
  <si>
    <t>Trockenausbau • Ambient Trockenbau Mairan Miron e.U, Untere Klaus 183, Schladming • Kontakt über aktuelle Telefonnummern ☎ und Adressen ⚑ mit Karte, Routing, Öffnungszeiten, Homepage, E-Mail, vCard und Firmendaten.</t>
  </si>
  <si>
    <t>Untere Klaus 183</t>
  </si>
  <si>
    <t>47.4011000</t>
  </si>
  <si>
    <t>13.7015200</t>
  </si>
  <si>
    <t>+4368860248190;+436608140700</t>
  </si>
  <si>
    <t>ambient.trockenbau@outlook.com</t>
  </si>
  <si>
    <t>https://bilder.dasschnelle.at/DasSchnelle/50/5000/9928/061454/I_061454_P_905963794_L_0038554495_1.png</t>
  </si>
  <si>
    <t>https://bilder.dasschnelle.at/DasSchnelle/50/5000/9928/061454/I_061454_P_905963794_B_0038554495_1.gal.png?height=200&amp;width=200;https://bilder.dasschnelle.at/DasSchnelle/50/5000/9928/061454/I_061454_P_905963794_B_0038554495_2.gal.png?height=200&amp;width=200;https://bilder.dasschnelle.at/DasSchnelle/50/5000/9928/061454/I_061454_P_905963794_B_0038554495_3.gal.png?height=300&amp;width=300;https://bilder.dasschnelle.at/DasSchnelle/50/5000/9928/061454/I_061454_P_905963794_B_0038554495_4.gal.png?height=300&amp;width=300</t>
  </si>
  <si>
    <t>IS Immo-Service GmbH, Immobilien • Schladming • Steiermark</t>
  </si>
  <si>
    <t>Immobilien • IS Immo-Service GmbH, Martin-Luther-Straße 154, Schladming • Kontakt über aktuelle Telefonnummern ☎ und Adressen ⚑ mit Karte, Routing, Öffnungszeiten, Homepage, E-Mail, vCard und Firmendaten.</t>
  </si>
  <si>
    <t>Martin-Luther-Straße 154</t>
  </si>
  <si>
    <t>47.39107</t>
  </si>
  <si>
    <t>13.68825</t>
  </si>
  <si>
    <t>+43368724048;+436643200329</t>
  </si>
  <si>
    <t>service@immo-service.at</t>
  </si>
  <si>
    <t>https://bilder.dasschnelle.at/DasSchnelle/50/5000/9928/061454/I_061454_P_905935270_L_0036177587_1.png</t>
  </si>
  <si>
    <t>https://bilder.dasschnelle.at/DasSchnelle/50/5000/9928/061454/I_061454_P_905935270_B_0036177587_1.gal.png?height=137&amp;width=281;https://bilder.dasschnelle.at/DasSchnelle/50/5000/9928/061454/I_061454_P_905935270_B_0036177587_2.gal.png?height=160&amp;width=219;https://bilder.dasschnelle.at/DasSchnelle/50/5000/9928/061454/I_061454_P_905935270_B_0036177587_3.gal.png?height=400&amp;width=548;https://bilder.dasschnelle.at/DasSchnelle/50/5000/9928/061454/I_061454_P_905935270_B_0036177587_4.gal.png?height=160&amp;width=219</t>
  </si>
  <si>
    <t>Auto Pfleger Haus GmbH, Autohaus • Haus • Steiermark</t>
  </si>
  <si>
    <t>Autohandel • Auto Pfleger Haus GmbH, Oberhauserstraße 60, Haus • Kontakt über aktuelle Telefonnummern ☎ und Adressen ⚑ mit Karte, Routing, Öffnungszeiten, Homepage, E-Mail, vCard und Firmendaten.</t>
  </si>
  <si>
    <t>Oberhauserstraße 60</t>
  </si>
  <si>
    <t>8967</t>
  </si>
  <si>
    <t>Haus</t>
  </si>
  <si>
    <t>47.40678</t>
  </si>
  <si>
    <t>13.75302</t>
  </si>
  <si>
    <t>+43368624510</t>
  </si>
  <si>
    <t>office@auto-pfleger.at</t>
  </si>
  <si>
    <t>https://bilder.dasschnelle.at/DasSchnelle/50/5000/9928/044850/G_044850_P_906178317.adn.gif</t>
  </si>
  <si>
    <t>Ringhofer Ingrid GesmbH, Mode • Schladming • Steiermark</t>
  </si>
  <si>
    <t>Mode • Ringhofer Ingrid GesmbH, Siedergasse 268, Schladming • Kontakt über aktuelle Telefonnummern ☎ und Adressen ⚑ mit Karte, Routing, Öffnungszeiten, Homepage, E-Mail, vCard und Firmendaten.</t>
  </si>
  <si>
    <t>Siedergasse 268</t>
  </si>
  <si>
    <t>47.39249</t>
  </si>
  <si>
    <t>13.68858</t>
  </si>
  <si>
    <t>+43368723080</t>
  </si>
  <si>
    <t>trachtringhofer@gmail.com</t>
  </si>
  <si>
    <t>https://bilder.dasschnelle.at/DasSchnelle/50/5000/9928/061454/G_061454_P_906179604.adn.gif</t>
  </si>
  <si>
    <t>Friseur Schach KG, Friseur • Gröbming • Steiermark</t>
  </si>
  <si>
    <t>Friseure • Friseur Schach KG, Hauptplatz 235, Gröbming • Kontakt über aktuelle Telefonnummern ☎ und Adressen ⚑ mit Karte, Routing, Öffnungszeiten, Homepage, E-Mail, vCard und Firmendaten.</t>
  </si>
  <si>
    <t>Hauptplatz 235</t>
  </si>
  <si>
    <t>47.4448</t>
  </si>
  <si>
    <t>13.90188</t>
  </si>
  <si>
    <t>+43368522257</t>
  </si>
  <si>
    <t>schach@groebming.at</t>
  </si>
  <si>
    <t>https://bilder.dasschnelle.at/DasSchnelle/50/5000/9928/044357/G_044357_P_906202014.adn.gif</t>
  </si>
  <si>
    <t>Marktgemeindeamt Gröbming, Gemeinde • Gröbming • Steiermark</t>
  </si>
  <si>
    <t>Gemeinde • Marktgemeindeamt Gröbming, Hauptstraße 200, Gröbming • Kontakt über aktuelle Telefonnummern ☎ und Adressen ⚑ mit Karte, Routing, Öffnungszeiten, Homepage, E-Mail, vCard und Firmendaten.</t>
  </si>
  <si>
    <t>Hauptstraße 200</t>
  </si>
  <si>
    <t>47.44338</t>
  </si>
  <si>
    <t>13.90239</t>
  </si>
  <si>
    <t>+433685221500</t>
  </si>
  <si>
    <t>+4336852215022</t>
  </si>
  <si>
    <t>marktgemeinde@groebming.at</t>
  </si>
  <si>
    <t>https://bilder.dasschnelle.at/DasSchnelle/50/5000/9928/044357/G_044357_P_906202015.adn.gif</t>
  </si>
  <si>
    <t>Fuchs, Josef • Klaus • Steiermark</t>
  </si>
  <si>
    <t>Malereibetriebe • Fuchs, Josef, Obere Klaus 73, Klaus • Kontakt über aktuelle Telefonnummern ☎ und Adressen ⚑ mit Karte, Routing, Öffnungszeiten, Homepage, E-Mail, vCard und Firmendaten.</t>
  </si>
  <si>
    <t>Obere Klaus 73</t>
  </si>
  <si>
    <t>Klaus</t>
  </si>
  <si>
    <t>47.39188</t>
  </si>
  <si>
    <t>13.65527</t>
  </si>
  <si>
    <t>+43368722451;+4366473648446;+4366473648395</t>
  </si>
  <si>
    <t>office@maler-fuchs.at</t>
  </si>
  <si>
    <t>https://bilder.dasschnelle.at/DasSchnelle/50/5000/9928/061454/G_061454_P_906177111.adn.gif</t>
  </si>
  <si>
    <t>3D Homeservice GmbH, Reinigung • Gröbming • Steiermark</t>
  </si>
  <si>
    <t>Reinigungsanstalten • 3D Homeservice GmbH, Bachweg 912, Gröbming • Kontakt über aktuelle Telefonnummern ☎ und Adressen ⚑ mit Karte, Routing, Öffnungszeiten, Homepage, E-Mail, vCard und Firmendaten.</t>
  </si>
  <si>
    <t>Bachweg 912</t>
  </si>
  <si>
    <t>47.44768</t>
  </si>
  <si>
    <t>13.90859</t>
  </si>
  <si>
    <t>+436644629975</t>
  </si>
  <si>
    <t>office@wieser-homeservice.at</t>
  </si>
  <si>
    <t>https://bilder.dasschnelle.at/DasSchnelle/50/5000/9928/044357/G_044357_P_906202827.adn.gif</t>
  </si>
  <si>
    <t>Stocker, Marissa, Color, Cut &amp; Styling • Schladming • Steiermark</t>
  </si>
  <si>
    <t>Friseure • Stocker, Marissa, Erzherzog-Johann-Straße 248, Schladming • Kontakt über aktuelle Telefonnummern ☎ und Adressen ⚑ mit Karte, Routing, Öffnungszeiten, Homepage, E-Mail, vCard und Firmendaten.</t>
  </si>
  <si>
    <t>Erzherzog-Johann-Straße 248</t>
  </si>
  <si>
    <t>47.39354</t>
  </si>
  <si>
    <t>13.68675</t>
  </si>
  <si>
    <t>+43368722606</t>
  </si>
  <si>
    <t>marisa@cc-s.at</t>
  </si>
  <si>
    <t>https://bilder.dasschnelle.at/DasSchnelle/50/5000/9928/061454/I_061454_P_905947090_L_0036253106_1.png</t>
  </si>
  <si>
    <t>https://bilder.dasschnelle.at/DasSchnelle/50/5000/9928/061454/I_061454_P_905947090_B_0036253106_1.gal.png?height=539&amp;width=600;https://bilder.dasschnelle.at/DasSchnelle/50/5000/9928/061454/I_061454_P_905947090_B_0036253106_2.gal.png?height=600&amp;width=600;https://bilder.dasschnelle.at/DasSchnelle/50/5000/9928/061454/I_061454_P_905947090_B_0036253106_3.gal.png?height=600&amp;width=600;https://bilder.dasschnelle.at/DasSchnelle/50/5000/9928/061454/I_061454_P_905947090_B_0036253106_4.gal.png?height=600&amp;width=600</t>
  </si>
  <si>
    <t>Seestüberl Aich, Gasthaus • Aich • Steiermark</t>
  </si>
  <si>
    <t>Gastgewerbe - Gasthöfe • Seestüberl Aich, Kurztrum 56, Aich • Kontakt über aktuelle Telefonnummern ☎ und Adressen ⚑ mit Karte, Routing, Öffnungszeiten, Homepage, E-Mail, vCard und Firmendaten.</t>
  </si>
  <si>
    <t>Kurztrum 56</t>
  </si>
  <si>
    <t>8966</t>
  </si>
  <si>
    <t>Aich</t>
  </si>
  <si>
    <t>47.42271</t>
  </si>
  <si>
    <t>13.81907</t>
  </si>
  <si>
    <t>+436642606212</t>
  </si>
  <si>
    <t>https://bilder.dasschnelle.at/DasSchnelle/50/5000/9928/061473/G_061473_P_906202026.adn.gif</t>
  </si>
  <si>
    <t>Elektrotechnik Lengdorfer GmbH &amp; Co KG • Sölk • Steiermark</t>
  </si>
  <si>
    <t>Elektrotechnik • Elektrotechnik Lengdorfer GmbH &amp; Co KG, Sankt Nikolai im Sölktal 138, Sölk • Kontakt über aktuelle Telefonnummern ☎ und Adressen ⚑ mit Karte, Routing, Öffnungszeiten, Homepage, E-Mail, vCard und Firmendaten.</t>
  </si>
  <si>
    <t>Sankt Nikolai im Sölktal 138</t>
  </si>
  <si>
    <t>8961</t>
  </si>
  <si>
    <t>Sölk</t>
  </si>
  <si>
    <t>47.3194504</t>
  </si>
  <si>
    <t>14.0466461</t>
  </si>
  <si>
    <t>+43368929956</t>
  </si>
  <si>
    <t>elektrotechnik.lengdorfer@gmail.com</t>
  </si>
  <si>
    <t>https://bilder.dasschnelle.at/DasSchnelle/50/5000/9928/061456/G_061456_P_906202826.adn.gif</t>
  </si>
  <si>
    <t>Christine Pohle, Judith, Friseure • Ramsau am Dachstein • Steiermark</t>
  </si>
  <si>
    <t>Friseure • Christine Pohle, Judith, Leiten 167, Ramsau am Dachstein • Kontakt über aktuelle Telefonnummern ☎ und Adressen ⚑ mit Karte, Routing, Öffnungszeiten, Homepage, E-Mail, vCard und Firmendaten.</t>
  </si>
  <si>
    <t>Leiten 167</t>
  </si>
  <si>
    <t>47.4146955</t>
  </si>
  <si>
    <t>13.6764072</t>
  </si>
  <si>
    <t>+43368781927</t>
  </si>
  <si>
    <t>judith.pohle@gmail.com</t>
  </si>
  <si>
    <t>https://bilder.dasschnelle.at/DasSchnelle/50/5000/9928/044868/G_044868_P_906172098.adn.gif</t>
  </si>
  <si>
    <t>Völk, Gerhard jun., Elektrotechnik • Klaus • Steiermark</t>
  </si>
  <si>
    <t>Elektrotechnik • Völk, Gerhard jun., Untere Klaus 208, Klaus • Kontakt über aktuelle Telefonnummern ☎ und Adressen ⚑ mit Karte, Routing, Öffnungszeiten, Homepage, E-Mail, vCard und Firmendaten.</t>
  </si>
  <si>
    <t>Untere Klaus 208</t>
  </si>
  <si>
    <t>47.40004</t>
  </si>
  <si>
    <t>13.69778</t>
  </si>
  <si>
    <t>+43368723260;+436642422675</t>
  </si>
  <si>
    <t>office@elektro-voelk.at</t>
  </si>
  <si>
    <t>https://bilder.dasschnelle.at/DasSchnelle/50/5000/9928/061454/G_061454_P_906183880.adn.gif</t>
  </si>
  <si>
    <t>Reiter Herbert GmbH, Schlossereien • Haus • Steiermark</t>
  </si>
  <si>
    <t>Schlossereien • Reiter Herbert GmbH, Oberhauserstraße 176, Haus • Kontakt über aktuelle Telefonnummern ☎ und Adressen ⚑ mit Karte, Routing, Öffnungszeiten, Homepage, E-Mail, vCard und Firmendaten.</t>
  </si>
  <si>
    <t>Oberhauserstraße 176</t>
  </si>
  <si>
    <t>47.40725</t>
  </si>
  <si>
    <t>13.75589</t>
  </si>
  <si>
    <t>+4336862503</t>
  </si>
  <si>
    <t>+4336862607</t>
  </si>
  <si>
    <t>info@schlosserei-reiter.at</t>
  </si>
  <si>
    <t>https://bilder.dasschnelle.at/DasSchnelle/50/5000/9928/044850/G_044850_P_906171754.adn.gif</t>
  </si>
  <si>
    <t>Gamsjäger, Gamsjäger, Busunternehmen • Michaelerberg-Pruggern • Steiermark</t>
  </si>
  <si>
    <t>Taxi • Gamsjäger, Gamsjäger, Pruggererberg 231, Michaelerberg-Pruggern • Kontakt über aktuelle Telefonnummern ☎ und Adressen ⚑ mit Karte, Routing, Öffnungszeiten, Homepage, E-Mail, vCard und Firmendaten.</t>
  </si>
  <si>
    <t>Pruggererberg 231</t>
  </si>
  <si>
    <t>Michaelerberg-Pruggern</t>
  </si>
  <si>
    <t>47.41199</t>
  </si>
  <si>
    <t>13.86882</t>
  </si>
  <si>
    <t>+43368523985</t>
  </si>
  <si>
    <t>heribert.stocker@direkt.at</t>
  </si>
  <si>
    <t>https://bilder.dasschnelle.at/DasSchnelle/50/5000/9928/061445/G_061445_P_906202022.adn.gif</t>
  </si>
  <si>
    <t>Thaler Raumausstatter KG • Schladming • Steiermark</t>
  </si>
  <si>
    <t>Raumausstatter, Tapezierer • Thaler Raumausstatter KG, Salzburgerstraße 19/Bahnhofstr 392, Schladming • Kontakt über aktuelle Telefonnummern ☎ und Adressen ⚑ mit Karte, Routing, Öffnungszeiten, Homepage, E-Mail, vCard und Firmendaten.</t>
  </si>
  <si>
    <t>Salzburgerstraße 19/Bahnhofstr 392</t>
  </si>
  <si>
    <t>47.39175</t>
  </si>
  <si>
    <t>13.68776</t>
  </si>
  <si>
    <t>+43368722125</t>
  </si>
  <si>
    <t>+4336872212575</t>
  </si>
  <si>
    <t>raumausstatter@gmail.com</t>
  </si>
  <si>
    <t>https://bilder.dasschnelle.at/DasSchnelle/50/5000/9928/061454/G_061454_P_906172081.adn.gif</t>
  </si>
  <si>
    <t>VRECE &amp; PICHLER GmbH, Tischlerei - Möbelhandel • Aich • Steiermark</t>
  </si>
  <si>
    <t>Tischlereien • VRECE &amp; PICHLER GmbH, Vorstadt 23, Aich • Kontakt über aktuelle Telefonnummern ☎ und Adressen ⚑ mit Karte, Routing, Öffnungszeiten, Homepage, E-Mail, vCard und Firmendaten.</t>
  </si>
  <si>
    <t>Vorstadt 23</t>
  </si>
  <si>
    <t>47.41929</t>
  </si>
  <si>
    <t>13.81937</t>
  </si>
  <si>
    <t>+43368647850</t>
  </si>
  <si>
    <t>info@vrece-pichler.at</t>
  </si>
  <si>
    <t>https://bilder.dasschnelle.at/DasSchnelle/50/5000/9928/061473/I_061473_P_905931028_L_0035994256_1.png</t>
  </si>
  <si>
    <t>https://bilder.dasschnelle.at/DasSchnelle/50/5000/9928/061473/I_061473_P_905931028_B_0035994256_1.gal.png?height=450&amp;width=600;https://bilder.dasschnelle.at/DasSchnelle/50/5000/9928/061473/I_061473_P_905931028_B_0035994256_2.gal.png?height=600&amp;width=450;https://bilder.dasschnelle.at/DasSchnelle/50/5000/9928/061473/I_061473_P_905931028_B_0035994256_3.gal.png?height=450&amp;width=600;https://bilder.dasschnelle.at/DasSchnelle/50/5000/9928/061473/I_061473_P_905931028_B_0035994256_4.gal.png?height=600&amp;width=450</t>
  </si>
  <si>
    <t>Eisen Andi Altmetall GMBH, Metall • Fürling • Oberösterreich</t>
  </si>
  <si>
    <t>Metallbau • Eisen Andi Altmetall GMBH, Fürling 46, Fürling • Kontakt über aktuelle Telefonnummern ☎ und Adressen ⚑ mit Karte, Routing, Öffnungszeiten, Homepage, E-Mail, vCard und Firmendaten.</t>
  </si>
  <si>
    <t>Fürling 46</t>
  </si>
  <si>
    <t>4293</t>
  </si>
  <si>
    <t>Fürling</t>
  </si>
  <si>
    <t>48.4510601</t>
  </si>
  <si>
    <t>14.6287659</t>
  </si>
  <si>
    <t>+436645091549</t>
  </si>
  <si>
    <t>eisen.andi@gmx.at</t>
  </si>
  <si>
    <t>https://bilder.dasschnelle.at/DasSchnelle/50/5000/9882/044817/G_044817_P_906299050.adn.gif</t>
  </si>
  <si>
    <t>CAE Expert Group GmbH, Dienstleistungsbetrieb • Ternberg • Oberösterreich</t>
  </si>
  <si>
    <t>Dienstleistungen, EDV-Dienstleistungen • CAE Expert Group GmbH, Schulstraße 3, Ternberg • Kontakt über aktuelle Telefonnummern ☎ und Adressen ⚑ mit Karte, Routing, Öffnungszeiten, Homepage, E-Mail, vCard und Firmendaten.</t>
  </si>
  <si>
    <t>Schulstraße 3</t>
  </si>
  <si>
    <t>4452</t>
  </si>
  <si>
    <t>Ternberg</t>
  </si>
  <si>
    <t>47.94601</t>
  </si>
  <si>
    <t>14.35784</t>
  </si>
  <si>
    <t>+43725621111</t>
  </si>
  <si>
    <t>office@caeexpert.group</t>
  </si>
  <si>
    <t>https://bilder.dasschnelle.at/DasSchnelle/50/5000/9878/042822/G_042822_P_906275307.adn.gif</t>
  </si>
  <si>
    <t>Biebl Johannes GmbH, Gas-Wasser-Heizung • Freistadt • Oberösterreich</t>
  </si>
  <si>
    <t>Gasinstallationen • Biebl Johannes GmbH, Gerhardingerstraße 3, Freistadt • Kontakt über aktuelle Telefonnummern ☎ und Adressen ⚑ mit Karte, Routing, Öffnungszeiten, Homepage, E-Mail, vCard und Firmendaten.</t>
  </si>
  <si>
    <t>Gerhardingerstraße 3</t>
  </si>
  <si>
    <t>48.51643</t>
  </si>
  <si>
    <t>14.50648</t>
  </si>
  <si>
    <t>+43794276110</t>
  </si>
  <si>
    <t>+4379427611015</t>
  </si>
  <si>
    <t>office@biebl.at</t>
  </si>
  <si>
    <t>https://bilder.dasschnelle.at/DasSchnelle/50/5000/9882/044815/G_044815_P_906299048.adn.gif</t>
  </si>
  <si>
    <t>Grasserbauer, Helga, Schlosserei • Bad Zell • Oberösterreich</t>
  </si>
  <si>
    <t>Schlossereien • Grasserbauer, Helga, Hirtlhof 23, Bad Zell • Kontakt über aktuelle Telefonnummern ☎ und Adressen ⚑ mit Karte, Routing, Öffnungszeiten, Homepage, E-Mail, vCard und Firmendaten.</t>
  </si>
  <si>
    <t>Hirtlhof 23</t>
  </si>
  <si>
    <t>48.3707267</t>
  </si>
  <si>
    <t>14.6691770</t>
  </si>
  <si>
    <t>+4372637320</t>
  </si>
  <si>
    <t>schlosserei-grasserbauer@gmx.at</t>
  </si>
  <si>
    <t>https://bilder.dasschnelle.at/DasSchnelle/50/5000/9882/041787/G_041787_P_906299976.adn.gif</t>
  </si>
  <si>
    <t>Eibensteiner, Günter, Sonnenschutzanlagen • Trölsberg • Oberösterreich</t>
  </si>
  <si>
    <t>Sonnenschutzanlagen • Eibensteiner, Günter, Trölsberg 88, Trölsberg • Kontakt über aktuelle Telefonnummern ☎ und Adressen ⚑ mit Karte, Routing, Öffnungszeiten, Homepage, E-Mail, vCard und Firmendaten.</t>
  </si>
  <si>
    <t>Trölsberg 88</t>
  </si>
  <si>
    <t>Trölsberg</t>
  </si>
  <si>
    <t>48.4960497</t>
  </si>
  <si>
    <t>14.4766895</t>
  </si>
  <si>
    <t>+436643108951;+436643108951</t>
  </si>
  <si>
    <t>eg.sonnenschutz@aon.at</t>
  </si>
  <si>
    <t>https://bilder.dasschnelle.at/DasSchnelle/50/5000/9882/044815/G_044815_P_906299978.adn.gif</t>
  </si>
  <si>
    <t>KOBAU Baumanagement - Ing.Johann Kofler GmbH • Ebbs • Tirol</t>
  </si>
  <si>
    <t>Baubetreuung • KOBAU Baumanagement - Ing.Johann Kofler GmbH, Eichelwang 72, Ebbs • Kontakt über aktuelle Telefonnummern ☎ und Adressen ⚑ mit Karte, Routing, Öffnungszeiten, Homepage, E-Mail, vCard und Firmendaten.</t>
  </si>
  <si>
    <t>Eichelwang 72</t>
  </si>
  <si>
    <t>Ebbs</t>
  </si>
  <si>
    <t>47.6007904</t>
  </si>
  <si>
    <t>12.1895210</t>
  </si>
  <si>
    <t>+43537271988</t>
  </si>
  <si>
    <t>kobau-management@aon.at</t>
  </si>
  <si>
    <t>https://bilder.dasschnelle.at/DasSchnelle/50/5000/9901/046151/G_046151_P_906299995.adn.gif</t>
  </si>
  <si>
    <t>Gesund Schuh, Edgar, Atteneder, Schuhe • Freistadt • Oberösterreich</t>
  </si>
  <si>
    <t>Schuhfachgeschäft • Gesund Schuh, Edgar, Atteneder, Waaggasse 14, Freistadt • Kontakt über aktuelle Telefonnummern ☎ und Adressen ⚑ mit Karte, Routing, Öffnungszeiten, Homepage, E-Mail, vCard und Firmendaten.</t>
  </si>
  <si>
    <t>Waaggasse 14</t>
  </si>
  <si>
    <t>48.51197</t>
  </si>
  <si>
    <t>14.5041</t>
  </si>
  <si>
    <t>+43794277423</t>
  </si>
  <si>
    <t>gesundschuh.atteneder@gmail.com</t>
  </si>
  <si>
    <t>Elektro Franz Haar • Hengsberg • Steiermark</t>
  </si>
  <si>
    <t>Elektroinstallationsunternehmen • Elektro Franz Haar, Komberg 36, Hengsberg • Kontakt über aktuelle Telefonnummern ☎ und Adressen ⚑ mit Karte, Routing, Öffnungszeiten, Homepage, E-Mail, vCard und Firmendaten.</t>
  </si>
  <si>
    <t>Komberg 36</t>
  </si>
  <si>
    <t>8411</t>
  </si>
  <si>
    <t>Hengsberg</t>
  </si>
  <si>
    <t>46.8769179</t>
  </si>
  <si>
    <t>15.4571179</t>
  </si>
  <si>
    <t>+436645340436</t>
  </si>
  <si>
    <t>info@elektro-haar.at</t>
  </si>
  <si>
    <t>https://bilder.dasschnelle.at/DasSchnelle/50/5000/9904/044096/G_044096_P_906300392.adn.gif</t>
  </si>
  <si>
    <t>Dr. Dieter Steinmaßl, FA f. Chirurgie • Kufstein • Tirol</t>
  </si>
  <si>
    <t>Ärzte / Fachärzte f. Chirurgie • Dr. Dieter Steinmaßl, Kaiserbergstraße 22 /2, Kufstein • Kontakt über aktuelle Telefonnummern ☎ und Adressen ⚑ mit Karte, Routing, Öffnungszeiten, Homepage, E-Mail, vCard und Firmendaten.</t>
  </si>
  <si>
    <t>Kaiserbergstraße 22 /2</t>
  </si>
  <si>
    <t>47.5852853</t>
  </si>
  <si>
    <t>12.1723038</t>
  </si>
  <si>
    <t>+436769401314</t>
  </si>
  <si>
    <t>office@dr-steinmassl.at</t>
  </si>
  <si>
    <t>https://bilder.dasschnelle.at/DasSchnelle/50/5000/9901/998286/G_998286_P_906299999.adn.gif</t>
  </si>
  <si>
    <t>Zankl Fischzucht • Dellach • Kärnten</t>
  </si>
  <si>
    <t>Fischhandel • Zankl Fischzucht, Weidenburg 22, Dellach • Kontakt über aktuelle Telefonnummern ☎ und Adressen ⚑ mit Karte, Routing, Öffnungszeiten, Homepage, E-Mail, vCard und Firmendaten.</t>
  </si>
  <si>
    <t>Weidenburg 22</t>
  </si>
  <si>
    <t>9635</t>
  </si>
  <si>
    <t>Dellach</t>
  </si>
  <si>
    <t>46.6505468</t>
  </si>
  <si>
    <t>13.0473108</t>
  </si>
  <si>
    <t>+436645159746</t>
  </si>
  <si>
    <t>https://bilder.dasschnelle.at/DasSchnelle/50/5000/9891/042086/G_042086_P_906300000.adn.gif</t>
  </si>
  <si>
    <t>ElementHaar • Grafendorf • Kärnten</t>
  </si>
  <si>
    <t>Frisiersalon • ElementHaar, Grafendorf 47, Grafendorf • Kontakt über aktuelle Telefonnummern ☎ und Adressen ⚑ mit Karte, Routing, Öffnungszeiten, Homepage, E-Mail, vCard und Firmendaten.</t>
  </si>
  <si>
    <t>Grafendorf 47</t>
  </si>
  <si>
    <t>9634</t>
  </si>
  <si>
    <t>Grafendorf</t>
  </si>
  <si>
    <t>46.6513815</t>
  </si>
  <si>
    <t>13.1131288</t>
  </si>
  <si>
    <t>+43428420901</t>
  </si>
  <si>
    <t>hallo@element-haar.at</t>
  </si>
  <si>
    <t>https://bilder.dasschnelle.at/DasSchnelle/50/5000/9891/042085/G_042085_P_906300376.adn.gif</t>
  </si>
  <si>
    <t>Möderndorfer, Andrä, Malereibetrieb • Hermagor • Kärnten</t>
  </si>
  <si>
    <t>Malereibetriebe • Möderndorfer, Andrä, Möderndorf 56, Hermagor • Kontakt über aktuelle Telefonnummern ☎ und Adressen ⚑ mit Karte, Routing, Öffnungszeiten, Homepage, E-Mail, vCard und Firmendaten.</t>
  </si>
  <si>
    <t>Möderndorf 56</t>
  </si>
  <si>
    <t>9620</t>
  </si>
  <si>
    <t>Hermagor</t>
  </si>
  <si>
    <t>46.6095014</t>
  </si>
  <si>
    <t>13.3615534</t>
  </si>
  <si>
    <t>+43428244700</t>
  </si>
  <si>
    <t>moederndorfer@aon.at</t>
  </si>
  <si>
    <t>https://bilder.dasschnelle.at/DasSchnelle/50/5000/9891/042084/G_042084_P_906300377.adn.gif</t>
  </si>
  <si>
    <t>Knoop, Frans, Mobiler Hausmeister • Kötschach-Mauthen • Kärnten</t>
  </si>
  <si>
    <t>Dienstleistungen • Knoop, Frans, Kötschach 42, Kötschach-Mauthen • Kontakt über aktuelle Telefonnummern ☎ und Adressen ⚑ mit Karte, Routing, Öffnungszeiten, Homepage, E-Mail, vCard und Firmendaten.</t>
  </si>
  <si>
    <t>Kötschach 42</t>
  </si>
  <si>
    <t>9640</t>
  </si>
  <si>
    <t>Kötschach-Mauthen</t>
  </si>
  <si>
    <t>46.6802648</t>
  </si>
  <si>
    <t>13.0043566</t>
  </si>
  <si>
    <t>+43471521484;+436607381154</t>
  </si>
  <si>
    <t>https://bilder.dasschnelle.at/DasSchnelle/50/5000/9891/042086/I_042086_P_906084899_L_0035970452_1.png</t>
  </si>
  <si>
    <t>https://bilder.dasschnelle.at/DasSchnelle/50/5000/9891/042086/I_042086_P_906084899_B_0035970452_1.gal.png?height=352&amp;width=600;https://bilder.dasschnelle.at/DasSchnelle/50/5000/9891/042086/I_042086_P_906084899_B_0035970452_2.gal.png?height=599&amp;width=600;https://bilder.dasschnelle.at/DasSchnelle/50/5000/9891/042086/I_042086_P_906084899_B_0035970452_3.gal.png?height=343&amp;width=600;https://bilder.dasschnelle.at/DasSchnelle/50/5000/9891/042086/I_042086_P_906084899_B_0035970452_4.gal.png?height=332&amp;width=600</t>
  </si>
  <si>
    <t>Hackl, Justin, Massage • Kremsmünster • Oberösterreich</t>
  </si>
  <si>
    <t>Massagen • Hackl, Justin, Gablonzer Straße 17, Kremsmünster • Kontakt über aktuelle Telefonnummern ☎ und Adressen ⚑ mit Karte, Routing, Öffnungszeiten, Homepage, E-Mail, vCard und Firmendaten.</t>
  </si>
  <si>
    <t>Gablonzer Straße 17</t>
  </si>
  <si>
    <t>4550</t>
  </si>
  <si>
    <t>Kremsmünster</t>
  </si>
  <si>
    <t>48.04933</t>
  </si>
  <si>
    <t>14.12568</t>
  </si>
  <si>
    <t>+436605486333</t>
  </si>
  <si>
    <t>info@hackl-massage.at</t>
  </si>
  <si>
    <t>https://bilder.dasschnelle.at/DasSchnelle/50/5000/9900/046084/G_046084_P_906199348.adn.gif</t>
  </si>
  <si>
    <t>Zettl Elektro GmbH • Kremsmünster • Oberösterreich</t>
  </si>
  <si>
    <t>Elektroinstallationsunternehmen • Zettl Elektro GmbH, Bahnhofstraße 1, Kremsmünster • Kontakt über aktuelle Telefonnummern ☎ und Adressen ⚑ mit Karte, Routing, Öffnungszeiten, Homepage, E-Mail, vCard und Firmendaten.</t>
  </si>
  <si>
    <t>48.05442</t>
  </si>
  <si>
    <t>14.13361</t>
  </si>
  <si>
    <t>+43758385420;+43758321001;+4375836455</t>
  </si>
  <si>
    <t>zettl@red-zac.at</t>
  </si>
  <si>
    <t>https://bilder.dasschnelle.at/DasSchnelle/50/5000/9900/046084/G_046084_P_906174346.adn.gif</t>
  </si>
  <si>
    <t>Eggendorfer, Roland, Malerei • Kremsmünster • Oberösterreich</t>
  </si>
  <si>
    <t>Malereibetriebe, Trockenausbau • Eggendorfer, Roland, Krift 38, Kremsmünster • Kontakt über aktuelle Telefonnummern ☎ und Adressen ⚑ mit Karte, Routing, Öffnungszeiten, Homepage, E-Mail, vCard und Firmendaten.</t>
  </si>
  <si>
    <t>Krift 38</t>
  </si>
  <si>
    <t>48.03687</t>
  </si>
  <si>
    <t>14.12429</t>
  </si>
  <si>
    <t>+436644412321</t>
  </si>
  <si>
    <t>roland.eggendorfer@aon.at</t>
  </si>
  <si>
    <t>https://bilder.dasschnelle.at/DasSchnelle/50/5000/9900/046084/G_046084_P_906183919.adn.gif</t>
  </si>
  <si>
    <t>Agrartechnik Pettenbach • Pettenbach • Oberösterreich</t>
  </si>
  <si>
    <t>Agrar u. Forsttechnik • Agrartechnik Pettenbach, Vorchdorfer Straße 41, Pettenbach • Kontakt über aktuelle Telefonnummern ☎ und Adressen ⚑ mit Karte, Routing, Öffnungszeiten, Homepage, E-Mail, vCard und Firmendaten.</t>
  </si>
  <si>
    <t>Vorchdorfer Straße 41</t>
  </si>
  <si>
    <t>4643</t>
  </si>
  <si>
    <t>Pettenbach</t>
  </si>
  <si>
    <t>47.96514</t>
  </si>
  <si>
    <t>14.00811</t>
  </si>
  <si>
    <t>+437586208010</t>
  </si>
  <si>
    <t>office@agrar-technik.at</t>
  </si>
  <si>
    <t>https://bilder.dasschnelle.at/DasSchnelle/50/5000/9917/046089/G_046089_P_906183887.adn.gif</t>
  </si>
  <si>
    <t>Bamminger, Dietmar, Elektrotechnik Bamminger • Pettenbach • Oberösterreich</t>
  </si>
  <si>
    <t>Elektrotechnik • Bamminger, Dietmar, Elektrotechnik Bamminger, Hinterbergstraße 7, Pettenbach • Kontakt über aktuelle Telefonnummern ☎ und Adressen ⚑ mit Karte, Routing, Öffnungszeiten, Homepage, E-Mail, vCard und Firmendaten.</t>
  </si>
  <si>
    <t>Hinterbergstraße 7</t>
  </si>
  <si>
    <t>47.9150729</t>
  </si>
  <si>
    <t>13.9857021</t>
  </si>
  <si>
    <t>+4367762975234</t>
  </si>
  <si>
    <t>dietmar.bamminger@elektro-bamminger.at</t>
  </si>
  <si>
    <t>Holli, Friedrich, Fahrzeugbau • Lungendorf • Oberösterreich</t>
  </si>
  <si>
    <t>Fahrzeugbau, Metallbau • Holli, Friedrich, Vorchdorfer Straße 53, Lungendorf • Kontakt über aktuelle Telefonnummern ☎ und Adressen ⚑ mit Karte, Routing, Öffnungszeiten, Homepage, E-Mail, vCard und Firmendaten.</t>
  </si>
  <si>
    <t>Vorchdorfer Straße 53</t>
  </si>
  <si>
    <t>Lungendorf</t>
  </si>
  <si>
    <t>47.9756</t>
  </si>
  <si>
    <t>13.99597</t>
  </si>
  <si>
    <t>+4375867272;+436603041966</t>
  </si>
  <si>
    <t>holli.fahrzeugbau@gmail.com</t>
  </si>
  <si>
    <t>https://bilder.dasschnelle.at/DasSchnelle/50/5000/9917/046089/G_046089_P_906183888.adn.gif</t>
  </si>
  <si>
    <t>Marktgemeinde Pettenbach • Pettenbach • Oberösterreich</t>
  </si>
  <si>
    <t>Gemeinde • Marktgemeinde Pettenbach, Kirchenplatz 3, Pettenbach • Kontakt über aktuelle Telefonnummern ☎ und Adressen ⚑ mit Karte, Routing, Öffnungszeiten, Homepage, E-Mail, vCard und Firmendaten.</t>
  </si>
  <si>
    <t>Kirchenplatz 3</t>
  </si>
  <si>
    <t>47.96141</t>
  </si>
  <si>
    <t>14.01642</t>
  </si>
  <si>
    <t>+43758681550</t>
  </si>
  <si>
    <t>gemeinde@pettenbach.ooe.gv.at</t>
  </si>
  <si>
    <t>https://bilder.dasschnelle.at/DasSchnelle/50/5000/9917/046089/G_046089_P_906183886.adn.gif</t>
  </si>
  <si>
    <t>Tischlerei Grabner GmbH • Grünau im Almtal • Oberösterreich</t>
  </si>
  <si>
    <t>Tischlereien • Tischlerei Grabner GmbH, Im Dorf 13, Grünau im Almtal • Kontakt über aktuelle Telefonnummern ☎ und Adressen ⚑ mit Karte, Routing, Öffnungszeiten, Homepage, E-Mail, vCard und Firmendaten.</t>
  </si>
  <si>
    <t>Im Dorf 13</t>
  </si>
  <si>
    <t>47.85526</t>
  </si>
  <si>
    <t>13.95499</t>
  </si>
  <si>
    <t>+4376166006</t>
  </si>
  <si>
    <t>grabner@almtal.at</t>
  </si>
  <si>
    <t>https://bilder.dasschnelle.at/DasSchnelle/50/5000/9917/041794/G_041794_P_906185811.adn.gif</t>
  </si>
  <si>
    <t>Conny Haarstudio • Grünau im Almtal • Oberösterreich</t>
  </si>
  <si>
    <t>Friseure • Conny Haarstudio, Im Dorf 39, Grünau im Almtal • Kontakt über aktuelle Telefonnummern ☎ und Adressen ⚑ mit Karte, Routing, Öffnungszeiten, Homepage, E-Mail, vCard und Firmendaten.</t>
  </si>
  <si>
    <t>Im Dorf 39</t>
  </si>
  <si>
    <t>47.85292</t>
  </si>
  <si>
    <t>13.95471</t>
  </si>
  <si>
    <t>+4376168251</t>
  </si>
  <si>
    <t>connyklaus@a1.net</t>
  </si>
  <si>
    <t>https://bilder.dasschnelle.at/DasSchnelle/50/5000/9917/041794/G_041794_P_906185810.adn.gif</t>
  </si>
  <si>
    <t>Bender Natursteindesign GmbH, Naturstein • Scharnstein • Oberösterreich</t>
  </si>
  <si>
    <t>Natursteine u. -platten • Bender Natursteindesign GmbH, Welserstraße 11, Scharnstein • Kontakt über aktuelle Telefonnummern ☎ und Adressen ⚑ mit Karte, Routing, Öffnungszeiten, Homepage, E-Mail, vCard und Firmendaten.</t>
  </si>
  <si>
    <t>Welserstraße 11</t>
  </si>
  <si>
    <t>4644</t>
  </si>
  <si>
    <t>Scharnstein</t>
  </si>
  <si>
    <t>47.90467</t>
  </si>
  <si>
    <t>13.96925</t>
  </si>
  <si>
    <t>+4376157015</t>
  </si>
  <si>
    <t>office@bender-naturstein.at</t>
  </si>
  <si>
    <t>https://bilder.dasschnelle.at/DasSchnelle/50/5000/9917/041806/G_041806_P_906183890.adn.gif</t>
  </si>
  <si>
    <t>Zivotic, Dragan, Zimmerei • Pettenbach • Oberösterreich</t>
  </si>
  <si>
    <t>Zimmereien • Zivotic, Dragan, Brückenweg 1, Pettenbach • Kontakt über aktuelle Telefonnummern ☎ und Adressen ⚑ mit Karte, Routing, Öffnungszeiten, Homepage, E-Mail, vCard und Firmendaten.</t>
  </si>
  <si>
    <t>Brückenweg 1</t>
  </si>
  <si>
    <t>47.93582</t>
  </si>
  <si>
    <t>13.99647</t>
  </si>
  <si>
    <t>+436643240675</t>
  </si>
  <si>
    <t>zivo@almnet.at</t>
  </si>
  <si>
    <t>https://bilder.dasschnelle.at/DasSchnelle/50/5000/9917/046089/G_046089_P_906260347.adn.gif</t>
  </si>
  <si>
    <t>Amerhauser Hans GmbH, Beton- Bohr- u. Sägedienst • Sankt Georgen bei Salzburg • Salzburg</t>
  </si>
  <si>
    <t>Erdbau, Säge- u. Hobelwerke, Transportunternehmen • Amerhauser Hans GmbH, Holzhauser Straße 63, Sankt Georgen bei Salzburg • Kontakt über aktuelle Telefonnummern ☎ und Adressen ⚑ mit Karte, Routing, Öffnungszeiten, Homepage, E-Mail, vCard und Firmendaten.</t>
  </si>
  <si>
    <t>Holzhauser Straße 63</t>
  </si>
  <si>
    <t>5113</t>
  </si>
  <si>
    <t>Sankt Georgen bei Salzburg</t>
  </si>
  <si>
    <t>48.0120000</t>
  </si>
  <si>
    <t>12.9358500</t>
  </si>
  <si>
    <t>+43627474190</t>
  </si>
  <si>
    <t>+4362746949</t>
  </si>
  <si>
    <t>office@amerhauser.at</t>
  </si>
  <si>
    <t>https://bilder.dasschnelle.at/DasSchnelle/50/5000/9914/043325/I_043325_P_906038037_B_0035971080_1.gal.png?height=281&amp;width=500;https://bilder.dasschnelle.at/DasSchnelle/50/5000/9914/043325/I_043325_P_906038037_B_0035971080_2.gal.png?height=375&amp;width=500;https://bilder.dasschnelle.at/DasSchnelle/50/5000/9914/043325/I_043325_P_906038037_B_0035971080_3.gal.png?height=375&amp;width=500;https://bilder.dasschnelle.at/DasSchnelle/50/5000/9914/043325/I_043325_P_906038037_B_0035971080_4.gal.png?height=375&amp;width=500;https://bilder.dasschnelle.at/DasSchnelle/50/5000/9914/043325/G_043325_P_906038037.adn.gif</t>
  </si>
  <si>
    <t>Furtner, Hans Peter, Transporte • Lamprechtshausen • Salzburg</t>
  </si>
  <si>
    <t>Baustoffhandel, Bauunternehmen, Transportunternehmen • Furtner, Hans Peter, Holzleiten 32, Lamprechtshausen • Kontakt über aktuelle Telefonnummern ☎ und Adressen ⚑ mit Karte, Routing, Öffnungszeiten, Homepage, E-Mail, vCard und Firmendaten.</t>
  </si>
  <si>
    <t>Holzleiten 32</t>
  </si>
  <si>
    <t>5112</t>
  </si>
  <si>
    <t>Lamprechtshausen</t>
  </si>
  <si>
    <t>47.97773</t>
  </si>
  <si>
    <t>12.95448</t>
  </si>
  <si>
    <t>+436643511746</t>
  </si>
  <si>
    <t>office@furtner-transporte.at</t>
  </si>
  <si>
    <t>https://bilder.dasschnelle.at/DasSchnelle/50/5000/9914/043318/G_043318_P_906031535.adn.gif</t>
  </si>
  <si>
    <t>Eco-Energie-Systeme, Sanitär • Gratwein-Straßengel • Steiermark</t>
  </si>
  <si>
    <t>Installationsunternehmen • Eco-Energie-Systeme, Hundsdorf 115, Gratwein-Straßengel • Kontakt über aktuelle Telefonnummern ☎ und Adressen ⚑ mit Karte, Routing, Öffnungszeiten, Homepage, E-Mail, vCard und Firmendaten.</t>
  </si>
  <si>
    <t>Hundsdorf 115</t>
  </si>
  <si>
    <t>Gratwein-Straßengel</t>
  </si>
  <si>
    <t>47.1131389</t>
  </si>
  <si>
    <t>15.3169415</t>
  </si>
  <si>
    <t>+436765307554</t>
  </si>
  <si>
    <t>office@eco-energiesysteme.com</t>
  </si>
  <si>
    <t>https://bilder.dasschnelle.at/DasSchnelle/50/5000/9883/061359/I_061359_P_906074033_L_0036003008_1.png</t>
  </si>
  <si>
    <t>https://bilder.dasschnelle.at/DasSchnelle/50/5000/9883/061359/I_061359_P_906074033_B_0036003008_1.gal.png?height=466&amp;width=700;https://bilder.dasschnelle.at/DasSchnelle/50/5000/9883/061359/I_061359_P_906074033_B_0036003008_2.gal.png?height=393&amp;width=700;https://bilder.dasschnelle.at/DasSchnelle/50/5000/9883/061359/I_061359_P_906074033_B_0036003008_3.gal.png?height=393&amp;width=700;https://bilder.dasschnelle.at/DasSchnelle/50/5000/9883/061359/I_061359_P_906074033_B_0036003008_4.gal.png?height=467&amp;width=700</t>
  </si>
  <si>
    <t>Eckmann, Wilhelm, Sachverständiger • Gmunden • Oberösterreich</t>
  </si>
  <si>
    <t>Sachverständige • Eckmann, Wilhelm, Theatergasse 9, Gmunden • Kontakt über aktuelle Telefonnummern ☎ und Adressen ⚑ mit Karte, Routing, Öffnungszeiten, Homepage, E-Mail, vCard und Firmendaten.</t>
  </si>
  <si>
    <t>Theatergasse 9</t>
  </si>
  <si>
    <t>47.91792</t>
  </si>
  <si>
    <t>13.79829</t>
  </si>
  <si>
    <t>+43761265261</t>
  </si>
  <si>
    <t>w.eckmann@schloss-ort.com</t>
  </si>
  <si>
    <t>https://bilder.dasschnelle.at/DasSchnelle/50/5000/9886/041792/G_041792_P_906026555.adn.gif</t>
  </si>
  <si>
    <t>Hanschek, Gerald, Malermeister • Leibnitz • Steiermark</t>
  </si>
  <si>
    <t>Malereibetriebe • Hanschek, Gerald, Wasserwerkstraße 15, Leibnitz • Kontakt über aktuelle Telefonnummern ☎ und Adressen ⚑ mit Karte, Routing, Öffnungszeiten, Homepage, E-Mail, vCard und Firmendaten.</t>
  </si>
  <si>
    <t>Wasserwerkstraße 15</t>
  </si>
  <si>
    <t>46.78779</t>
  </si>
  <si>
    <t>15.54735</t>
  </si>
  <si>
    <t>+436646446293</t>
  </si>
  <si>
    <t>hgmm1@a1.net</t>
  </si>
  <si>
    <t>https://bilder.dasschnelle.at/DasSchnelle/50/5000/9904/061363/G_061363_P_906301582.adn.gif</t>
  </si>
  <si>
    <t>Lamplmayr, Gerhard, Installateur • Sankt Leonhard bei Freistadt • Oberösterreich</t>
  </si>
  <si>
    <t>Installationsunternehmen • Lamplmayr, Gerhard, Bergstraße 4, Sankt Leonhard bei Freistadt • Kontakt über aktuelle Telefonnummern ☎ und Adressen ⚑ mit Karte, Routing, Öffnungszeiten, Homepage, E-Mail, vCard und Firmendaten.</t>
  </si>
  <si>
    <t>Bergstraße 4</t>
  </si>
  <si>
    <t>4294</t>
  </si>
  <si>
    <t>Sankt Leonhard bei Freistadt</t>
  </si>
  <si>
    <t>48.4427</t>
  </si>
  <si>
    <t>14.6786</t>
  </si>
  <si>
    <t>+436604114283</t>
  </si>
  <si>
    <t>office@whb-lamplmayr.at</t>
  </si>
  <si>
    <t>https://bilder.dasschnelle.at/DasSchnelle/50/5000/9882/041777/G_041777_P_906301583.adn.gif</t>
  </si>
  <si>
    <t>Hofstadler, Gerhard, Tischlermeister • Waldburg • Oberösterreich</t>
  </si>
  <si>
    <t>Möbelhandel, Tischlereien • Hofstadler, Gerhard, Waldburg 96, Waldburg • Kontakt über aktuelle Telefonnummern ☎ und Adressen ⚑ mit Karte, Routing, Öffnungszeiten, Homepage, E-Mail, vCard und Firmendaten.</t>
  </si>
  <si>
    <t>Waldburg 96</t>
  </si>
  <si>
    <t>Waldburg</t>
  </si>
  <si>
    <t>48.5107666</t>
  </si>
  <si>
    <t>14.4371881</t>
  </si>
  <si>
    <t>+43794220012;+436645214605</t>
  </si>
  <si>
    <t>design@gerhard-hofstadler.at</t>
  </si>
  <si>
    <t>https://bilder.dasschnelle.at/DasSchnelle/50/5000/9882/041783/G_041783_P_906301584.adn.gif</t>
  </si>
  <si>
    <t>Kleindl e. U., Malerei-Anstrich-Tapeten • Sankt Valentin • Niederösterreich</t>
  </si>
  <si>
    <t>Malereibetriebe • Kleindl e. U., Goethestraße 4, Sankt Valentin • Kontakt über aktuelle Telefonnummern ☎ und Adressen ⚑ mit Karte, Routing, Öffnungszeiten, Homepage, E-Mail, vCard und Firmendaten.</t>
  </si>
  <si>
    <t>Goethestraße 4</t>
  </si>
  <si>
    <t>Sankt Valentin</t>
  </si>
  <si>
    <t>48.16067</t>
  </si>
  <si>
    <t>14.51323</t>
  </si>
  <si>
    <t>+43743554230</t>
  </si>
  <si>
    <t>office@kleindl-maler.at</t>
  </si>
  <si>
    <t>https://bilder.dasschnelle.at/DasSchnelle/50/5000/9924/041325/G_041325_P_906132037.adn.gif</t>
  </si>
  <si>
    <t>Mayer Ges.mbH &amp; Co.KG, Installationsunternehmen • St. Peter in der Au • Niederösterreich</t>
  </si>
  <si>
    <t>Installationsunternehmen • Mayer Ges.mbH &amp; Co.KG, An der Bahn 30, St. Peter in der Au • Kontakt über aktuelle Telefonnummern ☎ und Adressen ⚑ mit Karte, Routing, Öffnungszeiten, Homepage, E-Mail, vCard und Firmendaten.</t>
  </si>
  <si>
    <t>An der Bahn 30</t>
  </si>
  <si>
    <t>3352</t>
  </si>
  <si>
    <t>St. Peter in der Au</t>
  </si>
  <si>
    <t>48.05434</t>
  </si>
  <si>
    <t>14.6448</t>
  </si>
  <si>
    <t>+43747743615</t>
  </si>
  <si>
    <t>office@mayer-bad-heizung.at</t>
  </si>
  <si>
    <t>https://bilder.dasschnelle.at/DasSchnelle/50/5000/9924/041324/G_041324_P_906129184.adn.gif</t>
  </si>
  <si>
    <t>Reisinger Gerhard, Kachelöfen • St. Valentin • Niederösterreich</t>
  </si>
  <si>
    <t>Kachel- u. Kaminöfen • Reisinger Gerhard, Hauptstraße 53, St. Valentin • Kontakt über aktuelle Telefonnummern ☎ und Adressen ⚑ mit Karte, Routing, Öffnungszeiten, Homepage, E-Mail, vCard und Firmendaten.</t>
  </si>
  <si>
    <t>48.1750462</t>
  </si>
  <si>
    <t>14.5253204</t>
  </si>
  <si>
    <t>+43743554740</t>
  </si>
  <si>
    <t>kachelofen.reisinger@utanet.at</t>
  </si>
  <si>
    <t>https://bilder.dasschnelle.at/DasSchnelle/50/5000/9924/041325/G_041325_P_906143398.adn.gif</t>
  </si>
  <si>
    <t>Hagler Susanne GmbH &amp; Co KG, Bestattungsunternehmen • St. Valentin • Niederösterreich</t>
  </si>
  <si>
    <t>Bestattungsunternehmen • Hagler Susanne GmbH &amp; Co KG, Kirchenstraße 5, St. Valentin • Kontakt über aktuelle Telefonnummern ☎ und Adressen ⚑ mit Karte, Routing, Öffnungszeiten, Homepage, E-Mail, vCard und Firmendaten.</t>
  </si>
  <si>
    <t>Kirchenstraße 5</t>
  </si>
  <si>
    <t>48.17252</t>
  </si>
  <si>
    <t>14.51352</t>
  </si>
  <si>
    <t>+43743552117</t>
  </si>
  <si>
    <t>office@bestattungstockinger.at</t>
  </si>
  <si>
    <t>https://bilder.dasschnelle.at/DasSchnelle/50/5000/9924/041325/G_041325_P_906130579.adn.gif</t>
  </si>
  <si>
    <t>Reitbauer Betriebs- u. Handels GmbH, Sägewerk • Vestenthal • Niederösterreich</t>
  </si>
  <si>
    <t>Säge- u. Hobelwerke • Reitbauer Betriebs- u. Handels GmbH, Vestenthal 19, Vestenthal • Kontakt über aktuelle Telefonnummern ☎ und Adressen ⚑ mit Karte, Routing, Öffnungszeiten, Homepage, E-Mail, vCard und Firmendaten.</t>
  </si>
  <si>
    <t>Vestenthal 19</t>
  </si>
  <si>
    <t>4431</t>
  </si>
  <si>
    <t>Vestenthal</t>
  </si>
  <si>
    <t>48.0736892</t>
  </si>
  <si>
    <t>14.4995492</t>
  </si>
  <si>
    <t>+437434428060;+436509923718</t>
  </si>
  <si>
    <t>office@reitbauer.co.at</t>
  </si>
  <si>
    <t>https://bilder.dasschnelle.at/DasSchnelle/50/5000/9924/041692/G_041692_P_906129181.adn.gif</t>
  </si>
  <si>
    <t>Fenstercenter Adami GmbH, Fenster u Türenstudio • St. Valentin • Niederösterreich</t>
  </si>
  <si>
    <t>Fenster u. Türen • Fenstercenter Adami GmbH, Wirtschaftsweg 2, St. Valentin • Kontakt über aktuelle Telefonnummern ☎ und Adressen ⚑ mit Karte, Routing, Öffnungszeiten, Homepage, E-Mail, vCard und Firmendaten.</t>
  </si>
  <si>
    <t>Wirtschaftsweg 2</t>
  </si>
  <si>
    <t>48.1712930</t>
  </si>
  <si>
    <t>14.5226551</t>
  </si>
  <si>
    <t>+437435522650</t>
  </si>
  <si>
    <t>office@adami-fenster.at</t>
  </si>
  <si>
    <t>https://bilder.dasschnelle.at/DasSchnelle/50/5000/9924/041325/G_041325_P_906137851.adn.gif</t>
  </si>
  <si>
    <t>Reisinger, Rosa, Geschenkartikel • St. Valentin • Niederösterreich</t>
  </si>
  <si>
    <t>Geschenkartikel • Reisinger, Rosa, Hauptstraße 32 A, St. Valentin • Kontakt über aktuelle Telefonnummern ☎ und Adressen ⚑ mit Karte, Routing, Öffnungszeiten, Homepage, E-Mail, vCard und Firmendaten.</t>
  </si>
  <si>
    <t>Hauptstraße 32 A</t>
  </si>
  <si>
    <t>48.1751</t>
  </si>
  <si>
    <t>14.52806</t>
  </si>
  <si>
    <t>+43743558530</t>
  </si>
  <si>
    <t>rosareisinger@gmx.at</t>
  </si>
  <si>
    <t>https://bilder.dasschnelle.at/DasSchnelle/50/5000/9924/041325/G_041325_P_906132038.adn.gif</t>
  </si>
  <si>
    <t>Josef Stumptner, KFZ- &amp; Landmaschinen Fachwerkstätte • Sankt Valentin • Niederösterreich</t>
  </si>
  <si>
    <t>Kfz-Werkstätte • Josef Stumptner, Wasen 5, Sankt Valentin • Kontakt über aktuelle Telefonnummern ☎ und Adressen ⚑ mit Karte, Routing, Öffnungszeiten, Homepage, E-Mail, vCard und Firmendaten.</t>
  </si>
  <si>
    <t>Wasen 5</t>
  </si>
  <si>
    <t>48.1328144</t>
  </si>
  <si>
    <t>14.5162290</t>
  </si>
  <si>
    <t>+4369910577955</t>
  </si>
  <si>
    <t>josef.stumptner@liwest.at</t>
  </si>
  <si>
    <t>https://bilder.dasschnelle.at/DasSchnelle/50/5000/9924/041325/G_041325_P_906136208.adn.gif</t>
  </si>
  <si>
    <t>W &amp; W Installateur • St. Valentin • Niederösterreich</t>
  </si>
  <si>
    <t>Installationsunternehmen • W &amp; W Installateur, Westbahnstraße 43, St. Valentin • Kontakt über aktuelle Telefonnummern ☎ und Adressen ⚑ mit Karte, Routing, Öffnungszeiten, Homepage, E-Mail, vCard und Firmendaten.</t>
  </si>
  <si>
    <t>Westbahnstraße 43</t>
  </si>
  <si>
    <t>48.1814</t>
  </si>
  <si>
    <t>14.52103</t>
  </si>
  <si>
    <t>+43743552300</t>
  </si>
  <si>
    <t>office@ww-installateur.at</t>
  </si>
  <si>
    <t>https://bilder.dasschnelle.at/DasSchnelle/50/5000/9924/041325/G_041325_P_906137893.adn.gif</t>
  </si>
  <si>
    <t>KFZ-Technik Bauer e.U. • St. Peter in der Au • Niederösterreich</t>
  </si>
  <si>
    <t>Autoreparaturen • KFZ-Technik Bauer e.U., Hofgasse 1, St. Peter in der Au • Kontakt über aktuelle Telefonnummern ☎ und Adressen ⚑ mit Karte, Routing, Öffnungszeiten, Homepage, E-Mail, vCard und Firmendaten.</t>
  </si>
  <si>
    <t>Hofgasse 1</t>
  </si>
  <si>
    <t>48.04507</t>
  </si>
  <si>
    <t>14.62365</t>
  </si>
  <si>
    <t>+43747742087</t>
  </si>
  <si>
    <t>kfzbauer@gmx.at</t>
  </si>
  <si>
    <t>Winninger, Jürgen, KFZ • Ernsthofen • Niederösterreich</t>
  </si>
  <si>
    <t>Autohandel • Winninger, Jürgen, Aigenfließen 20, Ernsthofen • Kontakt über aktuelle Telefonnummern ☎ und Adressen ⚑ mit Karte, Routing, Öffnungszeiten, Homepage, E-Mail, vCard und Firmendaten.</t>
  </si>
  <si>
    <t>Aigenfließen 20</t>
  </si>
  <si>
    <t>4432</t>
  </si>
  <si>
    <t>Ernsthofen</t>
  </si>
  <si>
    <t>48.12994</t>
  </si>
  <si>
    <t>14.51548</t>
  </si>
  <si>
    <t>+4374358668</t>
  </si>
  <si>
    <t>kfz-winninger@aon.at</t>
  </si>
  <si>
    <t>https://bilder.dasschnelle.at/DasSchnelle/50/5000/9924/041687/G_041687_P_906136209.adn.gif</t>
  </si>
  <si>
    <t>Steinbichler, Sabine, Friseur • Haag • Niederösterreich</t>
  </si>
  <si>
    <t>Friseure • Steinbichler, Sabine, Höllriglstraße 2, Haag • Kontakt über aktuelle Telefonnummern ☎ und Adressen ⚑ mit Karte, Routing, Öffnungszeiten, Homepage, E-Mail, vCard und Firmendaten.</t>
  </si>
  <si>
    <t>Höllriglstraße 2</t>
  </si>
  <si>
    <t>48.11183</t>
  </si>
  <si>
    <t>14.56664</t>
  </si>
  <si>
    <t>+436644568900</t>
  </si>
  <si>
    <t>s.steinbichler@gmx.net</t>
  </si>
  <si>
    <t>https://bilder.dasschnelle.at/DasSchnelle/50/5000/9924/041691/G_041691_P_906123970.adn.gif</t>
  </si>
  <si>
    <t>Mario Lechner, Bezirksrauchfangkehrermeister • St. Valentin • Niederösterreich</t>
  </si>
  <si>
    <t>Rauchfangkehrer • Mario Lechner, Langenharterstraße 1, St. Valentin • Kontakt über aktuelle Telefonnummern ☎ und Adressen ⚑ mit Karte, Routing, Öffnungszeiten, Homepage, E-Mail, vCard und Firmendaten.</t>
  </si>
  <si>
    <t>Langenharterstraße 1</t>
  </si>
  <si>
    <t>48.17529</t>
  </si>
  <si>
    <t>14.52344</t>
  </si>
  <si>
    <t>+43743552050</t>
  </si>
  <si>
    <t>info@der-rauchfangkehrer.at</t>
  </si>
  <si>
    <t>https://bilder.dasschnelle.at/DasSchnelle/50/5000/9924/041325/G_041325_P_906130578.adn.gif</t>
  </si>
  <si>
    <t>Mayr, Karl, Fahrzeuge • St. Peter in der Au-Mark • Niederösterreich</t>
  </si>
  <si>
    <t>Fahrzeugbau • Mayr, Karl, Amstettner Straße 21, St. Peter in der Au-Mark • Kontakt über aktuelle Telefonnummern ☎ und Adressen ⚑ mit Karte, Routing, Öffnungszeiten, Homepage, E-Mail, vCard und Firmendaten.</t>
  </si>
  <si>
    <t>Amstettner Straße 21</t>
  </si>
  <si>
    <t>St. Peter in der Au-Mark</t>
  </si>
  <si>
    <t>48.04261</t>
  </si>
  <si>
    <t>14.62421</t>
  </si>
  <si>
    <t>+43747744192</t>
  </si>
  <si>
    <t>office@kamay.at</t>
  </si>
  <si>
    <t>https://bilder.dasschnelle.at/DasSchnelle/50/5000/9924/041324/G_041324_P_906129185.adn.gif</t>
  </si>
  <si>
    <t>Streßler, Johann, Gartenbau • Tröstlberg • Niederösterreich</t>
  </si>
  <si>
    <t>Garten- u. Landschaftsgestaltung, Gartenbau • Streßler, Johann, Tröstlberg 10, Tröstlberg • Kontakt über aktuelle Telefonnummern ☎ und Adressen ⚑ mit Karte, Routing, Öffnungszeiten, Homepage, E-Mail, vCard und Firmendaten.</t>
  </si>
  <si>
    <t>Tröstlberg 10</t>
  </si>
  <si>
    <t>Tröstlberg</t>
  </si>
  <si>
    <t>48.0667831</t>
  </si>
  <si>
    <t>14.4989463</t>
  </si>
  <si>
    <t>+43743442177</t>
  </si>
  <si>
    <t>j.stressler@kt-net.at</t>
  </si>
  <si>
    <t>https://bilder.dasschnelle.at/DasSchnelle/50/5000/9924/041692/G_041692_P_906129183.adn.gif</t>
  </si>
  <si>
    <t>Der Stadt Friseur, Grasserbauer Sabine • St. Valentin • Niederösterreich</t>
  </si>
  <si>
    <t>Friseure • Der Stadt Friseur, Grasserbauer Sabine, Hauptstraße 35, St. Valentin • Kontakt über aktuelle Telefonnummern ☎ und Adressen ⚑ mit Karte, Routing, Öffnungszeiten, Homepage, E-Mail, vCard und Firmendaten.</t>
  </si>
  <si>
    <t>Hauptstraße 35</t>
  </si>
  <si>
    <t>48.17486</t>
  </si>
  <si>
    <t>14.52793</t>
  </si>
  <si>
    <t>+436641546688</t>
  </si>
  <si>
    <t>glas@leidl.at</t>
  </si>
  <si>
    <t>https://bilder.dasschnelle.at/DasSchnelle/50/5000/9924/041325/G_041325_P_906130596.adn.gif</t>
  </si>
  <si>
    <t>Zimmerei Sattler OG, Zimmereien • Kürnberg • Niederösterreich</t>
  </si>
  <si>
    <t>Zimmereien • Zimmerei Sattler OG, Ramingtal 89, Kürnberg • Kontakt über aktuelle Telefonnummern ☎ und Adressen ⚑ mit Karte, Routing, Öffnungszeiten, Homepage, E-Mail, vCard und Firmendaten.</t>
  </si>
  <si>
    <t>Ramingtal 89</t>
  </si>
  <si>
    <t>Kürnberg</t>
  </si>
  <si>
    <t>47.99014</t>
  </si>
  <si>
    <t>14.53735</t>
  </si>
  <si>
    <t>+43725231284</t>
  </si>
  <si>
    <t>rudi@zimmerei-sattler.at</t>
  </si>
  <si>
    <t>https://bilder.dasschnelle.at/DasSchnelle/50/5000/9924/041324/G_041324_P_906131971.adn.gif</t>
  </si>
  <si>
    <t>Freudenberger, Susanne, Heilmasseurin • Strengberg • Niederösterreich</t>
  </si>
  <si>
    <t>Massagen • Freudenberger, Susanne, Johannesstraße 3, Strengberg • Kontakt über aktuelle Telefonnummern ☎ und Adressen ⚑ mit Karte, Routing, Öffnungszeiten, Homepage, E-Mail, vCard und Firmendaten.</t>
  </si>
  <si>
    <t>Johannesstraße 3</t>
  </si>
  <si>
    <t>3314</t>
  </si>
  <si>
    <t>Strengberg</t>
  </si>
  <si>
    <t>48.14798</t>
  </si>
  <si>
    <t>14.65306</t>
  </si>
  <si>
    <t>+436802030551</t>
  </si>
  <si>
    <t>topmassage@live.at</t>
  </si>
  <si>
    <t>https://bilder.dasschnelle.at/DasSchnelle/50/5000/9924/041328/G_041328_P_906143396.adn.gif</t>
  </si>
  <si>
    <t>Huemer V &amp; Co KG, Textilreinigung • St. Valentin • Niederösterreich</t>
  </si>
  <si>
    <t>Textilreinigung • Huemer V &amp; Co KG, Hauptstraße 17, St. Valentin • Kontakt über aktuelle Telefonnummern ☎ und Adressen ⚑ mit Karte, Routing, Öffnungszeiten, Homepage, E-Mail, vCard und Firmendaten.</t>
  </si>
  <si>
    <t>14.52984</t>
  </si>
  <si>
    <t>+43743552318</t>
  </si>
  <si>
    <t>https://bilder.dasschnelle.at/DasSchnelle/50/5000/9924/041325/G_041325_P_906143405.adn.gif</t>
  </si>
  <si>
    <t>St.Peter/Au Mag.pharm. Andrea Reith e.U., Apotheke • St. Peter in der Au • Niederösterreich</t>
  </si>
  <si>
    <t>Apotheken • St.Peter/Au Mag.pharm. Andrea Reith e.U., Betriebsgebiet-West 5, St. Peter in der Au • Kontakt über aktuelle Telefonnummern ☎ und Adressen ⚑ mit Karte, Routing, Öffnungszeiten, Homepage, E-Mail, vCard und Firmendaten.</t>
  </si>
  <si>
    <t>Betriebsgebiet-West 5</t>
  </si>
  <si>
    <t>48.04219</t>
  </si>
  <si>
    <t>14.6093</t>
  </si>
  <si>
    <t>+43747749040</t>
  </si>
  <si>
    <t>apotheke-stpeter@aon.at</t>
  </si>
  <si>
    <t>https://bilder.dasschnelle.at/DasSchnelle/50/5000/9924/041324/G_041324_P_906143406.adn.gif</t>
  </si>
  <si>
    <t>Sprengnagel, Judith, Friseure • Tulln an der Donau • Niederösterreich</t>
  </si>
  <si>
    <t>Friseure • Sprengnagel, Judith, Alter Ziegelweg 10, Tulln an der Donau • Kontakt über aktuelle Telefonnummern ☎ und Adressen ⚑ mit Karte, Routing, Öffnungszeiten, Homepage, E-Mail, vCard und Firmendaten.</t>
  </si>
  <si>
    <t>Alter Ziegelweg 10</t>
  </si>
  <si>
    <t>3430</t>
  </si>
  <si>
    <t>Tulln an der Donau</t>
  </si>
  <si>
    <t>48.32198</t>
  </si>
  <si>
    <t>16.06494</t>
  </si>
  <si>
    <t>+43227262492</t>
  </si>
  <si>
    <t>judith.sprengnagel@gmx.at</t>
  </si>
  <si>
    <t>https://bilder.dasschnelle.at/DasSchnelle/50/5000/9938/044247/G_044247_P_906145716.adn.gif</t>
  </si>
  <si>
    <t>Familie Ecker • Kirchberg am Wagram • Niederösterreich</t>
  </si>
  <si>
    <t>Geflügelzucht • Familie Ecker, Neustift im Felde 36, Kirchberg am Wagram • Kontakt über aktuelle Telefonnummern ☎ und Adressen ⚑ mit Karte, Routing, Öffnungszeiten, Homepage, E-Mail, vCard und Firmendaten.</t>
  </si>
  <si>
    <t>Neustift im Felde 36</t>
  </si>
  <si>
    <t>3470</t>
  </si>
  <si>
    <t>Kirchberg am Wagram</t>
  </si>
  <si>
    <t>48.4071667</t>
  </si>
  <si>
    <t>15.8943898</t>
  </si>
  <si>
    <t>+436643917732</t>
  </si>
  <si>
    <t>office@wagramgefluegel.at</t>
  </si>
  <si>
    <t>https://bilder.dasschnelle.at/DasSchnelle/50/5000/9938/041947/G_041947_P_906123781.adn.gif</t>
  </si>
  <si>
    <t>Geldner, Martin, Installateur • Tulln an der Donau • Niederösterreich</t>
  </si>
  <si>
    <t>Installationsunternehmen • Geldner, Martin, Hauptplatz 3, Tulln an der Donau • Kontakt über aktuelle Telefonnummern ☎ und Adressen ⚑ mit Karte, Routing, Öffnungszeiten, Homepage, E-Mail, vCard und Firmendaten.</t>
  </si>
  <si>
    <t>48.33051</t>
  </si>
  <si>
    <t>16.05246</t>
  </si>
  <si>
    <t>+436763480020</t>
  </si>
  <si>
    <t>office@installateur-tulln.at</t>
  </si>
  <si>
    <t>https://bilder.dasschnelle.at/DasSchnelle/50/5000/9938/044247/G_044247_P_906123780.adn.gif</t>
  </si>
  <si>
    <t>Physiotherapie Therapie Team Tulln, Physiotherapie • Tulln an der Donau • Niederösterreich</t>
  </si>
  <si>
    <t>Physiotherapie • Physiotherapie Therapie Team Tulln, Brüdergasse 1-3 Stg 1, Tulln an der Donau • Kontakt über aktuelle Telefonnummern ☎ und Adressen ⚑ mit Karte, Routing, Öffnungszeiten, Homepage, E-Mail, vCard und Firmendaten.</t>
  </si>
  <si>
    <t>Brüdergasse 1-3 Stg 1</t>
  </si>
  <si>
    <t>48.3309647</t>
  </si>
  <si>
    <t>16.0499748</t>
  </si>
  <si>
    <t>+43227263159</t>
  </si>
  <si>
    <t>office@t-3.at</t>
  </si>
  <si>
    <t>https://bilder.dasschnelle.at/DasSchnelle/50/5000/9938/044247/G_044247_P_906136212.adn.gif</t>
  </si>
  <si>
    <t>Winkler-Behr, Angela, Dipl.Physiotherapeutin u. Kinesiologin • Sieghartskirchen • Niederösterreich</t>
  </si>
  <si>
    <t>Physiotherapie • Winkler-Behr, Angela, Untere Marktstraße 50 5, Sieghartskirchen • Kontakt über aktuelle Telefonnummern ☎ und Adressen ⚑ mit Karte, Routing, Öffnungszeiten, Homepage, E-Mail, vCard und Firmendaten.</t>
  </si>
  <si>
    <t>Untere Marktstraße 50 5</t>
  </si>
  <si>
    <t>3443</t>
  </si>
  <si>
    <t>Sieghartskirchen</t>
  </si>
  <si>
    <t>48.26239</t>
  </si>
  <si>
    <t>16.01241</t>
  </si>
  <si>
    <t>+436641800203</t>
  </si>
  <si>
    <t>praxis@nachhausefinden.at</t>
  </si>
  <si>
    <t>https://bilder.dasschnelle.at/DasSchnelle/50/5000/9938/044244/G_044244_P_906133846.adn.gif</t>
  </si>
  <si>
    <t>Wolffhardt GmbH, Glaserei • Tulln an der Donau • Niederösterreich</t>
  </si>
  <si>
    <t>Glasereien • Wolffhardt GmbH, Rudolfstraße 4, Tulln an der Donau • Kontakt über aktuelle Telefonnummern ☎ und Adressen ⚑ mit Karte, Routing, Öffnungszeiten, Homepage, E-Mail, vCard und Firmendaten.</t>
  </si>
  <si>
    <t>Rudolfstraße 4</t>
  </si>
  <si>
    <t>48.33169</t>
  </si>
  <si>
    <t>16.0536</t>
  </si>
  <si>
    <t>+432272627800</t>
  </si>
  <si>
    <t>office@glasdesign.at</t>
  </si>
  <si>
    <t>https://bilder.dasschnelle.at/DasSchnelle/50/5000/9938/044247/G_044247_P_906123824.adn.gif</t>
  </si>
  <si>
    <t>Fernseh Profi Handels- &amp; Service GmbH • Atzenbrugg • Niederösterreich</t>
  </si>
  <si>
    <t>Fernsehservice • Fernseh Profi Handels- &amp; Service GmbH, Wiener Landstraße 5, Atzenbrugg • Kontakt über aktuelle Telefonnummern ☎ und Adressen ⚑ mit Karte, Routing, Öffnungszeiten, Homepage, E-Mail, vCard und Firmendaten.</t>
  </si>
  <si>
    <t>Wiener Landstraße 5</t>
  </si>
  <si>
    <t>3452</t>
  </si>
  <si>
    <t>Atzenbrugg</t>
  </si>
  <si>
    <t>48.29927</t>
  </si>
  <si>
    <t>15.89445</t>
  </si>
  <si>
    <t>+4322755620</t>
  </si>
  <si>
    <t>+43227540122</t>
  </si>
  <si>
    <t>fernsehprofi@aon.at</t>
  </si>
  <si>
    <t>https://bilder.dasschnelle.at/DasSchnelle/50/5000/9938/041941/G_041941_P_906123877.adn.gif</t>
  </si>
  <si>
    <t>Blauensteiner, Dora, Dr.med., Ärzte / Fachärzte f Kinder-u Jugendheilkunde • Tulln an der Donau • Niederösterreich</t>
  </si>
  <si>
    <t>Ärzte / Fachärzte f. Kinder u. Jugendheilkunde • Blauensteiner, Dora, Dr.med., Egon-Schiele-Gasse 19-27 Stg 3, Tulln an der Donau • Kontakt über aktuelle Telefonnummern ☎ und Adressen ⚑ mit Karte, Routing, Öffnungszeiten, Homepage, E-Mail, vCard und Firmendaten.</t>
  </si>
  <si>
    <t>Egon-Schiele-Gasse 19-27 Stg 3</t>
  </si>
  <si>
    <t>48.3253438</t>
  </si>
  <si>
    <t>16.0629373</t>
  </si>
  <si>
    <t>+43227265686</t>
  </si>
  <si>
    <t>https://bilder.dasschnelle.at/DasSchnelle/50/5000/9938/044247/G_044247_P_906123920.adn.gif</t>
  </si>
  <si>
    <t>Heidenbauer Josef  • Würmla • Niederösterreich</t>
  </si>
  <si>
    <t>Lebensmittel • Heidenbauer Josef, Hauptstraße 9, Würmla • Kontakt über aktuelle Telefonnummern ☎ und Adressen ⚑ mit Karte, Routing, Öffnungszeiten, Homepage, E-Mail, vCard und Firmendaten.</t>
  </si>
  <si>
    <t>3042</t>
  </si>
  <si>
    <t>Würmla</t>
  </si>
  <si>
    <t>48.2555</t>
  </si>
  <si>
    <t>15.85996</t>
  </si>
  <si>
    <t>+43227520404</t>
  </si>
  <si>
    <t>peppi.heidenbauer@gmail.com</t>
  </si>
  <si>
    <t>https://bilder.dasschnelle.at/DasSchnelle/50/5000/9938/044248/G_044248_P_906123882.adn.gif</t>
  </si>
  <si>
    <t>Kern Handel • Heiligeneich • Niederösterreich</t>
  </si>
  <si>
    <t>Holzwaren • Kern Handel, Neidhartgasse 8, Heiligeneich • Kontakt über aktuelle Telefonnummern ☎ und Adressen ⚑ mit Karte, Routing, Öffnungszeiten, Homepage, E-Mail, vCard und Firmendaten.</t>
  </si>
  <si>
    <t>Neidhartgasse 8</t>
  </si>
  <si>
    <t>Heiligeneich</t>
  </si>
  <si>
    <t>48.2991143</t>
  </si>
  <si>
    <t>15.8897039</t>
  </si>
  <si>
    <t>+436645544848</t>
  </si>
  <si>
    <t>office@kernhandel.at</t>
  </si>
  <si>
    <t>https://bilder.dasschnelle.at/DasSchnelle/50/5000/9938/041941/G_041941_P_906121424.adn.gif</t>
  </si>
  <si>
    <t>Räth, Sigrid, Mag., RA • Tulln an der Donau • Niederösterreich</t>
  </si>
  <si>
    <t>Rechtsanwälte • Räth, Sigrid, Mag., Dammweg 6, Tulln an der Donau • Kontakt über aktuelle Telefonnummern ☎ und Adressen ⚑ mit Karte, Routing, Öffnungszeiten, Homepage, E-Mail, vCard und Firmendaten.</t>
  </si>
  <si>
    <t>Dammweg 6</t>
  </si>
  <si>
    <t>48.32948</t>
  </si>
  <si>
    <t>16.04326</t>
  </si>
  <si>
    <t>+43227281219;+43227282068</t>
  </si>
  <si>
    <t>ra@rechtsanwalt-raeth.at</t>
  </si>
  <si>
    <t>https://bilder.dasschnelle.at/DasSchnelle/50/5000/9938/044247/G_044247_P_906123921.adn.gif</t>
  </si>
  <si>
    <t>RMB - Bau GmbH • Tulln an der Donau • Niederösterreich</t>
  </si>
  <si>
    <t>Bauunternehmen • RMB - Bau GmbH, Langenlebarner Strasse 125 4, Tulln an der Donau • Kontakt über aktuelle Telefonnummern ☎ und Adressen ⚑ mit Karte, Routing, Öffnungszeiten, Homepage, E-Mail, vCard und Firmendaten.</t>
  </si>
  <si>
    <t>Langenlebarner Strasse 125 4</t>
  </si>
  <si>
    <t>48.3293775</t>
  </si>
  <si>
    <t>16.0711709</t>
  </si>
  <si>
    <t>+43227222880</t>
  </si>
  <si>
    <t>office@rmb-bau.at</t>
  </si>
  <si>
    <t>https://bilder.dasschnelle.at/DasSchnelle/50/5000/9938/044247/G_044247_P_906125831.adn.gif</t>
  </si>
  <si>
    <t>Reinthaler, Christa, Dr.med.vet., Tierarzt • Altenwörth • Niederösterreich</t>
  </si>
  <si>
    <t>Tierärzte • Reinthaler, Christa, Dr.med.vet., Gigginger Straße 12, Altenwörth • Kontakt über aktuelle Telefonnummern ☎ und Adressen ⚑ mit Karte, Routing, Öffnungszeiten, Homepage, E-Mail, vCard und Firmendaten.</t>
  </si>
  <si>
    <t>Gigginger Straße 12</t>
  </si>
  <si>
    <t>3474</t>
  </si>
  <si>
    <t>Altenwörth</t>
  </si>
  <si>
    <t>48.38613</t>
  </si>
  <si>
    <t>15.86298</t>
  </si>
  <si>
    <t>+43227929779;+436644140081</t>
  </si>
  <si>
    <t>christa.reinthaler@aon.at</t>
  </si>
  <si>
    <t>https://bilder.dasschnelle.at/DasSchnelle/50/5000/9938/041947/G_041947_P_906121417.adn.gif</t>
  </si>
  <si>
    <t>Hafner &amp; Partner, Versicherungsmakler • Tulln an der Donau • Niederösterreich</t>
  </si>
  <si>
    <t>Versicherungsmakler • Hafner &amp; Partner, Wiener Straße 11, Tulln an der Donau • Kontakt über aktuelle Telefonnummern ☎ und Adressen ⚑ mit Karte, Routing, Öffnungszeiten, Homepage, E-Mail, vCard und Firmendaten.</t>
  </si>
  <si>
    <t>Wiener Straße 11</t>
  </si>
  <si>
    <t>48.3317200</t>
  </si>
  <si>
    <t>16.0554400</t>
  </si>
  <si>
    <t>+432272655800</t>
  </si>
  <si>
    <t>office@hmv.at</t>
  </si>
  <si>
    <t>https://bilder.dasschnelle.at/DasSchnelle/50/5000/9938/044247/G_044247_P_906125830.adn.gif</t>
  </si>
  <si>
    <t>Kominek Franz GmbH, Bestattung • Feuersbrunn • Niederösterreich</t>
  </si>
  <si>
    <t>Bestattungsunternehmen • Kominek Franz GmbH, Kellergasse 1 -2, Feuersbrunn • Kontakt über aktuelle Telefonnummern ☎ und Adressen ⚑ mit Karte, Routing, Öffnungszeiten, Homepage, E-Mail, vCard und Firmendaten.</t>
  </si>
  <si>
    <t>Kellergasse 1 -2</t>
  </si>
  <si>
    <t>3483</t>
  </si>
  <si>
    <t>Feuersbrunn</t>
  </si>
  <si>
    <t>48.4447300</t>
  </si>
  <si>
    <t>15.7888800</t>
  </si>
  <si>
    <t>+43273822770</t>
  </si>
  <si>
    <t>bestattung.kominek@aon.at</t>
  </si>
  <si>
    <t>https://bilder.dasschnelle.at/DasSchnelle/50/5000/9938/041943/G_041943_P_906125851.adn.gif</t>
  </si>
  <si>
    <t>Henninger, Katharina, Masseurin • Neusiedl • Niederösterreich</t>
  </si>
  <si>
    <t>Massagen • Henninger, Katharina, Mühlstraße 12, Neusiedl • Kontakt über aktuelle Telefonnummern ☎ und Adressen ⚑ mit Karte, Routing, Öffnungszeiten, Homepage, E-Mail, vCard und Firmendaten.</t>
  </si>
  <si>
    <t>Mühlstraße 12</t>
  </si>
  <si>
    <t>3435</t>
  </si>
  <si>
    <t>48.3232987</t>
  </si>
  <si>
    <t>15.9585884</t>
  </si>
  <si>
    <t>nina.henninger@gmx.at</t>
  </si>
  <si>
    <t>https://bilder.dasschnelle.at/DasSchnelle/50/5000/9938/044242/G_044242_P_906139739.adn.gif</t>
  </si>
  <si>
    <t>Neunteufel, Walter, Dr., FA f Zahn- Mund- u Kieferheilkunde • Tulln an der Donau • Niederösterreich</t>
  </si>
  <si>
    <t>Ärzte / Fachärzte f. Mund-, Kiefer- u. Gesichtschirurgie • Neunteufel, Walter, Dr., Hauptplatz 22, Tulln an der Donau • Kontakt über aktuelle Telefonnummern ☎ und Adressen ⚑ mit Karte, Routing, Öffnungszeiten, Homepage, E-Mail, vCard und Firmendaten.</t>
  </si>
  <si>
    <t>Hauptplatz 22</t>
  </si>
  <si>
    <t>48.33132</t>
  </si>
  <si>
    <t>16.05041</t>
  </si>
  <si>
    <t>+43227268868</t>
  </si>
  <si>
    <t>walter.neunteufel@aon.at</t>
  </si>
  <si>
    <t>https://bilder.dasschnelle.at/DasSchnelle/50/5000/9938/044247/G_044247_P_906123923.adn.gif</t>
  </si>
  <si>
    <t>Vallant, Martin  • Guttaring • Kärnten</t>
  </si>
  <si>
    <t>Frisiersalon • Vallant, Martin, Unterer Markt 3 A, Guttaring • Kontakt über aktuelle Telefonnummern ☎ und Adressen ⚑ mit Karte, Routing, Öffnungszeiten, Homepage, E-Mail, vCard und Firmendaten.</t>
  </si>
  <si>
    <t>Unterer Markt 3 A</t>
  </si>
  <si>
    <t>9334</t>
  </si>
  <si>
    <t>Guttaring</t>
  </si>
  <si>
    <t>46.89005</t>
  </si>
  <si>
    <t>14.51115</t>
  </si>
  <si>
    <t>+4342628113</t>
  </si>
  <si>
    <t>martin@guthaaring.at</t>
  </si>
  <si>
    <t>https://bilder.dasschnelle.at/DasSchnelle/50/5000/9925/042116/G_042116_P_906130563.adn.gif</t>
  </si>
  <si>
    <t>Salzer Gerd, Fliesen • St. Salvator • Kärnten</t>
  </si>
  <si>
    <t>Fliesenfachhandel • Salzer Gerd, Fürst-Salm-Straße 21, St. Salvator • Kontakt über aktuelle Telefonnummern ☎ und Adressen ⚑ mit Karte, Routing, Öffnungszeiten, Homepage, E-Mail, vCard und Firmendaten.</t>
  </si>
  <si>
    <t>Fürst-Salm-Straße 21</t>
  </si>
  <si>
    <t>9361</t>
  </si>
  <si>
    <t>St. Salvator</t>
  </si>
  <si>
    <t>46.9696</t>
  </si>
  <si>
    <t>14.3565</t>
  </si>
  <si>
    <t>+436645047266</t>
  </si>
  <si>
    <t>gerd@ihr-fliesenmeister.at</t>
  </si>
  <si>
    <t>https://bilder.dasschnelle.at/DasSchnelle/50/5000/9925/042113/I_042113_P_905885172_L_0035994343_1.png</t>
  </si>
  <si>
    <t>https://bilder.dasschnelle.at/DasSchnelle/50/5000/9925/042113/I_042113_P_905885172_B_0035994343_1.gal.png?height=1000&amp;width=750;https://bilder.dasschnelle.at/DasSchnelle/50/5000/9925/042113/I_042113_P_905885172_B_0035994343_2.gal.png?height=667&amp;width=1000;https://bilder.dasschnelle.at/DasSchnelle/50/5000/9925/042113/I_042113_P_905885172_B_0035994343_3.gal.png?height=667&amp;width=1000;https://bilder.dasschnelle.at/DasSchnelle/50/5000/9925/042113/I_042113_P_905885172_B_0035994343_4.gal.png?height=1050&amp;width=700</t>
  </si>
  <si>
    <t>Khola Daniel, Dachdecker und Spengler • Launsdorf • Kärnten</t>
  </si>
  <si>
    <t>Dachdeckereien • Khola Daniel, Hauptstraße 48, Launsdorf • Kontakt über aktuelle Telefonnummern ☎ und Adressen ⚑ mit Karte, Routing, Öffnungszeiten, Homepage, E-Mail, vCard und Firmendaten.</t>
  </si>
  <si>
    <t>Hauptstraße 48</t>
  </si>
  <si>
    <t>9314</t>
  </si>
  <si>
    <t>Launsdorf</t>
  </si>
  <si>
    <t>46.76986</t>
  </si>
  <si>
    <t>14.46158</t>
  </si>
  <si>
    <t>+436641223156</t>
  </si>
  <si>
    <t>dkohla@gmail.com</t>
  </si>
  <si>
    <t>https://bilder.dasschnelle.at/DasSchnelle/50/5000/9925/042124/G_042124_P_906139732.adn.gif</t>
  </si>
  <si>
    <t>Reifen Tobi, Reifenservice • Mölbling • Kärnten</t>
  </si>
  <si>
    <t>Reifenservice • Reifen Tobi, Unterbergen 1, Mölbling • Kontakt über aktuelle Telefonnummern ☎ und Adressen ⚑ mit Karte, Routing, Öffnungszeiten, Homepage, E-Mail, vCard und Firmendaten.</t>
  </si>
  <si>
    <t>Unterbergen 1</t>
  </si>
  <si>
    <t>9330</t>
  </si>
  <si>
    <t>Mölbling</t>
  </si>
  <si>
    <t>46.8761353</t>
  </si>
  <si>
    <t>14.4506576</t>
  </si>
  <si>
    <t>+4342624150</t>
  </si>
  <si>
    <t>office@reifen-tobi.at</t>
  </si>
  <si>
    <t>https://bilder.dasschnelle.at/DasSchnelle/50/5000/9925/042123/G_042123_P_906130561.adn.gif</t>
  </si>
  <si>
    <t>Gebäuderinigung Gigacher Hausservic • Sankt Veit an der Glan • Kärnten</t>
  </si>
  <si>
    <t>Gebäudereinigung • Gebäuderinigung Gigacher Hausservic, Klagenfurter Straße 99, Sankt Veit an der Glan • Kontakt über aktuelle Telefonnummern ☎ und Adressen ⚑ mit Karte, Routing, Öffnungszeiten, Homepage, E-Mail, vCard und Firmendaten.</t>
  </si>
  <si>
    <t>Klagenfurter Straße 99</t>
  </si>
  <si>
    <t>9300</t>
  </si>
  <si>
    <t>Sankt Veit an der Glan</t>
  </si>
  <si>
    <t>46.7561408</t>
  </si>
  <si>
    <t>14.3775200</t>
  </si>
  <si>
    <t>+436645426265</t>
  </si>
  <si>
    <t>gigacher.hausservice@gmail.com</t>
  </si>
  <si>
    <t>https://bilder.dasschnelle.at/DasSchnelle/50/5000/9925/042125/G_042125_P_906139731.adn.gif</t>
  </si>
  <si>
    <t>Tögel KG, Elektro-Radio-TV-Großhdl • Gramatneusiedl • Niederösterreich</t>
  </si>
  <si>
    <t>Elektrohandel • Tögel KG, Hauptplatz 5, Gramatneusiedl • Kontakt über aktuelle Telefonnummern ☎ und Adressen ⚑ mit Karte, Routing, Öffnungszeiten, Homepage, E-Mail, vCard und Firmendaten.</t>
  </si>
  <si>
    <t>Hauptplatz 5</t>
  </si>
  <si>
    <t>2440</t>
  </si>
  <si>
    <t>Gramatneusiedl</t>
  </si>
  <si>
    <t>48.0287</t>
  </si>
  <si>
    <t>16.49015</t>
  </si>
  <si>
    <t>+43223478376;+436764116118</t>
  </si>
  <si>
    <t>+43223474242</t>
  </si>
  <si>
    <t>walter.toegel@aon.at</t>
  </si>
  <si>
    <t>https://bilder.dasschnelle.at/DasSchnelle/50/5000/9930/044508/G_044508_P_906154305.adn.gif</t>
  </si>
  <si>
    <t>Noisternig, Christian, Wasseraufbereitung u -reinigung • Himberg • Niederösterreich</t>
  </si>
  <si>
    <t>Wasseraufbereitung u. -reinigung • Noisternig, Christian, Wienerstraße 16 B, Himberg • Kontakt über aktuelle Telefonnummern ☎ und Adressen ⚑ mit Karte, Routing, Öffnungszeiten, Homepage, E-Mail, vCard und Firmendaten.</t>
  </si>
  <si>
    <t>Wienerstraße 16 B</t>
  </si>
  <si>
    <t>2325</t>
  </si>
  <si>
    <t>Himberg</t>
  </si>
  <si>
    <t>48.08567</t>
  </si>
  <si>
    <t>16.43641</t>
  </si>
  <si>
    <t>+43223587259;+436643557018</t>
  </si>
  <si>
    <t>noisternig@a1business.at</t>
  </si>
  <si>
    <t>https://bilder.dasschnelle.at/DasSchnelle/50/5000/9930/044509/G_044509_P_906154890.adn.gif</t>
  </si>
  <si>
    <t>Fischamend Taxi, Taxi • Fischamend-Markt • Niederösterreich</t>
  </si>
  <si>
    <t>Taxi • Fischamend Taxi, Molfenterstraße 15, Fischamend-Markt • Kontakt über aktuelle Telefonnummern ☎ und Adressen ⚑ mit Karte, Routing, Öffnungszeiten, Homepage, E-Mail, vCard und Firmendaten.</t>
  </si>
  <si>
    <t>Molfenterstraße 15</t>
  </si>
  <si>
    <t>2401</t>
  </si>
  <si>
    <t>Fischamend-Markt</t>
  </si>
  <si>
    <t>48.11467</t>
  </si>
  <si>
    <t>16.61625</t>
  </si>
  <si>
    <t>+432232764090</t>
  </si>
  <si>
    <t>office@taxi-kleinbus.at</t>
  </si>
  <si>
    <t>https://bilder.dasschnelle.at/DasSchnelle/50/5000/9930/044505/G_044505_P_906161091.adn.gif</t>
  </si>
  <si>
    <t>AUTO LUX Reparatur- u HandelsgmbH, Autoreparatur • Himberg • Niederösterreich</t>
  </si>
  <si>
    <t>Autoreparaturen • AUTO LUX Reparatur- u HandelsgmbH, Wienerstraße 95, Himberg • Kontakt über aktuelle Telefonnummern ☎ und Adressen ⚑ mit Karte, Routing, Öffnungszeiten, Homepage, E-Mail, vCard und Firmendaten.</t>
  </si>
  <si>
    <t>Wienerstraße 95</t>
  </si>
  <si>
    <t>48.08873</t>
  </si>
  <si>
    <t>16.4262</t>
  </si>
  <si>
    <t>+43223584143</t>
  </si>
  <si>
    <t>office@lux-automobile.at</t>
  </si>
  <si>
    <t>https://bilder.dasschnelle.at/DasSchnelle/50/5000/9930/044509/G_044509_P_906154313.adn.gif</t>
  </si>
  <si>
    <t>Metzl, Erich, Dr., Tierarzt • Zwölfaxing • Niederösterreich</t>
  </si>
  <si>
    <t>Tierärzte • Metzl, Erich, Dr., Auweg 3, Zwölfaxing • Kontakt über aktuelle Telefonnummern ☎ und Adressen ⚑ mit Karte, Routing, Öffnungszeiten, Homepage, E-Mail, vCard und Firmendaten.</t>
  </si>
  <si>
    <t>Auweg 3</t>
  </si>
  <si>
    <t>2322</t>
  </si>
  <si>
    <t>Zwölfaxing</t>
  </si>
  <si>
    <t>48.11216</t>
  </si>
  <si>
    <t>16.45609</t>
  </si>
  <si>
    <t>+436803079355</t>
  </si>
  <si>
    <t>drmetzl@gmx.at</t>
  </si>
  <si>
    <t>https://bilder.dasschnelle.at/DasSchnelle/50/5000/9930/506182/G_506182_P_906162164.adn.gif</t>
  </si>
  <si>
    <t>W &amp; H Dienstleistungen • Wienerherberg • Niederösterreich</t>
  </si>
  <si>
    <t>Dienstleistungen • W &amp; H Dienstleistungen, Wienerherbergstrasse 45, Wienerherberg • Kontakt über aktuelle Telefonnummern ☎ und Adressen ⚑ mit Karte, Routing, Öffnungszeiten, Homepage, E-Mail, vCard und Firmendaten.</t>
  </si>
  <si>
    <t>Wienerherbergstrasse 45</t>
  </si>
  <si>
    <t>2435</t>
  </si>
  <si>
    <t>Wienerherberg</t>
  </si>
  <si>
    <t>48.0588800</t>
  </si>
  <si>
    <t>16.5516800</t>
  </si>
  <si>
    <t>+436603713291</t>
  </si>
  <si>
    <t>waclav.hof.service@gmail.com</t>
  </si>
  <si>
    <t>https://bilder.dasschnelle.at/DasSchnelle/50/5000/9930/044504/I_044504_P_905935585_L_0038542687_1.png</t>
  </si>
  <si>
    <t>https://bilder.dasschnelle.at/DasSchnelle/50/5000/9930/044504/I_044504_P_905935585_B_0038542687_1.gal.png?height=600&amp;width=450;https://bilder.dasschnelle.at/DasSchnelle/50/5000/9930/044504/I_044504_P_905935585_B_0038542687_2.gal.png?height=600&amp;width=337;https://bilder.dasschnelle.at/DasSchnelle/50/5000/9930/044504/I_044504_P_905935585_B_0038542687_3.gal.png?height=600&amp;width=450;https://bilder.dasschnelle.at/DasSchnelle/50/5000/9930/044504/I_044504_P_905935585_B_0038542687_4.gal.png?height=600&amp;width=450;https://bilder.dasschnelle.at/DasSchnelle/50/5000/9930/044504/G_044504_P_906174401.adn.gif</t>
  </si>
  <si>
    <t>Adil Bau GmbH • Schwadorf • Niederösterreich</t>
  </si>
  <si>
    <t>Bauunternehmen • Adil Bau GmbH, Seilergasse 6, Schwadorf • Kontakt über aktuelle Telefonnummern ☎ und Adressen ⚑ mit Karte, Routing, Öffnungszeiten, Homepage, E-Mail, vCard und Firmendaten.</t>
  </si>
  <si>
    <t>Seilergasse 6</t>
  </si>
  <si>
    <t>2432</t>
  </si>
  <si>
    <t>Schwadorf</t>
  </si>
  <si>
    <t>48.0694600</t>
  </si>
  <si>
    <t>16.5877400</t>
  </si>
  <si>
    <t>+4369912728993</t>
  </si>
  <si>
    <t>office@adil-fassadenbau.at</t>
  </si>
  <si>
    <t>https://bilder.dasschnelle.at/DasSchnelle/50/5000/9930/044519/G_044519_P_906178308.adn.gif</t>
  </si>
  <si>
    <t>Bojagic Bau und Immobilien GmbH • Schwechat • Niederösterreich</t>
  </si>
  <si>
    <t>Immobilien • Bojagic Bau und Immobilien GmbH, Karl Widter Weg 15, Schwechat • Kontakt über aktuelle Telefonnummern ☎ und Adressen ⚑ mit Karte, Routing, Öffnungszeiten, Homepage, E-Mail, vCard und Firmendaten.</t>
  </si>
  <si>
    <t>Karl Widter Weg 15</t>
  </si>
  <si>
    <t>2320</t>
  </si>
  <si>
    <t>Schwechat</t>
  </si>
  <si>
    <t>48.1480764</t>
  </si>
  <si>
    <t>16.4740494</t>
  </si>
  <si>
    <t>+4366488315275</t>
  </si>
  <si>
    <t>office@bojagic.at</t>
  </si>
  <si>
    <t>https://bilder.dasschnelle.at/DasSchnelle/50/5000/9930/506180/G_506180_P_906177118.adn.gif</t>
  </si>
  <si>
    <t>Michis Blumenwerk, Blumenhandel • Himberg • Niederösterreich</t>
  </si>
  <si>
    <t>Blumenhandel • Michis Blumenwerk, Gutenhoferstraße 36, Himberg • Kontakt über aktuelle Telefonnummern ☎ und Adressen ⚑ mit Karte, Routing, Öffnungszeiten, Homepage, E-Mail, vCard und Firmendaten.</t>
  </si>
  <si>
    <t>Gutenhoferstraße 36</t>
  </si>
  <si>
    <t>48.07644</t>
  </si>
  <si>
    <t>16.44548</t>
  </si>
  <si>
    <t>+43223586681</t>
  </si>
  <si>
    <t>michis-blumenwerk@gmx.at</t>
  </si>
  <si>
    <t>https://bilder.dasschnelle.at/DasSchnelle/50/5000/9930/044509/G_044509_P_906143412.adn.gif</t>
  </si>
  <si>
    <t>Lippl, Michael, Sanitäranlagen u -einrichtungen • Maria-Lanzendorf • Niederösterreich</t>
  </si>
  <si>
    <t>Sanitäranlagen u. -einrichtungen • Lippl, Michael, Wiener Straße 14, Maria-Lanzendorf • Kontakt über aktuelle Telefonnummern ☎ und Adressen ⚑ mit Karte, Routing, Öffnungszeiten, Homepage, E-Mail, vCard und Firmendaten.</t>
  </si>
  <si>
    <t>Wiener Straße 14</t>
  </si>
  <si>
    <t>2326</t>
  </si>
  <si>
    <t>Maria-Lanzendorf</t>
  </si>
  <si>
    <t>48.10053</t>
  </si>
  <si>
    <t>16.41795</t>
  </si>
  <si>
    <t>+43223547761;+436642147050</t>
  </si>
  <si>
    <t>lippl.michi@aon.at</t>
  </si>
  <si>
    <t>https://bilder.dasschnelle.at/DasSchnelle/50/5000/9930/044514/G_044514_P_906156953.adn.gif</t>
  </si>
  <si>
    <t>Hotel Bauer e.U., Gsth • Schwechat • Niederösterreich</t>
  </si>
  <si>
    <t>Gastgewerbe - Gasthöfe, Hotels • Hotel Bauer e.U., Rauchenwarth 29, Schwechat • Kontakt über aktuelle Telefonnummern ☎ und Adressen ⚑ mit Karte, Routing, Öffnungszeiten, Homepage, E-Mail, vCard und Firmendaten.</t>
  </si>
  <si>
    <t>Rauchenwarth 29</t>
  </si>
  <si>
    <t>48.0839912</t>
  </si>
  <si>
    <t>16.5273826</t>
  </si>
  <si>
    <t>+4322302343</t>
  </si>
  <si>
    <t>office@hotel-bauer.info</t>
  </si>
  <si>
    <t>https://bilder.dasschnelle.at/DasSchnelle/50/5000/9930/044518/I_044518_P_905945140_L_0036262367_1.png</t>
  </si>
  <si>
    <t>https://bilder.dasschnelle.at/DasSchnelle/50/5000/9930/044518/I_044518_P_905945140_B_0036262367_1.gal.png?height=399&amp;width=600;https://bilder.dasschnelle.at/DasSchnelle/50/5000/9930/044518/I_044518_P_905945140_B_0036262367_2.gal.png?height=398&amp;width=600;https://bilder.dasschnelle.at/DasSchnelle/50/5000/9930/044518/I_044518_P_905945140_B_0036262367_3.gal.png?height=377&amp;width=600;https://bilder.dasschnelle.at/DasSchnelle/50/5000/9930/044518/I_044518_P_905945140_B_0036262367_4.gal.png?height=399&amp;width=600</t>
  </si>
  <si>
    <t>Schmalzl u Feldmann KG, Steinmetzbetrieb • Himberg • Niederösterreich</t>
  </si>
  <si>
    <t>Steinmetzbetriebe • Schmalzl u Feldmann KG, Hauptstraße 47, Himberg • Kontakt über aktuelle Telefonnummern ☎ und Adressen ⚑ mit Karte, Routing, Öffnungszeiten, Homepage, E-Mail, vCard und Firmendaten.</t>
  </si>
  <si>
    <t>48.0836318</t>
  </si>
  <si>
    <t>16.4397533</t>
  </si>
  <si>
    <t>+43223586358</t>
  </si>
  <si>
    <t>office@schmalzl-stein.at</t>
  </si>
  <si>
    <t>https://bilder.dasschnelle.at/DasSchnelle/50/5000/9930/044509/G_044509_P_906151755.adn.gif</t>
  </si>
  <si>
    <t>Daha, Lukas, Dr., FA f Urologie • Schwechat • Niederösterreich</t>
  </si>
  <si>
    <t>Ärzte / Fachärzte f. Urologie • Daha, Lukas, Dr., Brauhausstraße 4 A, Schwechat • Kontakt über aktuelle Telefonnummern ☎ und Adressen ⚑ mit Karte, Routing, Öffnungszeiten, Homepage, E-Mail, vCard und Firmendaten.</t>
  </si>
  <si>
    <t>Brauhausstraße 4 A</t>
  </si>
  <si>
    <t>48.14221</t>
  </si>
  <si>
    <t>16.47314</t>
  </si>
  <si>
    <t>+4317073232;+4369912203211</t>
  </si>
  <si>
    <t>urologie.daha@gmx.at</t>
  </si>
  <si>
    <t>https://bilder.dasschnelle.at/DasSchnelle/50/5000/9930/506180/G_506180_P_906167979.adn.gif</t>
  </si>
  <si>
    <t>Silberbauer, Markus, Service Partner • Schwechat • Niederösterreich</t>
  </si>
  <si>
    <t>Garten- u. Landschaftsgestaltung • Silberbauer, Markus, Raiffeisenstraße 10, Schwechat • Kontakt über aktuelle Telefonnummern ☎ und Adressen ⚑ mit Karte, Routing, Öffnungszeiten, Homepage, E-Mail, vCard und Firmendaten.</t>
  </si>
  <si>
    <t>Raiffeisenstraße 10</t>
  </si>
  <si>
    <t>48.08363</t>
  </si>
  <si>
    <t>16.53183</t>
  </si>
  <si>
    <t>+43223071339</t>
  </si>
  <si>
    <t>servicepartner@aon.at</t>
  </si>
  <si>
    <t>https://bilder.dasschnelle.at/DasSchnelle/50/5000/9930/044518/G_044518_P_906147278.adn.gif</t>
  </si>
  <si>
    <t>Elektro Denio GmbH • Zwölfaxing • Niederösterreich</t>
  </si>
  <si>
    <t>Elektro • Elektro Denio GmbH, Feldstrasse 93, Zwölfaxing • Kontakt über aktuelle Telefonnummern ☎ und Adressen ⚑ mit Karte, Routing, Öffnungszeiten, Homepage, E-Mail, vCard und Firmendaten.</t>
  </si>
  <si>
    <t>Feldstrasse 93</t>
  </si>
  <si>
    <t>48.1196358</t>
  </si>
  <si>
    <t>16.4703905</t>
  </si>
  <si>
    <t>+4369910649859</t>
  </si>
  <si>
    <t>office.elektrodenio@gmail.com</t>
  </si>
  <si>
    <t>https://bilder.dasschnelle.at/DasSchnelle/50/5000/9930/506182/G_506182_P_906167985.adn.gif</t>
  </si>
  <si>
    <t>Widhalm, Herta, Buchhandlung • Scheibbs • Niederösterreich</t>
  </si>
  <si>
    <t>Buchhandlungen • Widhalm, Herta, Hauptstraße 12, Scheibbs • Kontakt über aktuelle Telefonnummern ☎ und Adressen ⚑ mit Karte, Routing, Öffnungszeiten, Homepage, E-Mail, vCard und Firmendaten.</t>
  </si>
  <si>
    <t>3270</t>
  </si>
  <si>
    <t>Scheibbs</t>
  </si>
  <si>
    <t>48.00658</t>
  </si>
  <si>
    <t>15.16611</t>
  </si>
  <si>
    <t>+43748242648</t>
  </si>
  <si>
    <t>office@buchhandlung-widhalm.at</t>
  </si>
  <si>
    <t>https://bilder.dasschnelle.at/DasSchnelle/50/5000/9927/041934/G_041934_P_906147274.adn.gif</t>
  </si>
  <si>
    <t>Willingshofer OG • Scheibbs • Niederösterreich</t>
  </si>
  <si>
    <t>Raumgestaltung • Willingshofer OG, Abt Berthold Dietmayr-Gasse 2, Scheibbs • Kontakt über aktuelle Telefonnummern ☎ und Adressen ⚑ mit Karte, Routing, Öffnungszeiten, Homepage, E-Mail, vCard und Firmendaten.</t>
  </si>
  <si>
    <t>Abt Berthold Dietmayr-Gasse 2</t>
  </si>
  <si>
    <t>48.0053500</t>
  </si>
  <si>
    <t>+43748242052</t>
  </si>
  <si>
    <t>kontakt@willingshofer-raum.at</t>
  </si>
  <si>
    <t>https://bilder.dasschnelle.at/DasSchnelle/50/5000/9927/041934/G_041934_P_906177215.adn.gif</t>
  </si>
  <si>
    <t>Elektro Steiner e.U., Elektrohandel • Gaming • Niederösterreich</t>
  </si>
  <si>
    <t>Elektrohandel • Elektro Steiner e.U., Erlauftalstraße 23, Gaming • Kontakt über aktuelle Telefonnummern ☎ und Adressen ⚑ mit Karte, Routing, Öffnungszeiten, Homepage, E-Mail, vCard und Firmendaten.</t>
  </si>
  <si>
    <t>Erlauftalstraße 23</t>
  </si>
  <si>
    <t>3292</t>
  </si>
  <si>
    <t>Gaming</t>
  </si>
  <si>
    <t>47.93274</t>
  </si>
  <si>
    <t>15.09255</t>
  </si>
  <si>
    <t>+437485974320;+4369913167395;+4369913167347;+4369913167709</t>
  </si>
  <si>
    <t>+437485974324</t>
  </si>
  <si>
    <t>office@elektro-steiner.co.at</t>
  </si>
  <si>
    <t>https://bilder.dasschnelle.at/DasSchnelle/50/5000/9927/041922/G_041922_P_906147266.adn.gif</t>
  </si>
  <si>
    <t>Gruber Holzhandel GmbH • Randegg • Niederösterreich</t>
  </si>
  <si>
    <t>Holzfachmärkte • Gruber Holzhandel GmbH, Steinholz 23, Randegg • Kontakt über aktuelle Telefonnummern ☎ und Adressen ⚑ mit Karte, Routing, Öffnungszeiten, Homepage, E-Mail, vCard und Firmendaten.</t>
  </si>
  <si>
    <t>Steinholz 23</t>
  </si>
  <si>
    <t>3263</t>
  </si>
  <si>
    <t>Randegg</t>
  </si>
  <si>
    <t>48.0054205</t>
  </si>
  <si>
    <t>14.9147898</t>
  </si>
  <si>
    <t>+4374878410</t>
  </si>
  <si>
    <t>gruberholz@aon.at</t>
  </si>
  <si>
    <t>https://bilder.dasschnelle.at/DasSchnelle/50/5000/9927/041930/G_041930_P_906162156.adn.gif</t>
  </si>
  <si>
    <t>Hofstätter, Thomas, Glasermeister • Scheibbs • Niederösterreich</t>
  </si>
  <si>
    <t>Glasereien • Hofstätter, Thomas, Rathausplatz 3, Scheibbs • Kontakt über aktuelle Telefonnummern ☎ und Adressen ⚑ mit Karte, Routing, Öffnungszeiten, Homepage, E-Mail, vCard und Firmendaten.</t>
  </si>
  <si>
    <t>Rathausplatz 3</t>
  </si>
  <si>
    <t>48.00534</t>
  </si>
  <si>
    <t>15.16793</t>
  </si>
  <si>
    <t>+43748242469;+437482424693</t>
  </si>
  <si>
    <t>glas.hofstaetter@aon.at</t>
  </si>
  <si>
    <t>https://bilder.dasschnelle.at/DasSchnelle/50/5000/9927/041934/G_041934_P_906137865.adn.gif</t>
  </si>
  <si>
    <t>Schneeweihs, Nikolai, Reifenhandel • Unteretzerstetten</t>
  </si>
  <si>
    <t>Reifenhandel • Schneeweihs, Nikolai, Unteretzerstetten • Kontakt über aktuelle Telefonnummern ☎ und Adressen ⚑ mit Karte, Routing, Öffnungszeiten, Homepage, E-Mail, vCard und Firmendaten.</t>
  </si>
  <si>
    <t>3250</t>
  </si>
  <si>
    <t>Unteretzerstetten</t>
  </si>
  <si>
    <t>48.1027511</t>
  </si>
  <si>
    <t>15.0937845</t>
  </si>
  <si>
    <t>+436643308005</t>
  </si>
  <si>
    <t>office@reifennik.at</t>
  </si>
  <si>
    <t>https://bilder.dasschnelle.at/DasSchnelle/50/5000/9927/041938/G_041938_P_906198482.adn.gif</t>
  </si>
  <si>
    <t>Hintersteiner, Christian, Sand u Schotter • Oberamt</t>
  </si>
  <si>
    <t>Sand u. Schotter • Hintersteiner, Christian, Oberamt • Kontakt über aktuelle Telefonnummern ☎ und Adressen ⚑ mit Karte, Routing, Öffnungszeiten, Homepage, E-Mail, vCard und Firmendaten.</t>
  </si>
  <si>
    <t>3264</t>
  </si>
  <si>
    <t>Oberamt</t>
  </si>
  <si>
    <t>47.9316427</t>
  </si>
  <si>
    <t>15.0264433</t>
  </si>
  <si>
    <t>+4374872535;+436767287858</t>
  </si>
  <si>
    <t>ch.hintersteiner@aon.at</t>
  </si>
  <si>
    <t>https://bilder.dasschnelle.at/DasSchnelle/50/5000/9927/041925/I_041925_P_905896229_L_0036233256_1.png</t>
  </si>
  <si>
    <t>https://bilder.dasschnelle.at/DasSchnelle/50/5000/9927/041925/I_041925_P_905896229_B_0036233256_1.gal.png?height=600&amp;width=800;https://bilder.dasschnelle.at/DasSchnelle/50/5000/9927/041925/I_041925_P_905896229_B_0036233256_2.gal.png?height=191&amp;width=254;https://bilder.dasschnelle.at/DasSchnelle/50/5000/9927/041925/I_041925_P_905896229_B_0036233256_3.gal.png?height=267&amp;width=400;https://bilder.dasschnelle.at/DasSchnelle/50/5000/9927/041925/I_041925_P_905896229_B_0036233256_4.gal.png?height=224&amp;width=400;https://bilder.dasschnelle.at/DasSchnelle/50/5000/9927/041925/G_041925_P_906133832.adn.gif</t>
  </si>
  <si>
    <t>Giovanni, Pizzeria • Scheibbs • Niederösterreich</t>
  </si>
  <si>
    <t>Pizzerias • Giovanni, Hauptstraße 22, Scheibbs • Kontakt über aktuelle Telefonnummern ☎ und Adressen ⚑ mit Karte, Routing, Öffnungszeiten, Homepage, E-Mail, vCard und Firmendaten.</t>
  </si>
  <si>
    <t>Hauptstraße 22</t>
  </si>
  <si>
    <t>48.00584</t>
  </si>
  <si>
    <t>15.16661</t>
  </si>
  <si>
    <t>+43748243210</t>
  </si>
  <si>
    <t>office@giovanni-scheibbbs.at</t>
  </si>
  <si>
    <t>https://bilder.dasschnelle.at/DasSchnelle/50/5000/9927/041934/G_041934_P_906178302.adn.gif</t>
  </si>
  <si>
    <t>Hofstätter Wohndesign OG, Wohndesign • Purgstall • Niederösterreich</t>
  </si>
  <si>
    <t>Wohndesign • Hofstätter Wohndesign OG, Pöchlarner Straße 1, Purgstall • Kontakt über aktuelle Telefonnummern ☎ und Adressen ⚑ mit Karte, Routing, Öffnungszeiten, Homepage, E-Mail, vCard und Firmendaten.</t>
  </si>
  <si>
    <t>Pöchlarner Straße 1</t>
  </si>
  <si>
    <t>3251</t>
  </si>
  <si>
    <t>Purgstall</t>
  </si>
  <si>
    <t>48.0579200</t>
  </si>
  <si>
    <t>15.1333400</t>
  </si>
  <si>
    <t>+4374892349</t>
  </si>
  <si>
    <t>office@hofstaetter-wohndesign.at</t>
  </si>
  <si>
    <t>https://bilder.dasschnelle.at/DasSchnelle/50/5000/9927/041929/G_041929_P_906133836.adn.gif</t>
  </si>
  <si>
    <t>Ondrusek, Andreas, Spenglereien • Gries • Niederösterreich</t>
  </si>
  <si>
    <t>Spenglereien • Ondrusek, Andreas, Wieselburger-Straße 41, Gries • Kontakt über aktuelle Telefonnummern ☎ und Adressen ⚑ mit Karte, Routing, Öffnungszeiten, Homepage, E-Mail, vCard und Firmendaten.</t>
  </si>
  <si>
    <t>Wieselburger-Straße 41</t>
  </si>
  <si>
    <t>3281</t>
  </si>
  <si>
    <t>Gries</t>
  </si>
  <si>
    <t>48.06958</t>
  </si>
  <si>
    <t>15.21509</t>
  </si>
  <si>
    <t>+4374833200</t>
  </si>
  <si>
    <t>+4374833204</t>
  </si>
  <si>
    <t>ondrusek@a1.net</t>
  </si>
  <si>
    <t>https://bilder.dasschnelle.at/DasSchnelle/50/5000/9927/041927/G_041927_P_906150997.adn.gif</t>
  </si>
  <si>
    <t>Lengauer, Andreas, Maler und Anstreicher • Gresten • Niederösterreich</t>
  </si>
  <si>
    <t>Malereibetriebe • Lengauer, Andreas, Unterer Markt 27, Gresten • Kontakt über aktuelle Telefonnummern ☎ und Adressen ⚑ mit Karte, Routing, Öffnungszeiten, Homepage, E-Mail, vCard und Firmendaten.</t>
  </si>
  <si>
    <t>Unterer Markt 27</t>
  </si>
  <si>
    <t>Gresten</t>
  </si>
  <si>
    <t>47.98437</t>
  </si>
  <si>
    <t>15.02558</t>
  </si>
  <si>
    <t>+43748721087</t>
  </si>
  <si>
    <t>office@ihr-meistermaler.at</t>
  </si>
  <si>
    <t>https://bilder.dasschnelle.at/DasSchnelle/50/5000/9927/041924/G_041924_P_906147271.adn.gif</t>
  </si>
  <si>
    <t>Haselmaier Elektrotechnik GmbH • Scheibbs • Niederösterreich</t>
  </si>
  <si>
    <t>Elektrotechnik • Haselmaier Elektrotechnik GmbH, Miesenbach 74, Scheibbs • Kontakt über aktuelle Telefonnummern ☎ und Adressen ⚑ mit Karte, Routing, Öffnungszeiten, Homepage, E-Mail, vCard und Firmendaten.</t>
  </si>
  <si>
    <t>Miesenbach 74</t>
  </si>
  <si>
    <t>47.9873648</t>
  </si>
  <si>
    <t>15.1672722</t>
  </si>
  <si>
    <t>+43748242868</t>
  </si>
  <si>
    <t>office@haselmaier-elektro.at</t>
  </si>
  <si>
    <t>Apotheke Ötscherland • Gaming • Niederösterreich</t>
  </si>
  <si>
    <t>Apotheken • Apotheke Ötscherland, Im Markt 10, Gaming • Kontakt über aktuelle Telefonnummern ☎ und Adressen ⚑ mit Karte, Routing, Öffnungszeiten, Homepage, E-Mail, vCard und Firmendaten.</t>
  </si>
  <si>
    <t>Im Markt 10</t>
  </si>
  <si>
    <t>47.92834</t>
  </si>
  <si>
    <t>15.08932</t>
  </si>
  <si>
    <t>+43748597224</t>
  </si>
  <si>
    <t>office@apotheke-gaming.at</t>
  </si>
  <si>
    <t>https://bilder.dasschnelle.at/DasSchnelle/50/5000/9927/041922/I_041922_P_905917357_L_0037325792_1.png</t>
  </si>
  <si>
    <t>https://bilder.dasschnelle.at/DasSchnelle/50/5000/9927/041922/I_041922_P_905917357_B_0037325792_1.gal.png?height=296&amp;width=600;https://bilder.dasschnelle.at/DasSchnelle/50/5000/9927/041922/I_041922_P_905917357_B_0037325792_2.gal.png?height=296&amp;width=600;https://bilder.dasschnelle.at/DasSchnelle/50/5000/9927/041922/I_041922_P_905917357_B_0037325792_3.gal.png?height=296&amp;width=600</t>
  </si>
  <si>
    <t>Fahrnberger, Monika, Dr., FÄ f Gynäkologie u Geburtshilfe • Scheibbs • Niederösterreich</t>
  </si>
  <si>
    <t>Ärzte / Fachärzte f. Frauenheilkunde u. Geburtshilfe • Fahrnberger, Monika, Dr., Rathausstiege 1, Scheibbs • Kontakt über aktuelle Telefonnummern ☎ und Adressen ⚑ mit Karte, Routing, Öffnungszeiten, Homepage, E-Mail, vCard und Firmendaten.</t>
  </si>
  <si>
    <t>Rathausstiege 1</t>
  </si>
  <si>
    <t>48.00556</t>
  </si>
  <si>
    <t>15.16722</t>
  </si>
  <si>
    <t>+43748242026</t>
  </si>
  <si>
    <t>https://bilder.dasschnelle.at/DasSchnelle/50/5000/9927/041934/G_041934_P_906219570.adn.gif</t>
  </si>
  <si>
    <t>Abfallsammelzentrum-Gemeindeverband f Umweltschutz u Abgabeneinhebung, Entsorgungen • Purgstall • Niederösterreich</t>
  </si>
  <si>
    <t>Entsorgungen • Abfallsammelzentrum-Gemeindeverband f Umweltschutz u Abgabeneinhebung, Petzelsdorfer Straße 35, Purgstall • Kontakt über aktuelle Telefonnummern ☎ und Adressen ⚑ mit Karte, Routing, Öffnungszeiten, Homepage, E-Mail, vCard und Firmendaten.</t>
  </si>
  <si>
    <t>Petzelsdorfer Straße 35</t>
  </si>
  <si>
    <t>48.0624221</t>
  </si>
  <si>
    <t>15.1458065</t>
  </si>
  <si>
    <t>+43748930035</t>
  </si>
  <si>
    <t>gvuscheibbs@purgstall.at</t>
  </si>
  <si>
    <t>https://bilder.dasschnelle.at/DasSchnelle/50/5000/9927/041929/G_041929_P_906145724.adn.gif</t>
  </si>
  <si>
    <t>Bruckner Haustechnik GmbH, Haustechnik • Purgstall • Niederösterreich</t>
  </si>
  <si>
    <t>Haustechnik • Bruckner Haustechnik GmbH, Hochrießer Straße 41, Purgstall • Kontakt über aktuelle Telefonnummern ☎ und Adressen ⚑ mit Karte, Routing, Öffnungszeiten, Homepage, E-Mail, vCard und Firmendaten.</t>
  </si>
  <si>
    <t>Hochrießer Straße 41</t>
  </si>
  <si>
    <t>48.0629188</t>
  </si>
  <si>
    <t>15.1390410</t>
  </si>
  <si>
    <t>+43748933300</t>
  </si>
  <si>
    <t>office@haustechnikbruckner.at</t>
  </si>
  <si>
    <t>https://bilder.dasschnelle.at/DasSchnelle/50/5000/9927/041929/G_041929_P_906162783.adn.gif</t>
  </si>
  <si>
    <t>Rauner GesmbH, Erdbewegung • Petzenkirchen • Niederösterreich</t>
  </si>
  <si>
    <t>Erdarbeiten, Erdbau • Rauner GesmbH, Wiener Straße 27, Petzenkirchen • Kontakt über aktuelle Telefonnummern ☎ und Adressen ⚑ mit Karte, Routing, Öffnungszeiten, Homepage, E-Mail, vCard und Firmendaten.</t>
  </si>
  <si>
    <t>Wiener Straße 27</t>
  </si>
  <si>
    <t>3252</t>
  </si>
  <si>
    <t>Petzenkirchen</t>
  </si>
  <si>
    <t>48.14424</t>
  </si>
  <si>
    <t>15.1543</t>
  </si>
  <si>
    <t>+437416521340</t>
  </si>
  <si>
    <t>office@rauner.at</t>
  </si>
  <si>
    <t>https://bilder.dasschnelle.at/DasSchnelle/50/5000/9927/041634/I_041634_P_905945204_L_0036261574_1.png</t>
  </si>
  <si>
    <t>https://bilder.dasschnelle.at/DasSchnelle/50/5000/9927/041634/I_041634_P_905945204_B_0036261574_1.gal.png?height=225&amp;width=512;https://bilder.dasschnelle.at/DasSchnelle/50/5000/9927/041634/I_041634_P_905945204_B_0036261574_2.gal.png?height=262&amp;width=600;https://bilder.dasschnelle.at/DasSchnelle/50/5000/9927/041634/I_041634_P_905945204_B_0036261574_3.gal.png?height=268&amp;width=600;https://bilder.dasschnelle.at/DasSchnelle/50/5000/9927/041634/I_041634_P_905945204_B_0036261574_4.gal.png?height=600&amp;width=450</t>
  </si>
  <si>
    <t>Kreipl GesmbH, Gas-Wasser-Heizung, Ölfeuerungen • Gresten • Niederösterreich</t>
  </si>
  <si>
    <t>Installationsunternehmen • Kreipl GesmbH, Ybbsbachstraße 2, Gresten • Kontakt über aktuelle Telefonnummern ☎ und Adressen ⚑ mit Karte, Routing, Öffnungszeiten, Homepage, E-Mail, vCard und Firmendaten.</t>
  </si>
  <si>
    <t>Ybbsbachstraße 2</t>
  </si>
  <si>
    <t>47.96867</t>
  </si>
  <si>
    <t>15.02378</t>
  </si>
  <si>
    <t>+43748722720</t>
  </si>
  <si>
    <t>office@kreipl.at</t>
  </si>
  <si>
    <t>https://bilder.dasschnelle.at/DasSchnelle/50/5000/9927/041924/G_041924_P_906162155.adn.gif</t>
  </si>
  <si>
    <t>Kaufhaus Leyrer GmbH, Kaufhaus • Steinakirchen am Forst • Niederösterreich</t>
  </si>
  <si>
    <t>Kaufhäuser • Kaufhaus Leyrer GmbH, Unterer Markt 11, Steinakirchen am Forst • Kontakt über aktuelle Telefonnummern ☎ und Adressen ⚑ mit Karte, Routing, Öffnungszeiten, Homepage, E-Mail, vCard und Firmendaten.</t>
  </si>
  <si>
    <t>Unterer Markt 11</t>
  </si>
  <si>
    <t>3261</t>
  </si>
  <si>
    <t>Steinakirchen am Forst</t>
  </si>
  <si>
    <t>48.0672</t>
  </si>
  <si>
    <t>15.05033</t>
  </si>
  <si>
    <t>+43748871216</t>
  </si>
  <si>
    <t>kaufhaus@leyrer.at</t>
  </si>
  <si>
    <t>https://bilder.dasschnelle.at/DasSchnelle/50/5000/9927/041935/G_041935_P_906142632.adn.gif</t>
  </si>
  <si>
    <t>Fries, Stefan, Orthopädie • Wieselburg • Niederösterreich</t>
  </si>
  <si>
    <t>Orthopädie • Fries, Stefan, Rottenhauser Straße 2, Wieselburg • Kontakt über aktuelle Telefonnummern ☎ und Adressen ⚑ mit Karte, Routing, Öffnungszeiten, Homepage, E-Mail, vCard und Firmendaten.</t>
  </si>
  <si>
    <t>Rottenhauser Straße 2</t>
  </si>
  <si>
    <t>Wieselburg</t>
  </si>
  <si>
    <t>48.12765</t>
  </si>
  <si>
    <t>15.14359</t>
  </si>
  <si>
    <t>+43741652287</t>
  </si>
  <si>
    <t>info@ortho-fries.at</t>
  </si>
  <si>
    <t>https://bilder.dasschnelle.at/DasSchnelle/50/5000/9927/041937/G_041937_P_906142633.adn.gif</t>
  </si>
  <si>
    <t>Stöger Bau, Baumeister • Steinakirchen am Forst • Niederösterreich</t>
  </si>
  <si>
    <t>Baumeister, Bauunternehmen • Stöger Bau, Habergstraße 13, Steinakirchen am Forst • Kontakt über aktuelle Telefonnummern ☎ und Adressen ⚑ mit Karte, Routing, Öffnungszeiten, Homepage, E-Mail, vCard und Firmendaten.</t>
  </si>
  <si>
    <t>Habergstraße 13</t>
  </si>
  <si>
    <t>48.06741</t>
  </si>
  <si>
    <t>15.04297</t>
  </si>
  <si>
    <t>+43748872026</t>
  </si>
  <si>
    <t>office@stoegerbau.at</t>
  </si>
  <si>
    <t>https://bilder.dasschnelle.at/DasSchnelle/50/5000/9927/041934/G_041934_P_906143390.adn.gif</t>
  </si>
  <si>
    <t>Wei LEI KG, Cafe • Wieselburg • Niederösterreich</t>
  </si>
  <si>
    <t>Cafés • Wei LEI KG, Wiener Straße 3, Wieselburg • Kontakt über aktuelle Telefonnummern ☎ und Adressen ⚑ mit Karte, Routing, Öffnungszeiten, Homepage, E-Mail, vCard und Firmendaten.</t>
  </si>
  <si>
    <t>Wiener Straße 3</t>
  </si>
  <si>
    <t>48.13251</t>
  </si>
  <si>
    <t>15.13929</t>
  </si>
  <si>
    <t>+43741652160</t>
  </si>
  <si>
    <t>397548704@qq.com</t>
  </si>
  <si>
    <t>https://bilder.dasschnelle.at/DasSchnelle/50/5000/9927/041937/G_041937_P_906151728.adn.gif</t>
  </si>
  <si>
    <t>Rottner Autohaus Toyota Vertragshändler, Autohaus • Göstling an der Ybbs • Niederösterreich</t>
  </si>
  <si>
    <t>Autohandel • Rottner Autohaus Toyota Vertragshändler, Stixenlehen 109, Göstling an der Ybbs • Kontakt über aktuelle Telefonnummern ☎ und Adressen ⚑ mit Karte, Routing, Öffnungszeiten, Homepage, E-Mail, vCard und Firmendaten.</t>
  </si>
  <si>
    <t>Stixenlehen 109</t>
  </si>
  <si>
    <t>3345</t>
  </si>
  <si>
    <t>Göstling an der Ybbs</t>
  </si>
  <si>
    <t>47.8070014</t>
  </si>
  <si>
    <t>14.9383721</t>
  </si>
  <si>
    <t>+4374847007</t>
  </si>
  <si>
    <t>office@autohaus-rottner.at</t>
  </si>
  <si>
    <t>https://bilder.dasschnelle.at/DasSchnelle/50/5000/9927/041923/G_041923_P_906137873.adn.gif</t>
  </si>
  <si>
    <t>Loisl, Christoph, Maler • Wieselburg • Niederösterreich</t>
  </si>
  <si>
    <t>Malereibetriebe • Loisl, Christoph, Lagergasse 10, Wieselburg • Kontakt über aktuelle Telefonnummern ☎ und Adressen ⚑ mit Karte, Routing, Öffnungszeiten, Homepage, E-Mail, vCard und Firmendaten.</t>
  </si>
  <si>
    <t>Lagergasse 10</t>
  </si>
  <si>
    <t>48.1280300</t>
  </si>
  <si>
    <t>15.1470600</t>
  </si>
  <si>
    <t>+4366475020094</t>
  </si>
  <si>
    <t>christoph.loisl@gmail.com</t>
  </si>
  <si>
    <t>https://bilder.dasschnelle.at/DasSchnelle/50/5000/9927/041937/G_041937_P_906213612.adn.gif</t>
  </si>
  <si>
    <t>Stöckl, Bianca, Friseurin • Purgstall • Niederösterreich</t>
  </si>
  <si>
    <t>Fingernagelstudios, Friseure, Kosmetik • Stöckl, Bianca, Ötscherlandstraße 14, Purgstall • Kontakt über aktuelle Telefonnummern ☎ und Adressen ⚑ mit Karte, Routing, Öffnungszeiten, Homepage, E-Mail, vCard und Firmendaten.</t>
  </si>
  <si>
    <t>Ötscherlandstraße 14</t>
  </si>
  <si>
    <t>48.0551562</t>
  </si>
  <si>
    <t>15.1391727</t>
  </si>
  <si>
    <t>+4374898821</t>
  </si>
  <si>
    <t>biancastoeckl@aon.at</t>
  </si>
  <si>
    <t>https://bilder.dasschnelle.at/DasSchnelle/50/5000/9927/041929/G_041929_P_906143404.adn.gif</t>
  </si>
  <si>
    <t>GS Elektrotechnik  • Scheibbs • Niederösterreich</t>
  </si>
  <si>
    <t>Elektrohandel • GS Elektrotechnik, Hans Fischer Weg 3, Scheibbs • Kontakt über aktuelle Telefonnummern ☎ und Adressen ⚑ mit Karte, Routing, Öffnungszeiten, Homepage, E-Mail, vCard und Firmendaten.</t>
  </si>
  <si>
    <t>Hans Fischer Weg 3</t>
  </si>
  <si>
    <t>48.00303</t>
  </si>
  <si>
    <t>15.16331</t>
  </si>
  <si>
    <t>+43748242560</t>
  </si>
  <si>
    <t>office@gs-etech.at</t>
  </si>
  <si>
    <t>Kaufmann GesmbH, Zentralheizung • Gaming • Niederösterreich</t>
  </si>
  <si>
    <t>Heizungen • Kaufmann GesmbH, Im Markt 17 -21, Gaming • Kontakt über aktuelle Telefonnummern ☎ und Adressen ⚑ mit Karte, Routing, Öffnungszeiten, Homepage, E-Mail, vCard und Firmendaten.</t>
  </si>
  <si>
    <t>Im Markt 17 -21</t>
  </si>
  <si>
    <t>47.9293</t>
  </si>
  <si>
    <t>15.0887</t>
  </si>
  <si>
    <t>+43748597363</t>
  </si>
  <si>
    <t>office@kaufmann-haustechnik.at</t>
  </si>
  <si>
    <t>https://bilder.dasschnelle.at/DasSchnelle/50/5000/9927/041922/G_041922_P_906147272.adn.gif</t>
  </si>
  <si>
    <t>Hahnebacher Tischlerei • Gaming • Niederösterreich</t>
  </si>
  <si>
    <t>Tischlereien • Hahnebacher Tischlerei, Ötscherlandstraße 11, Gaming • Kontakt über aktuelle Telefonnummern ☎ und Adressen ⚑ mit Karte, Routing, Öffnungszeiten, Homepage, E-Mail, vCard und Firmendaten.</t>
  </si>
  <si>
    <t>Ötscherlandstraße 11</t>
  </si>
  <si>
    <t>47.9271500</t>
  </si>
  <si>
    <t>15.0854900</t>
  </si>
  <si>
    <t>+436641624690</t>
  </si>
  <si>
    <t>info@hahnebacher.at</t>
  </si>
  <si>
    <t>https://bilder.dasschnelle.at/DasSchnelle/50/5000/9927/041922/G_041922_P_906167976.adn.gif</t>
  </si>
  <si>
    <t>Weingartner &amp; Sturmlehner GmbH, Autohaus • Scheibbs • Niederösterreich</t>
  </si>
  <si>
    <t>Autohandel • Weingartner &amp; Sturmlehner GmbH, Eisenwurzenstraße 52, Scheibbs • Kontakt über aktuelle Telefonnummern ☎ und Adressen ⚑ mit Karte, Routing, Öffnungszeiten, Homepage, E-Mail, vCard und Firmendaten.</t>
  </si>
  <si>
    <t>Eisenwurzenstraße 52</t>
  </si>
  <si>
    <t>48.01486</t>
  </si>
  <si>
    <t>15.16085</t>
  </si>
  <si>
    <t>+437482424800</t>
  </si>
  <si>
    <t>office@autohaus-weingartner.at</t>
  </si>
  <si>
    <t>https://bilder.dasschnelle.at/DasSchnelle/50/5000/9927/041934/G_041934_P_906162162.adn.gif</t>
  </si>
  <si>
    <t>Aigner GmbH., Tischlerei  • Gaming • Niederösterreich</t>
  </si>
  <si>
    <t>Bestattungsunternehmen, Tischlereien • Aigner GmbH., Tischlerei, Erlauftalstraße 49, Gaming • Kontakt über aktuelle Telefonnummern ☎ und Adressen ⚑ mit Karte, Routing, Öffnungszeiten, Homepage, E-Mail, vCard und Firmendaten.</t>
  </si>
  <si>
    <t>Erlauftalstraße 49</t>
  </si>
  <si>
    <t>47.93805</t>
  </si>
  <si>
    <t>15.09775</t>
  </si>
  <si>
    <t>+437485985920</t>
  </si>
  <si>
    <t>office@moebel-aigner.at</t>
  </si>
  <si>
    <t>https://bilder.dasschnelle.at/DasSchnelle/50/5000/9927/041922/G_041922_P_906137871.adn.gif</t>
  </si>
  <si>
    <t>Geppl, Monika, Schreibwaren • Gaming • Niederösterreich</t>
  </si>
  <si>
    <t>Spielwaren • Geppl, Monika, Ötscherlandstraße 2, Gaming • Kontakt über aktuelle Telefonnummern ☎ und Adressen ⚑ mit Karte, Routing, Öffnungszeiten, Homepage, E-Mail, vCard und Firmendaten.</t>
  </si>
  <si>
    <t>Ötscherlandstraße 2</t>
  </si>
  <si>
    <t>47.9283155</t>
  </si>
  <si>
    <t>15.0872809</t>
  </si>
  <si>
    <t>+43748598747</t>
  </si>
  <si>
    <t>monis.spielwaren@a1.net</t>
  </si>
  <si>
    <t>https://bilder.dasschnelle.at/DasSchnelle/50/5000/9927/041922/I_041922_P_905900562_L_0036250536_1.png</t>
  </si>
  <si>
    <t>https://bilder.dasschnelle.at/DasSchnelle/50/5000/9927/041922/I_041922_P_905900562_B_0036250536_1.gal.png?height=399&amp;width=600;https://bilder.dasschnelle.at/DasSchnelle/50/5000/9927/041922/I_041922_P_905900562_B_0036250536_2.gal.png?height=194&amp;width=194;https://bilder.dasschnelle.at/DasSchnelle/50/5000/9927/041922/I_041922_P_905900562_B_0036250536_3.gal.png?height=450&amp;width=600;https://bilder.dasschnelle.at/DasSchnelle/50/5000/9927/041922/G_041922_P_906137872.adn.gif</t>
  </si>
  <si>
    <t>Bogenreiter GmbH, Sägewerk-Paletten-Kistenerzeugung • Gresten</t>
  </si>
  <si>
    <t>Paletten, Säge- u. Hobelwerke • Bogenreiter GmbH, Wiesengraben 1, Gresten • Kontakt über aktuelle Telefonnummern ☎ und Adressen ⚑ mit Karte, Routing, Öffnungszeiten, Homepage, E-Mail, vCard und Firmendaten.</t>
  </si>
  <si>
    <t>Wiesengraben 1</t>
  </si>
  <si>
    <t>DE</t>
  </si>
  <si>
    <t>47.9487890</t>
  </si>
  <si>
    <t>15.0290458</t>
  </si>
  <si>
    <t>+434974872618</t>
  </si>
  <si>
    <t>office@bogenreiter.at</t>
  </si>
  <si>
    <t>https://bilder.dasschnelle.at/DasSchnelle/50/5000/9927/041924/I_041924_P_905896232_L_0036008124_1.png</t>
  </si>
  <si>
    <t>https://bilder.dasschnelle.at/DasSchnelle/50/5000/9927/041924/I_041924_P_905896232_B_0036008124_1.gal.png?height=399&amp;width=600;https://bilder.dasschnelle.at/DasSchnelle/50/5000/9927/041924/I_041924_P_905896232_B_0036008124_2.gal.png?height=399&amp;width=600;https://bilder.dasschnelle.at/DasSchnelle/50/5000/9927/041924/I_041924_P_905896232_B_0036008124_3.gal.png?height=399&amp;width=600;https://bilder.dasschnelle.at/DasSchnelle/50/5000/9927/041924/I_041924_P_905896232_B_0036008124_4.gal.png?height=450&amp;width=600</t>
  </si>
  <si>
    <t>Puchegger Metalltechnik GMBH • Oberndorf • Niederösterreich</t>
  </si>
  <si>
    <t>Landwirtschaftliche Maschinen u. Geräte, Metallbau • Puchegger Metalltechnik GMBH, Melk 5, Oberndorf • Kontakt über aktuelle Telefonnummern ☎ und Adressen ⚑ mit Karte, Routing, Öffnungszeiten, Homepage, E-Mail, vCard und Firmendaten.</t>
  </si>
  <si>
    <t>Melk 5</t>
  </si>
  <si>
    <t>Oberndorf</t>
  </si>
  <si>
    <t>48.0583514</t>
  </si>
  <si>
    <t>15.2108522</t>
  </si>
  <si>
    <t>+437483236</t>
  </si>
  <si>
    <t>pucheggerstahl@aon.at</t>
  </si>
  <si>
    <t>https://bilder.dasschnelle.at/DasSchnelle/50/5000/9927/041927/G_041927_P_906137868.adn.gif</t>
  </si>
  <si>
    <t>Möser Manfred e.U., Holzschlägerung • Söllingerwald • Niederösterreich</t>
  </si>
  <si>
    <t>Holzschlägerung • Möser Manfred e.U., Söllingerwald • Kontakt über aktuelle Telefonnummern ☎ und Adressen ⚑ mit Karte, Routing, Öffnungszeiten, Homepage, E-Mail, vCard und Firmendaten.</t>
  </si>
  <si>
    <t>Söllingerwald</t>
  </si>
  <si>
    <t>48.0300679</t>
  </si>
  <si>
    <t>15.1011632</t>
  </si>
  <si>
    <t>+4374892794</t>
  </si>
  <si>
    <t>+43748927944</t>
  </si>
  <si>
    <t>info@moeserholz.at</t>
  </si>
  <si>
    <t>https://bilder.dasschnelle.at/DasSchnelle/50/5000/9927/041929/G_041929_P_906145717.adn.gif</t>
  </si>
  <si>
    <t>Elektro Dollfuß GmbH, Elektro • Oberndorf an der Melk • Niederösterreich</t>
  </si>
  <si>
    <t>Elektrogeräte u. -bedarf • Elektro Dollfuß GmbH, Ringstraße 3, Oberndorf an der Melk • Kontakt über aktuelle Telefonnummern ☎ und Adressen ⚑ mit Karte, Routing, Öffnungszeiten, Homepage, E-Mail, vCard und Firmendaten.</t>
  </si>
  <si>
    <t>Ringstraße 3</t>
  </si>
  <si>
    <t>Oberndorf an der Melk</t>
  </si>
  <si>
    <t>48.06437</t>
  </si>
  <si>
    <t>15.21834</t>
  </si>
  <si>
    <t>+4374837077</t>
  </si>
  <si>
    <t>office@elektrodollfuss.at</t>
  </si>
  <si>
    <t>https://bilder.dasschnelle.at/DasSchnelle/50/5000/9927/041927/G_041927_P_906143388.adn.gif</t>
  </si>
  <si>
    <t>Öllinger GmbH., Transporte • Wang • Niederösterreich</t>
  </si>
  <si>
    <t>Erdbau, Handelsunternehmen, Tankstellen, Transportunternehmen • Öllinger GmbH., Am Anger 1, Wang • Kontakt über aktuelle Telefonnummern ☎ und Adressen ⚑ mit Karte, Routing, Öffnungszeiten, Homepage, E-Mail, vCard und Firmendaten.</t>
  </si>
  <si>
    <t>Am Anger 1</t>
  </si>
  <si>
    <t>3262</t>
  </si>
  <si>
    <t>Wang</t>
  </si>
  <si>
    <t>48.04087</t>
  </si>
  <si>
    <t>15.02429</t>
  </si>
  <si>
    <t>+43748871525</t>
  </si>
  <si>
    <t>oellinger@wibs.at</t>
  </si>
  <si>
    <t>https://bilder.dasschnelle.at/DasSchnelle/50/5000/9927/041936/G_041936_P_906143387.adn.gif</t>
  </si>
  <si>
    <t>Selner Elisabeth GmbH, Altenheim • Purgstall • Niederösterreich</t>
  </si>
  <si>
    <t>Pensionen • Selner Elisabeth GmbH, Pöchlarner Straße 21, Purgstall • Kontakt über aktuelle Telefonnummern ☎ und Adressen ⚑ mit Karte, Routing, Öffnungszeiten, Homepage, E-Mail, vCard und Firmendaten.</t>
  </si>
  <si>
    <t>Pöchlarner Straße 21</t>
  </si>
  <si>
    <t>48.0589975</t>
  </si>
  <si>
    <t>15.1326791</t>
  </si>
  <si>
    <t>+43748930001</t>
  </si>
  <si>
    <t>gaestehaus.veronika@aon.at</t>
  </si>
  <si>
    <t>https://bilder.dasschnelle.at/DasSchnelle/50/5000/9927/041929/G_041929_P_906133838.adn.gif</t>
  </si>
  <si>
    <t>Mostlandhof Elisabeth Selner GmbH, Gasthof • Purgstall • Niederösterreich</t>
  </si>
  <si>
    <t>Gastgewerbe - Gasthöfe • Mostlandhof Elisabeth Selner GmbH, Schauboden 4, Purgstall • Kontakt über aktuelle Telefonnummern ☎ und Adressen ⚑ mit Karte, Routing, Öffnungszeiten, Homepage, E-Mail, vCard und Firmendaten.</t>
  </si>
  <si>
    <t>Schauboden 4</t>
  </si>
  <si>
    <t>48.0842797</t>
  </si>
  <si>
    <t>15.1120949</t>
  </si>
  <si>
    <t>+43748970810</t>
  </si>
  <si>
    <t>info@mostlandhof.at</t>
  </si>
  <si>
    <t>https://bilder.dasschnelle.at/DasSchnelle/50/5000/9927/041929/G_041929_P_906133837.adn.gif</t>
  </si>
  <si>
    <t>Reinbacher, Thomas • Wieselburg • Niederösterreich</t>
  </si>
  <si>
    <t>Rauchfangkehrer • Reinbacher, Thomas, Wiener Straße 7, Wieselburg • Kontakt über aktuelle Telefonnummern ☎ und Adressen ⚑ mit Karte, Routing, Öffnungszeiten, Homepage, E-Mail, vCard und Firmendaten.</t>
  </si>
  <si>
    <t>Wiener Straße 7</t>
  </si>
  <si>
    <t>48.13414</t>
  </si>
  <si>
    <t>15.14103</t>
  </si>
  <si>
    <t>+43741652422;+436607153326</t>
  </si>
  <si>
    <t>thomas-reinbacher@aon.at</t>
  </si>
  <si>
    <t>https://bilder.dasschnelle.at/DasSchnelle/50/5000/9927/041937/G_041937_P_906135875.adn.gif</t>
  </si>
  <si>
    <t>Groiß, Werner, Fliesenleger • Sölling • Niederösterreich</t>
  </si>
  <si>
    <t>Fliesen u. Plattenverlegungen • Groiß, Werner, Sölling • Kontakt über aktuelle Telefonnummern ☎ und Adressen ⚑ mit Karte, Routing, Öffnungszeiten, Homepage, E-Mail, vCard und Firmendaten.</t>
  </si>
  <si>
    <t>Sölling</t>
  </si>
  <si>
    <t>48.0471631</t>
  </si>
  <si>
    <t>15.1301151</t>
  </si>
  <si>
    <t>+4374897040;+436644054775</t>
  </si>
  <si>
    <t>steinstark.groiss@aon.at</t>
  </si>
  <si>
    <t>https://bilder.dasschnelle.at/DasSchnelle/50/5000/9927/041929/G_041929_P_906151000.adn.gif</t>
  </si>
  <si>
    <t>Katzensteiner, Manfred, Installateur • Göstling an der Ybbs • Niederösterreich</t>
  </si>
  <si>
    <t>Heizungen, Installationsunternehmen • Katzensteiner, Manfred, Göstling an der Ybbs • Kontakt über aktuelle Telefonnummern ☎ und Adressen ⚑ mit Karte, Routing, Öffnungszeiten, Homepage, E-Mail, vCard und Firmendaten.</t>
  </si>
  <si>
    <t>47.7970578</t>
  </si>
  <si>
    <t>14.9226250</t>
  </si>
  <si>
    <t>+43748424040</t>
  </si>
  <si>
    <t>buero@wasser-und-energie.at</t>
  </si>
  <si>
    <t>https://bilder.dasschnelle.at/DasSchnelle/50/5000/9927/041923/G_041923_P_906147273.adn.gif</t>
  </si>
  <si>
    <t>Harrer, Werner, Heizung • Göstling an der Ybbs • Niederösterreich</t>
  </si>
  <si>
    <t>Heizungen, Installationsunternehmen, Gasinstallationen • Harrer, Werner, Stixenlehen 31, Göstling an der Ybbs • Kontakt über aktuelle Telefonnummern ☎ und Adressen ⚑ mit Karte, Routing, Öffnungszeiten, Homepage, E-Mail, vCard und Firmendaten.</t>
  </si>
  <si>
    <t>Stixenlehen 31</t>
  </si>
  <si>
    <t>47.7961582</t>
  </si>
  <si>
    <t>14.9224770</t>
  </si>
  <si>
    <t>+4368883901030</t>
  </si>
  <si>
    <t>w.harrer@a1.net</t>
  </si>
  <si>
    <t>https://bilder.dasschnelle.at/DasSchnelle/50/5000/9927/041923/I_041923_P_905926955_L_0036240473_1.png</t>
  </si>
  <si>
    <t>https://bilder.dasschnelle.at/DasSchnelle/50/5000/9927/041923/I_041923_P_905926955_B_0036240473_1.gal.png?height=368&amp;width=600;https://bilder.dasschnelle.at/DasSchnelle/50/5000/9927/041923/I_041923_P_905926955_B_0036240473_2.gal.png?height=368&amp;width=600;https://bilder.dasschnelle.at/DasSchnelle/50/5000/9927/041923/I_041923_P_905926955_B_0036240473_3.gal.png?height=368&amp;width=600;https://bilder.dasschnelle.at/DasSchnelle/50/5000/9927/041923/I_041923_P_905926955_B_0036240473_4.gal.png?height=368&amp;width=600</t>
  </si>
  <si>
    <t>Naturfrisör Senta Egger • Gresten • Niederösterreich</t>
  </si>
  <si>
    <t>Friseure • Naturfrisör Senta Egger, Unterer Markt 20, Gresten • Kontakt über aktuelle Telefonnummern ☎ und Adressen ⚑ mit Karte, Routing, Öffnungszeiten, Homepage, E-Mail, vCard und Firmendaten.</t>
  </si>
  <si>
    <t>Unterer Markt 20</t>
  </si>
  <si>
    <t>47.98452</t>
  </si>
  <si>
    <t>15.02604</t>
  </si>
  <si>
    <t>+4374872429</t>
  </si>
  <si>
    <t>senta.naturfrisoer@gmail.com</t>
  </si>
  <si>
    <t>https://bilder.dasschnelle.at/DasSchnelle/50/5000/9927/041924/G_041924_P_906141885.adn.gif</t>
  </si>
  <si>
    <t>Florian Metzinger GmbH, Dachbau • Purgstall • Niederösterreich</t>
  </si>
  <si>
    <t>Dachdeckereien • Florian Metzinger GmbH, Gimpering 4, Purgstall • Kontakt über aktuelle Telefonnummern ☎ und Adressen ⚑ mit Karte, Routing, Öffnungszeiten, Homepage, E-Mail, vCard und Firmendaten.</t>
  </si>
  <si>
    <t>Gimpering 4</t>
  </si>
  <si>
    <t>48.0672476</t>
  </si>
  <si>
    <t>15.1015237</t>
  </si>
  <si>
    <t>+436766333965</t>
  </si>
  <si>
    <t>florian.metzinger@aon.at</t>
  </si>
  <si>
    <t>https://bilder.dasschnelle.at/DasSchnelle/50/5000/9927/041929/G_041929_P_906145719.adn.gif</t>
  </si>
  <si>
    <t>Rottmann, Heike, Dr., FA f Allgemeinmedizin • Hörsching • Oberösterreich</t>
  </si>
  <si>
    <t>Ärzte / f Allgemeinmedizin • Rottmann, Heike, Dr., Humerstraße 12, Hörsching • Kontakt über aktuelle Telefonnummern ☎ und Adressen ⚑ mit Karte, Routing, Öffnungszeiten, Homepage, E-Mail, vCard und Firmendaten.</t>
  </si>
  <si>
    <t>Humerstraße 12</t>
  </si>
  <si>
    <t>4063</t>
  </si>
  <si>
    <t>Hörsching</t>
  </si>
  <si>
    <t>48.2102700</t>
  </si>
  <si>
    <t>14.1673400</t>
  </si>
  <si>
    <t>+43722172070</t>
  </si>
  <si>
    <t>heikerottmann@gmx.at</t>
  </si>
  <si>
    <t>https://bilder.dasschnelle.at/DasSchnelle/50/5000/9937/046107/G_046107_P_906209713.adn.gif</t>
  </si>
  <si>
    <t>Reinigungs-Service GesmbH • Traun • Oberösterreich</t>
  </si>
  <si>
    <t>Reinigungsanstalten • Reinigungs-Service GesmbH, Wiener Bundesstraße 1, Traun • Kontakt über aktuelle Telefonnummern ☎ und Adressen ⚑ mit Karte, Routing, Öffnungszeiten, Homepage, E-Mail, vCard und Firmendaten.</t>
  </si>
  <si>
    <t>Wiener Bundesstraße 1</t>
  </si>
  <si>
    <t>4050</t>
  </si>
  <si>
    <t>Traun</t>
  </si>
  <si>
    <t>48.24643</t>
  </si>
  <si>
    <t>14.26292</t>
  </si>
  <si>
    <t>+43732383047</t>
  </si>
  <si>
    <t>office@reinigungs-service.at</t>
  </si>
  <si>
    <t>https://bilder.dasschnelle.at/DasSchnelle/50/5000/9937/046120/G_046120_P_906222349.adn.gif</t>
  </si>
  <si>
    <t>ELEKTRO-TECHNIK DANNINGER GmbH, Elektro • Ansfelden • Oberösterreich</t>
  </si>
  <si>
    <t>Elektrotechnik • ELEKTRO-TECHNIK DANNINGER GmbH, Anton-Bruckner-Straße 15, Ansfelden • Kontakt über aktuelle Telefonnummern ☎ und Adressen ⚑ mit Karte, Routing, Öffnungszeiten, Homepage, E-Mail, vCard und Firmendaten.</t>
  </si>
  <si>
    <t>Anton-Bruckner-Straße 15</t>
  </si>
  <si>
    <t>4052</t>
  </si>
  <si>
    <t>Ansfelden</t>
  </si>
  <si>
    <t>48.21097</t>
  </si>
  <si>
    <t>14.28866</t>
  </si>
  <si>
    <t>+43722987109</t>
  </si>
  <si>
    <t>+4372298710930</t>
  </si>
  <si>
    <t>office@danninger.at</t>
  </si>
  <si>
    <t>https://bilder.dasschnelle.at/DasSchnelle/50/5000/9937/046102/G_046102_P_906227577.adn.gif</t>
  </si>
  <si>
    <t>Lamm, Thomas, Schlosserei • Traun • Oberösterreich</t>
  </si>
  <si>
    <t>Metallbau, Schlossereien • Lamm, Thomas, Christlgasse 18, Traun • Kontakt über aktuelle Telefonnummern ☎ und Adressen ⚑ mit Karte, Routing, Öffnungszeiten, Homepage, E-Mail, vCard und Firmendaten.</t>
  </si>
  <si>
    <t>Christlgasse 18</t>
  </si>
  <si>
    <t>48.22196</t>
  </si>
  <si>
    <t>14.24248</t>
  </si>
  <si>
    <t>+43722964545;+436642146841</t>
  </si>
  <si>
    <t>office@schlosserei-lamm.at</t>
  </si>
  <si>
    <t>https://bilder.dasschnelle.at/DasSchnelle/50/5000/9937/046120/G_046120_P_906209714.adn.gif</t>
  </si>
  <si>
    <t>Fleschler, Birgit, Friseur • Pucking • Oberösterreich</t>
  </si>
  <si>
    <t>Friseure • Fleschler, Birgit, Semmelweisstraße 3 /5, Pucking • Kontakt über aktuelle Telefonnummern ☎ und Adressen ⚑ mit Karte, Routing, Öffnungszeiten, Homepage, E-Mail, vCard und Firmendaten.</t>
  </si>
  <si>
    <t>Semmelweisstraße 3 /5</t>
  </si>
  <si>
    <t>4055</t>
  </si>
  <si>
    <t>Pucking</t>
  </si>
  <si>
    <t>48.18758</t>
  </si>
  <si>
    <t>14.18183</t>
  </si>
  <si>
    <t>+43722979335;+436764469604</t>
  </si>
  <si>
    <t>salon@hair-cut.at</t>
  </si>
  <si>
    <t>https://bilder.dasschnelle.at/DasSchnelle/50/5000/9937/046118/G_046118_P_906222823.adn.gif</t>
  </si>
  <si>
    <t>Burger, Elke, Physiotherapeutin • Traun • Oberösterreich</t>
  </si>
  <si>
    <t>Physiotherapie • Burger, Elke, Johann Roithner-Straße 25, Traun • Kontakt über aktuelle Telefonnummern ☎ und Adressen ⚑ mit Karte, Routing, Öffnungszeiten, Homepage, E-Mail, vCard und Firmendaten.</t>
  </si>
  <si>
    <t>Johann Roithner-Straße 25</t>
  </si>
  <si>
    <t>48.22315</t>
  </si>
  <si>
    <t>14.24183</t>
  </si>
  <si>
    <t>+436764449226</t>
  </si>
  <si>
    <t>praxis@physio-burger.at</t>
  </si>
  <si>
    <t>https://bilder.dasschnelle.at/DasSchnelle/50/5000/9937/046120/G_046120_P_906226725.adn.gif</t>
  </si>
  <si>
    <t>Stögmüller, Andrea, Dr. • Traun • Oberösterreich</t>
  </si>
  <si>
    <t>Ärzte / Fachärzte f. Hals-, Nasen u. Ohrenkrankheiten • Stögmüller, Andrea, Dr., Graumannplatz 2, Traun • Kontakt über aktuelle Telefonnummern ☎ und Adressen ⚑ mit Karte, Routing, Öffnungszeiten, Homepage, E-Mail, vCard und Firmendaten.</t>
  </si>
  <si>
    <t>Graumannplatz 2</t>
  </si>
  <si>
    <t>48.2200270</t>
  </si>
  <si>
    <t>14.2397040</t>
  </si>
  <si>
    <t>+437229617945</t>
  </si>
  <si>
    <t>praxis@hno-traun.com</t>
  </si>
  <si>
    <t>https://bilder.dasschnelle.at/DasSchnelle/50/5000/9937/998256/G_998256_P_906209712.adn.gif</t>
  </si>
  <si>
    <t>Hofstätter, Walter, Dr.med.univ., Fa für Orthopädie und orthopädische Chirurgie • Traun • Oberösterreich</t>
  </si>
  <si>
    <t>Ärzte / Fachärzte f. Orthopädie u. Orthopädische Chirurgie • Hofstätter, Walter, Dr.med.univ., Heinrich Gruber-Straße 9, Traun • Kontakt über aktuelle Telefonnummern ☎ und Adressen ⚑ mit Karte, Routing, Öffnungszeiten, Homepage, E-Mail, vCard und Firmendaten.</t>
  </si>
  <si>
    <t>Heinrich Gruber-Straße 9</t>
  </si>
  <si>
    <t>48.21989</t>
  </si>
  <si>
    <t>14.23868</t>
  </si>
  <si>
    <t>+43722971111</t>
  </si>
  <si>
    <t>https://bilder.dasschnelle.at/DasSchnelle/50/5000/9937/046120/G_046120_P_906213001.adn.gif</t>
  </si>
  <si>
    <t>Kraus-Knoll, Sabine, Physiotherapie • Wilhering • Oberösterreich</t>
  </si>
  <si>
    <t>Physiotherapie • Kraus-Knoll, Sabine, Eisenroitherweg 26, Wilhering • Kontakt über aktuelle Telefonnummern ☎ und Adressen ⚑ mit Karte, Routing, Öffnungszeiten, Homepage, E-Mail, vCard und Firmendaten.</t>
  </si>
  <si>
    <t>Eisenroitherweg 26</t>
  </si>
  <si>
    <t>4073</t>
  </si>
  <si>
    <t>Wilhering</t>
  </si>
  <si>
    <t>48.27535</t>
  </si>
  <si>
    <t>14.17011</t>
  </si>
  <si>
    <t>+436507276693</t>
  </si>
  <si>
    <t>praxis@kraus-knoll.at</t>
  </si>
  <si>
    <t>https://bilder.dasschnelle.at/DasSchnelle/50/5000/9937/046121/I_046121_P_905983563_L_0036253079_1.png</t>
  </si>
  <si>
    <t>https://bilder.dasschnelle.at/DasSchnelle/50/5000/9937/046121/I_046121_P_905983563_B_0036253079_1.gal.png?height=400&amp;width=600;https://bilder.dasschnelle.at/DasSchnelle/50/5000/9937/046121/I_046121_P_905983563_B_0036253079_2.gal.png?height=400&amp;width=600;https://bilder.dasschnelle.at/DasSchnelle/50/5000/9937/046121/I_046121_P_905983563_B_0036253079_3.gal.png?height=430&amp;width=344;https://bilder.dasschnelle.at/DasSchnelle/50/5000/9937/046121/I_046121_P_905983563_B_0036253079_4.gal.png?height=217&amp;width=446</t>
  </si>
  <si>
    <t>Mustafic Amir, Alternative Heiz &amp; Solar Technologie • Traun • Oberösterreich</t>
  </si>
  <si>
    <t>Energietechnik, Solartechnik, Wärmepumpen • Mustafic Amir, Kleinstweg 13, Traun • Kontakt über aktuelle Telefonnummern ☎ und Adressen ⚑ mit Karte, Routing, Öffnungszeiten, Homepage, E-Mail, vCard und Firmendaten.</t>
  </si>
  <si>
    <t>Kleinstweg 13</t>
  </si>
  <si>
    <t>48.24084</t>
  </si>
  <si>
    <t>14.25385</t>
  </si>
  <si>
    <t>+436644347455</t>
  </si>
  <si>
    <t>office@heiztechnik.cc</t>
  </si>
  <si>
    <t>https://bilder.dasschnelle.at/DasSchnelle/50/5000/9937/046120/G_046120_P_906240624.adn.gif</t>
  </si>
  <si>
    <t>Enver Axhillari, Bauspenglerei &amp; Dachdeckerei • Maria Gugging • Niederösterreich</t>
  </si>
  <si>
    <t>Spenglereien • Enver Axhillari, Hintersdorfer Straße 21, Maria Gugging • Kontakt über aktuelle Telefonnummern ☎ und Adressen ⚑ mit Karte, Routing, Öffnungszeiten, Homepage, E-Mail, vCard und Firmendaten.</t>
  </si>
  <si>
    <t>Hintersdorfer Straße 21</t>
  </si>
  <si>
    <t>3400</t>
  </si>
  <si>
    <t>Maria Gugging</t>
  </si>
  <si>
    <t>48.30599</t>
  </si>
  <si>
    <t>16.2525</t>
  </si>
  <si>
    <t>+4369912541999</t>
  </si>
  <si>
    <t>office@bauspenglerei-axhillari.at</t>
  </si>
  <si>
    <t>Vincken Andrea, Physiotherapie • Klosterneuburg • Niederösterreich</t>
  </si>
  <si>
    <t>Osteopathie, Physiotherapie • Vincken Andrea, Rathausplatz 23, Klosterneuburg • Kontakt über aktuelle Telefonnummern ☎ und Adressen ⚑ mit Karte, Routing, Öffnungszeiten, Homepage, E-Mail, vCard und Firmendaten.</t>
  </si>
  <si>
    <t>Rathausplatz 23</t>
  </si>
  <si>
    <t>Klosterneuburg</t>
  </si>
  <si>
    <t>48.30559</t>
  </si>
  <si>
    <t>16.32635</t>
  </si>
  <si>
    <t>+436763787105</t>
  </si>
  <si>
    <t>andrea.vincken@gmx.at</t>
  </si>
  <si>
    <t>Der Waldhof, Gasthaus • Maria Gugging • Niederösterreich</t>
  </si>
  <si>
    <t>Gastgewerbe - Gasthöfe • Der Waldhof, Hauptstraße 132, Maria Gugging • Kontakt über aktuelle Telefonnummern ☎ und Adressen ⚑ mit Karte, Routing, Öffnungszeiten, Homepage, E-Mail, vCard und Firmendaten.</t>
  </si>
  <si>
    <t>Hauptstraße 132</t>
  </si>
  <si>
    <t>48.31761</t>
  </si>
  <si>
    <t>16.23769</t>
  </si>
  <si>
    <t>+43224387490</t>
  </si>
  <si>
    <t>wirtshaus@der-waldhof.at</t>
  </si>
  <si>
    <t>https://bilder.dasschnelle.at/DasSchnelle/50/5000/9897/061492/G_061492_P_906125827.adn.gif</t>
  </si>
  <si>
    <t>Neuwirth-Riedl, K., Dr. • Klosterneuburg • Niederösterreich</t>
  </si>
  <si>
    <t>Ärzte / Fachärzte f. Hals-, Nasen u. Ohrenkrankheiten • Neuwirth-Riedl, K., Dr., Kierlinger Straße 19, Klosterneuburg • Kontakt über aktuelle Telefonnummern ☎ und Adressen ⚑ mit Karte, Routing, Öffnungszeiten, Homepage, E-Mail, vCard und Firmendaten.</t>
  </si>
  <si>
    <t>Kierlinger Straße 19</t>
  </si>
  <si>
    <t>48.3069124</t>
  </si>
  <si>
    <t>16.3183624</t>
  </si>
  <si>
    <t>+432243327040</t>
  </si>
  <si>
    <t>office@hno-arzt.wien</t>
  </si>
  <si>
    <t>https://bilder.dasschnelle.at/DasSchnelle/50/5000/9897/998295/G_998295_P_906127750.adn.gif</t>
  </si>
  <si>
    <t>KOJE-Dach, Dachdecker • Zeiselmauer • Niederösterreich</t>
  </si>
  <si>
    <t>KOJE-Dach, Nibelungengasse 52, Zeiselmauer • Kontakt über aktuelle Telefonnummern ☎ und Adressen ⚑ mit Karte, Routing, Öffnungszeiten, Homepage, E-Mail, vCard und Firmendaten.</t>
  </si>
  <si>
    <t>Nibelungengasse 52</t>
  </si>
  <si>
    <t>3424</t>
  </si>
  <si>
    <t>Zeiselmauer</t>
  </si>
  <si>
    <t>48.31972</t>
  </si>
  <si>
    <t>16.17676</t>
  </si>
  <si>
    <t>+436601441975</t>
  </si>
  <si>
    <t>office@kojedach.at</t>
  </si>
  <si>
    <t>https://bilder.dasschnelle.at/DasSchnelle/50/5000/9897/061492/I_061492_P_906158905_B_0037092662_1.gal.png?height=720&amp;width=331;https://bilder.dasschnelle.at/DasSchnelle/50/5000/9897/061492/I_061492_P_906158905_B_0037092662_2.gal.png?height=720&amp;width=331;https://bilder.dasschnelle.at/DasSchnelle/50/5000/9897/061492/I_061492_P_906158905_B_0037092662_3.gal.png?height=720&amp;width=331;https://bilder.dasschnelle.at/DasSchnelle/50/5000/9897/061492/I_061492_P_906158905_B_0037092662_4.gal.png?height=720&amp;width=720</t>
  </si>
  <si>
    <t>Wolfgang Bauerhansl • Klosterneuburg • Niederösterreich</t>
  </si>
  <si>
    <t>Immobilien • Wolfgang Bauerhansl, Agnesstraße 10, Klosterneuburg • Kontakt über aktuelle Telefonnummern ☎ und Adressen ⚑ mit Karte, Routing, Öffnungszeiten, Homepage, E-Mail, vCard und Firmendaten.</t>
  </si>
  <si>
    <t>Agnesstraße 10</t>
  </si>
  <si>
    <t>48.30246</t>
  </si>
  <si>
    <t>16.32611</t>
  </si>
  <si>
    <t>+43224332241</t>
  </si>
  <si>
    <t>w.bauerhansl@a1.net</t>
  </si>
  <si>
    <t>https://bilder.dasschnelle.at/DasSchnelle/50/5000/9897/061492/G_061492_P_906123956.adn.gif</t>
  </si>
  <si>
    <t>Kadim Orientteppiche • Klosterneuburg • Niederösterreich</t>
  </si>
  <si>
    <t>Orientteppiche • Kadim Orientteppiche, Wienerstraße 100, Klosterneuburg • Kontakt über aktuelle Telefonnummern ☎ und Adressen ⚑ mit Karte, Routing, Öffnungszeiten, Homepage, E-Mail, vCard und Firmendaten.</t>
  </si>
  <si>
    <t>Wienerstraße 100</t>
  </si>
  <si>
    <t>48.2978600</t>
  </si>
  <si>
    <t>16.3336600</t>
  </si>
  <si>
    <t>+436641755668</t>
  </si>
  <si>
    <t>yardim_g@hotmail.com</t>
  </si>
  <si>
    <t>https://bilder.dasschnelle.at/DasSchnelle/50/5000/9897/061492/G_061492_P_906123881.adn.gif</t>
  </si>
  <si>
    <t>Haider, Hans Michael, Ing., Elektroshop • Seekirchen am Wallersee • Salzburg</t>
  </si>
  <si>
    <t>Elektrohandel • Haider, Hans Michael, Ing., Postgasse 2, Seekirchen am Wallersee • Kontakt über aktuelle Telefonnummern ☎ und Adressen ⚑ mit Karte, Routing, Öffnungszeiten, Homepage, E-Mail, vCard und Firmendaten.</t>
  </si>
  <si>
    <t>Postgasse 2</t>
  </si>
  <si>
    <t>Seekirchen am Wallersee</t>
  </si>
  <si>
    <t>47.8935227</t>
  </si>
  <si>
    <t>13.1252848</t>
  </si>
  <si>
    <t>+43621274740</t>
  </si>
  <si>
    <t>+436212747415</t>
  </si>
  <si>
    <t>elektroshophaider@aon.at</t>
  </si>
  <si>
    <t>https://bilder.dasschnelle.at/DasSchnelle/50/5000/9931/043333/G_043333_P_906220664.adn.gif</t>
  </si>
  <si>
    <t>Fremdenverkehrsverband Seekirchen am Wallersee • Seekirchen am Wallersee • Salzburg</t>
  </si>
  <si>
    <t>Reisebüros • Fremdenverkehrsverband Seekirchen am Wallersee, Hauptstraße 3, Seekirchen am Wallersee • Kontakt über aktuelle Telefonnummern ☎ und Adressen ⚑ mit Karte, Routing, Öffnungszeiten, Homepage, E-Mail, vCard und Firmendaten.</t>
  </si>
  <si>
    <t>Hauptstraße 3</t>
  </si>
  <si>
    <t>47.8917254</t>
  </si>
  <si>
    <t>13.1261827</t>
  </si>
  <si>
    <t>+43621240350</t>
  </si>
  <si>
    <t>+43621240353</t>
  </si>
  <si>
    <t>seekirchen@salzburger-seenland.at</t>
  </si>
  <si>
    <t>https://bilder.dasschnelle.at/DasSchnelle/50/5000/9931/043333/G_043333_P_906229985.adn.gif</t>
  </si>
  <si>
    <t>Gasthof Zur Post • Seekirchen am Wallersee • Salzburg</t>
  </si>
  <si>
    <t>Gastgewerbe - Gasthöfe • Gasthof Zur Post, Hauptstraße 19, Seekirchen am Wallersee • Kontakt über aktuelle Telefonnummern ☎ und Adressen ⚑ mit Karte, Routing, Öffnungszeiten, Homepage, E-Mail, vCard und Firmendaten.</t>
  </si>
  <si>
    <t>Hauptstraße 19</t>
  </si>
  <si>
    <t>47.8933042</t>
  </si>
  <si>
    <t>13.1258137</t>
  </si>
  <si>
    <t>+43621222290</t>
  </si>
  <si>
    <t>office@postseekirchen.at</t>
  </si>
  <si>
    <t>https://bilder.dasschnelle.at/DasSchnelle/50/5000/9931/043333/G_043333_P_906225931.adn.gif</t>
  </si>
  <si>
    <t>Kaiser, Johann, Schwimmbäder • Mattsee • Salzburg</t>
  </si>
  <si>
    <t>Schwimmbäder • Kaiser, Johann, Ochsenharing 27, Mattsee • Kontakt über aktuelle Telefonnummern ☎ und Adressen ⚑ mit Karte, Routing, Öffnungszeiten, Homepage, E-Mail, vCard und Firmendaten.</t>
  </si>
  <si>
    <t>Ochsenharing 27</t>
  </si>
  <si>
    <t>5163</t>
  </si>
  <si>
    <t>Mattsee</t>
  </si>
  <si>
    <t>47.96438</t>
  </si>
  <si>
    <t>13.1024</t>
  </si>
  <si>
    <t>+436641036879</t>
  </si>
  <si>
    <t>office@pool-kaiser.at</t>
  </si>
  <si>
    <t>https://bilder.dasschnelle.at/DasSchnelle/50/5000/9931/043319/I_043319_P_906001573_L_0036421195_1.png</t>
  </si>
  <si>
    <t>https://bilder.dasschnelle.at/DasSchnelle/50/5000/9931/043319/I_043319_P_906001573_B_0036421195_1.gal.png?height=541&amp;width=750;https://bilder.dasschnelle.at/DasSchnelle/50/5000/9931/043319/I_043319_P_906001573_B_0036421195_2.gal.png?height=800&amp;width=600;https://bilder.dasschnelle.at/DasSchnelle/50/5000/9931/043319/I_043319_P_906001573_B_0036421195_3.gal.png?height=600&amp;width=800;https://bilder.dasschnelle.at/DasSchnelle/50/5000/9931/043319/I_043319_P_906001573_B_0036421195_4.gal.png?height=597&amp;width=800</t>
  </si>
  <si>
    <t>Zum Kapitelwirt, Gasthaus • Mattsee • Salzburg</t>
  </si>
  <si>
    <t>Gastgewerbe - Gasthöfe • Zum Kapitelwirt, Marktplatz 7, Mattsee • Kontakt über aktuelle Telefonnummern ☎ und Adressen ⚑ mit Karte, Routing, Öffnungszeiten, Homepage, E-Mail, vCard und Firmendaten.</t>
  </si>
  <si>
    <t>Marktplatz 7</t>
  </si>
  <si>
    <t>47.96969</t>
  </si>
  <si>
    <t>13.10458</t>
  </si>
  <si>
    <t>+43621752030</t>
  </si>
  <si>
    <t>info@kapitelwirt.at</t>
  </si>
  <si>
    <t>https://bilder.dasschnelle.at/DasSchnelle/50/5000/9931/043319/I_043319_P_905985021_L_0035971211_1.png</t>
  </si>
  <si>
    <t>https://bilder.dasschnelle.at/DasSchnelle/50/5000/9931/043319/I_043319_P_905985021_B_0035971211_1.gal.png?height=113&amp;width=150;https://bilder.dasschnelle.at/DasSchnelle/50/5000/9931/043319/I_043319_P_905985021_B_0035971211_2.gal.png?height=113&amp;width=150;https://bilder.dasschnelle.at/DasSchnelle/50/5000/9931/043319/I_043319_P_905985021_B_0035971211_3.gal.png?height=113&amp;width=150;https://bilder.dasschnelle.at/DasSchnelle/50/5000/9931/043319/I_043319_P_905985021_B_0035971211_4.gal.png?height=449&amp;width=600</t>
  </si>
  <si>
    <t>China Restaurant • Seekirchen am Wallersee • Salzburg</t>
  </si>
  <si>
    <t>China-Restaurants • China Restaurant, Hauptstraße 4, Seekirchen am Wallersee • Kontakt über aktuelle Telefonnummern ☎ und Adressen ⚑ mit Karte, Routing, Öffnungszeiten, Homepage, E-Mail, vCard und Firmendaten.</t>
  </si>
  <si>
    <t>47.8919624</t>
  </si>
  <si>
    <t>13.1270522</t>
  </si>
  <si>
    <t>+43621230066</t>
  </si>
  <si>
    <t>mayijiao5419@gmail.com</t>
  </si>
  <si>
    <t>https://bilder.dasschnelle.at/DasSchnelle/50/5000/9931/043333/G_043333_P_906226724.adn.gif</t>
  </si>
  <si>
    <t>Kothäusl, Gasthäuser und Gasthöfe • Seekirchen am Wallersee • Salzburg</t>
  </si>
  <si>
    <t>Gastgewerbe - Gasthöfe • Kothäusl, Schöngumprechting 29, Seekirchen am Wallersee • Kontakt über aktuelle Telefonnummern ☎ und Adressen ⚑ mit Karte, Routing, Öffnungszeiten, Homepage, E-Mail, vCard und Firmendaten.</t>
  </si>
  <si>
    <t>Schöngumprechting 29</t>
  </si>
  <si>
    <t>47.9088620</t>
  </si>
  <si>
    <t>13.0810221</t>
  </si>
  <si>
    <t>+4362127198</t>
  </si>
  <si>
    <t>gasthaus@kothaeusl.at</t>
  </si>
  <si>
    <t>https://bilder.dasschnelle.at/DasSchnelle/50/5000/9931/043333/G_043333_P_906225934.adn.gif</t>
  </si>
  <si>
    <t>Scheiterbauer, Fred, Fachpraxis f Physiotherapie u Osteopathie • Obertrum • Salzburg</t>
  </si>
  <si>
    <t>Physiotherapie • Scheiterbauer, Fred, Dorfplatz 2, Obertrum • Kontakt über aktuelle Telefonnummern ☎ und Adressen ⚑ mit Karte, Routing, Öffnungszeiten, Homepage, E-Mail, vCard und Firmendaten.</t>
  </si>
  <si>
    <t>Dorfplatz 2</t>
  </si>
  <si>
    <t>5162</t>
  </si>
  <si>
    <t>Obertrum</t>
  </si>
  <si>
    <t>47.9374724</t>
  </si>
  <si>
    <t>13.0769978</t>
  </si>
  <si>
    <t>+43621920064</t>
  </si>
  <si>
    <t>osteopath@gmx.at</t>
  </si>
  <si>
    <t>https://bilder.dasschnelle.at/DasSchnelle/50/5000/9931/043323/G_043323_P_906230723.adn.gif</t>
  </si>
  <si>
    <t>Gollackner, Martin, Spengler u Dachdeckermeister • Eugendorf • Salzburg</t>
  </si>
  <si>
    <t>Dachdeckereien • Gollackner, Martin, Eggerstraße 2, Eugendorf • Kontakt über aktuelle Telefonnummern ☎ und Adressen ⚑ mit Karte, Routing, Öffnungszeiten, Homepage, E-Mail, vCard und Firmendaten.</t>
  </si>
  <si>
    <t>Eggerstraße 2</t>
  </si>
  <si>
    <t>5301</t>
  </si>
  <si>
    <t>Eugendorf</t>
  </si>
  <si>
    <t>47.84294</t>
  </si>
  <si>
    <t>13.15035</t>
  </si>
  <si>
    <t>+436645434169</t>
  </si>
  <si>
    <t>info@gollackner-dach.at</t>
  </si>
  <si>
    <t>https://bilder.dasschnelle.at/DasSchnelle/50/5000/9931/043306/I_043306_P_905995545_L_0036420964_1.png</t>
  </si>
  <si>
    <t>https://bilder.dasschnelle.at/DasSchnelle/50/5000/9931/043306/I_043306_P_905995545_B_0036420964_1.gal.png?height=365&amp;width=720;https://bilder.dasschnelle.at/DasSchnelle/50/5000/9931/043306/I_043306_P_905995545_B_0036420964_2.gal.png?height=365&amp;width=720;https://bilder.dasschnelle.at/DasSchnelle/50/5000/9931/043306/I_043306_P_905995545_B_0036420964_3.gal.png?height=365&amp;width=720;https://bilder.dasschnelle.at/DasSchnelle/50/5000/9931/043306/I_043306_P_905995545_B_0036420964_4.gal.png?height=365&amp;width=720</t>
  </si>
  <si>
    <t>KREUZER Felix GesmbH, Landmaschinen • Seekirchen am Wallersee • Salzburg</t>
  </si>
  <si>
    <t>Landmaschinen • KREUZER Felix GesmbH, Kothgumprechting 2, Seekirchen am Wallersee • Kontakt über aktuelle Telefonnummern ☎ und Adressen ⚑ mit Karte, Routing, Öffnungszeiten, Homepage, E-Mail, vCard und Firmendaten.</t>
  </si>
  <si>
    <t>Kothgumprechting 2</t>
  </si>
  <si>
    <t>47.9198343</t>
  </si>
  <si>
    <t>13.1009864</t>
  </si>
  <si>
    <t>+4362124028</t>
  </si>
  <si>
    <t>office@felix-kreuzer.at</t>
  </si>
  <si>
    <t>https://bilder.dasschnelle.at/DasSchnelle/50/5000/9931/043333/G_043333_P_906220661.adn.gif</t>
  </si>
  <si>
    <t>Kogler, Franz, Bürobedarf • Seekirchen am Wallersee • Salzburg</t>
  </si>
  <si>
    <t>Büroartikel u. -bedarf • Kogler, Franz, Hauptstraße 42, Seekirchen am Wallersee • Kontakt über aktuelle Telefonnummern ☎ und Adressen ⚑ mit Karte, Routing, Öffnungszeiten, Homepage, E-Mail, vCard und Firmendaten.</t>
  </si>
  <si>
    <t>Hauptstraße 42</t>
  </si>
  <si>
    <t>47.8949283</t>
  </si>
  <si>
    <t>13.1246810</t>
  </si>
  <si>
    <t>+43621230112;+436504257622;+436502044171</t>
  </si>
  <si>
    <t>office@unserebuntewelt.at</t>
  </si>
  <si>
    <t>https://bilder.dasschnelle.at/DasSchnelle/50/5000/9931/043333/G_043333_P_906220658.adn.gif</t>
  </si>
  <si>
    <t>Rehbichler, Franz, Fassadengestaltung • Obertrum am See • Salzburg</t>
  </si>
  <si>
    <t>Fassadengestaltung • Rehbichler, Franz, Verdiweg 2, Obertrum am See • Kontakt über aktuelle Telefonnummern ☎ und Adressen ⚑ mit Karte, Routing, Öffnungszeiten, Homepage, E-Mail, vCard und Firmendaten.</t>
  </si>
  <si>
    <t>Verdiweg 2</t>
  </si>
  <si>
    <t>Obertrum am See</t>
  </si>
  <si>
    <t>47.9312805</t>
  </si>
  <si>
    <t>13.0706048</t>
  </si>
  <si>
    <t>+436641425348</t>
  </si>
  <si>
    <t>f.rehbichler@cablelink.at</t>
  </si>
  <si>
    <t>https://bilder.dasschnelle.at/DasSchnelle/50/5000/9931/043323/G_043323_P_906227579.adn.gif</t>
  </si>
  <si>
    <t>Jurisic Gastronomie GmbH, Gasthaus Neuwirt • Berndorf bei Salzburg • Salzburg</t>
  </si>
  <si>
    <t>Gastronomiebetriebe • Jurisic Gastronomie GmbH, Gasthaus Neuwirt, Haunsbergstraße 2, Berndorf bei Salzburg • Kontakt über aktuelle Telefonnummern ☎ und Adressen ⚑ mit Karte, Routing, Öffnungszeiten, Homepage, E-Mail, vCard und Firmendaten.</t>
  </si>
  <si>
    <t>Haunsbergstraße 2</t>
  </si>
  <si>
    <t>47.9966</t>
  </si>
  <si>
    <t>13.06081</t>
  </si>
  <si>
    <t>+43621720492</t>
  </si>
  <si>
    <t>neuwirt.berndorf@sbg.at</t>
  </si>
  <si>
    <t>https://bilder.dasschnelle.at/DasSchnelle/50/5000/9931/043603/G_043603_P_906225935.adn.gif</t>
  </si>
  <si>
    <t>Gollackner, Christof, Dachdeckerei • Eugendorf • Salzburg</t>
  </si>
  <si>
    <t>Dachdeckereien, Dachdeckerei u. Spenglerei • Gollackner, Christof, Sommeregg 26, Eugendorf • Kontakt über aktuelle Telefonnummern ☎ und Adressen ⚑ mit Karte, Routing, Öffnungszeiten, Homepage, E-Mail, vCard und Firmendaten.</t>
  </si>
  <si>
    <t>Sommeregg 26</t>
  </si>
  <si>
    <t>47.8358900</t>
  </si>
  <si>
    <t>13.1349657</t>
  </si>
  <si>
    <t>+436645240761</t>
  </si>
  <si>
    <t>christofgollacknerdach@hotmail.com</t>
  </si>
  <si>
    <t>https://bilder.dasschnelle.at/DasSchnelle/50/5000/9931/043306/I_043306_P_905994692_B_0038571750_1.gal.png?height=296&amp;width=581;https://bilder.dasschnelle.at/DasSchnelle/50/5000/9931/043306/I_043306_P_905994692_B_0038571750_2.gal.png?height=292&amp;width=581;https://bilder.dasschnelle.at/DasSchnelle/50/5000/9931/043306/I_043306_P_905994692_B_0038571750_3.gal.png?height=293&amp;width=544;https://bilder.dasschnelle.at/DasSchnelle/50/5000/9931/043306/I_043306_P_905994692_B_0038571750_4.gal.png?height=290&amp;width=526</t>
  </si>
  <si>
    <t>Brückenstüberl, Gasthäuser und Gasthöfe • Seekirchen am Wallersee • Salzburg</t>
  </si>
  <si>
    <t>Gastgewerbe - Gasthöfe • Brückenstüberl, Henndorfer Straße 1, Seekirchen am Wallersee • Kontakt über aktuelle Telefonnummern ☎ und Adressen ⚑ mit Karte, Routing, Öffnungszeiten, Homepage, E-Mail, vCard und Firmendaten.</t>
  </si>
  <si>
    <t>Henndorfer Straße 1</t>
  </si>
  <si>
    <t>47.89095</t>
  </si>
  <si>
    <t>13.12714</t>
  </si>
  <si>
    <t>+43621223980</t>
  </si>
  <si>
    <t>brueckenstueberl@sbg.at</t>
  </si>
  <si>
    <t>https://bilder.dasschnelle.at/DasSchnelle/50/5000/9931/043333/G_043333_P_906220657.adn.gif</t>
  </si>
  <si>
    <t>Sozialer Hilfsdienst Seekirchen am Wallersee • Seekirchen am Wallersee • Salzburg</t>
  </si>
  <si>
    <t>Ämter u. Behörden • Sozialer Hilfsdienst Seekirchen am Wallersee, Moosstraße 52, Seekirchen am Wallersee • Kontakt über aktuelle Telefonnummern ☎ und Adressen ⚑ mit Karte, Routing, Öffnungszeiten, Homepage, E-Mail, vCard und Firmendaten.</t>
  </si>
  <si>
    <t>Moosstraße 52</t>
  </si>
  <si>
    <t>47.8958546</t>
  </si>
  <si>
    <t>13.1185815</t>
  </si>
  <si>
    <t>+436508522839;+436508522847</t>
  </si>
  <si>
    <t>shd@seekirchen.at</t>
  </si>
  <si>
    <t>https://bilder.dasschnelle.at/DasSchnelle/50/5000/9931/043333/G_043333_P_906220662.adn.gif</t>
  </si>
  <si>
    <t>Brunauer, Paul, Spengler • Seeham • Salzburg</t>
  </si>
  <si>
    <t>Spenglereien • Brunauer, Paul, Kälberpoint 47, Seeham • Kontakt über aktuelle Telefonnummern ☎ und Adressen ⚑ mit Karte, Routing, Öffnungszeiten, Homepage, E-Mail, vCard und Firmendaten.</t>
  </si>
  <si>
    <t>Kälberpoint 47</t>
  </si>
  <si>
    <t>5164</t>
  </si>
  <si>
    <t>Seeham</t>
  </si>
  <si>
    <t>47.9794</t>
  </si>
  <si>
    <t>13.07006</t>
  </si>
  <si>
    <t>+436642416524</t>
  </si>
  <si>
    <t>paul.brunauer@sbg.at</t>
  </si>
  <si>
    <t>https://bilder.dasschnelle.at/DasSchnelle/50/5000/9931/043328/I_043328_P_906028908_L_0035970384_1.png</t>
  </si>
  <si>
    <t>https://bilder.dasschnelle.at/DasSchnelle/50/5000/9931/043328/I_043328_P_906028908_B_0035970384_1.gal.png?height=542&amp;width=800;https://bilder.dasschnelle.at/DasSchnelle/50/5000/9931/043328/I_043328_P_906028908_B_0035970384_2.gal.png?height=396&amp;width=800;https://bilder.dasschnelle.at/DasSchnelle/50/5000/9931/043328/I_043328_P_906028908_B_0035970384_3.gal.png?height=542&amp;width=800;https://bilder.dasschnelle.at/DasSchnelle/50/5000/9931/043328/I_043328_P_906028908_B_0035970384_4.gal.png?height=542&amp;width=800</t>
  </si>
  <si>
    <t>Groß, Erwin, Malermeister • Zwettl-Niederösterreich • Niederösterreich</t>
  </si>
  <si>
    <t>Maler, Anstreicher u. Lackierer • Groß, Erwin, Waldhams 9, Zwettl-Niederösterreich • Kontakt über aktuelle Telefonnummern ☎ und Adressen ⚑ mit Karte, Routing, Öffnungszeiten, Homepage, E-Mail, vCard und Firmendaten.</t>
  </si>
  <si>
    <t>Waldhams 9</t>
  </si>
  <si>
    <t>3910</t>
  </si>
  <si>
    <t>Zwettl-Niederösterreich</t>
  </si>
  <si>
    <t>48.5914836</t>
  </si>
  <si>
    <t>15.1089622</t>
  </si>
  <si>
    <t>+436605567727</t>
  </si>
  <si>
    <t>office@malergross.at</t>
  </si>
  <si>
    <t>https://bilder.dasschnelle.at/DasSchnelle/50/5000/9950/044545/G_044545_P_906303124.adn.gif</t>
  </si>
  <si>
    <t>ITZ Itzlinger GmbH, Tore • Mondsee • Oberösterreich</t>
  </si>
  <si>
    <t>Tore • ITZ Itzlinger GmbH, Franz Kreutzberger-Straße 10, Mondsee • Kontakt über aktuelle Telefonnummern ☎ und Adressen ⚑ mit Karte, Routing, Öffnungszeiten, Homepage, E-Mail, vCard und Firmendaten.</t>
  </si>
  <si>
    <t>Franz Kreutzberger-Straße 10</t>
  </si>
  <si>
    <t>47.85348</t>
  </si>
  <si>
    <t>13.34803</t>
  </si>
  <si>
    <t>+4362323248</t>
  </si>
  <si>
    <t>+436232324899</t>
  </si>
  <si>
    <t>office@itzlinger.at</t>
  </si>
  <si>
    <t>https://bilder.dasschnelle.at/DasSchnelle/50/5000/9909/043081/G_043081_P_906303125.adn.gif</t>
  </si>
  <si>
    <t>Goldammer, Wilhelm, Ing., Maschinenschlosserei • Hallein • Salzburg</t>
  </si>
  <si>
    <t>Schlossereien • Goldammer, Wilhelm, Ing., Niederhofgasse 2, Hallein • Kontakt über aktuelle Telefonnummern ☎ und Adressen ⚑ mit Karte, Routing, Öffnungszeiten, Homepage, E-Mail, vCard und Firmendaten.</t>
  </si>
  <si>
    <t>Niederhofgasse 2</t>
  </si>
  <si>
    <t>47.68282</t>
  </si>
  <si>
    <t>13.09231</t>
  </si>
  <si>
    <t>+43624580665</t>
  </si>
  <si>
    <t>office@goldammer.co.at</t>
  </si>
  <si>
    <t>https://bilder.dasschnelle.at/DasSchnelle/50/5000/9889/043591/G_043591_P_906068623.adn.gif</t>
  </si>
  <si>
    <t>Kornprobst Tele-Funk GesmbH • Straßwalchen • Salzburg</t>
  </si>
  <si>
    <t>Telefunk, Telekommunikation • Kornprobst Tele-Funk GesmbH, Salzburgerstraße 19, Straßwalchen • Kontakt über aktuelle Telefonnummern ☎ und Adressen ⚑ mit Karte, Routing, Öffnungszeiten, Homepage, E-Mail, vCard und Firmendaten.</t>
  </si>
  <si>
    <t>Salzburgerstraße 19</t>
  </si>
  <si>
    <t>5204</t>
  </si>
  <si>
    <t>Straßwalchen</t>
  </si>
  <si>
    <t>47.97723</t>
  </si>
  <si>
    <t>13.25354</t>
  </si>
  <si>
    <t>+43621580000</t>
  </si>
  <si>
    <t>+4362158001</t>
  </si>
  <si>
    <t>office.tele@kornprobst.at</t>
  </si>
  <si>
    <t>https://bilder.dasschnelle.at/DasSchnelle/50/5000/9935/043329/G_043329_P_906234713.adn.gif</t>
  </si>
  <si>
    <t>Cut Arena, Friseure • Straßwalchen • Salzburg</t>
  </si>
  <si>
    <t>Friseure • Cut Arena, Mondseerstraße 14, Straßwalchen • Kontakt über aktuelle Telefonnummern ☎ und Adressen ⚑ mit Karte, Routing, Öffnungszeiten, Homepage, E-Mail, vCard und Firmendaten.</t>
  </si>
  <si>
    <t>Mondseerstraße 14</t>
  </si>
  <si>
    <t>47.97644</t>
  </si>
  <si>
    <t>13.25869</t>
  </si>
  <si>
    <t>+43621520006</t>
  </si>
  <si>
    <t>cutarena@aon.at</t>
  </si>
  <si>
    <t>https://bilder.dasschnelle.at/DasSchnelle/50/5000/9935/043329/G_043329_P_906234717.adn.gif</t>
  </si>
  <si>
    <t>F &amp; M Elektrotechnik GmbH • Neumarkt am Wallersee • Salzburg</t>
  </si>
  <si>
    <t>Elektrotechnik • F &amp; M Elektrotechnik GmbH, Wiener Straße 20, Neumarkt am Wallersee • Kontakt über aktuelle Telefonnummern ☎ und Adressen ⚑ mit Karte, Routing, Öffnungszeiten, Homepage, E-Mail, vCard und Firmendaten.</t>
  </si>
  <si>
    <t>Wiener Straße 20</t>
  </si>
  <si>
    <t>5202</t>
  </si>
  <si>
    <t>Neumarkt am Wallersee</t>
  </si>
  <si>
    <t>47.95054</t>
  </si>
  <si>
    <t>13.22713</t>
  </si>
  <si>
    <t>+4362165250</t>
  </si>
  <si>
    <t>office@fmelektro.at</t>
  </si>
  <si>
    <t>https://bilder.dasschnelle.at/DasSchnelle/50/5000/9935/043320/G_043320_P_906234707.adn.gif</t>
  </si>
  <si>
    <t>Mayrhauser, Johann, Schlosserei • Hüttenedt • Salzburg</t>
  </si>
  <si>
    <t>Schlossereien • Mayrhauser, Johann, Hüttenedt • Kontakt über aktuelle Telefonnummern ☎ und Adressen ⚑ mit Karte, Routing, Öffnungszeiten, Homepage, E-Mail, vCard und Firmendaten.</t>
  </si>
  <si>
    <t>Hüttenedt</t>
  </si>
  <si>
    <t>47.9607484</t>
  </si>
  <si>
    <t>13.3648781</t>
  </si>
  <si>
    <t>+43621385560;+436645112522</t>
  </si>
  <si>
    <t>+43621385564</t>
  </si>
  <si>
    <t>johann.mayrhauser@aon.at</t>
  </si>
  <si>
    <t>https://bilder.dasschnelle.at/DasSchnelle/50/5000/9935/043329/G_043329_P_906236026.adn.gif</t>
  </si>
  <si>
    <t>Spatzenegger, Norbert, Tischlerei • Friedburg • Oberösterreich</t>
  </si>
  <si>
    <t>Tischlereien • Spatzenegger, Norbert, Kühbichl 7, Friedburg • Kontakt über aktuelle Telefonnummern ☎ und Adressen ⚑ mit Karte, Routing, Öffnungszeiten, Homepage, E-Mail, vCard und Firmendaten.</t>
  </si>
  <si>
    <t>Kühbichl 7</t>
  </si>
  <si>
    <t>5211</t>
  </si>
  <si>
    <t>Friedburg</t>
  </si>
  <si>
    <t>48.0128692</t>
  </si>
  <si>
    <t>13.2495233</t>
  </si>
  <si>
    <t>+4377462251</t>
  </si>
  <si>
    <t>n.spatzenegger@gmx.at</t>
  </si>
  <si>
    <t>https://bilder.dasschnelle.at/DasSchnelle/50/5000/9935/044774/G_044774_P_906248460.adn.gif</t>
  </si>
  <si>
    <t>Reiter, Gerhard, Look Optik, Optikfachgeschäft • Straßwalchen • Salzburg</t>
  </si>
  <si>
    <t>Optik • Reiter, Gerhard, Look Optik, Salzburgerstraße 11, Straßwalchen • Kontakt über aktuelle Telefonnummern ☎ und Adressen ⚑ mit Karte, Routing, Öffnungszeiten, Homepage, E-Mail, vCard und Firmendaten.</t>
  </si>
  <si>
    <t>Salzburgerstraße 11</t>
  </si>
  <si>
    <t>47.97802</t>
  </si>
  <si>
    <t>13.25391</t>
  </si>
  <si>
    <t>+4362156477</t>
  </si>
  <si>
    <t>reiter.look@pr-link.at</t>
  </si>
  <si>
    <t>https://bilder.dasschnelle.at/DasSchnelle/50/5000/9935/043329/G_043329_P_906249975.adn.gif</t>
  </si>
  <si>
    <t>Änderungsschneiderei, Gabriele Schinwald • Straßwalchen • Salzburg</t>
  </si>
  <si>
    <t>Schneidereien, Änderungsschneidereien • Änderungsschneiderei, Gabriele Schinwald, Brunn 14, Straßwalchen • Kontakt über aktuelle Telefonnummern ☎ und Adressen ⚑ mit Karte, Routing, Öffnungszeiten, Homepage, E-Mail, vCard und Firmendaten.</t>
  </si>
  <si>
    <t>Brunn 14</t>
  </si>
  <si>
    <t>47.9910500</t>
  </si>
  <si>
    <t>13.2962400</t>
  </si>
  <si>
    <t>+4367763928519</t>
  </si>
  <si>
    <t>gabisaenderung@gmail.com</t>
  </si>
  <si>
    <t>https://bilder.dasschnelle.at/DasSchnelle/50/5000/9935/043329/G_043329_P_906257915.adn.gif</t>
  </si>
  <si>
    <t>Schober Holzbau GmbH • Friedburg • Oberösterreich</t>
  </si>
  <si>
    <t>Holzbau • Schober Holzbau GmbH, Frauscherberg 8, Friedburg • Kontakt über aktuelle Telefonnummern ☎ und Adressen ⚑ mit Karte, Routing, Öffnungszeiten, Homepage, E-Mail, vCard und Firmendaten.</t>
  </si>
  <si>
    <t>Frauscherberg 8</t>
  </si>
  <si>
    <t>48.0154496</t>
  </si>
  <si>
    <t>13.2708499</t>
  </si>
  <si>
    <t>+436644024523</t>
  </si>
  <si>
    <t>office@schober-holzbau.at</t>
  </si>
  <si>
    <t>https://bilder.dasschnelle.at/DasSchnelle/50/5000/9935/044774/I_044774_P_906002513_L_0037093501_1.png</t>
  </si>
  <si>
    <t>https://bilder.dasschnelle.at/DasSchnelle/50/5000/9935/044774/I_044774_P_906002513_B_0037093501_1.gal.png?height=450&amp;width=599;https://bilder.dasschnelle.at/DasSchnelle/50/5000/9935/044774/I_044774_P_906002513_B_0037093501_2.gal.png?height=450&amp;width=337;https://bilder.dasschnelle.at/DasSchnelle/50/5000/9935/044774/I_044774_P_906002513_B_0037093501_3.gal.png?height=449&amp;width=600;https://bilder.dasschnelle.at/DasSchnelle/50/5000/9935/044774/I_044774_P_906002513_B_0037093501_4.gal.png?height=449&amp;width=600</t>
  </si>
  <si>
    <t>Übertsberger, Kathrin, Blumen Mädchen, Blumen • Köstendorf • Salzburg</t>
  </si>
  <si>
    <t>Blumenhandel • Übertsberger, Kathrin, Blumen Mädchen, Dorfplatz 4, Köstendorf • Kontakt über aktuelle Telefonnummern ☎ und Adressen ⚑ mit Karte, Routing, Öffnungszeiten, Homepage, E-Mail, vCard und Firmendaten.</t>
  </si>
  <si>
    <t>Dorfplatz 4</t>
  </si>
  <si>
    <t>5203</t>
  </si>
  <si>
    <t>Köstendorf</t>
  </si>
  <si>
    <t>47.9569</t>
  </si>
  <si>
    <t>13.19811</t>
  </si>
  <si>
    <t>+43621620455</t>
  </si>
  <si>
    <t>kontakt@blumen-maedchen.at</t>
  </si>
  <si>
    <t>https://bilder.dasschnelle.at/DasSchnelle/50/5000/9935/043316/G_043316_P_906220652.adn.gif</t>
  </si>
  <si>
    <t>Schafleitner, Monika, Malermeisterin • Straßwalchen • Salzburg</t>
  </si>
  <si>
    <t>Malereibetriebe • Schafleitner, Monika, Braunauerstraße 6, Straßwalchen • Kontakt über aktuelle Telefonnummern ☎ und Adressen ⚑ mit Karte, Routing, Öffnungszeiten, Homepage, E-Mail, vCard und Firmendaten.</t>
  </si>
  <si>
    <t>Braunauerstraße 6</t>
  </si>
  <si>
    <t>47.98221</t>
  </si>
  <si>
    <t>13.25476</t>
  </si>
  <si>
    <t>+436645913212</t>
  </si>
  <si>
    <t>mal-mit-moni@gmx.at</t>
  </si>
  <si>
    <t>https://bilder.dasschnelle.at/DasSchnelle/50/5000/9935/043329/G_043329_P_906273402.adn.gif</t>
  </si>
  <si>
    <t>Wögl, Adolf, Tischlereien • Spital am Pyhrn • Oberösterreich</t>
  </si>
  <si>
    <t>Tischlereien • Wögl, Adolf, Alpenhof 4, Spital am Pyhrn • Kontakt über aktuelle Telefonnummern ☎ und Adressen ⚑ mit Karte, Routing, Öffnungszeiten, Homepage, E-Mail, vCard und Firmendaten.</t>
  </si>
  <si>
    <t>Alpenhof 4</t>
  </si>
  <si>
    <t>4582</t>
  </si>
  <si>
    <t>Spital am Pyhrn</t>
  </si>
  <si>
    <t>47.65571</t>
  </si>
  <si>
    <t>14.33644</t>
  </si>
  <si>
    <t>+437563336</t>
  </si>
  <si>
    <t>tischlerei.woegl@gmail.com</t>
  </si>
  <si>
    <t>https://bilder.dasschnelle.at/DasSchnelle/50/5000/9947/046095/G_046095_P_906245160.adn.gif</t>
  </si>
  <si>
    <t>Glöckl, Daniela, Fußpflege • Windischgarsten • Oberösterreich</t>
  </si>
  <si>
    <t>Fußpflege • Glöckl, Daniela, Edlbach 20, Windischgarsten • Kontakt über aktuelle Telefonnummern ☎ und Adressen ⚑ mit Karte, Routing, Öffnungszeiten, Homepage, E-Mail, vCard und Firmendaten.</t>
  </si>
  <si>
    <t>Edlbach 20</t>
  </si>
  <si>
    <t>4580</t>
  </si>
  <si>
    <t>Windischgarsten</t>
  </si>
  <si>
    <t>47.7152917</t>
  </si>
  <si>
    <t>14.3495693</t>
  </si>
  <si>
    <t>+436641373454</t>
  </si>
  <si>
    <t>gd@pptv.at</t>
  </si>
  <si>
    <t>https://bilder.dasschnelle.at/DasSchnelle/50/5000/9947/046100/G_046100_P_906257916.adn.gif</t>
  </si>
  <si>
    <t>Wieser, Johannes, Dachdeckerei • Spital am Pyhrn • Oberösterreich</t>
  </si>
  <si>
    <t>Dachdeckereien, Spenglereien • Wieser, Johannes, Bahnhofstraße 3, Spital am Pyhrn • Kontakt über aktuelle Telefonnummern ☎ und Adressen ⚑ mit Karte, Routing, Öffnungszeiten, Homepage, E-Mail, vCard und Firmendaten.</t>
  </si>
  <si>
    <t>Bahnhofstraße 3</t>
  </si>
  <si>
    <t>47.67312</t>
  </si>
  <si>
    <t>14.34726</t>
  </si>
  <si>
    <t>+436646415283</t>
  </si>
  <si>
    <t>office@dach-wieser.at</t>
  </si>
  <si>
    <t>https://bilder.dasschnelle.at/DasSchnelle/50/5000/9947/046095/G_046095_P_906255834.adn.gif</t>
  </si>
  <si>
    <t>Berger-Schauer, Andreas, Werkzeuge • Windischgarsten • Oberösterreich</t>
  </si>
  <si>
    <t>Gartengeräte, Öfen u. Herde, Werkzeuge • Berger-Schauer, Andreas, Gleinkerseestraße 8, Windischgarsten • Kontakt über aktuelle Telefonnummern ☎ und Adressen ⚑ mit Karte, Routing, Öffnungszeiten, Homepage, E-Mail, vCard und Firmendaten.</t>
  </si>
  <si>
    <t>Gleinkerseestraße 8</t>
  </si>
  <si>
    <t>47.72183</t>
  </si>
  <si>
    <t>14.32379</t>
  </si>
  <si>
    <t>+4375628524</t>
  </si>
  <si>
    <t>office@bergerschauer.at</t>
  </si>
  <si>
    <t>https://bilder.dasschnelle.at/DasSchnelle/50/5000/9947/046100/G_046100_P_906251334.adn.gif</t>
  </si>
  <si>
    <t>Greunz, Daniel, Gartenpflege • Roßleithen • Oberösterreich</t>
  </si>
  <si>
    <t>Garten- u. Landschaftsgestaltung, Garten- u. Landschaftspflege • Greunz, Daniel, Rading 48, Roßleithen • Kontakt über aktuelle Telefonnummern ☎ und Adressen ⚑ mit Karte, Routing, Öffnungszeiten, Homepage, E-Mail, vCard und Firmendaten.</t>
  </si>
  <si>
    <t>Rading 48</t>
  </si>
  <si>
    <t>4575</t>
  </si>
  <si>
    <t>Roßleithen</t>
  </si>
  <si>
    <t>47.7347831</t>
  </si>
  <si>
    <t>14.3077964</t>
  </si>
  <si>
    <t>+436644091308</t>
  </si>
  <si>
    <t>daniel.greunz@outlook.com</t>
  </si>
  <si>
    <t>https://bilder.dasschnelle.at/DasSchnelle/50/5000/9947/046092/G_046092_P_906249216.adn.gif</t>
  </si>
  <si>
    <t>Kähls, Josef, Gruben-u Kanaldienst • Roßleithen • Oberösterreich</t>
  </si>
  <si>
    <t>Entsorgungen, Kanal- u. Grubendienste • Kähls, Josef, Rading 165, Roßleithen • Kontakt über aktuelle Telefonnummern ☎ und Adressen ⚑ mit Karte, Routing, Öffnungszeiten, Homepage, E-Mail, vCard und Firmendaten.</t>
  </si>
  <si>
    <t>Rading 165</t>
  </si>
  <si>
    <t>47.7390400</t>
  </si>
  <si>
    <t>14.2982900</t>
  </si>
  <si>
    <t>+4375628706;+436644134412;+436644134414;+436644134415</t>
  </si>
  <si>
    <t>kaelhs.j@gmx.at</t>
  </si>
  <si>
    <t>https://bilder.dasschnelle.at/DasSchnelle/50/5000/9947/046092/G_046092_P_906240633.adn.gif</t>
  </si>
  <si>
    <t>Schmid, Andreas, Malermeister • Spital am Pyhrn • Oberösterreich</t>
  </si>
  <si>
    <t>Malereibetriebe • Schmid, Andreas, Garstner Eck 54, Spital am Pyhrn • Kontakt über aktuelle Telefonnummern ☎ und Adressen ⚑ mit Karte, Routing, Öffnungszeiten, Homepage, E-Mail, vCard und Firmendaten.</t>
  </si>
  <si>
    <t>Garstner Eck 54</t>
  </si>
  <si>
    <t>47.69916</t>
  </si>
  <si>
    <t>14.32507</t>
  </si>
  <si>
    <t>+436643966230</t>
  </si>
  <si>
    <t>a.schmid@maler-schmid.at</t>
  </si>
  <si>
    <t>https://bilder.dasschnelle.at/DasSchnelle/50/5000/9947/046095/G_046095_P_906248458.adn.gif</t>
  </si>
  <si>
    <t>Redtenbacher, Johann, Gasthof • Mitterweng • Oberösterreich</t>
  </si>
  <si>
    <t>Gastgewerbe - Gasthöfe • Redtenbacher, Johann, Mitterweng • Kontakt über aktuelle Telefonnummern ☎ und Adressen ⚑ mit Karte, Routing, Öffnungszeiten, Homepage, E-Mail, vCard und Firmendaten.</t>
  </si>
  <si>
    <t>Mitterweng</t>
  </si>
  <si>
    <t>47.7083439</t>
  </si>
  <si>
    <t>14.3597641</t>
  </si>
  <si>
    <t>+4375628002;+436644430350</t>
  </si>
  <si>
    <t>gasthof.moosgierler@aon.at</t>
  </si>
  <si>
    <t>https://bilder.dasschnelle.at/DasSchnelle/50/5000/9947/046078/G_046078_P_906245830.adn.gif</t>
  </si>
  <si>
    <t>Schnepfleitner, Manfred, Tischler • Spital am Pyhrn • Oberösterreich</t>
  </si>
  <si>
    <t>Tischlereien • Schnepfleitner, Manfred, Weinmeisterstraße 24, Spital am Pyhrn • Kontakt über aktuelle Telefonnummern ☎ und Adressen ⚑ mit Karte, Routing, Öffnungszeiten, Homepage, E-Mail, vCard und Firmendaten.</t>
  </si>
  <si>
    <t>Weinmeisterstraße 24</t>
  </si>
  <si>
    <t>47.66477</t>
  </si>
  <si>
    <t>14.34494</t>
  </si>
  <si>
    <t>+4366475074333</t>
  </si>
  <si>
    <t>maschmo73@gmail.com</t>
  </si>
  <si>
    <t>https://bilder.dasschnelle.at/DasSchnelle/50/5000/9947/046095/G_046095_P_906245835.adn.gif</t>
  </si>
  <si>
    <t>Friseursalon Wilfing, Friseure • Windischgarsten • Oberösterreich</t>
  </si>
  <si>
    <t>Friseure • Friseursalon Wilfing, Wehrstraße 3, Windischgarsten • Kontakt über aktuelle Telefonnummern ☎ und Adressen ⚑ mit Karte, Routing, Öffnungszeiten, Homepage, E-Mail, vCard und Firmendaten.</t>
  </si>
  <si>
    <t>Wehrstraße 3</t>
  </si>
  <si>
    <t>47.7226</t>
  </si>
  <si>
    <t>14.32794</t>
  </si>
  <si>
    <t>+4375625283</t>
  </si>
  <si>
    <t>salon.wilfing@a1.net</t>
  </si>
  <si>
    <t>https://bilder.dasschnelle.at/DasSchnelle/50/5000/9947/046100/G_046100_P_906245836.adn.gif</t>
  </si>
  <si>
    <t>Kaspar, Notburga, Gsth u Pens • Gleinkerau • Oberösterreich</t>
  </si>
  <si>
    <t>Gastgewerbe - Gasthöfe, Pensionen • Kaspar, Notburga, Am Wur 85, Gleinkerau • Kontakt über aktuelle Telefonnummern ☎ und Adressen ⚑ mit Karte, Routing, Öffnungszeiten, Homepage, E-Mail, vCard und Firmendaten.</t>
  </si>
  <si>
    <t>Am Wur 85</t>
  </si>
  <si>
    <t>Gleinkerau</t>
  </si>
  <si>
    <t>47.70094</t>
  </si>
  <si>
    <t>14.34185</t>
  </si>
  <si>
    <t>+4375628764;+436644653445</t>
  </si>
  <si>
    <t>info@gasthof-kaspar.at</t>
  </si>
  <si>
    <t>https://bilder.dasschnelle.at/DasSchnelle/50/5000/9947/046095/G_046095_P_906242151.adn.gif</t>
  </si>
  <si>
    <t>Knittl-Frank GmbH Zimmerei Sägewerk Hackl • Vorderstoder • Oberösterreich</t>
  </si>
  <si>
    <t>Säge- u. Hobelwerke, Zimmereien • Knittl-Frank GmbH Zimmerei Sägewerk Hackl, Vorderstoder • Kontakt über aktuelle Telefonnummern ☎ und Adressen ⚑ mit Karte, Routing, Öffnungszeiten, Homepage, E-Mail, vCard und Firmendaten.</t>
  </si>
  <si>
    <t>4574</t>
  </si>
  <si>
    <t>Vorderstoder</t>
  </si>
  <si>
    <t>47.7109689</t>
  </si>
  <si>
    <t>14.2213141</t>
  </si>
  <si>
    <t>+43756420610</t>
  </si>
  <si>
    <t>zimmerei-hackl@pptv.at</t>
  </si>
  <si>
    <t>https://bilder.dasschnelle.at/DasSchnelle/50/5000/9947/046098/G_046098_P_906240607.adn.gif</t>
  </si>
  <si>
    <t>Rohregger, Ingrid, Einrichtungsfachhandel • Vorderstoder • Oberösterreich</t>
  </si>
  <si>
    <t>Tischlereien • Rohregger, Ingrid, Nr 63, Vorderstoder • Kontakt über aktuelle Telefonnummern ☎ und Adressen ⚑ mit Karte, Routing, Öffnungszeiten, Homepage, E-Mail, vCard und Firmendaten.</t>
  </si>
  <si>
    <t>Nr 63</t>
  </si>
  <si>
    <t>47.7155231</t>
  </si>
  <si>
    <t>14.2282380</t>
  </si>
  <si>
    <t>+4375648306</t>
  </si>
  <si>
    <t>office@rohregger-einrichtung.at</t>
  </si>
  <si>
    <t>https://bilder.dasschnelle.at/DasSchnelle/50/5000/9947/046098/G_046098_P_906240608.adn.gif</t>
  </si>
  <si>
    <t>Bernögger, Nicole, Blumenbinderin • Windischgarsten • Oberösterreich</t>
  </si>
  <si>
    <t>Blumenbinder • Bernögger, Nicole, Friedhofstraße 1, Windischgarsten • Kontakt über aktuelle Telefonnummern ☎ und Adressen ⚑ mit Karte, Routing, Öffnungszeiten, Homepage, E-Mail, vCard und Firmendaten.</t>
  </si>
  <si>
    <t>Friedhofstraße 1</t>
  </si>
  <si>
    <t>47.71975</t>
  </si>
  <si>
    <t>14.32827</t>
  </si>
  <si>
    <t>+4375625390</t>
  </si>
  <si>
    <t>post@blumenkreativ.at</t>
  </si>
  <si>
    <t>https://bilder.dasschnelle.at/DasSchnelle/50/5000/9947/046100/I_046100_P_906005424_L_0036253179_1.png</t>
  </si>
  <si>
    <t>https://bilder.dasschnelle.at/DasSchnelle/50/5000/9947/046100/I_046100_P_906005424_B_0036253179_1.gal.png?height=450&amp;width=600;https://bilder.dasschnelle.at/DasSchnelle/50/5000/9947/046100/I_046100_P_906005424_B_0036253179_2.gal.png?height=450&amp;width=600;https://bilder.dasschnelle.at/DasSchnelle/50/5000/9947/046100/I_046100_P_906005424_B_0036253179_3.gal.png?height=450&amp;width=136;https://bilder.dasschnelle.at/DasSchnelle/50/5000/9947/046100/I_046100_P_906005424_B_0036253179_4.gal.png?height=450&amp;width=396</t>
  </si>
  <si>
    <t>Regional Versicherungsbüro GmbH, Versicherung • Windischgarsten • Oberösterreich</t>
  </si>
  <si>
    <t>Versicherungsunternehmen • Regional Versicherungsbüro GmbH, Schulstraße 14, Windischgarsten • Kontakt über aktuelle Telefonnummern ☎ und Adressen ⚑ mit Karte, Routing, Öffnungszeiten, Homepage, E-Mail, vCard und Firmendaten.</t>
  </si>
  <si>
    <t>Schulstraße 14</t>
  </si>
  <si>
    <t>47.7208</t>
  </si>
  <si>
    <t>14.32723</t>
  </si>
  <si>
    <t>+43756220577</t>
  </si>
  <si>
    <t>office@regionalservicherung.at</t>
  </si>
  <si>
    <t>https://bilder.dasschnelle.at/DasSchnelle/50/5000/9947/046100/G_046100_P_906239833.adn.gif</t>
  </si>
  <si>
    <t>Sexlinger, Herbert, Vollwärmeschutz • Hasenufer • Oberösterreich</t>
  </si>
  <si>
    <t>Vollwärmeschutz • Sexlinger, Herbert, Heumairstraße 14, Hasenufer • Kontakt über aktuelle Telefonnummern ☎ und Adressen ⚑ mit Karte, Routing, Öffnungszeiten, Homepage, E-Mail, vCard und Firmendaten.</t>
  </si>
  <si>
    <t>Heumairstraße 14</t>
  </si>
  <si>
    <t>Hasenufer</t>
  </si>
  <si>
    <t>48.19701</t>
  </si>
  <si>
    <t>14.21914</t>
  </si>
  <si>
    <t>+43722987039;+436642263390</t>
  </si>
  <si>
    <t>herbert.sexlinger@aon.at</t>
  </si>
  <si>
    <t>https://bilder.dasschnelle.at/DasSchnelle/50/5000/9907/046118/G_046118_P_906123926.adn.gif</t>
  </si>
  <si>
    <t>Bestattung Neuwirth e.U., Bestattung • Holzgassen • Oberösterreich</t>
  </si>
  <si>
    <t>Bestattungsunternehmen, Tischlereien • Bestattung Neuwirth e.U., Holzgassen 2, Holzgassen • Kontakt über aktuelle Telefonnummern ☎ und Adressen ⚑ mit Karte, Routing, Öffnungszeiten, Homepage, E-Mail, vCard und Firmendaten.</t>
  </si>
  <si>
    <t>Holzgassen 2</t>
  </si>
  <si>
    <t>Holzgassen</t>
  </si>
  <si>
    <t>48.1455475</t>
  </si>
  <si>
    <t>13.9351583</t>
  </si>
  <si>
    <t>+4372466295</t>
  </si>
  <si>
    <t>office@bestattung-neuwirth.at</t>
  </si>
  <si>
    <t>https://bilder.dasschnelle.at/DasSchnelle/50/5000/9945/043569/G_043569_P_906143379.adn.gif</t>
  </si>
  <si>
    <t>Steffner, Andreas, Hafner • Mondsee • Oberösterreich</t>
  </si>
  <si>
    <t>Fliesen u. Plattenverlegungen • Steffner, Andreas, Schönmühlweg 8, Mondsee • Kontakt über aktuelle Telefonnummern ☎ und Adressen ⚑ mit Karte, Routing, Öffnungszeiten, Homepage, E-Mail, vCard und Firmendaten.</t>
  </si>
  <si>
    <t>Schönmühlweg 8</t>
  </si>
  <si>
    <t>47.85457</t>
  </si>
  <si>
    <t>13.34469</t>
  </si>
  <si>
    <t>+4362327666</t>
  </si>
  <si>
    <t>ofen@steffner.info</t>
  </si>
  <si>
    <t>https://bilder.dasschnelle.at/DasSchnelle/50/5000/9909/043081/G_043081_P_906301590.adn.gif</t>
  </si>
  <si>
    <t>Thaller, Robert, Baumaschinen • Zwettl • Niederösterreich</t>
  </si>
  <si>
    <t>Erdarbeiten • Thaller, Robert, Franz Eigl-Straße 23, Zwettl • Kontakt über aktuelle Telefonnummern ☎ und Adressen ⚑ mit Karte, Routing, Öffnungszeiten, Homepage, E-Mail, vCard und Firmendaten.</t>
  </si>
  <si>
    <t>Franz Eigl-Straße 23</t>
  </si>
  <si>
    <t>Zwettl</t>
  </si>
  <si>
    <t>48.5997</t>
  </si>
  <si>
    <t>15.18291</t>
  </si>
  <si>
    <t>+43282220971</t>
  </si>
  <si>
    <t>info@hoflader-baumaschinen.at</t>
  </si>
  <si>
    <t>https://bilder.dasschnelle.at/DasSchnelle/50/5000/9950/044545/G_044545_P_906302642.adn.gif</t>
  </si>
  <si>
    <t>WAMICAR.com GmbH, KFZ KFZ • Rainbach im Mühlkreis • Oberösterreich</t>
  </si>
  <si>
    <t>Autohandel • WAMICAR.com GmbH, Marktplatz 10, Rainbach im Mühlkreis • Kontakt über aktuelle Telefonnummern ☎ und Adressen ⚑ mit Karte, Routing, Öffnungszeiten, Homepage, E-Mail, vCard und Firmendaten.</t>
  </si>
  <si>
    <t>Marktplatz 10</t>
  </si>
  <si>
    <t>4261</t>
  </si>
  <si>
    <t>Rainbach im Mühlkreis</t>
  </si>
  <si>
    <t>48.55743</t>
  </si>
  <si>
    <t>14.47757</t>
  </si>
  <si>
    <t>+436769692990</t>
  </si>
  <si>
    <t>walter.riepl@wamicars.com</t>
  </si>
  <si>
    <t>https://bilder.dasschnelle.at/DasSchnelle/50/5000/9882/041775/G_041775_P_906302636.adn.gif</t>
  </si>
  <si>
    <t>Übermasser Landtechnik, Landmaschinen • Freistadt • Oberösterreich</t>
  </si>
  <si>
    <t>Landmaschinen • Übermasser Landtechnik, Am Stieranger 6, Freistadt • Kontakt über aktuelle Telefonnummern ☎ und Adressen ⚑ mit Karte, Routing, Öffnungszeiten, Homepage, E-Mail, vCard und Firmendaten.</t>
  </si>
  <si>
    <t>Am Stieranger 6</t>
  </si>
  <si>
    <t>48.50602</t>
  </si>
  <si>
    <t>14.50164</t>
  </si>
  <si>
    <t>+43794274486</t>
  </si>
  <si>
    <t>office@uebermasser.at</t>
  </si>
  <si>
    <t>https://bilder.dasschnelle.at/DasSchnelle/50/5000/9882/044815/G_044815_P_906302637.adn.gif</t>
  </si>
  <si>
    <t>Forellenwirt Maurer, Gasthaus • Gundersdorf • Steiermark</t>
  </si>
  <si>
    <t>Gastgewerbe - Gasthöfe • Forellenwirt Maurer, Gundersdorf 1, Gundersdorf • Kontakt über aktuelle Telefonnummern ☎ und Adressen ⚑ mit Karte, Routing, Öffnungszeiten, Homepage, E-Mail, vCard und Firmendaten.</t>
  </si>
  <si>
    <t>Gundersdorf 1</t>
  </si>
  <si>
    <t>8413</t>
  </si>
  <si>
    <t>Gundersdorf</t>
  </si>
  <si>
    <t>46.8483940</t>
  </si>
  <si>
    <t>15.5877016</t>
  </si>
  <si>
    <t>+4331838274</t>
  </si>
  <si>
    <t>maurer.matthias85@gmail.com</t>
  </si>
  <si>
    <t>https://bilder.dasschnelle.at/DasSchnelle/50/5000/9904/044106/G_044106_P_906301591.adn.gif</t>
  </si>
  <si>
    <t>Vermessung Huber+Partner ZT GmbH • Leibnitz • Steiermark</t>
  </si>
  <si>
    <t>Vermessungsbüros • Vermessung Huber+Partner ZT GmbH, Kada-Gasse 17, Leibnitz • Kontakt über aktuelle Telefonnummern ☎ und Adressen ⚑ mit Karte, Routing, Öffnungszeiten, Homepage, E-Mail, vCard und Firmendaten.</t>
  </si>
  <si>
    <t>Kada-Gasse 17</t>
  </si>
  <si>
    <t>46.77899</t>
  </si>
  <si>
    <t>15.53874</t>
  </si>
  <si>
    <t>+43345284342</t>
  </si>
  <si>
    <t>leibnitz@dihuber.at</t>
  </si>
  <si>
    <t>https://bilder.dasschnelle.at/DasSchnelle/50/5000/9904/061363/G_061363_P_906301592.adn.gif</t>
  </si>
  <si>
    <t>Bestattung Strauss, Bestattungsunternehmen • Gamlitz • Steiermark</t>
  </si>
  <si>
    <t>Bestattungsunternehmen • Bestattung Strauss, Obere Hauptstraße 46, Gamlitz • Kontakt über aktuelle Telefonnummern ☎ und Adressen ⚑ mit Karte, Routing, Öffnungszeiten, Homepage, E-Mail, vCard und Firmendaten.</t>
  </si>
  <si>
    <t>Obere Hauptstraße 46</t>
  </si>
  <si>
    <t>8462</t>
  </si>
  <si>
    <t>Gamlitz</t>
  </si>
  <si>
    <t>46.72036</t>
  </si>
  <si>
    <t>15.55208</t>
  </si>
  <si>
    <t>+4334532394</t>
  </si>
  <si>
    <t>bestattung@moerth-gamlitz.at</t>
  </si>
  <si>
    <t>https://bilder.dasschnelle.at/DasSchnelle/50/5000/9904/061448/G_061448_P_906301593.adn.gif</t>
  </si>
  <si>
    <t>RLG Nutzfahrzeuge GmbH Suben • St. Marienkirchen bei Schärding • Oberösterreich</t>
  </si>
  <si>
    <t>Landwirtschaftliche Maschinen u. Geräte • RLG Nutzfahrzeuge GmbH Suben, Andiesen 13, St. Marienkirchen bei Schärding • Kontakt über aktuelle Telefonnummern ☎ und Adressen ⚑ mit Karte, Routing, Öffnungszeiten, Homepage, E-Mail, vCard und Firmendaten.</t>
  </si>
  <si>
    <t>Andiesen 13</t>
  </si>
  <si>
    <t>4774</t>
  </si>
  <si>
    <t>St. Marienkirchen bei Schärding</t>
  </si>
  <si>
    <t>48.3955717</t>
  </si>
  <si>
    <t>13.4260593</t>
  </si>
  <si>
    <t>+43771133127</t>
  </si>
  <si>
    <t>office@mtruck.at</t>
  </si>
  <si>
    <t>https://bilder.dasschnelle.at/DasSchnelle/50/5000/9926/042794/I_042794_P_906087134_L_0035992894_1.png</t>
  </si>
  <si>
    <t>https://bilder.dasschnelle.at/DasSchnelle/50/5000/9926/042794/I_042794_P_906087134_B_0035992894_1.gal.png?height=225&amp;width=264;https://bilder.dasschnelle.at/DasSchnelle/50/5000/9926/042794/I_042794_P_906087134_B_0035992894_2.gal.png?height=400&amp;width=400;https://bilder.dasschnelle.at/DasSchnelle/50/5000/9926/042794/I_042794_P_906087134_B_0035992894_3.gal.png?height=300&amp;width=225;https://bilder.dasschnelle.at/DasSchnelle/50/5000/9926/042794/I_042794_P_906087134_B_0035992894_4.gal.png?height=400&amp;width=400</t>
  </si>
  <si>
    <t>JK Beton Kirchweger GmbH, Transportbeton • St. Pantaleon • Niederösterreich</t>
  </si>
  <si>
    <t>Transportbeton • JK Beton Kirchweger GmbH, Klein Erla 7, St. Pantaleon • Kontakt über aktuelle Telefonnummern ☎ und Adressen ⚑ mit Karte, Routing, Öffnungszeiten, Homepage, E-Mail, vCard und Firmendaten.</t>
  </si>
  <si>
    <t>Klein Erla 7</t>
  </si>
  <si>
    <t>4303</t>
  </si>
  <si>
    <t>St. Pantaleon</t>
  </si>
  <si>
    <t>48.19244</t>
  </si>
  <si>
    <t>14.54868</t>
  </si>
  <si>
    <t>+43743572010;+4369918720100;+4369918720125;+4369918720128;+4369918720144;+436641815350</t>
  </si>
  <si>
    <t>+437435720124</t>
  </si>
  <si>
    <t>kirchweger@jk-beton.at</t>
  </si>
  <si>
    <t>https://bilder.dasschnelle.at/DasSchnelle/50/5000/9924/041323/G_041323_P_906130597.adn.gif</t>
  </si>
  <si>
    <t>Gutdeutsch GmbH, Maler • Himberg • Niederösterreich</t>
  </si>
  <si>
    <t>Malereibetriebe • Gutdeutsch GmbH, Wienerstraße 95, Himberg • Kontakt über aktuelle Telefonnummern ☎ und Adressen ⚑ mit Karte, Routing, Öffnungszeiten, Homepage, E-Mail, vCard und Firmendaten.</t>
  </si>
  <si>
    <t>48.0898258</t>
  </si>
  <si>
    <t>16.4264001</t>
  </si>
  <si>
    <t>+43223587068</t>
  </si>
  <si>
    <t>office@gutdeutsch.eu</t>
  </si>
  <si>
    <t>https://bilder.dasschnelle.at/DasSchnelle/50/5000/9930/044509/G_044509_P_906154312.adn.gif</t>
  </si>
  <si>
    <t>Bestattung Grünzweig • Stadl-Paura • Oberösterreich</t>
  </si>
  <si>
    <t>Bestattungsunternehmen • Bestattung Grünzweig, Bäckergasse 23, Stadl-Paura • Kontakt über aktuelle Telefonnummern ☎ und Adressen ⚑ mit Karte, Routing, Öffnungszeiten, Homepage, E-Mail, vCard und Firmendaten.</t>
  </si>
  <si>
    <t>Bäckergasse 23</t>
  </si>
  <si>
    <t>4651</t>
  </si>
  <si>
    <t>Stadl-Paura</t>
  </si>
  <si>
    <t>48.07799</t>
  </si>
  <si>
    <t>13.85961</t>
  </si>
  <si>
    <t>+43724528827;+436642108806</t>
  </si>
  <si>
    <t>+437245288274</t>
  </si>
  <si>
    <t>office@bestattung-gruenzweig.at</t>
  </si>
  <si>
    <t>https://bilder.dasschnelle.at/DasSchnelle/50/5000/9934/043578/G_043578_P_906154315.adn.gif</t>
  </si>
  <si>
    <t>H3 Installationen GmbH, Installationen • Steinerkirchen an der Traun • Oberösterreich</t>
  </si>
  <si>
    <t>Installationsunternehmen • H3 Installationen GmbH, Landstraße 33, Steinerkirchen an der Traun • Kontakt über aktuelle Telefonnummern ☎ und Adressen ⚑ mit Karte, Routing, Öffnungszeiten, Homepage, E-Mail, vCard und Firmendaten.</t>
  </si>
  <si>
    <t>Landstraße 33</t>
  </si>
  <si>
    <t>4652</t>
  </si>
  <si>
    <t>Steinerkirchen an der Traun</t>
  </si>
  <si>
    <t>48.07849</t>
  </si>
  <si>
    <t>13.96951</t>
  </si>
  <si>
    <t>+43724159333</t>
  </si>
  <si>
    <t>office@h-drei.at</t>
  </si>
  <si>
    <t>https://bilder.dasschnelle.at/DasSchnelle/50/5000/9934/043582/G_043582_P_906145722.adn.gif</t>
  </si>
  <si>
    <t>Hunger, Reinhard, Elektrotechnik • Sattledt • Oberösterreich</t>
  </si>
  <si>
    <t>Elektrotechnik • Hunger, Reinhard, Oberautal 8, Sattledt • Kontakt über aktuelle Telefonnummern ☎ und Adressen ⚑ mit Karte, Routing, Öffnungszeiten, Homepage, E-Mail, vCard und Firmendaten.</t>
  </si>
  <si>
    <t>Oberautal 8</t>
  </si>
  <si>
    <t>4642</t>
  </si>
  <si>
    <t>Sattledt</t>
  </si>
  <si>
    <t>48.0616818</t>
  </si>
  <si>
    <t>14.0221201</t>
  </si>
  <si>
    <t>+43724420172;+436503516666</t>
  </si>
  <si>
    <t>office@elektrotechnik-hunger.at</t>
  </si>
  <si>
    <t>https://bilder.dasschnelle.at/DasSchnelle/50/5000/9934/043578/G_043578_P_906189751.adn.gif</t>
  </si>
  <si>
    <t>Brigittes Blumenland, Blumen • Steinerkirchen an der Traun • Oberösterreich</t>
  </si>
  <si>
    <t>Blumenhandel • Brigittes Blumenland, Landstraße 18, Steinerkirchen an der Traun • Kontakt über aktuelle Telefonnummern ☎ und Adressen ⚑ mit Karte, Routing, Öffnungszeiten, Homepage, E-Mail, vCard und Firmendaten.</t>
  </si>
  <si>
    <t>Landstraße 18</t>
  </si>
  <si>
    <t>48.0787</t>
  </si>
  <si>
    <t>13.95876</t>
  </si>
  <si>
    <t>+4372412531</t>
  </si>
  <si>
    <t>blumenland@gmx.at</t>
  </si>
  <si>
    <t>https://bilder.dasschnelle.at/DasSchnelle/50/5000/9934/043582/G_043582_P_906145721.adn.gif</t>
  </si>
  <si>
    <t>Gruber GmbH, Landtechnik • Steinerkirchen • Oberösterreich</t>
  </si>
  <si>
    <t>Landtechnik • Gruber GmbH, Gundersdorf 17, Steinerkirchen • Kontakt über aktuelle Telefonnummern ☎ und Adressen ⚑ mit Karte, Routing, Öffnungszeiten, Homepage, E-Mail, vCard und Firmendaten.</t>
  </si>
  <si>
    <t>Gundersdorf 17</t>
  </si>
  <si>
    <t>Steinerkirchen</t>
  </si>
  <si>
    <t>48.0709007</t>
  </si>
  <si>
    <t>14.0050564</t>
  </si>
  <si>
    <t>+4372415315</t>
  </si>
  <si>
    <t>info@teamgruber.at</t>
  </si>
  <si>
    <t>https://bilder.dasschnelle.at/DasSchnelle/50/5000/9934/043582/G_043582_P_906145720.adn.gif</t>
  </si>
  <si>
    <t>Salon Hair Flair - Koschka, Maria, Friseur • Eberstalzell • Oberösterreich</t>
  </si>
  <si>
    <t>Friseure • Salon Hair Flair - Koschka, Maria, Welserstraße 16, Eberstalzell • Kontakt über aktuelle Telefonnummern ☎ und Adressen ⚑ mit Karte, Routing, Öffnungszeiten, Homepage, E-Mail, vCard und Firmendaten.</t>
  </si>
  <si>
    <t>Welserstraße 16</t>
  </si>
  <si>
    <t>4653</t>
  </si>
  <si>
    <t>Eberstalzell</t>
  </si>
  <si>
    <t>48.0454</t>
  </si>
  <si>
    <t>13.98419</t>
  </si>
  <si>
    <t>+43724121543</t>
  </si>
  <si>
    <t>maria.koschka@gmail.com</t>
  </si>
  <si>
    <t>https://bilder.dasschnelle.at/DasSchnelle/50/5000/9934/043566/G_043566_P_906151774.adn.gif</t>
  </si>
  <si>
    <t>CONCEPT-REAL – VESTA Immo-Consulting GmbH • Traun • Oberösterreich</t>
  </si>
  <si>
    <t>Immobilien • CONCEPT-REAL – VESTA Immo-Consulting GmbH, Badergasse 2, Traun • Kontakt über aktuelle Telefonnummern ☎ und Adressen ⚑ mit Karte, Routing, Öffnungszeiten, Homepage, E-Mail, vCard und Firmendaten.</t>
  </si>
  <si>
    <t>Badergasse 2</t>
  </si>
  <si>
    <t>48.22087</t>
  </si>
  <si>
    <t>14.24065</t>
  </si>
  <si>
    <t>+43722993085</t>
  </si>
  <si>
    <t>office@concept-real.at</t>
  </si>
  <si>
    <t>https://bilder.dasschnelle.at/DasSchnelle/50/5000/9937/046120/G_046120_P_906213002.adn.gif</t>
  </si>
  <si>
    <t>Rainer Thomas TR Elektrotechnik GmbH, Elektrotechnik • Göriach • Kärnten</t>
  </si>
  <si>
    <t>Elektrotechnik • Rainer Thomas TR Elektrotechnik GmbH, Göriach 22, Göriach • Kontakt über aktuelle Telefonnummern ☎ und Adressen ⚑ mit Karte, Routing, Öffnungszeiten, Homepage, E-Mail, vCard und Firmendaten.</t>
  </si>
  <si>
    <t>Göriach 22</t>
  </si>
  <si>
    <t>9812</t>
  </si>
  <si>
    <t>Göriach</t>
  </si>
  <si>
    <t>46.8533277</t>
  </si>
  <si>
    <t>13.3832901</t>
  </si>
  <si>
    <t>+436641212901</t>
  </si>
  <si>
    <t>tr-elektrotechnik@gmx.at</t>
  </si>
  <si>
    <t>https://bilder.dasschnelle.at/DasSchnelle/50/5000/9933/042160/G_042160_P_906294831.adn.gif</t>
  </si>
  <si>
    <t>Feuerstein, Christine, Mag.med.vet, Tierärztin • Schardenberg • Oberösterreich</t>
  </si>
  <si>
    <t>Tierärzte • Feuerstein, Christine, Mag.med.vet, Bachmayrstraße 16, Schardenberg • Kontakt über aktuelle Telefonnummern ☎ und Adressen ⚑ mit Karte, Routing, Öffnungszeiten, Homepage, E-Mail, vCard und Firmendaten.</t>
  </si>
  <si>
    <t>Bachmayrstraße 16</t>
  </si>
  <si>
    <t>4784</t>
  </si>
  <si>
    <t>Schardenberg</t>
  </si>
  <si>
    <t>48.51474</t>
  </si>
  <si>
    <t>13.49337</t>
  </si>
  <si>
    <t>+436642524394</t>
  </si>
  <si>
    <t>https://bilder.dasschnelle.at/DasSchnelle/50/5000/9926/042784/G_042784_P_906299046.adn.gif</t>
  </si>
  <si>
    <t>Schöller KG, Landtechnik • Roiten • Niederösterreich</t>
  </si>
  <si>
    <t>Landwirtschaftliche Maschinen u. Geräte • Schöller KG, Roiten 5, Roiten • Kontakt über aktuelle Telefonnummern ☎ und Adressen ⚑ mit Karte, Routing, Öffnungszeiten, Homepage, E-Mail, vCard und Firmendaten.</t>
  </si>
  <si>
    <t>Roiten 5</t>
  </si>
  <si>
    <t>3911</t>
  </si>
  <si>
    <t>Roiten</t>
  </si>
  <si>
    <t>48.5329195</t>
  </si>
  <si>
    <t>15.1269150</t>
  </si>
  <si>
    <t>+4328288527</t>
  </si>
  <si>
    <t>kfz@landtechnik-schoeller.at</t>
  </si>
  <si>
    <t>https://bilder.dasschnelle.at/DasSchnelle/50/5000/9950/044538/G_044538_P_906303103.adn.gif</t>
  </si>
  <si>
    <t>Thurner, Herbert, Bäckerei • Schwertberg • Oberösterreich</t>
  </si>
  <si>
    <t>Bäckereien, Cafés, Lebensmittel • Thurner, Herbert, Aisttalstraße 15, Schwertberg • Kontakt über aktuelle Telefonnummern ☎ und Adressen ⚑ mit Karte, Routing, Öffnungszeiten, Homepage, E-Mail, vCard und Firmendaten.</t>
  </si>
  <si>
    <t>Aisttalstraße 15</t>
  </si>
  <si>
    <t>48.27568</t>
  </si>
  <si>
    <t>14.58012</t>
  </si>
  <si>
    <t>+437262612960</t>
  </si>
  <si>
    <t>office@thurnerbrot.at</t>
  </si>
  <si>
    <t>https://bilder.dasschnelle.at/DasSchnelle/50/5000/9916/042536/G_042536_P_906303106.adn.gif</t>
  </si>
  <si>
    <t>Aichhorn, Thomas, Elektrotechnik • Unterach • Oberösterreich</t>
  </si>
  <si>
    <t>Elektrotechnik • Aichhorn, Thomas, Rochuspoint 2, Unterach • Kontakt über aktuelle Telefonnummern ☎ und Adressen ⚑ mit Karte, Routing, Öffnungszeiten, Homepage, E-Mail, vCard und Firmendaten.</t>
  </si>
  <si>
    <t>Rochuspoint 2</t>
  </si>
  <si>
    <t>4866</t>
  </si>
  <si>
    <t>Unterach</t>
  </si>
  <si>
    <t>47.80503</t>
  </si>
  <si>
    <t>13.46896</t>
  </si>
  <si>
    <t>+436649196442</t>
  </si>
  <si>
    <t>aichhorn-elektrotechnik@a1.net</t>
  </si>
  <si>
    <t>https://bilder.dasschnelle.at/DasSchnelle/50/5000/9909/043554/G_043554_P_906303107.adn.gif</t>
  </si>
  <si>
    <t>Müllner, Michael, Mag., öffentl Notar • Waidhofen an der Thaya • Niederösterreich</t>
  </si>
  <si>
    <t>Notare • Müllner, Michael, Mag., Bahnhofstraße 4, Waidhofen an der Thaya • Kontakt über aktuelle Telefonnummern ☎ und Adressen ⚑ mit Karte, Routing, Öffnungszeiten, Homepage, E-Mail, vCard und Firmendaten.</t>
  </si>
  <si>
    <t>3830</t>
  </si>
  <si>
    <t>Waidhofen an der Thaya</t>
  </si>
  <si>
    <t>48.8139</t>
  </si>
  <si>
    <t>15.28245</t>
  </si>
  <si>
    <t>+432842523960</t>
  </si>
  <si>
    <t>michael.muellner@notar.at</t>
  </si>
  <si>
    <t>https://bilder.dasschnelle.at/DasSchnelle/50/5000/9885/044264/G_044264_P_906303108.adn.gif</t>
  </si>
  <si>
    <t>Möseneder GmbH, Transporte - Baggerungen • Neumarkt im Hausruckkreis • Oberösterreich</t>
  </si>
  <si>
    <t>Baggerungen u. Transporte, Transportunternehmen • Möseneder GmbH, Kallham 10, Neumarkt im Hausruckkreis • Kontakt über aktuelle Telefonnummern ☎ und Adressen ⚑ mit Karte, Routing, Öffnungszeiten, Homepage, E-Mail, vCard und Firmendaten.</t>
  </si>
  <si>
    <t>Kallham 10</t>
  </si>
  <si>
    <t>48.2839050</t>
  </si>
  <si>
    <t>13.7214435</t>
  </si>
  <si>
    <t>+4377337387;+43773320637</t>
  </si>
  <si>
    <t>josef.moeseneder@aon.at</t>
  </si>
  <si>
    <t>https://bilder.dasschnelle.at/DasSchnelle/50/5000/9887/041819/I_041819_P_905950215_L_0036234716_1.png</t>
  </si>
  <si>
    <t>https://bilder.dasschnelle.at/DasSchnelle/50/5000/9887/041819/I_041819_P_905950215_B_0036234716_1.gal.png?height=720&amp;width=960;https://bilder.dasschnelle.at/DasSchnelle/50/5000/9887/041819/I_041819_P_905950215_B_0036234716_2.gal.png?height=720&amp;width=960;https://bilder.dasschnelle.at/DasSchnelle/50/5000/9887/041819/I_041819_P_905950215_B_0036234716_3.gal.png?height=720&amp;width=960;https://bilder.dasschnelle.at/DasSchnelle/50/5000/9887/041819/I_041819_P_905950215_B_0036234716_4.gal.png?height=720&amp;width=960</t>
  </si>
  <si>
    <t>Starkl, Jürgen, Dr., FA f Orthopädie u orthopäd Chirurgie • Krems an der Donau • Niederösterreich</t>
  </si>
  <si>
    <t>Ärzte / Fachärzte f. Orthopädie u. Orthopädische Chirurgie • Starkl, Jürgen, Dr., Pfarrplatz 4, Krems an der Donau • Kontakt über aktuelle Telefonnummern ☎ und Adressen ⚑ mit Karte, Routing, Öffnungszeiten, Homepage, E-Mail, vCard und Firmendaten.</t>
  </si>
  <si>
    <t>Pfarrplatz 4</t>
  </si>
  <si>
    <t>48.3544600</t>
  </si>
  <si>
    <t>15.6176200</t>
  </si>
  <si>
    <t>+436643445456</t>
  </si>
  <si>
    <t>ordination@orthopaedie-starkl.at</t>
  </si>
  <si>
    <t>Riedelsberger, Harald, Dr., Facharzt f Radiologie • Grieskirchen • Oberösterreich</t>
  </si>
  <si>
    <t>Ärzte / Fachärzte f. Radiologie • Riedelsberger, Harald, Dr., Bahnhofstraße 2, Grieskirchen • Kontakt über aktuelle Telefonnummern ☎ und Adressen ⚑ mit Karte, Routing, Öffnungszeiten, Homepage, E-Mail, vCard und Firmendaten.</t>
  </si>
  <si>
    <t>48.2330542</t>
  </si>
  <si>
    <t>13.8362662</t>
  </si>
  <si>
    <t>+43724868601</t>
  </si>
  <si>
    <t>radiologie@aon.at</t>
  </si>
  <si>
    <t>Gschwendtner, Helga, Sägewerk • Grieskirchen • Oberösterreich</t>
  </si>
  <si>
    <t>Säge- u. Hobelwerke • Gschwendtner, Helga, Tollet 15, Grieskirchen • Kontakt über aktuelle Telefonnummern ☎ und Adressen ⚑ mit Karte, Routing, Öffnungszeiten, Homepage, E-Mail, vCard und Firmendaten.</t>
  </si>
  <si>
    <t>Tollet 15</t>
  </si>
  <si>
    <t>48.2420201</t>
  </si>
  <si>
    <t>13.8015553</t>
  </si>
  <si>
    <t>+43724862723</t>
  </si>
  <si>
    <t>saege@gschwendtner.co.at</t>
  </si>
  <si>
    <t>https://bilder.dasschnelle.at/DasSchnelle/50/5000/9887/041976/G_041976_P_906222351.adn.gif</t>
  </si>
  <si>
    <t>Thönig, Irene, Fußpflege • Fügen • Tirol</t>
  </si>
  <si>
    <t>Fußpflege • Thönig, Irene, Hauptstraße 53, Fügen • Kontakt über aktuelle Telefonnummern ☎ und Adressen ⚑ mit Karte, Routing, Öffnungszeiten, Homepage, E-Mail, vCard und Firmendaten.</t>
  </si>
  <si>
    <t>+436766203516</t>
  </si>
  <si>
    <t>https://bilder.dasschnelle.at/DasSchnelle/50/5000/9929/042620/G_042620_P_906136217.adn.gif</t>
  </si>
  <si>
    <t>Scherz, Andrea, Dr., FA für Frauenheilkunde und Geburtshilfe • Wiener Neustadt • Niederösterreich</t>
  </si>
  <si>
    <t>Ärzte / Fachärzte f. Frauenheilkunde u. Geburtshilfe • Scherz, Andrea, Dr., Reyergasse 11 /2, Wiener Neustadt • Kontakt über aktuelle Telefonnummern ☎ und Adressen ⚑ mit Karte, Routing, Öffnungszeiten, Homepage, E-Mail, vCard und Firmendaten.</t>
  </si>
  <si>
    <t>Reyergasse 11 /2</t>
  </si>
  <si>
    <t>47.81516</t>
  </si>
  <si>
    <t>16.24035</t>
  </si>
  <si>
    <t>+43262261330;+436641023681;+436641023682;+436641023683</t>
  </si>
  <si>
    <t>https://bilder.dasschnelle.at/DasSchnelle/50/5000/9946/042060/G_042060_P_906227598.adn.gif</t>
  </si>
  <si>
    <t>Wolkenreich GmbH • Gralla • Steiermark</t>
  </si>
  <si>
    <t>Matratzen, Bettwaren • Wolkenreich GmbH, Fassoldweg 9, Gralla • Kontakt über aktuelle Telefonnummern ☎ und Adressen ⚑ mit Karte, Routing, Öffnungszeiten, Homepage, E-Mail, vCard und Firmendaten.</t>
  </si>
  <si>
    <t>Fassoldweg 9</t>
  </si>
  <si>
    <t>8431</t>
  </si>
  <si>
    <t>Gralla</t>
  </si>
  <si>
    <t>46.8045209</t>
  </si>
  <si>
    <t>15.5648245</t>
  </si>
  <si>
    <t>+436641344778</t>
  </si>
  <si>
    <t>info@wolkenreich.at</t>
  </si>
  <si>
    <t>https://bilder.dasschnelle.at/DasSchnelle/50/5000/9904/061363/G_061363_P_906302644.adn.gif</t>
  </si>
  <si>
    <t>Buchschartner Erdbau-Abbruch GmbH • Mondsee • Oberösterreich</t>
  </si>
  <si>
    <t>Abfallentsorgung u. -verwertung, Erdarbeiten • Buchschartner Erdbau-Abbruch GmbH, Herzog Odilo-Straße 100, Mondsee • Kontakt über aktuelle Telefonnummern ☎ und Adressen ⚑ mit Karte, Routing, Öffnungszeiten, Homepage, E-Mail, vCard und Firmendaten.</t>
  </si>
  <si>
    <t>Herzog Odilo-Straße 100</t>
  </si>
  <si>
    <t>47.86665</t>
  </si>
  <si>
    <t>13.33299</t>
  </si>
  <si>
    <t>+4362322597</t>
  </si>
  <si>
    <t>office@fbuchschartner.at</t>
  </si>
  <si>
    <t>https://bilder.dasschnelle.at/DasSchnelle/50/5000/9909/043551/I_043551_P_906087549_L_0035970973_1.png</t>
  </si>
  <si>
    <t>https://bilder.dasschnelle.at/DasSchnelle/50/5000/9909/043551/I_043551_P_906087549_B_0035970973_1.gal.png?height=227&amp;width=624;https://bilder.dasschnelle.at/DasSchnelle/50/5000/9909/043551/I_043551_P_906087549_B_0035970973_2.gal.png?height=444&amp;width=624;https://bilder.dasschnelle.at/DasSchnelle/50/5000/9909/043551/I_043551_P_906087549_B_0035970973_3.gal.png?height=476&amp;width=624;https://bilder.dasschnelle.at/DasSchnelle/50/5000/9909/043551/I_043551_P_906087549_B_0035970973_4.gal.png?height=227&amp;width=624;https://bilder.dasschnelle.at/DasSchnelle/50/5000/9909/043551/G_043551_P_906302650.adn.gif</t>
  </si>
  <si>
    <t>Buchsteiner, Marion, Trachtenwerkstatt • Haus • Steiermark</t>
  </si>
  <si>
    <t>Trachtenbekleidung • Buchsteiner, Marion, Kaiblingstraße 11, Haus • Kontakt über aktuelle Telefonnummern ☎ und Adressen ⚑ mit Karte, Routing, Öffnungszeiten, Homepage, E-Mail, vCard und Firmendaten.</t>
  </si>
  <si>
    <t>Kaiblingstraße 11</t>
  </si>
  <si>
    <t>47.40887</t>
  </si>
  <si>
    <t>13.76652</t>
  </si>
  <si>
    <t>+436802347563</t>
  </si>
  <si>
    <t>trachtenwerkstatt@gmx.at</t>
  </si>
  <si>
    <t>https://bilder.dasschnelle.at/DasSchnelle/50/5000/9928/044850/G_044850_P_906171753.adn.gif</t>
  </si>
  <si>
    <t>Diensthuber, Martin, Sandstrahlen • Gmunden • Oberösterreich</t>
  </si>
  <si>
    <t>Sandstrahlarbeiten • Diensthuber, Martin, Linzerstraße 65, Gmunden • Kontakt über aktuelle Telefonnummern ☎ und Adressen ⚑ mit Karte, Routing, Öffnungszeiten, Homepage, E-Mail, vCard und Firmendaten.</t>
  </si>
  <si>
    <t>Linzerstraße 65</t>
  </si>
  <si>
    <t>47.92218</t>
  </si>
  <si>
    <t>13.80444</t>
  </si>
  <si>
    <t>+43761262162;+436641112870</t>
  </si>
  <si>
    <t>taxi.diensthuber@gmx.at</t>
  </si>
  <si>
    <t>https://bilder.dasschnelle.at/DasSchnelle/50/5000/9886/041792/I_041792_P_906030437_L_0036738832_1.png</t>
  </si>
  <si>
    <t>https://bilder.dasschnelle.at/DasSchnelle/50/5000/9886/041792/I_041792_P_906030437_B_0036738832_1.gal.png?height=400&amp;width=600;https://bilder.dasschnelle.at/DasSchnelle/50/5000/9886/041792/I_041792_P_906030437_B_0036738832_2.gal.png?height=400&amp;width=600;https://bilder.dasschnelle.at/DasSchnelle/50/5000/9886/041792/I_041792_P_906030437_B_0036738832_3.gal.png?height=400&amp;width=600;https://bilder.dasschnelle.at/DasSchnelle/50/5000/9886/041792/I_041792_P_906030437_B_0036738832_4.gal.png?height=177&amp;width=600</t>
  </si>
  <si>
    <t>Reininger GmbH, Abfallwirtschaft • Pinsdorf • Oberösterreich</t>
  </si>
  <si>
    <t>Baggerungen u. Transporte, Tiefbau • Reininger GmbH, Gmundner Straße 3, Pinsdorf • Kontakt über aktuelle Telefonnummern ☎ und Adressen ⚑ mit Karte, Routing, Öffnungszeiten, Homepage, E-Mail, vCard und Firmendaten.</t>
  </si>
  <si>
    <t>Gmundner Straße 3</t>
  </si>
  <si>
    <t>47.9301883</t>
  </si>
  <si>
    <t>13.7716572</t>
  </si>
  <si>
    <t>+436643943186</t>
  </si>
  <si>
    <t>abfallwirtschaft@reiningergroup.at</t>
  </si>
  <si>
    <t>https://bilder.dasschnelle.at/DasSchnelle/50/5000/9886/041801/I_041801_P_906044426_L_0037558885_1.png</t>
  </si>
  <si>
    <t>https://bilder.dasschnelle.at/DasSchnelle/50/5000/9886/041801/I_041801_P_906044426_B_0037558885_1.gal.png?height=540&amp;width=720;https://bilder.dasschnelle.at/DasSchnelle/50/5000/9886/041801/I_041801_P_906044426_B_0037558885_2.gal.png?height=540&amp;width=720;https://bilder.dasschnelle.at/DasSchnelle/50/5000/9886/041801/I_041801_P_906044426_B_0037558885_3.gal.png?height=540&amp;width=720;https://bilder.dasschnelle.at/DasSchnelle/50/5000/9886/041801/I_041801_P_906044426_B_0037558885_4.gal.png?height=478&amp;width=720</t>
  </si>
  <si>
    <t>Dietachmair, Alois, Baumschule • Sierning • Oberösterreich</t>
  </si>
  <si>
    <t>Baumschulen • Dietachmair, Alois, Simsenpoint 1, Sierning • Kontakt über aktuelle Telefonnummern ☎ und Adressen ⚑ mit Karte, Routing, Öffnungszeiten, Homepage, E-Mail, vCard und Firmendaten.</t>
  </si>
  <si>
    <t>Simsenpoint 1</t>
  </si>
  <si>
    <t>4522</t>
  </si>
  <si>
    <t>Sierning</t>
  </si>
  <si>
    <t>48.06016</t>
  </si>
  <si>
    <t>14.30303</t>
  </si>
  <si>
    <t>+4372592996</t>
  </si>
  <si>
    <t>a.dietachmair-neumar@gmx.at</t>
  </si>
  <si>
    <t>https://bilder.dasschnelle.at/DasSchnelle/50/5000/9932/042821/G_042821_P_906224024.adn.gif</t>
  </si>
  <si>
    <t>Taxi Schiffer • Sierning • Oberösterreich</t>
  </si>
  <si>
    <t>Taxi • Taxi Schiffer, Bahnhofstraße 16, Sierning • Kontakt über aktuelle Telefonnummern ☎ und Adressen ⚑ mit Karte, Routing, Öffnungszeiten, Homepage, E-Mail, vCard und Firmendaten.</t>
  </si>
  <si>
    <t>Bahnhofstraße 16</t>
  </si>
  <si>
    <t>48.04218</t>
  </si>
  <si>
    <t>14.31123</t>
  </si>
  <si>
    <t>+43725932525;+436764560606</t>
  </si>
  <si>
    <t>office@hc-schiffer.at</t>
  </si>
  <si>
    <t>https://bilder.dasschnelle.at/DasSchnelle/50/5000/9932/042821/G_042821_P_906147288.adn.gif</t>
  </si>
  <si>
    <t>Vitalzentrum, Massagen • Sierning • Oberösterreich</t>
  </si>
  <si>
    <t>Massagen • Vitalzentrum, Franz-Streer-Weg 1, Sierning • Kontakt über aktuelle Telefonnummern ☎ und Adressen ⚑ mit Karte, Routing, Öffnungszeiten, Homepage, E-Mail, vCard und Firmendaten.</t>
  </si>
  <si>
    <t>Franz-Streer-Weg 1</t>
  </si>
  <si>
    <t>48.04234</t>
  </si>
  <si>
    <t>14.31254</t>
  </si>
  <si>
    <t>+4372593134</t>
  </si>
  <si>
    <t>office@vitalzentrum.at</t>
  </si>
  <si>
    <t>https://bilder.dasschnelle.at/DasSchnelle/50/5000/9932/042821/G_042821_P_906154301.adn.gif</t>
  </si>
  <si>
    <t>Ömmer, Johannes, Auto u Zweirad • Neuzeug • Oberösterreich</t>
  </si>
  <si>
    <t>Autohandel • Ömmer, Johannes, Hubstraße 2, Neuzeug • Kontakt über aktuelle Telefonnummern ☎ und Adressen ⚑ mit Karte, Routing, Öffnungszeiten, Homepage, E-Mail, vCard und Firmendaten.</t>
  </si>
  <si>
    <t>Hubstraße 2</t>
  </si>
  <si>
    <t>4523</t>
  </si>
  <si>
    <t>Neuzeug</t>
  </si>
  <si>
    <t>48.0595670</t>
  </si>
  <si>
    <t>14.3286066</t>
  </si>
  <si>
    <t>+436765300570</t>
  </si>
  <si>
    <t>office@oemmer-kfz.at</t>
  </si>
  <si>
    <t>https://bilder.dasschnelle.at/DasSchnelle/50/5000/9932/042821/G_042821_P_906154880.adn.gif</t>
  </si>
  <si>
    <t>Käfer, Jürgen, Massagen • Neuzeug • Oberösterreich</t>
  </si>
  <si>
    <t>Fußpflege • Käfer, Jürgen, Quellenweg 17, Neuzeug • Kontakt über aktuelle Telefonnummern ☎ und Adressen ⚑ mit Karte, Routing, Öffnungszeiten, Homepage, E-Mail, vCard und Firmendaten.</t>
  </si>
  <si>
    <t>Quellenweg 17</t>
  </si>
  <si>
    <t>48.0563851</t>
  </si>
  <si>
    <t>14.3415428</t>
  </si>
  <si>
    <t>+4372592078</t>
  </si>
  <si>
    <t>juergen@kaefer-humanenergie.at</t>
  </si>
  <si>
    <t>https://bilder.dasschnelle.at/DasSchnelle/50/5000/9932/042821/G_042821_P_906154881.adn.gif</t>
  </si>
  <si>
    <t>Deisl, Christian, Friseur • Sierning • Oberösterreich</t>
  </si>
  <si>
    <t>Friseure • Deisl, Christian, Steyrer Straße 20, Sierning • Kontakt über aktuelle Telefonnummern ☎ und Adressen ⚑ mit Karte, Routing, Öffnungszeiten, Homepage, E-Mail, vCard und Firmendaten.</t>
  </si>
  <si>
    <t>Steyrer Straße 20</t>
  </si>
  <si>
    <t>48.04454</t>
  </si>
  <si>
    <t>14.31188</t>
  </si>
  <si>
    <t>+43725924000;+4372594444</t>
  </si>
  <si>
    <t>+43725924004</t>
  </si>
  <si>
    <t>office@friseur-deisl.at</t>
  </si>
  <si>
    <t>https://bilder.dasschnelle.at/DasSchnelle/50/5000/9932/042821/G_042821_P_906151729.adn.gif</t>
  </si>
  <si>
    <t>Lengauer, Melanie, Massagen • Neuzeug • Oberösterreich</t>
  </si>
  <si>
    <t>Massagen • Lengauer, Melanie, Gärtnerweg 27, Neuzeug • Kontakt über aktuelle Telefonnummern ☎ und Adressen ⚑ mit Karte, Routing, Öffnungszeiten, Homepage, E-Mail, vCard und Firmendaten.</t>
  </si>
  <si>
    <t>Gärtnerweg 27</t>
  </si>
  <si>
    <t>48.05421</t>
  </si>
  <si>
    <t>14.35269</t>
  </si>
  <si>
    <t>+436769357753</t>
  </si>
  <si>
    <t>m.krautgartner@hotmail.com</t>
  </si>
  <si>
    <t>https://bilder.dasschnelle.at/DasSchnelle/50/5000/9932/042821/G_042821_P_906162755.adn.gif</t>
  </si>
  <si>
    <t>Schiller, Manuela, Friseur • Sierning • Oberösterreich</t>
  </si>
  <si>
    <t>Friseure • Schiller, Manuela, Bahnhofstraße 30, Sierning • Kontakt über aktuelle Telefonnummern ☎ und Adressen ⚑ mit Karte, Routing, Öffnungszeiten, Homepage, E-Mail, vCard und Firmendaten.</t>
  </si>
  <si>
    <t>Bahnhofstraße 30</t>
  </si>
  <si>
    <t>48.0412800</t>
  </si>
  <si>
    <t>14.3124200</t>
  </si>
  <si>
    <t>+4372595086;+436644443836</t>
  </si>
  <si>
    <t>manuela.schiller@aon.at</t>
  </si>
  <si>
    <t>https://bilder.dasschnelle.at/DasSchnelle/50/5000/9932/042821/G_042821_P_906163970.adn.gif</t>
  </si>
  <si>
    <t>Bestattungsanstalt d. Marktgemeinde Sierning, Bestattung • Sierning • Oberösterreich</t>
  </si>
  <si>
    <t>Bestattungsunternehmen • Bestattungsanstalt d. Marktgemeinde Sierning, Kirchenplatz 1, Sierning • Kontakt über aktuelle Telefonnummern ☎ und Adressen ⚑ mit Karte, Routing, Öffnungszeiten, Homepage, E-Mail, vCard und Firmendaten.</t>
  </si>
  <si>
    <t>Kirchenplatz 1</t>
  </si>
  <si>
    <t>48.045</t>
  </si>
  <si>
    <t>14.30932</t>
  </si>
  <si>
    <t>+4372592255242</t>
  </si>
  <si>
    <t>hannes.haghofer@sierning.at</t>
  </si>
  <si>
    <t>https://bilder.dasschnelle.at/DasSchnelle/50/5000/9932/042821/G_042821_P_906145711.adn.gif</t>
  </si>
  <si>
    <t>Wezlbacher Glas, Rizvanovic Midhad, Glaserei • Sierning • Oberösterreich</t>
  </si>
  <si>
    <t>Glasereien • Wezlbacher Glas, Rizvanovic Midhad, Neustraße 8, Sierning • Kontakt über aktuelle Telefonnummern ☎ und Adressen ⚑ mit Karte, Routing, Öffnungszeiten, Homepage, E-Mail, vCard und Firmendaten.</t>
  </si>
  <si>
    <t>Neustraße 8</t>
  </si>
  <si>
    <t>48.04374</t>
  </si>
  <si>
    <t>14.3086</t>
  </si>
  <si>
    <t>+4372592485</t>
  </si>
  <si>
    <t>glaserei@wezlbacher.at</t>
  </si>
  <si>
    <t>https://bilder.dasschnelle.at/DasSchnelle/50/5000/9932/042821/G_042821_P_906145708.adn.gif</t>
  </si>
  <si>
    <t>Oppeneder, Gerhard, Viehhandel • Mühltal • Oberösterreich</t>
  </si>
  <si>
    <t>Viehhandel • Oppeneder, Gerhard, Herrengasse 12, Mühltal • Kontakt über aktuelle Telefonnummern ☎ und Adressen ⚑ mit Karte, Routing, Öffnungszeiten, Homepage, E-Mail, vCard und Firmendaten.</t>
  </si>
  <si>
    <t>Herrengasse 12</t>
  </si>
  <si>
    <t>Mühltal</t>
  </si>
  <si>
    <t>48.02069</t>
  </si>
  <si>
    <t>13.93609</t>
  </si>
  <si>
    <t>+4376147824;+436642262853</t>
  </si>
  <si>
    <t>gerhard@oppeneder.at</t>
  </si>
  <si>
    <t>https://bilder.dasschnelle.at/DasSchnelle/50/5000/9943/041807/G_041807_P_906147263.adn.gif</t>
  </si>
  <si>
    <t>Probst, Rainer, Bäckerei • Vorchdorf • Oberösterreich</t>
  </si>
  <si>
    <t>Bäckereien • Probst, Rainer, Lambacherstraße 15, Vorchdorf • Kontakt über aktuelle Telefonnummern ☎ und Adressen ⚑ mit Karte, Routing, Öffnungszeiten, Homepage, E-Mail, vCard und Firmendaten.</t>
  </si>
  <si>
    <t>Lambacherstraße 15</t>
  </si>
  <si>
    <t>48.0043100</t>
  </si>
  <si>
    <t>13.9211500</t>
  </si>
  <si>
    <t>+4376147056;+4369912276634;+4369912276635</t>
  </si>
  <si>
    <t>r.probst@aon.at</t>
  </si>
  <si>
    <t>https://bilder.dasschnelle.at/DasSchnelle/50/5000/9943/041807/G_041807_P_906185807.adn.gif</t>
  </si>
  <si>
    <t>Klinkert, Mary, Dr., Zahnärztin • Vorchdorf • Oberösterreich</t>
  </si>
  <si>
    <t>Zahnärzte • Klinkert, Mary, Dr., Schulstraße 12, Vorchdorf • Kontakt über aktuelle Telefonnummern ☎ und Adressen ⚑ mit Karte, Routing, Öffnungszeiten, Homepage, E-Mail, vCard und Firmendaten.</t>
  </si>
  <si>
    <t>Schulstraße 12</t>
  </si>
  <si>
    <t>48.00675</t>
  </si>
  <si>
    <t>13.92393</t>
  </si>
  <si>
    <t>+43761451377</t>
  </si>
  <si>
    <t>klinkert@aon.at</t>
  </si>
  <si>
    <t>https://bilder.dasschnelle.at/DasSchnelle/50/5000/9943/041807/G_041807_P_906199349.adn.gif</t>
  </si>
  <si>
    <t>Elektro Klamert e.U. • Gainbrunn • Niederösterreich</t>
  </si>
  <si>
    <t>Elektroinstallationsunternehmen, Elektrounternehmen • Elektro Klamert e.U., Gainbrunn 30, Gainbrunn • Kontakt über aktuelle Telefonnummern ☎ und Adressen ⚑ mit Karte, Routing, Öffnungszeiten, Homepage, E-Mail, vCard und Firmendaten.</t>
  </si>
  <si>
    <t>Gainbrunn 30</t>
  </si>
  <si>
    <t>3524</t>
  </si>
  <si>
    <t>Gainbrunn</t>
  </si>
  <si>
    <t>48.4861790</t>
  </si>
  <si>
    <t>15.2723505</t>
  </si>
  <si>
    <t>+4328778226</t>
  </si>
  <si>
    <t>office@elektro-klamert.at</t>
  </si>
  <si>
    <t>Kolm, Franz, Tischlermeister • Teichmanns • Niederösterreich</t>
  </si>
  <si>
    <t>Tischlereien • Kolm, Franz, Teichmanns 9, Teichmanns • Kontakt über aktuelle Telefonnummern ☎ und Adressen ⚑ mit Karte, Routing, Öffnungszeiten, Homepage, E-Mail, vCard und Firmendaten.</t>
  </si>
  <si>
    <t>Teichmanns 9</t>
  </si>
  <si>
    <t>3623</t>
  </si>
  <si>
    <t>Teichmanns</t>
  </si>
  <si>
    <t>48.4218315</t>
  </si>
  <si>
    <t>15.2546848</t>
  </si>
  <si>
    <t>+4328727397</t>
  </si>
  <si>
    <t>+432872739714</t>
  </si>
  <si>
    <t>office@tischlerei-kolm.at</t>
  </si>
  <si>
    <t>https://bilder.dasschnelle.at/DasSchnelle/50/5000/9950/044532/G_044532_P_906301588.adn.gif</t>
  </si>
  <si>
    <t>Melanie`s Gänseblümchen, Blumen • Grafenschlag • Niederösterreich</t>
  </si>
  <si>
    <t>Blumenhandel • Melanie`s Gänseblümchen, Meierhofweg 7, Grafenschlag • Kontakt über aktuelle Telefonnummern ☎ und Adressen ⚑ mit Karte, Routing, Öffnungszeiten, Homepage, E-Mail, vCard und Firmendaten.</t>
  </si>
  <si>
    <t>Meierhofweg 7</t>
  </si>
  <si>
    <t>3912</t>
  </si>
  <si>
    <t>Grafenschlag</t>
  </si>
  <si>
    <t>48.5025</t>
  </si>
  <si>
    <t>15.16692</t>
  </si>
  <si>
    <t>+43287560160</t>
  </si>
  <si>
    <t>melaniekausl@gmx.at</t>
  </si>
  <si>
    <t>https://bilder.dasschnelle.at/DasSchnelle/50/5000/9950/044527/I_044527_P_906081786_L_0035969763_1.png</t>
  </si>
  <si>
    <t>https://bilder.dasschnelle.at/DasSchnelle/50/5000/9950/044527/I_044527_P_906081786_B_0035969763_1.gal.png?height=422&amp;width=700;https://bilder.dasschnelle.at/DasSchnelle/50/5000/9950/044527/I_044527_P_906081786_B_0035969763_2.gal.png?height=388&amp;width=500;https://bilder.dasschnelle.at/DasSchnelle/50/5000/9950/044527/I_044527_P_906081786_B_0035969763_3.gal.png?height=500&amp;width=500;https://bilder.dasschnelle.at/DasSchnelle/50/5000/9950/044527/I_044527_P_906081786_B_0035969763_4.gal.png?height=500&amp;width=500</t>
  </si>
  <si>
    <t>Harry's Thayaquellenhof GmbH, Gastronomie • Schweiggers • Niederösterreich</t>
  </si>
  <si>
    <t>Gastronomiebetriebe • Harry's Thayaquellenhof GmbH, Hauptplatz 2, Schweiggers • Kontakt über aktuelle Telefonnummern ☎ und Adressen ⚑ mit Karte, Routing, Öffnungszeiten, Homepage, E-Mail, vCard und Firmendaten.</t>
  </si>
  <si>
    <t>Hauptplatz 2</t>
  </si>
  <si>
    <t>3931</t>
  </si>
  <si>
    <t>Schweiggers</t>
  </si>
  <si>
    <t>48.66831</t>
  </si>
  <si>
    <t>15.06261</t>
  </si>
  <si>
    <t>+43282970351</t>
  </si>
  <si>
    <t>gasthof@harrys-thayaquellenhof.at</t>
  </si>
  <si>
    <t>https://bilder.dasschnelle.at/DasSchnelle/50/5000/9950/044542/G_044542_P_906299996.adn.gif</t>
  </si>
  <si>
    <t>Penz, Daniela, Textilwaren • Zwettl • Niederösterreich</t>
  </si>
  <si>
    <t>Textilwaren • Penz, Daniela, Landstraße 56, Zwettl • Kontakt über aktuelle Telefonnummern ☎ und Adressen ⚑ mit Karte, Routing, Öffnungszeiten, Homepage, E-Mail, vCard und Firmendaten.</t>
  </si>
  <si>
    <t>Landstraße 56</t>
  </si>
  <si>
    <t>48.60649</t>
  </si>
  <si>
    <t>15.1658</t>
  </si>
  <si>
    <t>+43282254004;+4366473421960</t>
  </si>
  <si>
    <t>kontakt@himmelbettundzwirn.at</t>
  </si>
  <si>
    <t>https://bilder.dasschnelle.at/DasSchnelle/50/5000/9950/044545/G_044545_P_906294848.adn.gif</t>
  </si>
  <si>
    <t>Traxler, Ferdinand, Elektrotechnik • Antenfeinhöfe • Niederösterreich</t>
  </si>
  <si>
    <t>Elektrotechnik • Traxler, Ferdinand, Antenfeinhöfe 26, Antenfeinhöfe • Kontakt über aktuelle Telefonnummern ☎ und Adressen ⚑ mit Karte, Routing, Öffnungszeiten, Homepage, E-Mail, vCard und Firmendaten.</t>
  </si>
  <si>
    <t>Antenfeinhöfe 26</t>
  </si>
  <si>
    <t>3920</t>
  </si>
  <si>
    <t>Antenfeinhöfe</t>
  </si>
  <si>
    <t>48.5284529</t>
  </si>
  <si>
    <t>14.9009857</t>
  </si>
  <si>
    <t>+4328125386</t>
  </si>
  <si>
    <t>info@elektro-traxler.at</t>
  </si>
  <si>
    <t>https://bilder.dasschnelle.at/DasSchnelle/50/5000/9950/044528/G_044528_P_906302635.adn.gif</t>
  </si>
  <si>
    <t>Wolff, Jörn, Tapezierermeister • Groß Gerungs • Niederösterreich</t>
  </si>
  <si>
    <t>Raumausstatter • Wolff, Jörn, Dr.-Julius-Sturm-Straße 147, Groß Gerungs • Kontakt über aktuelle Telefonnummern ☎ und Adressen ⚑ mit Karte, Routing, Öffnungszeiten, Homepage, E-Mail, vCard und Firmendaten.</t>
  </si>
  <si>
    <t>Dr.-Julius-Sturm-Straße 147</t>
  </si>
  <si>
    <t>Groß Gerungs</t>
  </si>
  <si>
    <t>48.57191</t>
  </si>
  <si>
    <t>14.9549</t>
  </si>
  <si>
    <t>+43281251360</t>
  </si>
  <si>
    <t>wolff.joern@aon.at</t>
  </si>
  <si>
    <t>https://bilder.dasschnelle.at/DasSchnelle/50/5000/9950/044528/G_044528_P_906294852.adn.gif</t>
  </si>
  <si>
    <t>Grill, Barbara, Nah &amp; Frisch, Lebensmittel • Göpfritz an der Wild • Niederösterreich</t>
  </si>
  <si>
    <t>Lebensmittel • Grill, Barbara, Nah &amp; Frisch, Hauptstraße 69, Göpfritz an der Wild • Kontakt über aktuelle Telefonnummern ☎ und Adressen ⚑ mit Karte, Routing, Öffnungszeiten, Homepage, E-Mail, vCard und Firmendaten.</t>
  </si>
  <si>
    <t>Hauptstraße 69</t>
  </si>
  <si>
    <t>3800</t>
  </si>
  <si>
    <t>Göpfritz an der Wild</t>
  </si>
  <si>
    <t>48.72453</t>
  </si>
  <si>
    <t>15.40051</t>
  </si>
  <si>
    <t>+43282570013;+436644233645</t>
  </si>
  <si>
    <t>grill.barbara@gmx.at</t>
  </si>
  <si>
    <t>https://bilder.dasschnelle.at/DasSchnelle/50/5000/9950/044526/G_044526_P_906294868.adn.gif</t>
  </si>
  <si>
    <t>Karosserie Kormesser GmbH, Karosserie • Zwettl • Niederösterreich</t>
  </si>
  <si>
    <t>Karosseriebau • Karosserie Kormesser GmbH, Moidrams 70, Zwettl • Kontakt über aktuelle Telefonnummern ☎ und Adressen ⚑ mit Karte, Routing, Öffnungszeiten, Homepage, E-Mail, vCard und Firmendaten.</t>
  </si>
  <si>
    <t>Moidrams 70</t>
  </si>
  <si>
    <t>48.5984354</t>
  </si>
  <si>
    <t>15.1519127</t>
  </si>
  <si>
    <t>+43282253945</t>
  </si>
  <si>
    <t>+43282251417</t>
  </si>
  <si>
    <t>karosserie.kormesser@wvnet.at</t>
  </si>
  <si>
    <t>https://bilder.dasschnelle.at/DasSchnelle/50/5000/9950/044545/G_044545_P_906294839.adn.gif</t>
  </si>
  <si>
    <t>Bucher, Andreas, Raumausstatter • Groß Gerungs • Niederösterreich</t>
  </si>
  <si>
    <t>Raumausstatter • Bucher, Andreas, Linzer Straße 5, Groß Gerungs • Kontakt über aktuelle Telefonnummern ☎ und Adressen ⚑ mit Karte, Routing, Öffnungszeiten, Homepage, E-Mail, vCard und Firmendaten.</t>
  </si>
  <si>
    <t>Linzer Straße 5</t>
  </si>
  <si>
    <t>48.5740900</t>
  </si>
  <si>
    <t>14.9545100</t>
  </si>
  <si>
    <t>+4328125595</t>
  </si>
  <si>
    <t>office@traumausstatter.at</t>
  </si>
  <si>
    <t>https://bilder.dasschnelle.at/DasSchnelle/50/5000/9950/044528/G_044528_P_906294842.adn.gif</t>
  </si>
  <si>
    <t>Hölzl, Daniel, Metalltechnik • Schweiggers • Niederösterreich</t>
  </si>
  <si>
    <t>Metallbau • Hölzl, Daniel, Sallingstadt 27, Schweiggers • Kontakt über aktuelle Telefonnummern ☎ und Adressen ⚑ mit Karte, Routing, Öffnungszeiten, Homepage, E-Mail, vCard und Firmendaten.</t>
  </si>
  <si>
    <t>Sallingstadt 27</t>
  </si>
  <si>
    <t>48.6812769</t>
  </si>
  <si>
    <t>15.1051136</t>
  </si>
  <si>
    <t>+436645346534</t>
  </si>
  <si>
    <t>office@metalltechnik-hoelzl.at</t>
  </si>
  <si>
    <t>https://bilder.dasschnelle.at/DasSchnelle/50/5000/9950/044542/G_044542_P_906294870.adn.gif</t>
  </si>
  <si>
    <t>Winkler Andreas GmbH, Raumausstatter-Tapezierermeister • Ottenschlag • Niederösterreich</t>
  </si>
  <si>
    <t>Raumausstatter • Winkler Andreas GmbH, Oberer Markt 5, Ottenschlag • Kontakt über aktuelle Telefonnummern ☎ und Adressen ⚑ mit Karte, Routing, Öffnungszeiten, Homepage, E-Mail, vCard und Firmendaten.</t>
  </si>
  <si>
    <t>Oberer Markt 5</t>
  </si>
  <si>
    <t>3631</t>
  </si>
  <si>
    <t>Ottenschlag</t>
  </si>
  <si>
    <t>48.42437</t>
  </si>
  <si>
    <t>15.22076</t>
  </si>
  <si>
    <t>+4328726556</t>
  </si>
  <si>
    <t>+43287265561</t>
  </si>
  <si>
    <t>winkler-raumausstatter@wvnet.at</t>
  </si>
  <si>
    <t>https://bilder.dasschnelle.at/DasSchnelle/50/5000/9950/044535/G_044535_P_906298005.adn.gif</t>
  </si>
  <si>
    <t>Gasthof Hirsch GmbH • Groß Gerungs • Niederösterreich</t>
  </si>
  <si>
    <t>Gastgewerbe - Gasthöfe • Gasthof Hirsch GmbH, Hauptplatz 20, Groß Gerungs • Kontakt über aktuelle Telefonnummern ☎ und Adressen ⚑ mit Karte, Routing, Öffnungszeiten, Homepage, E-Mail, vCard und Firmendaten.</t>
  </si>
  <si>
    <t>Hauptplatz 20</t>
  </si>
  <si>
    <t>48.5745</t>
  </si>
  <si>
    <t>14.95855</t>
  </si>
  <si>
    <t>+4328128341</t>
  </si>
  <si>
    <t>info@hirsch-gerungs.at</t>
  </si>
  <si>
    <t>https://bilder.dasschnelle.at/DasSchnelle/50/5000/9950/044528/I_044528_P_906070716_L_0038002069_1.png</t>
  </si>
  <si>
    <t>https://bilder.dasschnelle.at/DasSchnelle/50/5000/9950/044528/I_044528_P_906070716_B_0038002069_1.gal.png?height=373&amp;width=600;https://bilder.dasschnelle.at/DasSchnelle/50/5000/9950/044528/I_044528_P_906070716_B_0038002069_2.gal.png?height=374&amp;width=600;https://bilder.dasschnelle.at/DasSchnelle/50/5000/9950/044528/I_044528_P_906070716_B_0038002069_3.gal.png?height=600&amp;width=397;https://bilder.dasschnelle.at/DasSchnelle/50/5000/9950/044528/I_044528_P_906070716_B_0038002069_4.gal.png?height=368&amp;width=600;https://bilder.dasschnelle.at/DasSchnelle/50/5000/9950/044528/G_044528_P_906294850.adn.gif</t>
  </si>
  <si>
    <t>Der Spengler Prinz, Inh. Andreas Heinzl, Spenglerei-Dachdeckerei • Schweiggers • Niederösterreich</t>
  </si>
  <si>
    <t>Spenglereien • Der Spengler Prinz, Inh. Andreas Heinzl, Gewerbestraße 4, Schweiggers • Kontakt über aktuelle Telefonnummern ☎ und Adressen ⚑ mit Karte, Routing, Öffnungszeiten, Homepage, E-Mail, vCard und Firmendaten.</t>
  </si>
  <si>
    <t>Gewerbestraße 4</t>
  </si>
  <si>
    <t>48.67176</t>
  </si>
  <si>
    <t>15.06691</t>
  </si>
  <si>
    <t>+436641052914</t>
  </si>
  <si>
    <t>office@spenglerprinz.at</t>
  </si>
  <si>
    <t>https://bilder.dasschnelle.at/DasSchnelle/50/5000/9950/044542/G_044542_P_906298014.adn.gif</t>
  </si>
  <si>
    <t>Zahrl GesmbH, Dachdeckerei-Spenglerei • Groß Gerungs • Niederösterreich</t>
  </si>
  <si>
    <t>Dachdeckereien, Spenglereien • Zahrl GesmbH, Schulgasse 151, Groß Gerungs • Kontakt über aktuelle Telefonnummern ☎ und Adressen ⚑ mit Karte, Routing, Öffnungszeiten, Homepage, E-Mail, vCard und Firmendaten.</t>
  </si>
  <si>
    <t>Schulgasse 151</t>
  </si>
  <si>
    <t>48.57223</t>
  </si>
  <si>
    <t>14.96054</t>
  </si>
  <si>
    <t>+43281257880;+436644341322;+436644322416</t>
  </si>
  <si>
    <t>+432812578816</t>
  </si>
  <si>
    <t>office@zahrldach.at</t>
  </si>
  <si>
    <t>https://bilder.dasschnelle.at/DasSchnelle/50/5000/9950/044528/G_044528_P_906294844.adn.gif</t>
  </si>
  <si>
    <t>Klein, Natascha, Friseursalon • Groß Gerungs • Niederösterreich</t>
  </si>
  <si>
    <t>Friseure • Klein, Natascha, Siebenberg 17, Groß Gerungs • Kontakt über aktuelle Telefonnummern ☎ und Adressen ⚑ mit Karte, Routing, Öffnungszeiten, Homepage, E-Mail, vCard und Firmendaten.</t>
  </si>
  <si>
    <t>Siebenberg 17</t>
  </si>
  <si>
    <t>48.6035320</t>
  </si>
  <si>
    <t>14.9087487</t>
  </si>
  <si>
    <t>+436642405478</t>
  </si>
  <si>
    <t>natascha.klein1@gmx.at</t>
  </si>
  <si>
    <t>https://bilder.dasschnelle.at/DasSchnelle/50/5000/9950/044528/G_044528_P_906298016.adn.gif</t>
  </si>
  <si>
    <t>Niesl, Andreas, Haustechnik • Maria Rojach • Kärnten</t>
  </si>
  <si>
    <t>Installationsunternehmen • Niesl, Andreas, Dachberg 14, Maria Rojach • Kontakt über aktuelle Telefonnummern ☎ und Adressen ⚑ mit Karte, Routing, Öffnungszeiten, Homepage, E-Mail, vCard und Firmendaten.</t>
  </si>
  <si>
    <t>Dachberg 14</t>
  </si>
  <si>
    <t>9422</t>
  </si>
  <si>
    <t>Maria Rojach</t>
  </si>
  <si>
    <t>46.7416342</t>
  </si>
  <si>
    <t>14.8671849</t>
  </si>
  <si>
    <t>+436767005950</t>
  </si>
  <si>
    <t>office@haustechnik-niesl.at</t>
  </si>
  <si>
    <t>https://bilder.dasschnelle.at/DasSchnelle/50/5000/9949/042043/I_042043_P_905898808_L_0036003065_1.png</t>
  </si>
  <si>
    <t>https://bilder.dasschnelle.at/DasSchnelle/50/5000/9949/042043/I_042043_P_905898808_B_0036003065_1.gal.png?height=600&amp;width=450;https://bilder.dasschnelle.at/DasSchnelle/50/5000/9949/042043/I_042043_P_905898808_B_0036003065_2.gal.png?height=450&amp;width=600;https://bilder.dasschnelle.at/DasSchnelle/50/5000/9949/042043/I_042043_P_905898808_B_0036003065_3.gal.png?height=600&amp;width=450;https://bilder.dasschnelle.at/DasSchnelle/50/5000/9949/042043/I_042043_P_905898808_B_0036003065_4.gal.png?height=600&amp;width=450</t>
  </si>
  <si>
    <t>Pajnik Elektro GmbH • St. Paul im Lavanttal • Kärnten</t>
  </si>
  <si>
    <t>Elektrohandel, Elektrotechnik • Pajnik Elektro GmbH, Bahnhofstraße 7, St. Paul im Lavanttal • Kontakt über aktuelle Telefonnummern ☎ und Adressen ⚑ mit Karte, Routing, Öffnungszeiten, Homepage, E-Mail, vCard und Firmendaten.</t>
  </si>
  <si>
    <t>Bahnhofstraße 7</t>
  </si>
  <si>
    <t>9470</t>
  </si>
  <si>
    <t>St. Paul im Lavanttal</t>
  </si>
  <si>
    <t>46.7058478</t>
  </si>
  <si>
    <t>14.8671270</t>
  </si>
  <si>
    <t>+4343573300;+436641133300;+436649161010</t>
  </si>
  <si>
    <t>elektro.pajnik@aon.at</t>
  </si>
  <si>
    <t>https://bilder.dasschnelle.at/DasSchnelle/50/5000/9949/042045/I_042045_P_905875879_L_0036003102_1.png</t>
  </si>
  <si>
    <t>https://bilder.dasschnelle.at/DasSchnelle/50/5000/9949/042045/I_042045_P_905875879_B_0036003102_1.gal.png?height=465&amp;width=624;https://bilder.dasschnelle.at/DasSchnelle/50/5000/9949/042045/I_042045_P_905875879_B_0036003102_2.gal.png?height=465&amp;width=624</t>
  </si>
  <si>
    <t>Malliga, Erwin, Dr.med.univ., FA f Zahn-, Mund- u Kieferheilkunde • Gries • Kärnten</t>
  </si>
  <si>
    <t>Ärzte / Fachärzte f. Zahn-, Mund u. Kieferheilkunde • Malliga, Erwin, Dr.med.univ., Mozartstraße 6, Gries • Kontakt über aktuelle Telefonnummern ☎ und Adressen ⚑ mit Karte, Routing, Öffnungszeiten, Homepage, E-Mail, vCard und Firmendaten.</t>
  </si>
  <si>
    <t>Mozartstraße 6</t>
  </si>
  <si>
    <t>9400</t>
  </si>
  <si>
    <t>46.83465</t>
  </si>
  <si>
    <t>14.84802</t>
  </si>
  <si>
    <t>+4343522357</t>
  </si>
  <si>
    <t>+434352235757</t>
  </si>
  <si>
    <t>https://bilder.dasschnelle.at/DasSchnelle/50/5000/9949/042046/G_042046_P_906162157.adn.gif</t>
  </si>
  <si>
    <t>Hairzlich - Treffer, Elisabeth Katharina, Friseur • St. Stefan • Kärnten</t>
  </si>
  <si>
    <t>Friseure • Hairzlich - Treffer, Elisabeth Katharina, Hauptstraße 16, St. Stefan • Kontakt über aktuelle Telefonnummern ☎ und Adressen ⚑ mit Karte, Routing, Öffnungszeiten, Homepage, E-Mail, vCard und Firmendaten.</t>
  </si>
  <si>
    <t>Hauptstraße 16</t>
  </si>
  <si>
    <t>9431</t>
  </si>
  <si>
    <t>St. Stefan</t>
  </si>
  <si>
    <t>46.81293</t>
  </si>
  <si>
    <t>14.85016</t>
  </si>
  <si>
    <t>+43435237377</t>
  </si>
  <si>
    <t>https://bilder.dasschnelle.at/DasSchnelle/50/5000/9949/042046/G_042046_P_906123786.adn.gif</t>
  </si>
  <si>
    <t>Gönitzer, Christoph Karl  • St. Andrä • Kärnten</t>
  </si>
  <si>
    <t>Stukkateure u. Trockenausbauer • Gönitzer, Christoph Karl, Jakling 176, St. Andrä • Kontakt über aktuelle Telefonnummern ☎ und Adressen ⚑ mit Karte, Routing, Öffnungszeiten, Homepage, E-Mail, vCard und Firmendaten.</t>
  </si>
  <si>
    <t>Jakling 176</t>
  </si>
  <si>
    <t>9433</t>
  </si>
  <si>
    <t>St. Andrä</t>
  </si>
  <si>
    <t>46.7635493</t>
  </si>
  <si>
    <t>14.8380216</t>
  </si>
  <si>
    <t>+43435828094</t>
  </si>
  <si>
    <t>vwsgoenitzer@aon.at</t>
  </si>
  <si>
    <t>https://bilder.dasschnelle.at/DasSchnelle/50/5000/9949/042043/G_042043_P_906132041.adn.gif</t>
  </si>
  <si>
    <t>Hanschitz, Hans-Dieter, Dr., FA für Innere Medizin • Wolfsberg • Kärnten</t>
  </si>
  <si>
    <t>Ärzte / Fachärzte f. Innere Medizin • Hanschitz, Hans-Dieter, Dr., Reckturmweg 11 3, Wolfsberg • Kontakt über aktuelle Telefonnummern ☎ und Adressen ⚑ mit Karte, Routing, Öffnungszeiten, Homepage, E-Mail, vCard und Firmendaten.</t>
  </si>
  <si>
    <t>Reckturmweg 11 3</t>
  </si>
  <si>
    <t>Wolfsberg</t>
  </si>
  <si>
    <t>46.83767</t>
  </si>
  <si>
    <t>14.84696</t>
  </si>
  <si>
    <t>+43435250650</t>
  </si>
  <si>
    <t>office@drhanschitz.com</t>
  </si>
  <si>
    <t>https://bilder.dasschnelle.at/DasSchnelle/50/5000/9949/998265/G_998265_P_906167349.adn.gif</t>
  </si>
  <si>
    <t>Blumen Silvia • St. Paul • Kärnten</t>
  </si>
  <si>
    <t>Blumenhandel, Gärtnereien • Blumen Silvia, Hauptstrasse 21, St. Paul • Kontakt über aktuelle Telefonnummern ☎ und Adressen ⚑ mit Karte, Routing, Öffnungszeiten, Homepage, E-Mail, vCard und Firmendaten.</t>
  </si>
  <si>
    <t>Hauptstrasse 21</t>
  </si>
  <si>
    <t>St. Paul</t>
  </si>
  <si>
    <t>46.7005715</t>
  </si>
  <si>
    <t>14.8697997</t>
  </si>
  <si>
    <t>+4343573926</t>
  </si>
  <si>
    <t>Blumen.Silvia@gmx.at</t>
  </si>
  <si>
    <t>https://bilder.dasschnelle.at/DasSchnelle/50/5000/9949/042045/G_042045_P_906123839.adn.gif</t>
  </si>
  <si>
    <t>Welwich GmbH, KFZ-Technik • St. Stefan • Kärnten</t>
  </si>
  <si>
    <t>Autoreparaturen • Welwich GmbH, Klagenfurterstraße 60, St. Stefan • Kontakt über aktuelle Telefonnummern ☎ und Adressen ⚑ mit Karte, Routing, Öffnungszeiten, Homepage, E-Mail, vCard und Firmendaten.</t>
  </si>
  <si>
    <t>Klagenfurterstraße 60</t>
  </si>
  <si>
    <t>46.81144</t>
  </si>
  <si>
    <t>14.83217</t>
  </si>
  <si>
    <t>+43435281230</t>
  </si>
  <si>
    <t>https://bilder.dasschnelle.at/DasSchnelle/50/5000/9949/042046/G_042046_P_906133842.adn.gif</t>
  </si>
  <si>
    <t>Alfred Pansy Spenglerei &amp; Dachdeckerei GmbH • Messensach • Kärnten</t>
  </si>
  <si>
    <t>Dachdeckereien • Alfred Pansy Spenglerei &amp; Dachdeckerei GmbH, Messensach 53, Messensach • Kontakt über aktuelle Telefonnummern ☎ und Adressen ⚑ mit Karte, Routing, Öffnungszeiten, Homepage, E-Mail, vCard und Firmendaten.</t>
  </si>
  <si>
    <t>Messensach 53</t>
  </si>
  <si>
    <t>Messensach</t>
  </si>
  <si>
    <t>46.7482714</t>
  </si>
  <si>
    <t>14.8559844</t>
  </si>
  <si>
    <t>+436645258437;+43435828341</t>
  </si>
  <si>
    <t>alfred.pansy@gmx.at</t>
  </si>
  <si>
    <t>https://bilder.dasschnelle.at/DasSchnelle/50/5000/9949/042043/I_042043_P_905886608_L_0036002928_1.png</t>
  </si>
  <si>
    <t>Edler, Günther, Satz, Druck, Werbegrafik • Sankt Paul im Lavanttal • Kärnten</t>
  </si>
  <si>
    <t>Druckereien, Werbegrafiker • Edler, Günther, Sankt Paul im Lavanttal 50, Sankt Paul im Lavanttal • Kontakt über aktuelle Telefonnummern ☎ und Adressen ⚑ mit Karte, Routing, Öffnungszeiten, Homepage, E-Mail, vCard und Firmendaten.</t>
  </si>
  <si>
    <t>Sankt Paul im Lavanttal 50</t>
  </si>
  <si>
    <t>Sankt Paul im Lavanttal</t>
  </si>
  <si>
    <t>46.6836412</t>
  </si>
  <si>
    <t>14.8379489</t>
  </si>
  <si>
    <t>+436765103151</t>
  </si>
  <si>
    <t>g.edler@netcompany.at</t>
  </si>
  <si>
    <t>https://bilder.dasschnelle.at/DasSchnelle/50/5000/9949/042045/G_042045_P_906142630.adn.gif</t>
  </si>
  <si>
    <t>Stratznig Bau, Bauunternehmen-Betonwerk • St. Andrä • Kärnten</t>
  </si>
  <si>
    <t>Bauunternehmen • Stratznig Bau, Burgstall 50, St. Andrä • Kontakt über aktuelle Telefonnummern ☎ und Adressen ⚑ mit Karte, Routing, Öffnungszeiten, Homepage, E-Mail, vCard und Firmendaten.</t>
  </si>
  <si>
    <t>Burgstall 50</t>
  </si>
  <si>
    <t>46.7587722</t>
  </si>
  <si>
    <t>14.8209855</t>
  </si>
  <si>
    <t>+43435822340;+436643907474</t>
  </si>
  <si>
    <t>+434358223475</t>
  </si>
  <si>
    <t>office@stratznig-bau.at</t>
  </si>
  <si>
    <t>https://bilder.dasschnelle.at/DasSchnelle/50/5000/9949/042043/G_042043_P_906123841.adn.gif</t>
  </si>
  <si>
    <t>Jölli Glas GmbH, Glaserei • St. Paul im Lavanttal • Kärnten</t>
  </si>
  <si>
    <t>Glasereien • Jölli Glas GmbH, Bahnhofstraße 2, St. Paul im Lavanttal • Kontakt über aktuelle Telefonnummern ☎ und Adressen ⚑ mit Karte, Routing, Öffnungszeiten, Homepage, E-Mail, vCard und Firmendaten.</t>
  </si>
  <si>
    <t>46.7037481</t>
  </si>
  <si>
    <t>14.8695831</t>
  </si>
  <si>
    <t>+4343572005;+43435728655;+436645161740</t>
  </si>
  <si>
    <t>office@joelli-glas.at</t>
  </si>
  <si>
    <t>https://bilder.dasschnelle.at/DasSchnelle/50/5000/9949/042045/I_042045_P_905866294_L_0036003122_1.png</t>
  </si>
  <si>
    <t>https://bilder.dasschnelle.at/DasSchnelle/50/5000/9949/042045/I_042045_P_905866294_B_0036003122_1.gal.png?height=225&amp;width=300;https://bilder.dasschnelle.at/DasSchnelle/50/5000/9949/042045/I_042045_P_905866294_B_0036003122_2.gal.png?height=233&amp;width=425;https://bilder.dasschnelle.at/DasSchnelle/50/5000/9949/042045/I_042045_P_905866294_B_0036003122_3.gal.png?height=245&amp;width=300;https://bilder.dasschnelle.at/DasSchnelle/50/5000/9949/042045/I_042045_P_905866294_B_0036003122_4.gal.png?height=256&amp;width=300</t>
  </si>
  <si>
    <t>Hotel Gasthof Stoff GmbH • St. Margarethen im Lavanttal • Kärnten</t>
  </si>
  <si>
    <t>Gastgewerbe - Gasthöfe • Hotel Gasthof Stoff GmbH, Weißenbachstraße 30, St. Margarethen im Lavanttal • Kontakt über aktuelle Telefonnummern ☎ und Adressen ⚑ mit Karte, Routing, Öffnungszeiten, Homepage, E-Mail, vCard und Firmendaten.</t>
  </si>
  <si>
    <t>Weißenbachstraße 30</t>
  </si>
  <si>
    <t>9412</t>
  </si>
  <si>
    <t>St. Margarethen im Lavanttal</t>
  </si>
  <si>
    <t>46.8535</t>
  </si>
  <si>
    <t>14.80779</t>
  </si>
  <si>
    <t>+4343522297;+43435230801;+43435254841;+4369910660001;+4369910703855;+4369910703859;+4369910703870;+4369918053370</t>
  </si>
  <si>
    <t>info@hotel-stoff.at</t>
  </si>
  <si>
    <t>https://bilder.dasschnelle.at/DasSchnelle/50/5000/9949/042046/G_042046_P_906123671.adn.gif</t>
  </si>
  <si>
    <t>Baldauf, Christian, Gasthof-Pension • St. Margarethen im Lavanttal • Kärnten</t>
  </si>
  <si>
    <t>Gastgewerbe - Gasthöfe • Baldauf, Christian, Forst 39, St. Margarethen im Lavanttal • Kontakt über aktuelle Telefonnummern ☎ und Adressen ⚑ mit Karte, Routing, Öffnungszeiten, Homepage, E-Mail, vCard und Firmendaten.</t>
  </si>
  <si>
    <t>Forst 39</t>
  </si>
  <si>
    <t>46.8661511</t>
  </si>
  <si>
    <t>14.7643907</t>
  </si>
  <si>
    <t>+43435261356</t>
  </si>
  <si>
    <t>forstnerwirt@aon.at</t>
  </si>
  <si>
    <t>https://bilder.dasschnelle.at/DasSchnelle/50/5000/9949/042046/G_042046_P_906123755.adn.gif</t>
  </si>
  <si>
    <t>Zmollnig, Hubert, Garten- u Landschaftsgestaltung • Gemmersdorf • Kärnten</t>
  </si>
  <si>
    <t>Garten- u. Landschaftsgestaltung • Zmollnig, Hubert, Gemmersdorf 149, Gemmersdorf • Kontakt über aktuelle Telefonnummern ☎ und Adressen ⚑ mit Karte, Routing, Öffnungszeiten, Homepage, E-Mail, vCard und Firmendaten.</t>
  </si>
  <si>
    <t>Gemmersdorf 149</t>
  </si>
  <si>
    <t>9421</t>
  </si>
  <si>
    <t>Gemmersdorf</t>
  </si>
  <si>
    <t>46.7612637</t>
  </si>
  <si>
    <t>14.9011707</t>
  </si>
  <si>
    <t>+436645423802</t>
  </si>
  <si>
    <t>zmollnig.hubert@aon.at</t>
  </si>
  <si>
    <t>https://bilder.dasschnelle.at/DasSchnelle/50/5000/9949/042043/G_042043_P_906123958.adn.gif</t>
  </si>
  <si>
    <t>Hinteregger, Friedrich, Säge- u Hobelwerke • Granitztal-St. Paul • Kärnten</t>
  </si>
  <si>
    <t>Säge- u. Hobelwerke • Hinteregger, Friedrich, Granitztal-St.Paul 26, Granitztal-St. Paul • Kontakt über aktuelle Telefonnummern ☎ und Adressen ⚑ mit Karte, Routing, Öffnungszeiten, Homepage, E-Mail, vCard und Firmendaten.</t>
  </si>
  <si>
    <t>Granitztal-St.Paul 26</t>
  </si>
  <si>
    <t>Granitztal-St. Paul</t>
  </si>
  <si>
    <t>46.6922187</t>
  </si>
  <si>
    <t>14.8331416</t>
  </si>
  <si>
    <t>+4343573663;+436509447356</t>
  </si>
  <si>
    <t>saegehinteregger@aon.at</t>
  </si>
  <si>
    <t>https://bilder.dasschnelle.at/DasSchnelle/50/5000/9949/042045/G_042045_P_906125849.adn.gif</t>
  </si>
  <si>
    <t>Sturmer, Claudia, Friseur • Wolfsberg • Kärnten</t>
  </si>
  <si>
    <t>Friseure • Sturmer, Claudia, Johann-Offner-Straße 30, Wolfsberg • Kontakt über aktuelle Telefonnummern ☎ und Adressen ⚑ mit Karte, Routing, Öffnungszeiten, Homepage, E-Mail, vCard und Firmendaten.</t>
  </si>
  <si>
    <t>Johann-Offner-Straße 30</t>
  </si>
  <si>
    <t>46.83687</t>
  </si>
  <si>
    <t>14.84587</t>
  </si>
  <si>
    <t>+436649935323</t>
  </si>
  <si>
    <t>claudia.flechl@gmx.at</t>
  </si>
  <si>
    <t>https://bilder.dasschnelle.at/DasSchnelle/50/5000/9949/042046/G_042046_P_906123788.adn.gif</t>
  </si>
  <si>
    <t>Petra Stückler, Hundesalon • Eitweg • Kärnten</t>
  </si>
  <si>
    <t>Hundesalon • Petra Stückler, Eitweg 84 A, Eitweg • Kontakt über aktuelle Telefonnummern ☎ und Adressen ⚑ mit Karte, Routing, Öffnungszeiten, Homepage, E-Mail, vCard und Firmendaten.</t>
  </si>
  <si>
    <t>Eitweg 84 A</t>
  </si>
  <si>
    <t>Eitweg</t>
  </si>
  <si>
    <t>46.7752324</t>
  </si>
  <si>
    <t>14.8807696</t>
  </si>
  <si>
    <t>+4343524848</t>
  </si>
  <si>
    <t>https://bilder.dasschnelle.at/DasSchnelle/50/5000/9949/042043/G_042043_P_906125749.adn.gif</t>
  </si>
  <si>
    <t>Morianz GmbH, Metallverarbeitung • St. Andrä • Kärnten</t>
  </si>
  <si>
    <t>Förderanlagen u. -geräte, Metallbe- u. -verarbeitung • Morianz GmbH, Framrach 53, St. Andrä • Kontakt über aktuelle Telefonnummern ☎ und Adressen ⚑ mit Karte, Routing, Öffnungszeiten, Homepage, E-Mail, vCard und Firmendaten.</t>
  </si>
  <si>
    <t>Framrach 53</t>
  </si>
  <si>
    <t>46.7482892</t>
  </si>
  <si>
    <t>14.8235126</t>
  </si>
  <si>
    <t>+43435828021;+436641546930</t>
  </si>
  <si>
    <t>office@morianz.at</t>
  </si>
  <si>
    <t>https://bilder.dasschnelle.at/DasSchnelle/50/5000/9949/042043/G_042043_P_906129188.adn.gif</t>
  </si>
  <si>
    <t>Brunner GmbH, Dachdeckereien • Framrach • Kärnten</t>
  </si>
  <si>
    <t>Dachdeckereien • Brunner GmbH, Framrach 66, Framrach • Kontakt über aktuelle Telefonnummern ☎ und Adressen ⚑ mit Karte, Routing, Öffnungszeiten, Homepage, E-Mail, vCard und Firmendaten.</t>
  </si>
  <si>
    <t>Framrach 66</t>
  </si>
  <si>
    <t>Framrach</t>
  </si>
  <si>
    <t>46.7457881</t>
  </si>
  <si>
    <t>14.8190624</t>
  </si>
  <si>
    <t>+43435828081;+436644540500</t>
  </si>
  <si>
    <t>brunner.dach@aon.at</t>
  </si>
  <si>
    <t>https://bilder.dasschnelle.at/DasSchnelle/50/5000/9949/042043/I_042043_P_905866299_L_0036003138_1.png</t>
  </si>
  <si>
    <t>https://bilder.dasschnelle.at/DasSchnelle/50/5000/9949/042043/I_042043_P_905866299_B_0036003138_1.gal.png?height=205&amp;width=360;https://bilder.dasschnelle.at/DasSchnelle/50/5000/9949/042043/I_042043_P_905866299_B_0036003138_2.gal.png?height=266&amp;width=266;https://bilder.dasschnelle.at/DasSchnelle/50/5000/9949/042043/I_042043_P_905866299_B_0036003138_3.gal.png?height=266&amp;width=266;https://bilder.dasschnelle.at/DasSchnelle/50/5000/9949/042043/G_042043_P_905866299.adn.gif</t>
  </si>
  <si>
    <t>Schiefer, Hubert, Beschriftungen • Tamsweg • Salzburg</t>
  </si>
  <si>
    <t>Beschriftungen • Schiefer, Hubert, Mörtelsdorf 13, Tamsweg • Kontakt über aktuelle Telefonnummern ☎ und Adressen ⚑ mit Karte, Routing, Öffnungszeiten, Homepage, E-Mail, vCard und Firmendaten.</t>
  </si>
  <si>
    <t>Mörtelsdorf 13</t>
  </si>
  <si>
    <t>5580</t>
  </si>
  <si>
    <t>Tamsweg</t>
  </si>
  <si>
    <t>47.1320859</t>
  </si>
  <si>
    <t>13.7886391</t>
  </si>
  <si>
    <t>+436641264465</t>
  </si>
  <si>
    <t>malermeisterhubert@yahoo.de</t>
  </si>
  <si>
    <t>https://bilder.dasschnelle.at/DasSchnelle/50/5000/9936/043804/I_043804_P_905915257_L_0036253154_1.png</t>
  </si>
  <si>
    <t>https://bilder.dasschnelle.at/DasSchnelle/50/5000/9936/043804/I_043804_P_905915257_B_0036253154_1.gal.png?height=420&amp;width=560;https://bilder.dasschnelle.at/DasSchnelle/50/5000/9936/043804/I_043804_P_905915257_B_0036253154_2.gal.png?height=420&amp;width=420;https://bilder.dasschnelle.at/DasSchnelle/50/5000/9936/043804/I_043804_P_905915257_B_0036253154_3.gal.png?height=420&amp;width=420;https://bilder.dasschnelle.at/DasSchnelle/50/5000/9936/043804/I_043804_P_905915257_B_0036253154_4.gal.png?height=420&amp;width=315</t>
  </si>
  <si>
    <t>Koller Adalbert e.U., Glaserei • Sankt Michael im Lungau • Salzburg</t>
  </si>
  <si>
    <t>Glasereien • Koller Adalbert e.U., Oberweißburg 135, Sankt Michael im Lungau • Kontakt über aktuelle Telefonnummern ☎ und Adressen ⚑ mit Karte, Routing, Öffnungszeiten, Homepage, E-Mail, vCard und Firmendaten.</t>
  </si>
  <si>
    <t>Oberweißburg 135</t>
  </si>
  <si>
    <t>5582</t>
  </si>
  <si>
    <t>Sankt Michael im Lungau</t>
  </si>
  <si>
    <t>47.1043964</t>
  </si>
  <si>
    <t>13.5927452</t>
  </si>
  <si>
    <t>+436641605890</t>
  </si>
  <si>
    <t>tischlerei.koller@gmx.at</t>
  </si>
  <si>
    <t>https://bilder.dasschnelle.at/DasSchnelle/50/5000/9936/043803/I_043804_P_905923678_L_0036240448_1.png</t>
  </si>
  <si>
    <t>https://bilder.dasschnelle.at/DasSchnelle/50/5000/9936/043803/I_043804_P_905923678_B_0036240448_1.gal.png?height=456&amp;width=434;https://bilder.dasschnelle.at/DasSchnelle/50/5000/9936/043803/G_043803_P_906161092.adn.gif</t>
  </si>
  <si>
    <t>Lüftenegger, Cornelia, Friseur • Mauterndorf • Salzburg</t>
  </si>
  <si>
    <t>Friseure • Lüftenegger, Cornelia, Liftstraße 61, Mauterndorf • Kontakt über aktuelle Telefonnummern ☎ und Adressen ⚑ mit Karte, Routing, Öffnungszeiten, Homepage, E-Mail, vCard und Firmendaten.</t>
  </si>
  <si>
    <t>Liftstraße 61</t>
  </si>
  <si>
    <t>5570</t>
  </si>
  <si>
    <t>Mauterndorf</t>
  </si>
  <si>
    <t>47.13347</t>
  </si>
  <si>
    <t>13.67779</t>
  </si>
  <si>
    <t>+4364727800</t>
  </si>
  <si>
    <t>https://bilder.dasschnelle.at/DasSchnelle/50/5000/9936/043362/G_043362_P_906154898.adn.gif</t>
  </si>
  <si>
    <t>Malermeister Gautsch GmbH, Malereibetriebe • Sankt Andrä • Salzburg</t>
  </si>
  <si>
    <t>Malereibetriebe • Malermeister Gautsch GmbH, Wölting 55, Sankt Andrä • Kontakt über aktuelle Telefonnummern ☎ und Adressen ⚑ mit Karte, Routing, Öffnungszeiten, Homepage, E-Mail, vCard und Firmendaten.</t>
  </si>
  <si>
    <t>Wölting 55</t>
  </si>
  <si>
    <t>5572</t>
  </si>
  <si>
    <t>Sankt Andrä</t>
  </si>
  <si>
    <t>47.1454032</t>
  </si>
  <si>
    <t>13.8077736</t>
  </si>
  <si>
    <t>+4364746719</t>
  </si>
  <si>
    <t>office@malerei-gautsch.at</t>
  </si>
  <si>
    <t>https://bilder.dasschnelle.at/DasSchnelle/50/5000/9936/043801/G_043801_P_906167340.adn.gif</t>
  </si>
  <si>
    <t>Skerlec, Ernst, Pizzeria • Mariapfarr • Salzburg</t>
  </si>
  <si>
    <t>Pizzerias • Skerlec, Ernst, Lintschnig 113, Mariapfarr • Kontakt über aktuelle Telefonnummern ☎ und Adressen ⚑ mit Karte, Routing, Öffnungszeiten, Homepage, E-Mail, vCard und Firmendaten.</t>
  </si>
  <si>
    <t>Lintschnig 113</t>
  </si>
  <si>
    <t>5571</t>
  </si>
  <si>
    <t>Mariapfarr</t>
  </si>
  <si>
    <t>47.1470464</t>
  </si>
  <si>
    <t>13.7587268</t>
  </si>
  <si>
    <t>+4364738379</t>
  </si>
  <si>
    <t>pizzeria.ernesto@sbg.at</t>
  </si>
  <si>
    <t>https://bilder.dasschnelle.at/DasSchnelle/50/5000/9936/043801/G_043801_P_906154888.adn.gif</t>
  </si>
  <si>
    <t>Ehrenreich, Corinna, Frisiersalon • Mauterndorf • Salzburg</t>
  </si>
  <si>
    <t>Friseure • Ehrenreich, Corinna, Markt 100, Mauterndorf • Kontakt über aktuelle Telefonnummern ☎ und Adressen ⚑ mit Karte, Routing, Öffnungszeiten, Homepage, E-Mail, vCard und Firmendaten.</t>
  </si>
  <si>
    <t>Markt 100</t>
  </si>
  <si>
    <t>47.1326</t>
  </si>
  <si>
    <t>13.68337</t>
  </si>
  <si>
    <t>+43647220014</t>
  </si>
  <si>
    <t>https://bilder.dasschnelle.at/DasSchnelle/50/5000/9936/043362/G_043362_P_906154889.adn.gif</t>
  </si>
  <si>
    <t>Santner, Johannes, Heizung • Tamsweg • Salzburg</t>
  </si>
  <si>
    <t>Heizungen, Installationsunternehmen • Santner, Johannes, Schwimmschulgasse 20, Tamsweg • Kontakt über aktuelle Telefonnummern ☎ und Adressen ⚑ mit Karte, Routing, Öffnungszeiten, Homepage, E-Mail, vCard und Firmendaten.</t>
  </si>
  <si>
    <t>Schwimmschulgasse 20</t>
  </si>
  <si>
    <t>47.13012</t>
  </si>
  <si>
    <t>13.81618</t>
  </si>
  <si>
    <t>+436641947055</t>
  </si>
  <si>
    <t>hs.santner@aon.at</t>
  </si>
  <si>
    <t>https://bilder.dasschnelle.at/DasSchnelle/50/5000/9936/043804/G_043804_P_906221502.adn.gif</t>
  </si>
  <si>
    <t>Lassacher, Christoph, Metalltechnik, Kunstschmiede • Tamsweg • Salzburg</t>
  </si>
  <si>
    <t>Kunstschmieden • Lassacher, Christoph, Griesgasse 2 A, Tamsweg • Kontakt über aktuelle Telefonnummern ☎ und Adressen ⚑ mit Karte, Routing, Öffnungszeiten, Homepage, E-Mail, vCard und Firmendaten.</t>
  </si>
  <si>
    <t>Griesgasse 2 A</t>
  </si>
  <si>
    <t>47.12945</t>
  </si>
  <si>
    <t>13.81059</t>
  </si>
  <si>
    <t>+436648797781</t>
  </si>
  <si>
    <t>office@kunstschmiede-lassacher.at</t>
  </si>
  <si>
    <t>https://bilder.dasschnelle.at/DasSchnelle/50/5000/9936/043804/G_043804_P_906147251.adn.gif</t>
  </si>
  <si>
    <t>Radfux Zweiradcenter Tamsweg • Tamsweg • Salzburg</t>
  </si>
  <si>
    <t>Zweiräder • Radfux Zweiradcenter Tamsweg, Gartengasse 17, Tamsweg • Kontakt über aktuelle Telefonnummern ☎ und Adressen ⚑ mit Karte, Routing, Öffnungszeiten, Homepage, E-Mail, vCard und Firmendaten.</t>
  </si>
  <si>
    <t>Gartengasse 17</t>
  </si>
  <si>
    <t>47.12537</t>
  </si>
  <si>
    <t>13.81067</t>
  </si>
  <si>
    <t>+4364746780</t>
  </si>
  <si>
    <t>info@radfux.at</t>
  </si>
  <si>
    <t>https://bilder.dasschnelle.at/DasSchnelle/50/5000/9936/043804/G_043804_P_906151753.adn.gif</t>
  </si>
  <si>
    <t>Schmuckkastl e.U. • Tamsweg • Salzburg</t>
  </si>
  <si>
    <t>Schmuck u. Schmuckwaren • Schmuckkastl e.U., Kirchengasse 14, Tamsweg • Kontakt über aktuelle Telefonnummern ☎ und Adressen ⚑ mit Karte, Routing, Öffnungszeiten, Homepage, E-Mail, vCard und Firmendaten.</t>
  </si>
  <si>
    <t>Kirchengasse 14</t>
  </si>
  <si>
    <t>47.1278700</t>
  </si>
  <si>
    <t>13.8105000</t>
  </si>
  <si>
    <t>+43647420159</t>
  </si>
  <si>
    <t>info@schmuckkastl.com</t>
  </si>
  <si>
    <t>https://bilder.dasschnelle.at/DasSchnelle/50/5000/9936/043804/G_043804_P_906154310.adn.gif</t>
  </si>
  <si>
    <t>Klein, Resi, Woll u. Handarbeitsstube • Tamsweg • Salzburg</t>
  </si>
  <si>
    <t>Handarbeiten • Klein, Resi, Woll u. Handarbeitsstube, Murgasse 11, Tamsweg • Kontakt über aktuelle Telefonnummern ☎ und Adressen ⚑ mit Karte, Routing, Öffnungszeiten, Homepage, E-Mail, vCard und Firmendaten.</t>
  </si>
  <si>
    <t>Murgasse 11</t>
  </si>
  <si>
    <t>47.12507</t>
  </si>
  <si>
    <t>13.80855</t>
  </si>
  <si>
    <t>+4364742427</t>
  </si>
  <si>
    <t>info@resiklein.at</t>
  </si>
  <si>
    <t>https://bilder.dasschnelle.at/DasSchnelle/50/5000/9936/043804/G_043804_P_906162161.adn.gif</t>
  </si>
  <si>
    <t>König, Franz, Tischlerei • Tamsweg • Salzburg</t>
  </si>
  <si>
    <t>Tischlereien • König, Franz, Bröllsteig 6 A, Tamsweg • Kontakt über aktuelle Telefonnummern ☎ und Adressen ⚑ mit Karte, Routing, Öffnungszeiten, Homepage, E-Mail, vCard und Firmendaten.</t>
  </si>
  <si>
    <t>Bröllsteig 6 A</t>
  </si>
  <si>
    <t>47.13172</t>
  </si>
  <si>
    <t>13.80498</t>
  </si>
  <si>
    <t>+436643819546</t>
  </si>
  <si>
    <t>office@mein-tischler.cc</t>
  </si>
  <si>
    <t>https://bilder.dasschnelle.at/DasSchnelle/50/5000/9936/043804/G_043804_P_906142638.adn.gif</t>
  </si>
  <si>
    <t>Wieland GesmbH, Sanitär, Heizung, Solar • Tamsweg • Salzburg</t>
  </si>
  <si>
    <t>Heizungen, Installationsunternehmen, Solartechnik • Wieland GesmbH, Gewerbepark 218, Tamsweg • Kontakt über aktuelle Telefonnummern ☎ und Adressen ⚑ mit Karte, Routing, Öffnungszeiten, Homepage, E-Mail, vCard und Firmendaten.</t>
  </si>
  <si>
    <t>Gewerbepark 218</t>
  </si>
  <si>
    <t>47.1317168</t>
  </si>
  <si>
    <t>13.7937640</t>
  </si>
  <si>
    <t>+43647422300</t>
  </si>
  <si>
    <t>office@wieland.at</t>
  </si>
  <si>
    <t>https://bilder.dasschnelle.at/DasSchnelle/50/5000/9936/043804/G_043804_P_906151770.adn.gif</t>
  </si>
  <si>
    <t>Moser, Josef, Fliesenlegemeister • Tamsweg • Salzburg</t>
  </si>
  <si>
    <t>Fliesen u. Plattenverlegungen • Moser, Josef, Lenzenkreuzweg 22, Tamsweg • Kontakt über aktuelle Telefonnummern ☎ und Adressen ⚑ mit Karte, Routing, Öffnungszeiten, Homepage, E-Mail, vCard und Firmendaten.</t>
  </si>
  <si>
    <t>Lenzenkreuzweg 22</t>
  </si>
  <si>
    <t>47.1374</t>
  </si>
  <si>
    <t>13.80604</t>
  </si>
  <si>
    <t>+4369981988526</t>
  </si>
  <si>
    <t>sepp@fliesen-tamsweg.at</t>
  </si>
  <si>
    <t>https://bilder.dasschnelle.at/DasSchnelle/50/5000/9936/043804/G_043804_P_906151732.adn.gif</t>
  </si>
  <si>
    <t>Kremser, Alfred, Natursteine-Fliesen • Pichl • Salzburg</t>
  </si>
  <si>
    <t>Natursteine u. -platten • Kremser, Alfred, Gröbendorf 112, Pichl • Kontakt über aktuelle Telefonnummern ☎ und Adressen ⚑ mit Karte, Routing, Öffnungszeiten, Homepage, E-Mail, vCard und Firmendaten.</t>
  </si>
  <si>
    <t>Gröbendorf 112</t>
  </si>
  <si>
    <t>Pichl</t>
  </si>
  <si>
    <t>47.13731</t>
  </si>
  <si>
    <t>13.71989</t>
  </si>
  <si>
    <t>+43647320147</t>
  </si>
  <si>
    <t>fred.kremser@sbg.at</t>
  </si>
  <si>
    <t>https://bilder.dasschnelle.at/DasSchnelle/50/5000/9936/043361/G_043361_P_906145715.adn.gif</t>
  </si>
  <si>
    <t>Gössl Gwand GmbH, Trachtenbekleidung • Tamsweg • Salzburg</t>
  </si>
  <si>
    <t>Trachtenbekleidung • Gössl Gwand GmbH, Marktplatz 8, Tamsweg • Kontakt über aktuelle Telefonnummern ☎ und Adressen ⚑ mit Karte, Routing, Öffnungszeiten, Homepage, E-Mail, vCard und Firmendaten.</t>
  </si>
  <si>
    <t>Marktplatz 8</t>
  </si>
  <si>
    <t>47.1257</t>
  </si>
  <si>
    <t>13.81017</t>
  </si>
  <si>
    <t>+43647493041</t>
  </si>
  <si>
    <t>tamsweg@goessl.com</t>
  </si>
  <si>
    <t>https://bilder.dasschnelle.at/DasSchnelle/50/5000/9936/043804/G_043804_P_906162784.adn.gif</t>
  </si>
  <si>
    <t>Kendlbacher Leonhard GmbH, Zimmereien • Sankt Michael im Lungau • Salzburg</t>
  </si>
  <si>
    <t>Zimmereien • Kendlbacher Leonhard GmbH, Oberweißburg 22, Sankt Michael im Lungau • Kontakt über aktuelle Telefonnummern ☎ und Adressen ⚑ mit Karte, Routing, Öffnungszeiten, Homepage, E-Mail, vCard und Firmendaten.</t>
  </si>
  <si>
    <t>Oberweißburg 22</t>
  </si>
  <si>
    <t>47.1062715</t>
  </si>
  <si>
    <t>13.5937688</t>
  </si>
  <si>
    <t>+4364778401</t>
  </si>
  <si>
    <t>zi.kendlbacher@aon.at</t>
  </si>
  <si>
    <t>https://bilder.dasschnelle.at/DasSchnelle/50/5000/9936/043803/G_043803_P_906161093.adn.gif</t>
  </si>
  <si>
    <t>Bogensperger, Reinfried, Tischlerei • Tamsweg • Salzburg</t>
  </si>
  <si>
    <t>Tischlereien • Bogensperger, Reinfried, Zinsgasse 1, Tamsweg • Kontakt über aktuelle Telefonnummern ☎ und Adressen ⚑ mit Karte, Routing, Öffnungszeiten, Homepage, E-Mail, vCard und Firmendaten.</t>
  </si>
  <si>
    <t>Zinsgasse 1</t>
  </si>
  <si>
    <t>47.12989</t>
  </si>
  <si>
    <t>13.80928</t>
  </si>
  <si>
    <t>+4364742311;+436502618619;+436764057608</t>
  </si>
  <si>
    <t>reini.bogi@sbg.at</t>
  </si>
  <si>
    <t>https://bilder.dasschnelle.at/DasSchnelle/50/5000/9936/043804/G_043804_P_906147281.adn.gif</t>
  </si>
  <si>
    <t>Koessler, Ingomar, Malerei • Sankt Michael im Lungau • Salzburg</t>
  </si>
  <si>
    <t>Malereibetriebe • Koessler, Ingomar, Litzldorfer-Gasse 139, Sankt Michael im Lungau • Kontakt über aktuelle Telefonnummern ☎ und Adressen ⚑ mit Karte, Routing, Öffnungszeiten, Homepage, E-Mail, vCard und Firmendaten.</t>
  </si>
  <si>
    <t>Litzldorfer-Gasse 139</t>
  </si>
  <si>
    <t>47.10063</t>
  </si>
  <si>
    <t>13.64618</t>
  </si>
  <si>
    <t>+4364778338</t>
  </si>
  <si>
    <t>malerei.koessler@sbg.at</t>
  </si>
  <si>
    <t>https://bilder.dasschnelle.at/DasSchnelle/50/5000/9936/043803/I_043803_P_905929989_L_0036250710_1.png</t>
  </si>
  <si>
    <t>https://bilder.dasschnelle.at/DasSchnelle/50/5000/9936/043803/I_043803_P_905929989_B_0036250710_1.gal.png?height=206&amp;width=206;https://bilder.dasschnelle.at/DasSchnelle/50/5000/9936/043803/I_043803_P_905929989_B_0036250710_2.gal.png?height=206&amp;width=206;https://bilder.dasschnelle.at/DasSchnelle/50/5000/9936/043803/I_043803_P_905929989_B_0036250710_3.gal.png?height=206&amp;width=206;https://bilder.dasschnelle.at/DasSchnelle/50/5000/9936/043803/I_043803_P_905929989_B_0036250710_4.gal.png?height=359&amp;width=600</t>
  </si>
  <si>
    <t>Bernhofer, Christian, Brandschutztechnik • Tamsweg • Salzburg</t>
  </si>
  <si>
    <t>Brandschutztechnik • Bernhofer, Christian, St. Leonhard Gasse 3, Tamsweg • Kontakt über aktuelle Telefonnummern ☎ und Adressen ⚑ mit Karte, Routing, Öffnungszeiten, Homepage, E-Mail, vCard und Firmendaten.</t>
  </si>
  <si>
    <t>St. Leonhard Gasse 3</t>
  </si>
  <si>
    <t>47.12585</t>
  </si>
  <si>
    <t>13.80826</t>
  </si>
  <si>
    <t>+436644168157</t>
  </si>
  <si>
    <t>brandschutztechnik.bernhofer@sbg.at</t>
  </si>
  <si>
    <t>https://bilder.dasschnelle.at/DasSchnelle/50/5000/9936/043804/G_043804_P_906221503.adn.gif</t>
  </si>
  <si>
    <t>Lerchner, Erwin, Malerei, Anstrich, Böden • Tamsweg • Salzburg</t>
  </si>
  <si>
    <t>Malereibetriebe • Lerchner, Erwin, Mörtelsdorf 32, Tamsweg • Kontakt über aktuelle Telefonnummern ☎ und Adressen ⚑ mit Karte, Routing, Öffnungszeiten, Homepage, E-Mail, vCard und Firmendaten.</t>
  </si>
  <si>
    <t>Mörtelsdorf 32</t>
  </si>
  <si>
    <t>47.1282245</t>
  </si>
  <si>
    <t>13.7891434</t>
  </si>
  <si>
    <t>+436643914718</t>
  </si>
  <si>
    <t>e.e.lerchner@aon.at</t>
  </si>
  <si>
    <t>https://bilder.dasschnelle.at/DasSchnelle/50/5000/9936/043804/I_043804_P_905906517_L_0037275309_1.png</t>
  </si>
  <si>
    <t>https://bilder.dasschnelle.at/DasSchnelle/50/5000/9936/043804/I_043804_P_905906517_B_0037275309_1.gal.png?height=621&amp;width=621;https://bilder.dasschnelle.at/DasSchnelle/50/5000/9936/043804/I_043804_P_905906517_B_0037275309_2.gal.png?height=621&amp;width=621;https://bilder.dasschnelle.at/DasSchnelle/50/5000/9936/043804/I_043804_P_905906517_B_0037275309_3.gal.png?height=621&amp;width=621</t>
  </si>
  <si>
    <t>Moser, Dagmar, Schneiderin • Mariapfarr • Salzburg</t>
  </si>
  <si>
    <t>Schneidereien • Moser, Dagmar, Pfarrstraße 21, Mariapfarr • Kontakt über aktuelle Telefonnummern ☎ und Adressen ⚑ mit Karte, Routing, Öffnungszeiten, Homepage, E-Mail, vCard und Firmendaten.</t>
  </si>
  <si>
    <t>Pfarrstraße 21</t>
  </si>
  <si>
    <t>47.15028</t>
  </si>
  <si>
    <t>13.74283</t>
  </si>
  <si>
    <t>+4364737302</t>
  </si>
  <si>
    <t>dagmar.moser@aon.at</t>
  </si>
  <si>
    <t>https://bilder.dasschnelle.at/DasSchnelle/50/5000/9936/043361/G_043361_P_906144783.adn.gif</t>
  </si>
  <si>
    <t>Elektro Franz Schlick GmbH • Sankt Michael im Lungau • Salzburg</t>
  </si>
  <si>
    <t>Elektrogeräte u. -bedarf • Elektro Franz Schlick GmbH, Marktstraße 280, Sankt Michael im Lungau • Kontakt über aktuelle Telefonnummern ☎ und Adressen ⚑ mit Karte, Routing, Öffnungszeiten, Homepage, E-Mail, vCard und Firmendaten.</t>
  </si>
  <si>
    <t>Marktstraße 280</t>
  </si>
  <si>
    <t>47.09692</t>
  </si>
  <si>
    <t>13.63848</t>
  </si>
  <si>
    <t>+43647789990</t>
  </si>
  <si>
    <t>schlick@sbg.at</t>
  </si>
  <si>
    <t>https://bilder.dasschnelle.at/DasSchnelle/50/5000/9936/043803/G_043803_P_906162759.adn.gif</t>
  </si>
  <si>
    <t>Pock, Elisabeth, Gasthof • Straden • Steiermark</t>
  </si>
  <si>
    <t>Gastgewerbe - Gasthöfe • Pock, Elisabeth, Hof bei Straden 34, Straden • Kontakt über aktuelle Telefonnummern ☎ und Adressen ⚑ mit Karte, Routing, Öffnungszeiten, Homepage, E-Mail, vCard und Firmendaten.</t>
  </si>
  <si>
    <t>Hof bei Straden 34</t>
  </si>
  <si>
    <t>46.7989213</t>
  </si>
  <si>
    <t>15.8991735</t>
  </si>
  <si>
    <t>+4334738260</t>
  </si>
  <si>
    <t>gasthof.pock@aon.at</t>
  </si>
  <si>
    <t>https://bilder.dasschnelle.at/DasSchnelle/50/5000/9920/061440/G_061440_P_905989301.adn.gif</t>
  </si>
  <si>
    <t>Maller Erdbau • Mureck • Steiermark</t>
  </si>
  <si>
    <t>Erdbau • Maller Erdbau, Oberrakitsch 132, Mureck • Kontakt über aktuelle Telefonnummern ☎ und Adressen ⚑ mit Karte, Routing, Öffnungszeiten, Homepage, E-Mail, vCard und Firmendaten.</t>
  </si>
  <si>
    <t>Oberrakitsch 132</t>
  </si>
  <si>
    <t>8480</t>
  </si>
  <si>
    <t>Mureck</t>
  </si>
  <si>
    <t>46.7353309</t>
  </si>
  <si>
    <t>15.7399192</t>
  </si>
  <si>
    <t>+436644928732</t>
  </si>
  <si>
    <t>anabel@live.at</t>
  </si>
  <si>
    <t>https://bilder.dasschnelle.at/DasSchnelle/50/5000/9920/061439/G_061439_P_906008203.adn.gif</t>
  </si>
  <si>
    <t>Altenpflegeheim Jauschowetz GmbH, Pflege- u Altenheime • Unterpurkla • Steiermark</t>
  </si>
  <si>
    <t>Pflege- u. Altenheime • Altenpflegeheim Jauschowetz GmbH, Oberpurkla 100, Unterpurkla • Kontakt über aktuelle Telefonnummern ☎ und Adressen ⚑ mit Karte, Routing, Öffnungszeiten, Homepage, E-Mail, vCard und Firmendaten.</t>
  </si>
  <si>
    <t>Oberpurkla 100</t>
  </si>
  <si>
    <t>8484</t>
  </si>
  <si>
    <t>Unterpurkla</t>
  </si>
  <si>
    <t>46.7468218</t>
  </si>
  <si>
    <t>15.9115886</t>
  </si>
  <si>
    <t>+4334755050</t>
  </si>
  <si>
    <t>+433475505040</t>
  </si>
  <si>
    <t>jauschowetz@aon.at</t>
  </si>
  <si>
    <t>https://bilder.dasschnelle.at/DasSchnelle/50/5000/9920/045144/I_045144_P_906033831_L_0035971045_1.png</t>
  </si>
  <si>
    <t>https://bilder.dasschnelle.at/DasSchnelle/50/5000/9920/045144/I_045144_P_906033831_B_0035971045_1.gal.png?height=333&amp;width=450;https://bilder.dasschnelle.at/DasSchnelle/50/5000/9920/045144/I_045144_P_906033831_B_0035971045_2.gal.png?height=333&amp;width=500;https://bilder.dasschnelle.at/DasSchnelle/50/5000/9920/045144/I_045144_P_906033831_B_0035971045_3.gal.png?height=333&amp;width=500;https://bilder.dasschnelle.at/DasSchnelle/50/5000/9920/045144/I_045144_P_906033831_B_0035971045_4.gal.png?height=450&amp;width=489</t>
  </si>
  <si>
    <t>Pachernegg, Josefine, Blumen • Mureck • Steiermark</t>
  </si>
  <si>
    <t>Blumenhandel • Pachernegg, Josefine, Grazer Straße 16, Mureck • Kontakt über aktuelle Telefonnummern ☎ und Adressen ⚑ mit Karte, Routing, Öffnungszeiten, Homepage, E-Mail, vCard und Firmendaten.</t>
  </si>
  <si>
    <t>Grazer Straße 16</t>
  </si>
  <si>
    <t>46.70793</t>
  </si>
  <si>
    <t>15.76956</t>
  </si>
  <si>
    <t>+4334723760</t>
  </si>
  <si>
    <t>+43347230468</t>
  </si>
  <si>
    <t>bluetenreich@hotmail.com</t>
  </si>
  <si>
    <t>https://bilder.dasschnelle.at/DasSchnelle/50/5000/9920/061439/G_061439_P_906230724.adn.gif</t>
  </si>
  <si>
    <t>Gabeljic Haustechnik GmbH • Mureck • Steiermark</t>
  </si>
  <si>
    <t>Haustechnik • Gabeljic Haustechnik GmbH, Gosdorf 180, Mureck • Kontakt über aktuelle Telefonnummern ☎ und Adressen ⚑ mit Karte, Routing, Öffnungszeiten, Homepage, E-Mail, vCard und Firmendaten.</t>
  </si>
  <si>
    <t>Gosdorf 180</t>
  </si>
  <si>
    <t>46.7250784</t>
  </si>
  <si>
    <t>15.7973417</t>
  </si>
  <si>
    <t>+436506364508</t>
  </si>
  <si>
    <t>office@haustechnik-gabeljic.at</t>
  </si>
  <si>
    <t>https://bilder.dasschnelle.at/DasSchnelle/50/5000/9920/061439/G_061439_P_906281378.adn.gif</t>
  </si>
  <si>
    <t>Sixt, Markus, Säge- u Hobelwerke • Mureck • Steiermark</t>
  </si>
  <si>
    <t>Säge- u. Hobelwerke • Sixt, Markus, Oberrakitsch 115, Mureck • Kontakt über aktuelle Telefonnummern ☎ und Adressen ⚑ mit Karte, Routing, Öffnungszeiten, Homepage, E-Mail, vCard und Firmendaten.</t>
  </si>
  <si>
    <t>Oberrakitsch 115</t>
  </si>
  <si>
    <t>46.7382251</t>
  </si>
  <si>
    <t>15.7458999</t>
  </si>
  <si>
    <t>+436643649651</t>
  </si>
  <si>
    <t>sixt.holz@aon.at</t>
  </si>
  <si>
    <t>https://bilder.dasschnelle.at/DasSchnelle/50/5000/9920/061439/G_061439_P_906281379.adn.gif</t>
  </si>
  <si>
    <t>Mencigar, Markus, Gastgewerbe • Laafeld • Steiermark</t>
  </si>
  <si>
    <t>Gastgewerbe - Gasthöfe • Mencigar, Markus, Laafeld • Kontakt über aktuelle Telefonnummern ☎ und Adressen ⚑ mit Karte, Routing, Öffnungszeiten, Homepage, E-Mail, vCard und Firmendaten.</t>
  </si>
  <si>
    <t>8490</t>
  </si>
  <si>
    <t>Laafeld</t>
  </si>
  <si>
    <t>46.6906350</t>
  </si>
  <si>
    <t>16.0067131</t>
  </si>
  <si>
    <t>+4334762737</t>
  </si>
  <si>
    <t>info@hoamathaus.at</t>
  </si>
  <si>
    <t>https://bilder.dasschnelle.at/DasSchnelle/50/5000/9920/061432/G_061432_P_906236029.adn.gif</t>
  </si>
  <si>
    <t>Hüttler-Kern, Kerstin, Friseur • Mureck • Steiermark</t>
  </si>
  <si>
    <t>Friseure • Hüttler-Kern, Kerstin, Oberrakitsch 12, Mureck • Kontakt über aktuelle Telefonnummern ☎ und Adressen ⚑ mit Karte, Routing, Öffnungszeiten, Homepage, E-Mail, vCard und Firmendaten.</t>
  </si>
  <si>
    <t>Oberrakitsch 12</t>
  </si>
  <si>
    <t>46.7360343</t>
  </si>
  <si>
    <t>15.7400234</t>
  </si>
  <si>
    <t>+436641360024</t>
  </si>
  <si>
    <t>friseur@salon-kerstin.at</t>
  </si>
  <si>
    <t>https://bilder.dasschnelle.at/DasSchnelle/50/5000/9920/061439/G_061439_P_906231126.adn.gif</t>
  </si>
  <si>
    <t>Spenglerei Potzinger • Bad Radkersburg • Steiermark</t>
  </si>
  <si>
    <t>Spenglereien • Spenglerei Potzinger, Pfarrsdorf 4, Bad Radkersburg • Kontakt über aktuelle Telefonnummern ☎ und Adressen ⚑ mit Karte, Routing, Öffnungszeiten, Homepage, E-Mail, vCard und Firmendaten.</t>
  </si>
  <si>
    <t>Pfarrsdorf 4</t>
  </si>
  <si>
    <t>Bad Radkersburg</t>
  </si>
  <si>
    <t>46.7071800</t>
  </si>
  <si>
    <t>15.9649700</t>
  </si>
  <si>
    <t>+436643244717</t>
  </si>
  <si>
    <t>spenglerei.potzinger@aon.at</t>
  </si>
  <si>
    <t>https://bilder.dasschnelle.at/DasSchnelle/50/5000/9920/061432/G_061432_P_906183902.adn.gif</t>
  </si>
  <si>
    <t>Murrer A. Möbel GmbH • Sankt Peter am Ottersbach • Steiermark</t>
  </si>
  <si>
    <t>Tischlereien • Murrer A. Möbel GmbH, Entschendorf am Ottersbach 74, Sankt Peter am Ottersbach • Kontakt über aktuelle Telefonnummern ☎ und Adressen ⚑ mit Karte, Routing, Öffnungszeiten, Homepage, E-Mail, vCard und Firmendaten.</t>
  </si>
  <si>
    <t>Entschendorf am Ottersbach 74</t>
  </si>
  <si>
    <t>8093</t>
  </si>
  <si>
    <t>Sankt Peter am Ottersbach</t>
  </si>
  <si>
    <t>46.8023030</t>
  </si>
  <si>
    <t>15.7591484</t>
  </si>
  <si>
    <t>+4334772217</t>
  </si>
  <si>
    <t>office@tischlerei-murrer.at</t>
  </si>
  <si>
    <t>https://bilder.dasschnelle.at/DasSchnelle/50/5000/9920/061419/G_061419_P_906216907.adn.gif</t>
  </si>
  <si>
    <t>Installationen, Christian Reisacher • Mureck • Steiermark</t>
  </si>
  <si>
    <t>Installationsunternehmen • Installationen, Christian Reisacher, Miselsdorf 161, Mureck • Kontakt über aktuelle Telefonnummern ☎ und Adressen ⚑ mit Karte, Routing, Öffnungszeiten, Homepage, E-Mail, vCard und Firmendaten.</t>
  </si>
  <si>
    <t>Miselsdorf 161</t>
  </si>
  <si>
    <t>46.7148639</t>
  </si>
  <si>
    <t>15.7909732</t>
  </si>
  <si>
    <t>+43347230397</t>
  </si>
  <si>
    <t>ch.reisacher@gmx.at</t>
  </si>
  <si>
    <t>https://bilder.dasschnelle.at/DasSchnelle/50/5000/9920/061439/G_061439_P_906285708.adn.gif</t>
  </si>
  <si>
    <t>Allianz Elementar Versicherungs AG • Völkermarkt • Kärnten</t>
  </si>
  <si>
    <t>Versicherungsunternehmen • Allianz Elementar Versicherungs AG, Griffner Straße 18, Völkermarkt • Kontakt über aktuelle Telefonnummern ☎ und Adressen ⚑ mit Karte, Routing, Öffnungszeiten, Homepage, E-Mail, vCard und Firmendaten.</t>
  </si>
  <si>
    <t>Griffner Straße 18</t>
  </si>
  <si>
    <t>46.6635</t>
  </si>
  <si>
    <t>14.63798</t>
  </si>
  <si>
    <t>+435900985550</t>
  </si>
  <si>
    <t>+435900945550</t>
  </si>
  <si>
    <t>heimo.poelzl@allianz.at</t>
  </si>
  <si>
    <t>https://bilder.dasschnelle.at/DasSchnelle/50/5000/9920/061432/G_061432_P_906221517.adn.gif</t>
  </si>
  <si>
    <t>Bauer Senioren Lodge • Mureck • Steiermark</t>
  </si>
  <si>
    <t>Pflege- u. Altenheime • Bauer Senioren Lodge, Oberrakitsch 36, Mureck • Kontakt über aktuelle Telefonnummern ☎ und Adressen ⚑ mit Karte, Routing, Öffnungszeiten, Homepage, E-Mail, vCard und Firmendaten.</t>
  </si>
  <si>
    <t>Oberrakitsch 36</t>
  </si>
  <si>
    <t>46.7348391</t>
  </si>
  <si>
    <t>15.7435383</t>
  </si>
  <si>
    <t>+4334728536</t>
  </si>
  <si>
    <t>pflege@bauerseniorenlodge.at</t>
  </si>
  <si>
    <t>https://bilder.dasschnelle.at/DasSchnelle/50/5000/9920/061439/I_061439_P_906058851_L_0038560872_1.png</t>
  </si>
  <si>
    <t>https://bilder.dasschnelle.at/DasSchnelle/50/5000/9920/061439/I_061439_P_906058851_B_0038560872_1.gal.png?height=600&amp;width=450;https://bilder.dasschnelle.at/DasSchnelle/50/5000/9920/061439/I_061439_P_906058851_B_0038560872_2.gal.png?height=600&amp;width=530;https://bilder.dasschnelle.at/DasSchnelle/50/5000/9920/061439/I_061439_P_906058851_B_0038560872_3.gal.png?height=600&amp;width=450;https://bilder.dasschnelle.at/DasSchnelle/50/5000/9920/061439/I_061439_P_906058851_B_0038560872_4.gal.png?height=600&amp;width=450</t>
  </si>
  <si>
    <t>Autohaus Moik GmbH &amp; Co KG • Straden • Steiermark</t>
  </si>
  <si>
    <t>Autohäuser • Autohaus Moik GmbH &amp; Co KG, Karbach 30, Straden • Kontakt über aktuelle Telefonnummern ☎ und Adressen ⚑ mit Karte, Routing, Öffnungszeiten, Homepage, E-Mail, vCard und Firmendaten.</t>
  </si>
  <si>
    <t>Karbach 30</t>
  </si>
  <si>
    <t>46.8130948</t>
  </si>
  <si>
    <t>15.8941235</t>
  </si>
  <si>
    <t>+4334738252</t>
  </si>
  <si>
    <t>+43347382524</t>
  </si>
  <si>
    <t>info@auto-moik.at</t>
  </si>
  <si>
    <t>https://bilder.dasschnelle.at/DasSchnelle/50/5000/9920/061440/G_061440_P_906255835.adn.gif</t>
  </si>
  <si>
    <t>Schneewittchen f Zwerge Kathrin Payreder e.U., Kinderbekleidung • Perg • Oberösterreich</t>
  </si>
  <si>
    <t>Kinderbekleidung • Schneewittchen f Zwerge Kathrin Payreder e.U., Schulrat-Stöckler-Straße 3, Perg • Kontakt über aktuelle Telefonnummern ☎ und Adressen ⚑ mit Karte, Routing, Öffnungszeiten, Homepage, E-Mail, vCard und Firmendaten.</t>
  </si>
  <si>
    <t>Schulrat-Stöckler-Straße 3</t>
  </si>
  <si>
    <t>48.2495600</t>
  </si>
  <si>
    <t>14.6302500</t>
  </si>
  <si>
    <t>+43726252194</t>
  </si>
  <si>
    <t>info@schneewittchen-zwerge.at</t>
  </si>
  <si>
    <t>https://bilder.dasschnelle.at/DasSchnelle/50/5000/9916/042528/I_042528_P_906095063_L_0036002913_1.png</t>
  </si>
  <si>
    <t>MDDr Koren Raphaela • Hermagor • Kärnten</t>
  </si>
  <si>
    <t>Zahnärzte • MDDr Koren Raphaela, Rotkreuzgasse 3, Hermagor • Kontakt über aktuelle Telefonnummern ☎ und Adressen ⚑ mit Karte, Routing, Öffnungszeiten, Homepage, E-Mail, vCard und Firmendaten.</t>
  </si>
  <si>
    <t>Rotkreuzgasse 3</t>
  </si>
  <si>
    <t>46.6265355</t>
  </si>
  <si>
    <t>13.3732753</t>
  </si>
  <si>
    <t>+43428225977;+436644515415</t>
  </si>
  <si>
    <t>https://bilder.dasschnelle.at/DasSchnelle/50/5000/9891/042084/G_042084_P_906305844.adn.gif</t>
  </si>
  <si>
    <t>Tierklinik Lilienfeld • Lilienfeld • Niederösterreich</t>
  </si>
  <si>
    <t>Tierkliniken • Tierklinik Lilienfeld, Babenbergerstraße 22, Lilienfeld • Kontakt über aktuelle Telefonnummern ☎ und Adressen ⚑ mit Karte, Routing, Öffnungszeiten, Homepage, E-Mail, vCard und Firmendaten.</t>
  </si>
  <si>
    <t>Babenbergerstraße 22</t>
  </si>
  <si>
    <t>3180</t>
  </si>
  <si>
    <t>Lilienfeld</t>
  </si>
  <si>
    <t>48.01693</t>
  </si>
  <si>
    <t>15.59715</t>
  </si>
  <si>
    <t>+43276253360</t>
  </si>
  <si>
    <t>karin.heistinger@tierklinik-lilienfeld.at</t>
  </si>
  <si>
    <t>https://bilder.dasschnelle.at/DasSchnelle/50/5000/9906/998325/G_998325_P_906123850.adn.gif</t>
  </si>
  <si>
    <t>Energie - Klima GmbH, Energietechnik • Spitz • Niederösterreich</t>
  </si>
  <si>
    <t>Energietechnik • Energie - Klima GmbH, Hauptstraße 36, Spitz • Kontakt über aktuelle Telefonnummern ☎ und Adressen ⚑ mit Karte, Routing, Öffnungszeiten, Homepage, E-Mail, vCard und Firmendaten.</t>
  </si>
  <si>
    <t>Hauptstraße 36</t>
  </si>
  <si>
    <t>3620</t>
  </si>
  <si>
    <t>Spitz</t>
  </si>
  <si>
    <t>48.36137</t>
  </si>
  <si>
    <t>15.41315</t>
  </si>
  <si>
    <t>+43271320138</t>
  </si>
  <si>
    <t>office@etd.co.at</t>
  </si>
  <si>
    <t>https://bilder.dasschnelle.at/DasSchnelle/50/5000/9899/041509/G_041509_P_906173404.adn.gif</t>
  </si>
  <si>
    <t>Bracco, Jeanette, DDr., Ärzte / Fachärzte f Zahn-, Mund-u Kieferheilkunde • Fulpmes • Tirol</t>
  </si>
  <si>
    <t>Ärzte / Fachärzte f. Zahn-, Mund u. Kieferheilkunde • Bracco, Jeanette, DDr., Riehlstraße 3, Fulpmes • Kontakt über aktuelle Telefonnummern ☎ und Adressen ⚑ mit Karte, Routing, Öffnungszeiten, Homepage, E-Mail, vCard und Firmendaten.</t>
  </si>
  <si>
    <t>+43522564575;+43522565004</t>
  </si>
  <si>
    <t>+43522564533</t>
  </si>
  <si>
    <t>jeanette.bracco@inode.at</t>
  </si>
  <si>
    <t>https://bilder.dasschnelle.at/DasSchnelle/50/5000/9948/045876/I_045876_P_905866328_L_0035994283_1.png</t>
  </si>
  <si>
    <t>https://bilder.dasschnelle.at/DasSchnelle/50/5000/9948/045876/I_045876_P_905866328_B_0035994283_1.gal.png?height=498&amp;width=555;https://bilder.dasschnelle.at/DasSchnelle/50/5000/9948/045876/I_045876_P_905866328_B_0035994283_2.gal.png?height=238&amp;width=624;https://bilder.dasschnelle.at/DasSchnelle/50/5000/9948/045876/I_045876_P_905866328_B_0035994283_3.gal.png?height=205&amp;width=624;https://bilder.dasschnelle.at/DasSchnelle/50/5000/9948/045876/I_045876_P_905866328_B_0035994283_4.gal.png?height=550&amp;width=1179</t>
  </si>
  <si>
    <t>Rotter, Josef, Kfz-Rep u Service • Tribuswinkel • Niederösterreich</t>
  </si>
  <si>
    <t>Autoreparaturen • Rotter, Josef, Bründelgasse 37, Tribuswinkel • Kontakt über aktuelle Telefonnummern ☎ und Adressen ⚑ mit Karte, Routing, Öffnungszeiten, Homepage, E-Mail, vCard und Firmendaten.</t>
  </si>
  <si>
    <t>Bründelgasse 37</t>
  </si>
  <si>
    <t>47.99</t>
  </si>
  <si>
    <t>16.28173</t>
  </si>
  <si>
    <t>+436641613794</t>
  </si>
  <si>
    <t>https://bilder.dasschnelle.at/DasSchnelle/50/5000/9870/041362/G_041362_P_906249219.adn.gif</t>
  </si>
  <si>
    <t>Kastner, Christoph, Fleischerei • Kötschach-Mauthen • Kärnten</t>
  </si>
  <si>
    <t>Fleischhauereien • Kastner, Christoph, Mauthen 286, Kötschach-Mauthen • Kontakt über aktuelle Telefonnummern ☎ und Adressen ⚑ mit Karte, Routing, Öffnungszeiten, Homepage, E-Mail, vCard und Firmendaten.</t>
  </si>
  <si>
    <t>Mauthen 286</t>
  </si>
  <si>
    <t>46.6641184</t>
  </si>
  <si>
    <t>13.0001730</t>
  </si>
  <si>
    <t>+434715323;+436641315523;+436645212781</t>
  </si>
  <si>
    <t>info@fleischerei-kastner.at</t>
  </si>
  <si>
    <t>https://bilder.dasschnelle.at/DasSchnelle/50/5000/9891/042086/G_042086_P_906294902.adn.gif</t>
  </si>
  <si>
    <t>Handle, Cornelia, Mag. Ing., Psychologin • Landeck • Tirol</t>
  </si>
  <si>
    <t>Psychotherapie • Handle, Cornelia, Mag. Ing., Urichstraße 43/2. Stock, Landeck • Kontakt über aktuelle Telefonnummern ☎ und Adressen ⚑ mit Karte, Routing, Öffnungszeiten, Homepage, E-Mail, vCard und Firmendaten.</t>
  </si>
  <si>
    <t>Urichstraße 43/2. Stock</t>
  </si>
  <si>
    <t>47.14319</t>
  </si>
  <si>
    <t>10.57229</t>
  </si>
  <si>
    <t>+436507086067</t>
  </si>
  <si>
    <t>info@praxis-handle.at</t>
  </si>
  <si>
    <t>https://bilder.dasschnelle.at/DasSchnelle/50/5000/9903/044584/I_044584_P_906093574_L_0035992932_1.png</t>
  </si>
  <si>
    <t>https://bilder.dasschnelle.at/DasSchnelle/50/5000/9903/044584/I_044584_P_906093574_B_0035992932_1.gal.png?height=439&amp;width=624;https://bilder.dasschnelle.at/DasSchnelle/50/5000/9903/044584/I_044584_P_906093574_B_0035992932_2.gal.png?height=439&amp;width=624;https://bilder.dasschnelle.at/DasSchnelle/50/5000/9903/044584/I_044584_P_906093574_B_0035992932_3.gal.png?height=439&amp;width=624;https://bilder.dasschnelle.at/DasSchnelle/50/5000/9903/044584/I_044584_P_906093574_B_0035992932_4.gal.png?height=439&amp;width=624</t>
  </si>
  <si>
    <t>KFZ Tilg GmbH, Maschinenhandel • Pettneu am Arlberg • Tirol</t>
  </si>
  <si>
    <t>Erdbewegungen, Maschinenhandel • KFZ Tilg GmbH, Bahnhofstraße 163, Pettneu am Arlberg • Kontakt über aktuelle Telefonnummern ☎ und Adressen ⚑ mit Karte, Routing, Öffnungszeiten, Homepage, E-Mail, vCard und Firmendaten.</t>
  </si>
  <si>
    <t>Bahnhofstraße 163</t>
  </si>
  <si>
    <t>6574</t>
  </si>
  <si>
    <t>Pettneu am Arlberg</t>
  </si>
  <si>
    <t>47.1474009</t>
  </si>
  <si>
    <t>10.3368570</t>
  </si>
  <si>
    <t>+436646566762;+436645985740</t>
  </si>
  <si>
    <t>fa.tilg@gmx.at</t>
  </si>
  <si>
    <t>https://bilder.dasschnelle.at/DasSchnelle/50/5000/9903/044586/G_044586_P_906305847.adn.gif</t>
  </si>
  <si>
    <t>Kieslinger GesmbH., Tischlerei, Wohnstudio • Sigharting • Oberösterreich</t>
  </si>
  <si>
    <t>Tischlereien • Kieslinger GesmbH., Grubstraße 6, Sigharting • Kontakt über aktuelle Telefonnummern ☎ und Adressen ⚑ mit Karte, Routing, Öffnungszeiten, Homepage, E-Mail, vCard und Firmendaten.</t>
  </si>
  <si>
    <t>Grubstraße 6</t>
  </si>
  <si>
    <t>4771</t>
  </si>
  <si>
    <t>Sigharting</t>
  </si>
  <si>
    <t>48.39739</t>
  </si>
  <si>
    <t>13.60104</t>
  </si>
  <si>
    <t>+4377663187</t>
  </si>
  <si>
    <t>info@kieslinger.at</t>
  </si>
  <si>
    <t>https://bilder.dasschnelle.at/DasSchnelle/50/5000/9926/042799/G_042799_P_906305849.adn.gif</t>
  </si>
  <si>
    <t>Holzbau Vogler • Weitra • Niederösterreich</t>
  </si>
  <si>
    <t>Holzbau • Holzbau Vogler, Reinprechts 14, Weitra • Kontakt über aktuelle Telefonnummern ☎ und Adressen ⚑ mit Karte, Routing, Öffnungszeiten, Homepage, E-Mail, vCard und Firmendaten.</t>
  </si>
  <si>
    <t>Reinprechts 14</t>
  </si>
  <si>
    <t>3970</t>
  </si>
  <si>
    <t>Weitra</t>
  </si>
  <si>
    <t>48.7140806</t>
  </si>
  <si>
    <t>14.8455164</t>
  </si>
  <si>
    <t>+436649487076</t>
  </si>
  <si>
    <t>office@holzbau-vogler.at</t>
  </si>
  <si>
    <t>https://bilder.dasschnelle.at/DasSchnelle/50/5000/9885/045541/G_045541_P_906308536.adn.gif</t>
  </si>
  <si>
    <t>Peschek, Marcus, Malerei • Klosterneuburg • Niederösterreich</t>
  </si>
  <si>
    <t>Bodenverlegung, Fassaden, Malereibetriebe, Tapeten • Peschek, Marcus, Hauptstraße 139, Klosterneuburg • Kontakt über aktuelle Telefonnummern ☎ und Adressen ⚑ mit Karte, Routing, Öffnungszeiten, Homepage, E-Mail, vCard und Firmendaten.</t>
  </si>
  <si>
    <t>Hauptstraße 139</t>
  </si>
  <si>
    <t>48.31482</t>
  </si>
  <si>
    <t>16.2403</t>
  </si>
  <si>
    <t>+436767561085</t>
  </si>
  <si>
    <t>marcus.peschek@a1.net</t>
  </si>
  <si>
    <t>https://bilder.dasschnelle.at/DasSchnelle/50/5000/9897/061492/G_061492_P_906308537.adn.gif</t>
  </si>
  <si>
    <t>Viertler, Lucia, Dr., FÄ f Gynäkologie u Geburtshilfe • Rohrbach • Oberösterreich</t>
  </si>
  <si>
    <t>Ärzte / Fachärzte f. Frauenheilkunde u. Geburtshilfe • Viertler, Lucia, Dr., Hanriederstraße 1, Rohrbach • Kontakt über aktuelle Telefonnummern ☎ und Adressen ⚑ mit Karte, Routing, Öffnungszeiten, Homepage, E-Mail, vCard und Firmendaten.</t>
  </si>
  <si>
    <t>Hanriederstraße 1</t>
  </si>
  <si>
    <t>48.5723138</t>
  </si>
  <si>
    <t>13.9897171</t>
  </si>
  <si>
    <t>+43728952731</t>
  </si>
  <si>
    <t>ordination@viertler.eu</t>
  </si>
  <si>
    <t>https://bilder.dasschnelle.at/DasSchnelle/50/5000/9923/061480/G_061480_P_906142649.adn.gif</t>
  </si>
  <si>
    <t>Kantor, Judith, Mag., Psychotherapie • Korneuburg • Niederösterreich</t>
  </si>
  <si>
    <t>Psychotherapie • Kantor, Judith, Mag., Wiener Ring 20 /35, Korneuburg • Kontakt über aktuelle Telefonnummern ☎ und Adressen ⚑ mit Karte, Routing, Öffnungszeiten, Homepage, E-Mail, vCard und Firmendaten.</t>
  </si>
  <si>
    <t>Wiener Ring 20 /35</t>
  </si>
  <si>
    <t>48.34261</t>
  </si>
  <si>
    <t>16.33515</t>
  </si>
  <si>
    <t>+436507151729</t>
  </si>
  <si>
    <t>praxis@psychotherapie-kantor.at</t>
  </si>
  <si>
    <t>https://bilder.dasschnelle.at/DasSchnelle/50/5000/9898/041413/G_041413_P_906304840.adn.gif</t>
  </si>
  <si>
    <t>Kurz, Johann, KFZ-Technik • Schweiggers • Niederösterreich</t>
  </si>
  <si>
    <t>Autoreparaturen • Kurz, Johann, Hauptplatz 4, Schweiggers • Kontakt über aktuelle Telefonnummern ☎ und Adressen ⚑ mit Karte, Routing, Öffnungszeiten, Homepage, E-Mail, vCard und Firmendaten.</t>
  </si>
  <si>
    <t>Hauptplatz 4</t>
  </si>
  <si>
    <t>48.66794</t>
  </si>
  <si>
    <t>15.06309</t>
  </si>
  <si>
    <t>+4328297255</t>
  </si>
  <si>
    <t>werkstatt@kfz-kurz.at</t>
  </si>
  <si>
    <t>https://bilder.dasschnelle.at/DasSchnelle/50/5000/9950/044542/G_044542_P_906304864.adn.gif</t>
  </si>
  <si>
    <t>Autohaus Ortner GmbH, Autohaus • Wartberg • Oberösterreich</t>
  </si>
  <si>
    <t>Autohandel • Autohaus Ortner GmbH, Scheiben 4, Wartberg • Kontakt über aktuelle Telefonnummern ☎ und Adressen ⚑ mit Karte, Routing, Öffnungszeiten, Homepage, E-Mail, vCard und Firmendaten.</t>
  </si>
  <si>
    <t>Scheiben 4</t>
  </si>
  <si>
    <t>4224</t>
  </si>
  <si>
    <t>Wartberg</t>
  </si>
  <si>
    <t>48.3597098</t>
  </si>
  <si>
    <t>14.5018755</t>
  </si>
  <si>
    <t>+43723664220</t>
  </si>
  <si>
    <t>wartberg@autoortner.at</t>
  </si>
  <si>
    <t>https://bilder.dasschnelle.at/DasSchnelle/50/5000/9882/041784/G_041784_P_906304865.adn.gif</t>
  </si>
  <si>
    <t>Feichtinger GmbH &amp; Co KG, Nissan Verkauf u Service Stroh-Tankst • Eisenbirn • Oberösterreich</t>
  </si>
  <si>
    <t>Gebrauchtwagen • Feichtinger GmbH &amp; Co KG, Eisenbirn 10, Eisenbirn • Kontakt über aktuelle Telefonnummern ☎ und Adressen ⚑ mit Karte, Routing, Öffnungszeiten, Homepage, E-Mail, vCard und Firmendaten.</t>
  </si>
  <si>
    <t>Eisenbirn 10</t>
  </si>
  <si>
    <t>4792</t>
  </si>
  <si>
    <t>Eisenbirn</t>
  </si>
  <si>
    <t>48.4737000</t>
  </si>
  <si>
    <t>13.5614400</t>
  </si>
  <si>
    <t>+4377167257</t>
  </si>
  <si>
    <t>+437716725734</t>
  </si>
  <si>
    <t>franz@nissen-feichtinger.at</t>
  </si>
  <si>
    <t>https://bilder.dasschnelle.at/DasSchnelle/50/5000/9926/042788/G_042788_P_906304866.adn.gif</t>
  </si>
  <si>
    <t>Änderungsatelier • Leibnitz • Steiermark</t>
  </si>
  <si>
    <t>Schneidereien • Änderungsatelier, Grazergasse 43, Leibnitz • Kontakt über aktuelle Telefonnummern ☎ und Adressen ⚑ mit Karte, Routing, Öffnungszeiten, Homepage, E-Mail, vCard und Firmendaten.</t>
  </si>
  <si>
    <t>Grazergasse 43</t>
  </si>
  <si>
    <t>46.79051</t>
  </si>
  <si>
    <t>15.53978</t>
  </si>
  <si>
    <t>+436504180785</t>
  </si>
  <si>
    <t>zvezi-1@hotmail.com</t>
  </si>
  <si>
    <t>https://bilder.dasschnelle.at/DasSchnelle/50/5000/9904/061363/G_061363_P_906304869.adn.gif</t>
  </si>
  <si>
    <t>Starkl, Brigitte, Mag., Notar • Schrems • Niederösterreich</t>
  </si>
  <si>
    <t>Notare • Starkl, Brigitte, Mag., Schulgasse 8, Schrems • Kontakt über aktuelle Telefonnummern ☎ und Adressen ⚑ mit Karte, Routing, Öffnungszeiten, Homepage, E-Mail, vCard und Firmendaten.</t>
  </si>
  <si>
    <t>Schulgasse 8</t>
  </si>
  <si>
    <t>48.7927071</t>
  </si>
  <si>
    <t>15.0651809</t>
  </si>
  <si>
    <t>+43285376200</t>
  </si>
  <si>
    <t>office@notariat-schrems.at</t>
  </si>
  <si>
    <t>https://bilder.dasschnelle.at/DasSchnelle/50/5000/9885/045538/G_045538_P_906304870.adn.gif</t>
  </si>
  <si>
    <t>Noè-Nordberg Mautner Rechtsanwälte OG • Waidhofen an der Thaya • Niederösterreich</t>
  </si>
  <si>
    <t>Rechtsanwälte • Noè-Nordberg Mautner Rechtsanwälte OG, Hamernikgasse 10, Waidhofen an der Thaya • Kontakt über aktuelle Telefonnummern ☎ und Adressen ⚑ mit Karte, Routing, Öffnungszeiten, Homepage, E-Mail, vCard und Firmendaten.</t>
  </si>
  <si>
    <t>Hamernikgasse 10</t>
  </si>
  <si>
    <t>48.81479</t>
  </si>
  <si>
    <t>15.28177</t>
  </si>
  <si>
    <t>+43284252570</t>
  </si>
  <si>
    <t>office@noe-nordberg.at</t>
  </si>
  <si>
    <t>https://bilder.dasschnelle.at/DasSchnelle/50/5000/9885/044264/G_044264_P_906304871.adn.gif</t>
  </si>
  <si>
    <t>Haberecker, Sandra, Fußpflege • Pehendorf • Niederösterreich</t>
  </si>
  <si>
    <t>Fußpflege • Haberecker, Sandra, Pehendorf 10, Pehendorf • Kontakt über aktuelle Telefonnummern ☎ und Adressen ⚑ mit Karte, Routing, Öffnungszeiten, Homepage, E-Mail, vCard und Firmendaten.</t>
  </si>
  <si>
    <t>Pehendorf 10</t>
  </si>
  <si>
    <t>Pehendorf</t>
  </si>
  <si>
    <t>48.4899176</t>
  </si>
  <si>
    <t>15.0431964</t>
  </si>
  <si>
    <t>+436649150765</t>
  </si>
  <si>
    <t>sandra.haberecker@gmx.at</t>
  </si>
  <si>
    <t>https://bilder.dasschnelle.at/DasSchnelle/50/5000/9950/044538/I_044538_P_906092906_L_0035969771_1.png</t>
  </si>
  <si>
    <t>https://bilder.dasschnelle.at/DasSchnelle/50/5000/9950/044538/I_044538_P_906092906_B_0035969771_1.gal.png?height=670&amp;width=1202;https://bilder.dasschnelle.at/DasSchnelle/50/5000/9950/044538/I_044538_P_906092906_B_0035969771_2.gal.png?height=471&amp;width=831;https://bilder.dasschnelle.at/DasSchnelle/50/5000/9950/044538/I_044538_P_906092906_B_0035969771_3.gal.png?height=627&amp;width=831;https://bilder.dasschnelle.at/DasSchnelle/50/5000/9950/044538/I_044538_P_906092906_B_0035969771_4.gal.png?height=468&amp;width=623</t>
  </si>
  <si>
    <t>Stöckl, Christian, Schlosserei • Predlitz • Steiermark</t>
  </si>
  <si>
    <t>Schlossereien • Stöckl, Christian, Predlitzwinkel 48, Predlitz • Kontakt über aktuelle Telefonnummern ☎ und Adressen ⚑ mit Karte, Routing, Öffnungszeiten, Homepage, E-Mail, vCard und Firmendaten.</t>
  </si>
  <si>
    <t>Predlitzwinkel 48</t>
  </si>
  <si>
    <t>8863</t>
  </si>
  <si>
    <t>Predlitz</t>
  </si>
  <si>
    <t>47.06386</t>
  </si>
  <si>
    <t>13.90823</t>
  </si>
  <si>
    <t>+436642378297</t>
  </si>
  <si>
    <t>info@cs-powermetall.com</t>
  </si>
  <si>
    <t>https://bilder.dasschnelle.at/DasSchnelle/50/5000/9910/061438/I_061438_P_905915345_L_0036208378_1.png</t>
  </si>
  <si>
    <t>https://bilder.dasschnelle.at/DasSchnelle/50/5000/9910/061438/I_061438_P_905915345_B_0036208378_1.gal.png?height=600&amp;width=450;https://bilder.dasschnelle.at/DasSchnelle/50/5000/9910/061438/I_061438_P_905915345_B_0036208378_2.gal.png?height=600&amp;width=450;https://bilder.dasschnelle.at/DasSchnelle/50/5000/9910/061438/I_061438_P_905915345_B_0036208378_3.gal.png?height=337&amp;width=600</t>
  </si>
  <si>
    <t>Kogler - Bischof Ges.n.b.R, Vollwärmeschutz • Krakauhintermühlen • Steiermark</t>
  </si>
  <si>
    <t>Vollwärmeschutz • Kogler - Bischof Ges.n.b.R, B, Krakauhintermühlen • Kontakt über aktuelle Telefonnummern ☎ und Adressen ⚑ mit Karte, Routing, Öffnungszeiten, Homepage, E-Mail, vCard und Firmendaten.</t>
  </si>
  <si>
    <t>B</t>
  </si>
  <si>
    <t>8854</t>
  </si>
  <si>
    <t>Krakauhintermühlen</t>
  </si>
  <si>
    <t>47.1877233</t>
  </si>
  <si>
    <t>13.9806988</t>
  </si>
  <si>
    <t>+4335358583</t>
  </si>
  <si>
    <t>info@kogler-putz.at</t>
  </si>
  <si>
    <t>https://bilder.dasschnelle.at/DasSchnelle/50/5000/9910/061477/I_061477_P_905931017_L_0036237669_1.png</t>
  </si>
  <si>
    <t>https://bilder.dasschnelle.at/DasSchnelle/50/5000/9910/061477/I_061477_P_905931017_B_0036237669_1.gal.png?height=306&amp;width=600;https://bilder.dasschnelle.at/DasSchnelle/50/5000/9910/061477/I_061477_P_905931017_B_0036237669_2.gal.png?height=422&amp;width=600;https://bilder.dasschnelle.at/DasSchnelle/50/5000/9910/061477/I_061477_P_905931017_B_0036237669_3.gal.png?height=435&amp;width=600</t>
  </si>
  <si>
    <t>Ritzinger, Arnold, Erdbau • Mariahof • Steiermark</t>
  </si>
  <si>
    <t>Erdbau • Ritzinger, Arnold, Mariahof 2, Mariahof • Kontakt über aktuelle Telefonnummern ☎ und Adressen ⚑ mit Karte, Routing, Öffnungszeiten, Homepage, E-Mail, vCard und Firmendaten.</t>
  </si>
  <si>
    <t>Mariahof 2</t>
  </si>
  <si>
    <t>8812</t>
  </si>
  <si>
    <t>Mariahof</t>
  </si>
  <si>
    <t>47.0992994</t>
  </si>
  <si>
    <t>14.3991761</t>
  </si>
  <si>
    <t>+436641978046</t>
  </si>
  <si>
    <t>erdbau@gh-ritzinger.at</t>
  </si>
  <si>
    <t>https://bilder.dasschnelle.at/DasSchnelle/50/5000/9910/061462/G_061462_P_906167345.adn.gif</t>
  </si>
  <si>
    <t>Sport Maier • Sankt Lambrecht • Steiermark</t>
  </si>
  <si>
    <t>Sportfachhandel • Sport Maier, Thajagraben 7, Sankt Lambrecht • Kontakt über aktuelle Telefonnummern ☎ und Adressen ⚑ mit Karte, Routing, Öffnungszeiten, Homepage, E-Mail, vCard und Firmendaten.</t>
  </si>
  <si>
    <t>Thajagraben 7</t>
  </si>
  <si>
    <t>8813</t>
  </si>
  <si>
    <t>Sankt Lambrecht</t>
  </si>
  <si>
    <t>47.08605</t>
  </si>
  <si>
    <t>14.3173</t>
  </si>
  <si>
    <t>+436645246292</t>
  </si>
  <si>
    <t>office@sport-maier.at</t>
  </si>
  <si>
    <t>https://bilder.dasschnelle.at/DasSchnelle/50/5000/9910/061471/G_061471_P_906167343.adn.gif</t>
  </si>
  <si>
    <t>Hotel Kornock, Hotels Erwin u Gerlinde Prodinger • Turrach • Steiermark</t>
  </si>
  <si>
    <t>Hotels • Hotel Kornock, Turracherhöhe 120, Turrach • Kontakt über aktuelle Telefonnummern ☎ und Adressen ⚑ mit Karte, Routing, Öffnungszeiten, Homepage, E-Mail, vCard und Firmendaten.</t>
  </si>
  <si>
    <t>Turracherhöhe 120</t>
  </si>
  <si>
    <t>8864</t>
  </si>
  <si>
    <t>Turrach</t>
  </si>
  <si>
    <t>46.92297</t>
  </si>
  <si>
    <t>13.8708</t>
  </si>
  <si>
    <t>+43427582280</t>
  </si>
  <si>
    <t>+434275822813</t>
  </si>
  <si>
    <t>kornock@hotel.at</t>
  </si>
  <si>
    <t>https://bilder.dasschnelle.at/DasSchnelle/50/5000/9910/061438/I_061438_P_905959724_L_0036208505_1.png</t>
  </si>
  <si>
    <t>https://bilder.dasschnelle.at/DasSchnelle/50/5000/9910/061438/I_061438_P_905959724_B_0036208505_1.gal.png?height=360&amp;width=600;https://bilder.dasschnelle.at/DasSchnelle/50/5000/9910/061438/I_061438_P_905959724_B_0036208505_2.gal.png?height=258&amp;width=600;https://bilder.dasschnelle.at/DasSchnelle/50/5000/9910/061438/I_061438_P_905959724_B_0036208505_3.gal.png?height=260&amp;width=600;https://bilder.dasschnelle.at/DasSchnelle/50/5000/9910/061438/I_061438_P_905959724_B_0036208505_4.gal.png?height=284&amp;width=600;https://bilder.dasschnelle.at/DasSchnelle/50/5000/9910/061438/G_061438_P_906199337.adn.gif</t>
  </si>
  <si>
    <t>EM Möbel GmbH • Stadl / Mur • Steiermark</t>
  </si>
  <si>
    <t>Möbelhäuser • EM Möbel GmbH, Stadl / Mur 189, Stadl / Mur • Kontakt über aktuelle Telefonnummern ☎ und Adressen ⚑ mit Karte, Routing, Öffnungszeiten, Homepage, E-Mail, vCard und Firmendaten.</t>
  </si>
  <si>
    <t>Stadl / Mur 189</t>
  </si>
  <si>
    <t>8862</t>
  </si>
  <si>
    <t>Stadl / Mur</t>
  </si>
  <si>
    <t>47.0910534</t>
  </si>
  <si>
    <t>13.9894412</t>
  </si>
  <si>
    <t>+4335342565</t>
  </si>
  <si>
    <t>office@em-moebel.at</t>
  </si>
  <si>
    <t>https://bilder.dasschnelle.at/DasSchnelle/50/5000/9910/061438/G_061438_P_906178316.adn.gif</t>
  </si>
  <si>
    <t>Stojcevic, Marco, Fliesen &amp; Stein • Zeltweg • Steiermark</t>
  </si>
  <si>
    <t>Fliesen u. Plattenverlegungen • Stojcevic, Marco, Bundestraße 60, Zeltweg • Kontakt über aktuelle Telefonnummern ☎ und Adressen ⚑ mit Karte, Routing, Öffnungszeiten, Homepage, E-Mail, vCard und Firmendaten.</t>
  </si>
  <si>
    <t>Bundestraße 60</t>
  </si>
  <si>
    <t>8740</t>
  </si>
  <si>
    <t>Zeltweg</t>
  </si>
  <si>
    <t>47.0674902</t>
  </si>
  <si>
    <t>14.2993422</t>
  </si>
  <si>
    <t>+4369917062250</t>
  </si>
  <si>
    <t>marcostojcevic@icloud.com</t>
  </si>
  <si>
    <t>https://bilder.dasschnelle.at/DasSchnelle/50/5000/9910/061471/I_061471_P_905979215_L_0038559104_1.png</t>
  </si>
  <si>
    <t>https://bilder.dasschnelle.at/DasSchnelle/50/5000/9910/061471/I_061471_P_905979215_B_0038559104_1.gal.png?height=420&amp;width=560;https://bilder.dasschnelle.at/DasSchnelle/50/5000/9910/061471/I_061471_P_905979215_B_0038559104_2.gal.png?height=420&amp;width=315;https://bilder.dasschnelle.at/DasSchnelle/50/5000/9910/061471/I_061471_P_905979215_B_0038559104_3.gal.png?height=420&amp;width=560;https://bilder.dasschnelle.at/DasSchnelle/50/5000/9910/061471/I_061471_P_905979215_B_0038559104_4.gal.png?height=420&amp;width=315</t>
  </si>
  <si>
    <t>Reßmann, Elke, Gärtnereien • Vorstadt • Steiermark</t>
  </si>
  <si>
    <t>Gärtnereien • Reßmann, Elke, Vorstadt • Kontakt über aktuelle Telefonnummern ☎ und Adressen ⚑ mit Karte, Routing, Öffnungszeiten, Homepage, E-Mail, vCard und Firmendaten.</t>
  </si>
  <si>
    <t>8832</t>
  </si>
  <si>
    <t>Vorstadt</t>
  </si>
  <si>
    <t>47.2019465</t>
  </si>
  <si>
    <t>14.2795895</t>
  </si>
  <si>
    <t>+43358183450</t>
  </si>
  <si>
    <t>elke.ressmann@aon.at</t>
  </si>
  <si>
    <t>https://bilder.dasschnelle.at/DasSchnelle/50/5000/9910/061437/G_061437_P_906147265.adn.gif</t>
  </si>
  <si>
    <t>Leitner, Daniela Gabriele, Friseure • Murau • Steiermark</t>
  </si>
  <si>
    <t>Friseure • Leitner, Daniela Gabriele, Keltensiedlung 108, Murau • Kontakt über aktuelle Telefonnummern ☎ und Adressen ⚑ mit Karte, Routing, Öffnungszeiten, Homepage, E-Mail, vCard und Firmendaten.</t>
  </si>
  <si>
    <t>Keltensiedlung 108</t>
  </si>
  <si>
    <t>8850</t>
  </si>
  <si>
    <t>Murau</t>
  </si>
  <si>
    <t>47.11286</t>
  </si>
  <si>
    <t>14.18001</t>
  </si>
  <si>
    <t>+4335323877</t>
  </si>
  <si>
    <t>info@haar-kult.at</t>
  </si>
  <si>
    <t>https://bilder.dasschnelle.at/DasSchnelle/50/5000/9910/061401/G_061401_P_906143400.adn.gif</t>
  </si>
  <si>
    <t>Elektro Kotnig GesmbH • Oberwölz (Stadt) • Steiermark</t>
  </si>
  <si>
    <t>Anlagenbau u. -technik, Elektroinstallationsunternehmen • Elektro Kotnig GesmbH, Stadt 23, Oberwölz (Stadt) • Kontakt über aktuelle Telefonnummern ☎ und Adressen ⚑ mit Karte, Routing, Öffnungszeiten, Homepage, E-Mail, vCard und Firmendaten.</t>
  </si>
  <si>
    <t>Stadt 23</t>
  </si>
  <si>
    <t>Oberwölz (Stadt)</t>
  </si>
  <si>
    <t>47.20419</t>
  </si>
  <si>
    <t>14.28198</t>
  </si>
  <si>
    <t>+43358183340</t>
  </si>
  <si>
    <t>+43358183345</t>
  </si>
  <si>
    <t>office@kotnig.at</t>
  </si>
  <si>
    <t>https://bilder.dasschnelle.at/DasSchnelle/50/5000/9910/061437/G_061437_P_906162781.adn.gif</t>
  </si>
  <si>
    <t>Leypold Gastronomie OG, Restaurant • Murau • Steiermark</t>
  </si>
  <si>
    <t>Pizzerias, Restaurants, Zimmervermietung • Leypold Gastronomie OG, Sankt Egidi 82, Murau • Kontakt über aktuelle Telefonnummern ☎ und Adressen ⚑ mit Karte, Routing, Öffnungszeiten, Homepage, E-Mail, vCard und Firmendaten.</t>
  </si>
  <si>
    <t>Sankt Egidi 82</t>
  </si>
  <si>
    <t>47.1115878</t>
  </si>
  <si>
    <t>14.1874209</t>
  </si>
  <si>
    <t>+43353222320</t>
  </si>
  <si>
    <t>gasthof@egidiwirt.at</t>
  </si>
  <si>
    <t>https://bilder.dasschnelle.at/DasSchnelle/50/5000/9910/061401/G_061401_P_906185812.adn.gif</t>
  </si>
  <si>
    <t>Apolloner, Alexandra, Zur Blume, Blumen • Stadl an der Mur • Steiermark</t>
  </si>
  <si>
    <t>Floristik • Apolloner, Alexandra, Zur Blume, Stadl an der Mur 23, Stadl an der Mur • Kontakt über aktuelle Telefonnummern ☎ und Adressen ⚑ mit Karte, Routing, Öffnungszeiten, Homepage, E-Mail, vCard und Firmendaten.</t>
  </si>
  <si>
    <t>Stadl an der Mur 23</t>
  </si>
  <si>
    <t>Stadl an der Mur</t>
  </si>
  <si>
    <t>47.0865114</t>
  </si>
  <si>
    <t>13.9795368</t>
  </si>
  <si>
    <t>+436645237025</t>
  </si>
  <si>
    <t>office@zurblume.at</t>
  </si>
  <si>
    <t>https://bilder.dasschnelle.at/DasSchnelle/50/5000/9910/061438/G_061438_P_906161080.adn.gif</t>
  </si>
  <si>
    <t>Steiner, Erich, Steiner Baukunst • Ranten • Steiermark</t>
  </si>
  <si>
    <t>Trockenausbau • Steiner, Erich, Steiner Baukunst, Seebach 7, Ranten • Kontakt über aktuelle Telefonnummern ☎ und Adressen ⚑ mit Karte, Routing, Öffnungszeiten, Homepage, E-Mail, vCard und Firmendaten.</t>
  </si>
  <si>
    <t>Seebach 7</t>
  </si>
  <si>
    <t>8853</t>
  </si>
  <si>
    <t>Ranten</t>
  </si>
  <si>
    <t>47.1638428</t>
  </si>
  <si>
    <t>13.9667635</t>
  </si>
  <si>
    <t>+4335358441</t>
  </si>
  <si>
    <t>fritz@steiner-baukunst.at</t>
  </si>
  <si>
    <t>https://bilder.dasschnelle.at/DasSchnelle/50/5000/9910/061470/G_061470_P_906194846.adn.gif</t>
  </si>
  <si>
    <t>Fliesen Kaiser GmbH, Fliesen • Frojach • Steiermark</t>
  </si>
  <si>
    <t>Fliesenfachhandel • Fliesen Kaiser GmbH, Puxerboden 4, Frojach • Kontakt über aktuelle Telefonnummern ☎ und Adressen ⚑ mit Karte, Routing, Öffnungszeiten, Homepage, E-Mail, vCard und Firmendaten.</t>
  </si>
  <si>
    <t>Puxerboden 4</t>
  </si>
  <si>
    <t>8841</t>
  </si>
  <si>
    <t>Frojach</t>
  </si>
  <si>
    <t>47.13467</t>
  </si>
  <si>
    <t>14.33314</t>
  </si>
  <si>
    <t>+4335883490;+436641421900;+436642200154</t>
  </si>
  <si>
    <t>+43358834913</t>
  </si>
  <si>
    <t>office@fliesen-kaiser.at</t>
  </si>
  <si>
    <t>https://bilder.dasschnelle.at/DasSchnelle/50/5000/9910/061467/G_061467_P_906143383.adn.gif</t>
  </si>
  <si>
    <t>ET König GmbH, Elektroinstallationen • Lind bei Scheifling • Steiermark</t>
  </si>
  <si>
    <t>Elektroinstallationsunternehmen • ET König GmbH, Lindbergstraße 5, Lind bei Scheifling • Kontakt über aktuelle Telefonnummern ☎ und Adressen ⚑ mit Karte, Routing, Öffnungszeiten, Homepage, E-Mail, vCard und Firmendaten.</t>
  </si>
  <si>
    <t>Lindbergstraße 5</t>
  </si>
  <si>
    <t>8811</t>
  </si>
  <si>
    <t>Lind bei Scheifling</t>
  </si>
  <si>
    <t>47.15893</t>
  </si>
  <si>
    <t>14.39773</t>
  </si>
  <si>
    <t>+43358220023</t>
  </si>
  <si>
    <t>info@et-koenig.at</t>
  </si>
  <si>
    <t>https://bilder.dasschnelle.at/DasSchnelle/50/5000/9910/061446/I_061446_P_905910410_L_0036253170_1.png</t>
  </si>
  <si>
    <t>https://bilder.dasschnelle.at/DasSchnelle/50/5000/9910/061446/I_061446_P_905910410_B_0036253170_1.gal.png?height=337&amp;width=600;https://bilder.dasschnelle.at/DasSchnelle/50/5000/9910/061446/I_061446_P_905910410_B_0036253170_2.gal.png?height=450&amp;width=600;https://bilder.dasschnelle.at/DasSchnelle/50/5000/9910/061446/I_061446_P_905910410_B_0036253170_3.gal.png?height=450&amp;width=600;https://bilder.dasschnelle.at/DasSchnelle/50/5000/9910/061446/I_061446_P_905910410_B_0036253170_4.gal.png?height=600&amp;width=450</t>
  </si>
  <si>
    <t>Brunner, Walter, Forstservice • Teufenbach • Steiermark</t>
  </si>
  <si>
    <t>Forstservice • Brunner, Walter, Bundesstraße 9, Teufenbach • Kontakt über aktuelle Telefonnummern ☎ und Adressen ⚑ mit Karte, Routing, Öffnungszeiten, Homepage, E-Mail, vCard und Firmendaten.</t>
  </si>
  <si>
    <t>Bundesstraße 9</t>
  </si>
  <si>
    <t>8833</t>
  </si>
  <si>
    <t>Teufenbach</t>
  </si>
  <si>
    <t>47.1359</t>
  </si>
  <si>
    <t>14.3637</t>
  </si>
  <si>
    <t>+4335828206;+436641415478</t>
  </si>
  <si>
    <t>+43358282064</t>
  </si>
  <si>
    <t>forst.brunner@murau.at</t>
  </si>
  <si>
    <t>https://bilder.dasschnelle.at/DasSchnelle/50/5000/9910/061467/G_061467_P_906145703.adn.gif</t>
  </si>
  <si>
    <t>Kirchmoar, Gastgewerbe - Gasthöfe • Sankt Blasen • Steiermark</t>
  </si>
  <si>
    <t>Gastgewerbe - Gasthöfe • Kirchmoar, Hinterbach 6, Sankt Blasen • Kontakt über aktuelle Telefonnummern ☎ und Adressen ⚑ mit Karte, Routing, Öffnungszeiten, Homepage, E-Mail, vCard und Firmendaten.</t>
  </si>
  <si>
    <t>Hinterbach 6</t>
  </si>
  <si>
    <t>Sankt Blasen</t>
  </si>
  <si>
    <t>47.09389</t>
  </si>
  <si>
    <t>14.30204</t>
  </si>
  <si>
    <t>+4335852330</t>
  </si>
  <si>
    <t>urlaub@kirchmoar.at</t>
  </si>
  <si>
    <t>https://bilder.dasschnelle.at/DasSchnelle/50/5000/9910/061471/G_061471_P_906198679.adn.gif</t>
  </si>
  <si>
    <t>Wallner, Brigitte, Gasthof Seeblick • Zeutschach • Steiermark</t>
  </si>
  <si>
    <t>Gastgewerbe - Gasthöfe • Wallner, Brigitte, Gasthof Seeblick, Zeutschach • Kontakt über aktuelle Telefonnummern ☎ und Adressen ⚑ mit Karte, Routing, Öffnungszeiten, Homepage, E-Mail, vCard und Firmendaten.</t>
  </si>
  <si>
    <t>8820</t>
  </si>
  <si>
    <t>Zeutschach</t>
  </si>
  <si>
    <t>47.0741722</t>
  </si>
  <si>
    <t>14.3751878</t>
  </si>
  <si>
    <t>+4335843140</t>
  </si>
  <si>
    <t>info@haus-seeblick.at</t>
  </si>
  <si>
    <t>https://bilder.dasschnelle.at/DasSchnelle/50/5000/9910/061462/G_061462_P_906178318.adn.gif</t>
  </si>
  <si>
    <t>ST - Fliesenverlegung &amp; Ofenbau GmbH, Ofenbau • Murau • Steiermark</t>
  </si>
  <si>
    <t>Ofenbau • ST - Fliesenverlegung &amp; Ofenbau GmbH, Bundesstraße 14, Murau • Kontakt über aktuelle Telefonnummern ☎ und Adressen ⚑ mit Karte, Routing, Öffnungszeiten, Homepage, E-Mail, vCard und Firmendaten.</t>
  </si>
  <si>
    <t>Bundesstraße 14</t>
  </si>
  <si>
    <t>47.11443</t>
  </si>
  <si>
    <t>14.17234</t>
  </si>
  <si>
    <t>+4335322442;+436645076717</t>
  </si>
  <si>
    <t>+4335323840</t>
  </si>
  <si>
    <t>office@st-fliesen.at</t>
  </si>
  <si>
    <t>https://bilder.dasschnelle.at/DasSchnelle/50/5000/9910/061401/G_061401_P_906145712.adn.gif</t>
  </si>
  <si>
    <t>Neumann, Stefan, Erdbau • Mariahof • Steiermark</t>
  </si>
  <si>
    <t>Erdbau • Neumann, Stefan, Diemersdorf 88, Mariahof • Kontakt über aktuelle Telefonnummern ☎ und Adressen ⚑ mit Karte, Routing, Öffnungszeiten, Homepage, E-Mail, vCard und Firmendaten.</t>
  </si>
  <si>
    <t>Diemersdorf 88</t>
  </si>
  <si>
    <t>47.0871542</t>
  </si>
  <si>
    <t>14.4291344</t>
  </si>
  <si>
    <t>+436643804946</t>
  </si>
  <si>
    <t>erdbau.neumann@gmx.at</t>
  </si>
  <si>
    <t>https://bilder.dasschnelle.at/DasSchnelle/50/5000/9910/061462/G_061462_P_906166252.adn.gif</t>
  </si>
  <si>
    <t>Weinberger, Oswald, Malerei • Neumarkt • Steiermark</t>
  </si>
  <si>
    <t>Malereibetriebe • Weinberger, Oswald, Schwimmbadstraße 50, Neumarkt • Kontakt über aktuelle Telefonnummern ☎ und Adressen ⚑ mit Karte, Routing, Öffnungszeiten, Homepage, E-Mail, vCard und Firmendaten.</t>
  </si>
  <si>
    <t>Schwimmbadstraße 50</t>
  </si>
  <si>
    <t>Neumarkt</t>
  </si>
  <si>
    <t>47.0728323</t>
  </si>
  <si>
    <t>14.4288474</t>
  </si>
  <si>
    <t>+43358440050</t>
  </si>
  <si>
    <t>malerei.weinberger@gmx.at</t>
  </si>
  <si>
    <t>https://bilder.dasschnelle.at/DasSchnelle/50/5000/9910/061462/G_061462_P_906188543.adn.gif</t>
  </si>
  <si>
    <t>Silke`s Beautysalon, Kosmetik • Neumarkt • Steiermark</t>
  </si>
  <si>
    <t>Kosmetikstudios • Silke`s Beautysalon, Wiener Straße 2, Neumarkt • Kontakt über aktuelle Telefonnummern ☎ und Adressen ⚑ mit Karte, Routing, Öffnungszeiten, Homepage, E-Mail, vCard und Firmendaten.</t>
  </si>
  <si>
    <t>Wiener Straße 2</t>
  </si>
  <si>
    <t>47.0659458</t>
  </si>
  <si>
    <t>14.4312476</t>
  </si>
  <si>
    <t>+436641627878</t>
  </si>
  <si>
    <t>silke.zechner69@gmx.at</t>
  </si>
  <si>
    <t>https://bilder.dasschnelle.at/DasSchnelle/50/5000/9910/061462/G_061462_P_906139740.adn.gif</t>
  </si>
  <si>
    <t>Elektro Markolin GmbH, Elektro • Neumarkt • Steiermark</t>
  </si>
  <si>
    <t>Elektrogeräte u. -bedarf • Elektro Markolin GmbH, Altenbach 17, Neumarkt • Kontakt über aktuelle Telefonnummern ☎ und Adressen ⚑ mit Karte, Routing, Öffnungszeiten, Homepage, E-Mail, vCard und Firmendaten.</t>
  </si>
  <si>
    <t>Altenbach 17</t>
  </si>
  <si>
    <t>47.0799565</t>
  </si>
  <si>
    <t>14.4258482</t>
  </si>
  <si>
    <t>+4335843727</t>
  </si>
  <si>
    <t>office@markolin.at</t>
  </si>
  <si>
    <t>https://bilder.dasschnelle.at/DasSchnelle/50/5000/9910/061462/G_061462_P_906143401.adn.gif</t>
  </si>
  <si>
    <t>Waffen Gruber KG, Waffen u Munition • Murau • Steiermark</t>
  </si>
  <si>
    <t>Waffen u. Munition • Waffen Gruber KG, Anna-Neumann-Straße 22, Murau • Kontakt über aktuelle Telefonnummern ☎ und Adressen ⚑ mit Karte, Routing, Öffnungszeiten, Homepage, E-Mail, vCard und Firmendaten.</t>
  </si>
  <si>
    <t>Anna-Neumann-Straße 22</t>
  </si>
  <si>
    <t>47.11026</t>
  </si>
  <si>
    <t>14.16845</t>
  </si>
  <si>
    <t>+43353226300</t>
  </si>
  <si>
    <t>+43353226304</t>
  </si>
  <si>
    <t>office@waffengruber.at</t>
  </si>
  <si>
    <t>https://bilder.dasschnelle.at/DasSchnelle/50/5000/9910/061401/I_061401_P_905908884_L_0036233205_1.png</t>
  </si>
  <si>
    <t>https://bilder.dasschnelle.at/DasSchnelle/50/5000/9910/061401/I_061401_P_905908884_B_0036233205_1.gal.png?height=579&amp;width=600;https://bilder.dasschnelle.at/DasSchnelle/50/5000/9910/061401/I_061401_P_905908884_B_0036233205_2.gal.png?height=447&amp;width=600;https://bilder.dasschnelle.at/DasSchnelle/50/5000/9910/061401/I_061401_P_905908884_B_0036233205_3.gal.png?height=450&amp;width=600;https://bilder.dasschnelle.at/DasSchnelle/50/5000/9910/061401/G_061401_P_906143402.adn.gif</t>
  </si>
  <si>
    <t>Far, Janos, Gastro • Murau • Steiermark</t>
  </si>
  <si>
    <t>Gastronomiebetriebe • Far, Janos, Schillerplatz 10, Murau • Kontakt über aktuelle Telefonnummern ☎ und Adressen ⚑ mit Karte, Routing, Öffnungszeiten, Homepage, E-Mail, vCard und Firmendaten.</t>
  </si>
  <si>
    <t>Schillerplatz 10</t>
  </si>
  <si>
    <t>47.11047</t>
  </si>
  <si>
    <t>14.17225</t>
  </si>
  <si>
    <t>+4335323339</t>
  </si>
  <si>
    <t>office@platzhirsch.cc</t>
  </si>
  <si>
    <t>Prodinger GmbH, Autohäuser • Predlitz • Steiermark</t>
  </si>
  <si>
    <t>Autohäuser, Autoreparaturen • Prodinger GmbH, Pirning 124, Predlitz • Kontakt über aktuelle Telefonnummern ☎ und Adressen ⚑ mit Karte, Routing, Öffnungszeiten, Homepage, E-Mail, vCard und Firmendaten.</t>
  </si>
  <si>
    <t>Pirning 124</t>
  </si>
  <si>
    <t>47.07239</t>
  </si>
  <si>
    <t>13.91602</t>
  </si>
  <si>
    <t>+43353483050;+43353420371</t>
  </si>
  <si>
    <t>kfz-prodinger@kfz-prodinger.at</t>
  </si>
  <si>
    <t>https://bilder.dasschnelle.at/DasSchnelle/50/5000/9910/061438/G_061438_P_906151765.adn.gif</t>
  </si>
  <si>
    <t>Fliesen Debelak • St. Peter am Kammersberg • Steiermark</t>
  </si>
  <si>
    <t>Fliesen u. Plattenverlegungen • Fliesen Debelak, St. Peter am Kammersberg 24, St. Peter am Kammersberg • Kontakt über aktuelle Telefonnummern ☎ und Adressen ⚑ mit Karte, Routing, Öffnungszeiten, Homepage, E-Mail, vCard und Firmendaten.</t>
  </si>
  <si>
    <t>St. Peter am Kammersberg 24</t>
  </si>
  <si>
    <t>8843</t>
  </si>
  <si>
    <t>St. Peter am Kammersberg</t>
  </si>
  <si>
    <t>47.1895973</t>
  </si>
  <si>
    <t>14.2094112</t>
  </si>
  <si>
    <t>+436644644070</t>
  </si>
  <si>
    <t>office@fliesen-debelak.com</t>
  </si>
  <si>
    <t>https://bilder.dasschnelle.at/DasSchnelle/50/5000/9910/045128/I_045128_P_905956076_L_0038552523_1.png</t>
  </si>
  <si>
    <t>https://bilder.dasschnelle.at/DasSchnelle/50/5000/9910/045128/I_045128_P_905956076_B_0038552523_1.gal.png?height=150&amp;width=336;https://bilder.dasschnelle.at/DasSchnelle/50/5000/9910/045128/I_045128_P_905956076_B_0038552523_2.gal.png?height=450&amp;width=600</t>
  </si>
  <si>
    <t>Real wohn²Center Oberes Murtal-Murau, Immobilien • Murau • Steiermark</t>
  </si>
  <si>
    <t>Immobilien • Real wohn²Center Oberes Murtal-Murau, Schillerplatz 4 -6, Murau • Kontakt über aktuelle Telefonnummern ☎ und Adressen ⚑ mit Karte, Routing, Öffnungszeiten, Homepage, E-Mail, vCard und Firmendaten.</t>
  </si>
  <si>
    <t>Schillerplatz 4 -6</t>
  </si>
  <si>
    <t>47.11034</t>
  </si>
  <si>
    <t>14.17166</t>
  </si>
  <si>
    <t>+435010026435;+436648388995</t>
  </si>
  <si>
    <t>+4350100926435</t>
  </si>
  <si>
    <t>stefan.petzl@sreal.at</t>
  </si>
  <si>
    <t>https://bilder.dasschnelle.at/DasSchnelle/50/5000/9910/061401/G_061401_P_906171772.adn.gif</t>
  </si>
  <si>
    <t>Zechner, Christian, Schottergrube • Neumarkt in der Steiermark • Steiermark</t>
  </si>
  <si>
    <t>Sand u. Schotter • Zechner, Christian, Sankt Georgen bei Neumarkt 59, Neumarkt in der Steiermark • Kontakt über aktuelle Telefonnummern ☎ und Adressen ⚑ mit Karte, Routing, Öffnungszeiten, Homepage, E-Mail, vCard und Firmendaten.</t>
  </si>
  <si>
    <t>Sankt Georgen bei Neumarkt 59</t>
  </si>
  <si>
    <t>Neumarkt in der Steiermark</t>
  </si>
  <si>
    <t>47.0748444</t>
  </si>
  <si>
    <t>14.4846396</t>
  </si>
  <si>
    <t>+43358440079</t>
  </si>
  <si>
    <t>office@schotter-zechner.at</t>
  </si>
  <si>
    <t>https://bilder.dasschnelle.at/DasSchnelle/50/5000/9910/061462/G_061462_P_906174356.adn.gif</t>
  </si>
  <si>
    <t>Watzl, Thomas, Tischler • Kirchdorf an der Krems • Oberösterreich</t>
  </si>
  <si>
    <t>Tischlereien • Watzl, Thomas, Bahnhofstraße 26, Kirchdorf an der Krems • Kontakt über aktuelle Telefonnummern ☎ und Adressen ⚑ mit Karte, Routing, Öffnungszeiten, Homepage, E-Mail, vCard und Firmendaten.</t>
  </si>
  <si>
    <t>Bahnhofstraße 26</t>
  </si>
  <si>
    <t>4560</t>
  </si>
  <si>
    <t>Kirchdorf an der Krems</t>
  </si>
  <si>
    <t>47.90478</t>
  </si>
  <si>
    <t>14.11811</t>
  </si>
  <si>
    <t>+437582621680</t>
  </si>
  <si>
    <t>office@tischlerei-watzl.at</t>
  </si>
  <si>
    <t>https://bilder.dasschnelle.at/DasSchnelle/50/5000/9895/046082/G_046082_P_906219563.adn.gif</t>
  </si>
  <si>
    <t>Pension Jageredt, Minichmair Martina • Nußbach • Oberösterreich</t>
  </si>
  <si>
    <t>Pensionen • Pension Jageredt, Minichmair Martina, Jageredt 3, Nußbach • Kontakt über aktuelle Telefonnummern ☎ und Adressen ⚑ mit Karte, Routing, Öffnungszeiten, Homepage, E-Mail, vCard und Firmendaten.</t>
  </si>
  <si>
    <t>Jageredt 3</t>
  </si>
  <si>
    <t>4542</t>
  </si>
  <si>
    <t>Nußbach</t>
  </si>
  <si>
    <t>47.9597917</t>
  </si>
  <si>
    <t>14.1338317</t>
  </si>
  <si>
    <t>+4375878583</t>
  </si>
  <si>
    <t>+437587858328</t>
  </si>
  <si>
    <t>office@pension-jageredt.at</t>
  </si>
  <si>
    <t>https://bilder.dasschnelle.at/DasSchnelle/50/5000/9895/046087/I_046087_P_905976777_L_0036256295_1.png</t>
  </si>
  <si>
    <t>https://bilder.dasschnelle.at/DasSchnelle/50/5000/9895/046087/I_046087_P_905976777_B_0036256295_1.gal.png?height=402&amp;width=600;https://bilder.dasschnelle.at/DasSchnelle/50/5000/9895/046087/I_046087_P_905976777_B_0036256295_2.gal.png?height=400&amp;width=600;https://bilder.dasschnelle.at/DasSchnelle/50/5000/9895/046087/I_046087_P_905976777_B_0036256295_3.gal.png?height=400&amp;width=600;https://bilder.dasschnelle.at/DasSchnelle/50/5000/9895/046087/I_046087_P_905976777_B_0036256295_4.gal.png?height=400&amp;width=600</t>
  </si>
  <si>
    <t>Schmidberger OG, Kunstschmieden • Molln • Oberösterreich</t>
  </si>
  <si>
    <t>Kunstschmieden • Schmidberger OG, Schmiedstraße 16, Molln • Kontakt über aktuelle Telefonnummern ☎ und Adressen ⚑ mit Karte, Routing, Öffnungszeiten, Homepage, E-Mail, vCard und Firmendaten.</t>
  </si>
  <si>
    <t>Schmiedstraße 16</t>
  </si>
  <si>
    <t>4591</t>
  </si>
  <si>
    <t>Molln</t>
  </si>
  <si>
    <t>47.88171</t>
  </si>
  <si>
    <t>14.26475</t>
  </si>
  <si>
    <t>+4375843073</t>
  </si>
  <si>
    <t>office@schmiede-schmidberger.at</t>
  </si>
  <si>
    <t>https://bilder.dasschnelle.at/DasSchnelle/50/5000/9895/046086/I_046086_P_905989314_L_0036255708_1.png</t>
  </si>
  <si>
    <t>https://bilder.dasschnelle.at/DasSchnelle/50/5000/9895/046086/I_046086_P_905989314_B_0036255708_1.gal.png?height=262&amp;width=410;https://bilder.dasschnelle.at/DasSchnelle/50/5000/9895/046086/I_046086_P_905989314_B_0036255708_2.gal.png?height=203&amp;width=197;https://bilder.dasschnelle.at/DasSchnelle/50/5000/9895/046086/I_046086_P_905989314_B_0036255708_3.gal.png?height=203&amp;width=271;https://bilder.dasschnelle.at/DasSchnelle/50/5000/9895/046086/I_046086_P_905989314_B_0036255708_4.gal.png?height=203&amp;width=304</t>
  </si>
  <si>
    <t>Dachdeckerei-Spenglerei Baldauf/ Pfundbauer GmbH • Molln • Oberösterreich</t>
  </si>
  <si>
    <t>Dachdeckereien • Dachdeckerei-Spenglerei Baldauf/ Pfundbauer GmbH, Zimeck 4, Molln • Kontakt über aktuelle Telefonnummern ☎ und Adressen ⚑ mit Karte, Routing, Öffnungszeiten, Homepage, E-Mail, vCard und Firmendaten.</t>
  </si>
  <si>
    <t>Zimeck 4</t>
  </si>
  <si>
    <t>47.88548</t>
  </si>
  <si>
    <t>14.24476</t>
  </si>
  <si>
    <t>+4375842270;+43758440022</t>
  </si>
  <si>
    <t>info@dachdeckerei-baldauf.at</t>
  </si>
  <si>
    <t>https://bilder.dasschnelle.at/DasSchnelle/50/5000/9895/046086/G_046086_P_906225059.adn.gif</t>
  </si>
  <si>
    <t>La Belle das Nagelstudio • Molln • Oberösterreich</t>
  </si>
  <si>
    <t>Fingernagelstudios • La Belle das Nagelstudio, Parkstraße 2, Molln • Kontakt über aktuelle Telefonnummern ☎ und Adressen ⚑ mit Karte, Routing, Öffnungszeiten, Homepage, E-Mail, vCard und Firmendaten.</t>
  </si>
  <si>
    <t>Parkstraße 2</t>
  </si>
  <si>
    <t>47.88832</t>
  </si>
  <si>
    <t>14.26086</t>
  </si>
  <si>
    <t>+436801541205</t>
  </si>
  <si>
    <t>labelle@outlook.at</t>
  </si>
  <si>
    <t>https://bilder.dasschnelle.at/DasSchnelle/50/5000/9895/046086/G_046086_P_906225936.adn.gif</t>
  </si>
  <si>
    <t>Polsterer, Harald, Elektrotechnik • Schlierbach • Oberösterreich</t>
  </si>
  <si>
    <t>Elektrotechnik • Polsterer, Harald, Georg-Platzer-Weg 7, Schlierbach • Kontakt über aktuelle Telefonnummern ☎ und Adressen ⚑ mit Karte, Routing, Öffnungszeiten, Homepage, E-Mail, vCard und Firmendaten.</t>
  </si>
  <si>
    <t>Georg-Platzer-Weg 7</t>
  </si>
  <si>
    <t>4553</t>
  </si>
  <si>
    <t>Schlierbach</t>
  </si>
  <si>
    <t>47.9445</t>
  </si>
  <si>
    <t>14.12899</t>
  </si>
  <si>
    <t>+4366488493134</t>
  </si>
  <si>
    <t>harald.polsterer@aon.at</t>
  </si>
  <si>
    <t>https://bilder.dasschnelle.at/DasSchnelle/50/5000/9895/046094/G_046094_P_906227550.adn.gif</t>
  </si>
  <si>
    <t>Wagner, Otmar, Autohaus • Molln • Oberösterreich</t>
  </si>
  <si>
    <t>Autohandel • Wagner, Otmar, Dr.-Bauer-Straße 7, Molln • Kontakt über aktuelle Telefonnummern ☎ und Adressen ⚑ mit Karte, Routing, Öffnungszeiten, Homepage, E-Mail, vCard und Firmendaten.</t>
  </si>
  <si>
    <t>Dr.-Bauer-Straße 7</t>
  </si>
  <si>
    <t>47.88731</t>
  </si>
  <si>
    <t>14.26423</t>
  </si>
  <si>
    <t>+43758422200;+436649270922</t>
  </si>
  <si>
    <t>+43758422207</t>
  </si>
  <si>
    <t>auto@kfzwagner-molln.at</t>
  </si>
  <si>
    <t>https://bilder.dasschnelle.at/DasSchnelle/50/5000/9895/046086/G_046086_P_906219564.adn.gif</t>
  </si>
  <si>
    <t>Pauzenberger, C., Dr. • Kirchdorf an der Krems • Oberösterreich</t>
  </si>
  <si>
    <t>Ärzte / Fachärzte f. Chirurgie • Pauzenberger, C., Dr., Krankenhausstraße 14, Kirchdorf an der Krems • Kontakt über aktuelle Telefonnummern ☎ und Adressen ⚑ mit Karte, Routing, Öffnungszeiten, Homepage, E-Mail, vCard und Firmendaten.</t>
  </si>
  <si>
    <t>Krankenhausstraße 14</t>
  </si>
  <si>
    <t>47.90755</t>
  </si>
  <si>
    <t>14.12364</t>
  </si>
  <si>
    <t>+436642425666</t>
  </si>
  <si>
    <t>https://bilder.dasschnelle.at/DasSchnelle/50/5000/9895/998195/G_998195_P_906253711.adn.gif</t>
  </si>
  <si>
    <t>Hauer Hubmer GmbH, Installationsunternehmen • Wartberg an der Krems • Oberösterreich</t>
  </si>
  <si>
    <t>Heizung u. Sanitär • Hauer Hubmer GmbH, Hauptstraße 26, Wartberg an der Krems • Kontakt über aktuelle Telefonnummern ☎ und Adressen ⚑ mit Karte, Routing, Öffnungszeiten, Homepage, E-Mail, vCard und Firmendaten.</t>
  </si>
  <si>
    <t>Hauptstraße 26</t>
  </si>
  <si>
    <t>4552</t>
  </si>
  <si>
    <t>Wartberg an der Krems</t>
  </si>
  <si>
    <t>47.9883024</t>
  </si>
  <si>
    <t>14.1157435</t>
  </si>
  <si>
    <t>+43758774710</t>
  </si>
  <si>
    <t>office@hauer1a.at</t>
  </si>
  <si>
    <t>https://bilder.dasschnelle.at/DasSchnelle/50/5000/9895/046099/G_046099_P_906222818.adn.gif</t>
  </si>
  <si>
    <t>Wittmann KG, Tischlerei • Schlierbach • Oberösterreich</t>
  </si>
  <si>
    <t>Tischlereien • Wittmann KG, Sauternstraße 25, Schlierbach • Kontakt über aktuelle Telefonnummern ☎ und Adressen ⚑ mit Karte, Routing, Öffnungszeiten, Homepage, E-Mail, vCard und Firmendaten.</t>
  </si>
  <si>
    <t>Sauternstraße 25</t>
  </si>
  <si>
    <t>47.94904</t>
  </si>
  <si>
    <t>14.11232</t>
  </si>
  <si>
    <t>+43758281655</t>
  </si>
  <si>
    <t>info@einrichtung-wittmann.at</t>
  </si>
  <si>
    <t>https://bilder.dasschnelle.at/DasSchnelle/50/5000/9895/046094/G_046094_P_906216901.adn.gif</t>
  </si>
  <si>
    <t>Strutzenberger, Stefan, Baugewerbetreibender • Micheldorf • Oberösterreich</t>
  </si>
  <si>
    <t>Bauunternehmen • Strutzenberger, Stefan, Hammersteinsiedlung 22, Micheldorf • Kontakt über aktuelle Telefonnummern ☎ und Adressen ⚑ mit Karte, Routing, Öffnungszeiten, Homepage, E-Mail, vCard und Firmendaten.</t>
  </si>
  <si>
    <t>Hammersteinsiedlung 22</t>
  </si>
  <si>
    <t>4563</t>
  </si>
  <si>
    <t>Micheldorf</t>
  </si>
  <si>
    <t>47.8807194</t>
  </si>
  <si>
    <t>14.1219059</t>
  </si>
  <si>
    <t>+43758251479;+4366473439264</t>
  </si>
  <si>
    <t>stefan@strutzenberger-bau.at</t>
  </si>
  <si>
    <t>https://bilder.dasschnelle.at/DasSchnelle/50/5000/9895/046085/G_046085_P_906229978.adn.gif</t>
  </si>
  <si>
    <t>BioBauernladen Kremstal GmbH • Kirchdorf an der Krems • Oberösterreich</t>
  </si>
  <si>
    <t>Biologische Produkte • BioBauernladen Kremstal GmbH, S. Redtenbacher-Platz 7, Kirchdorf an der Krems • Kontakt über aktuelle Telefonnummern ☎ und Adressen ⚑ mit Karte, Routing, Öffnungszeiten, Homepage, E-Mail, vCard und Firmendaten.</t>
  </si>
  <si>
    <t>S. Redtenbacher-Platz 7</t>
  </si>
  <si>
    <t>47.9063803</t>
  </si>
  <si>
    <t>14.1212250</t>
  </si>
  <si>
    <t>+43758252109;+436642225838</t>
  </si>
  <si>
    <t>info@biobauernladen-kremstal.at</t>
  </si>
  <si>
    <t>https://bilder.dasschnelle.at/DasSchnelle/50/5000/9895/046082/G_046082_P_906219567.adn.gif</t>
  </si>
  <si>
    <t>AKM, Müller Christian, Autoreinigung • Klaus an der Pyhrnbahn • Oberösterreich</t>
  </si>
  <si>
    <t>Autopflege, Autoreparaturen • AKM, Müller Christian, Gewerbepark Klaus 3, Klaus an der Pyhrnbahn • Kontakt über aktuelle Telefonnummern ☎ und Adressen ⚑ mit Karte, Routing, Öffnungszeiten, Homepage, E-Mail, vCard und Firmendaten.</t>
  </si>
  <si>
    <t>Gewerbepark Klaus 3</t>
  </si>
  <si>
    <t>4564</t>
  </si>
  <si>
    <t>Klaus an der Pyhrnbahn</t>
  </si>
  <si>
    <t>47.8432160</t>
  </si>
  <si>
    <t>14.1659743</t>
  </si>
  <si>
    <t>+436765715910</t>
  </si>
  <si>
    <t>autokosmetikmueller@yahoo.com</t>
  </si>
  <si>
    <t>https://bilder.dasschnelle.at/DasSchnelle/50/5000/9895/046083/G_046083_P_906222819.adn.gif</t>
  </si>
  <si>
    <t>Milic, Dragoslav, Installateur • Micheldorf • Oberösterreich</t>
  </si>
  <si>
    <t>Installationsunternehmen • Milic, Dragoslav, Hans-Brudl Strasse 21, Micheldorf • Kontakt über aktuelle Telefonnummern ☎ und Adressen ⚑ mit Karte, Routing, Öffnungszeiten, Homepage, E-Mail, vCard und Firmendaten.</t>
  </si>
  <si>
    <t>Hans-Brudl Strasse 21</t>
  </si>
  <si>
    <t>47.8890380</t>
  </si>
  <si>
    <t>14.1324165</t>
  </si>
  <si>
    <t>+436504106187</t>
  </si>
  <si>
    <t>office@milic-installationen.at</t>
  </si>
  <si>
    <t>https://bilder.dasschnelle.at/DasSchnelle/50/5000/9895/046082/G_046082_P_906242048.adn.gif</t>
  </si>
  <si>
    <t>Gartenservice Garstenauer • Steyr • Oberösterreich</t>
  </si>
  <si>
    <t>Garten- u. Landschaftspflege • Gartenservice Garstenauer, Aichetgasse 18 /2, Steyr • Kontakt über aktuelle Telefonnummern ☎ und Adressen ⚑ mit Karte, Routing, Öffnungszeiten, Homepage, E-Mail, vCard und Firmendaten.</t>
  </si>
  <si>
    <t>Aichetgasse 18 /2</t>
  </si>
  <si>
    <t>47.94989</t>
  </si>
  <si>
    <t>14.25033</t>
  </si>
  <si>
    <t>+436802545964</t>
  </si>
  <si>
    <t>gartenservice.garstenauer@gmx.at</t>
  </si>
  <si>
    <t>https://bilder.dasschnelle.at/DasSchnelle/50/5000/9895/046079/I_046079_P_906046728_B_0037544470_1.gal.png?height=573&amp;width=720;https://bilder.dasschnelle.at/DasSchnelle/50/5000/9895/046079/I_046079_P_906046728_B_0037544470_2.gal.png?height=461&amp;width=720;https://bilder.dasschnelle.at/DasSchnelle/50/5000/9895/046079/I_046079_P_906046728_B_0037544470_3.gal.png?height=460&amp;width=720;https://bilder.dasschnelle.at/DasSchnelle/50/5000/9895/046079/I_046079_P_906046728_B_0037544470_4.gal.png?height=720&amp;width=616</t>
  </si>
  <si>
    <t>Nironorm e.U., Zäune • Nußbach • Oberösterreich</t>
  </si>
  <si>
    <t>Stiegenbau • Nironorm e.U., Gewerbestraße 9, Nußbach • Kontakt über aktuelle Telefonnummern ☎ und Adressen ⚑ mit Karte, Routing, Öffnungszeiten, Homepage, E-Mail, vCard und Firmendaten.</t>
  </si>
  <si>
    <t>Gewerbestraße 9</t>
  </si>
  <si>
    <t>47.97155</t>
  </si>
  <si>
    <t>14.17118</t>
  </si>
  <si>
    <t>+436605211788</t>
  </si>
  <si>
    <t>office@nironorm.at</t>
  </si>
  <si>
    <t>https://bilder.dasschnelle.at/DasSchnelle/50/5000/9895/046085/I_046085_P_905976694_L_0038126779_1.png</t>
  </si>
  <si>
    <t>https://bilder.dasschnelle.at/DasSchnelle/50/5000/9895/046085/I_046085_P_905976694_B_0038126779_1.gal.png?height=225&amp;width=300;https://bilder.dasschnelle.at/DasSchnelle/50/5000/9895/046085/I_046085_P_905976694_B_0038126779_2.gal.png?height=267&amp;width=600;https://bilder.dasschnelle.at/DasSchnelle/50/5000/9895/046085/I_046085_P_905976694_B_0038126779_3.gal.png?height=225&amp;width=300;https://bilder.dasschnelle.at/DasSchnelle/50/5000/9895/046085/I_046085_P_905976694_B_0038126779_4.gal.png?height=225&amp;width=300</t>
  </si>
  <si>
    <t>Zöchling, Thomas, Tischlerei • Annaberg • Niederösterreich</t>
  </si>
  <si>
    <t>Tischlereien • Zöchling, Thomas, Annarotte 162, Annaberg • Kontakt über aktuelle Telefonnummern ☎ und Adressen ⚑ mit Karte, Routing, Öffnungszeiten, Homepage, E-Mail, vCard und Firmendaten.</t>
  </si>
  <si>
    <t>Annarotte 162</t>
  </si>
  <si>
    <t>3222</t>
  </si>
  <si>
    <t>Annaberg</t>
  </si>
  <si>
    <t>47.8716662</t>
  </si>
  <si>
    <t>15.3610215</t>
  </si>
  <si>
    <t>+436644777053</t>
  </si>
  <si>
    <t>l.zoechling@ready2web.net</t>
  </si>
  <si>
    <t>https://bilder.dasschnelle.at/DasSchnelle/50/5000/9906/041516/G_041516_P_906135870.adn.gif</t>
  </si>
  <si>
    <t>Haarwerk by Manuela Schalko, Friseur • Hohenberg • Niederösterreich</t>
  </si>
  <si>
    <t>Friseure • Haarwerk by Manuela Schalko, Alte Hauptstrasse 4, Hohenberg • Kontakt über aktuelle Telefonnummern ☎ und Adressen ⚑ mit Karte, Routing, Öffnungszeiten, Homepage, E-Mail, vCard und Firmendaten.</t>
  </si>
  <si>
    <t>Alte Hauptstrasse 4</t>
  </si>
  <si>
    <t>3192</t>
  </si>
  <si>
    <t>Hohenberg</t>
  </si>
  <si>
    <t>47.91123</t>
  </si>
  <si>
    <t>15.61853</t>
  </si>
  <si>
    <t>+4327678302</t>
  </si>
  <si>
    <t>manuela.bernhard@hotmail.com</t>
  </si>
  <si>
    <t>https://bilder.dasschnelle.at/DasSchnelle/50/5000/9906/041519/G_041519_P_906137876.adn.gif</t>
  </si>
  <si>
    <t>Hairstyle Regina • Gusswerk • Steiermark</t>
  </si>
  <si>
    <t>Friseure • Hairstyle Regina, Hauptstrasse 33, Gusswerk • Kontakt über aktuelle Telefonnummern ☎ und Adressen ⚑ mit Karte, Routing, Öffnungszeiten, Homepage, E-Mail, vCard und Firmendaten.</t>
  </si>
  <si>
    <t>Hauptstrasse 33</t>
  </si>
  <si>
    <t>8632</t>
  </si>
  <si>
    <t>Gusswerk</t>
  </si>
  <si>
    <t>47.74101</t>
  </si>
  <si>
    <t>15.3099</t>
  </si>
  <si>
    <t>+436607244339</t>
  </si>
  <si>
    <t>https://bilder.dasschnelle.at/DasSchnelle/50/5000/9906/061453/G_061453_P_906121414.adn.gif</t>
  </si>
  <si>
    <t>Grafeneder, Hubert, Rauchfangkehrermeister • Hohenberg • Niederösterreich</t>
  </si>
  <si>
    <t>Rauchfangkehrermeister • Grafeneder, Hubert, Am Schanzel 43, Hohenberg • Kontakt über aktuelle Telefonnummern ☎ und Adressen ⚑ mit Karte, Routing, Öffnungszeiten, Homepage, E-Mail, vCard und Firmendaten.</t>
  </si>
  <si>
    <t>Am Schanzel 43</t>
  </si>
  <si>
    <t>47.91688</t>
  </si>
  <si>
    <t>15.61865</t>
  </si>
  <si>
    <t>+4327677201;+436641728479;+436644558388</t>
  </si>
  <si>
    <t>hubi.grafeneder@gmail.com</t>
  </si>
  <si>
    <t>https://bilder.dasschnelle.at/DasSchnelle/50/5000/9906/041519/G_041519_P_906123762.adn.gif</t>
  </si>
  <si>
    <t>Friedhofsgärtnernei Tatjana Zwesper • Ramsau • Niederösterreich</t>
  </si>
  <si>
    <t>Friedhofsgärntnerei • Friedhofsgärtnernei Tatjana Zwesper, Birkengasse 9, Ramsau • Kontakt über aktuelle Telefonnummern ☎ und Adressen ⚑ mit Karte, Routing, Öffnungszeiten, Homepage, E-Mail, vCard und Firmendaten.</t>
  </si>
  <si>
    <t>Birkengasse 9</t>
  </si>
  <si>
    <t>3172</t>
  </si>
  <si>
    <t>Ramsau</t>
  </si>
  <si>
    <t>48.0089500</t>
  </si>
  <si>
    <t>15.8020900</t>
  </si>
  <si>
    <t>+436765332277</t>
  </si>
  <si>
    <t>friedhofsg.zwesper@gmx.at</t>
  </si>
  <si>
    <t>https://bilder.dasschnelle.at/DasSchnelle/50/5000/9906/041524/G_041524_P_906124082.adn.gif</t>
  </si>
  <si>
    <t>Dr. Ruth Schedai-Lindenthal, Zahnärztin • Türnitz • Niederösterreich</t>
  </si>
  <si>
    <t>Ärzte / Fachärzte f. Zahn-, Mund u. Kieferheilkunde • Dr. Ruth Schedai-Lindenthal, Daniel Karner Straße 7, Türnitz • Kontakt über aktuelle Telefonnummern ☎ und Adressen ⚑ mit Karte, Routing, Öffnungszeiten, Homepage, E-Mail, vCard und Firmendaten.</t>
  </si>
  <si>
    <t>Daniel Karner Straße 7</t>
  </si>
  <si>
    <t>3183</t>
  </si>
  <si>
    <t>Türnitz</t>
  </si>
  <si>
    <t>47.92885</t>
  </si>
  <si>
    <t>15.49109</t>
  </si>
  <si>
    <t>+4327698354</t>
  </si>
  <si>
    <t>ruth.schedai@gmx.at</t>
  </si>
  <si>
    <t>https://bilder.dasschnelle.at/DasSchnelle/50/5000/9906/041529/I_041529_P_905873867_L_0035993344_1.png</t>
  </si>
  <si>
    <t>https://bilder.dasschnelle.at/DasSchnelle/50/5000/9906/041529/I_041529_P_905873867_B_0035993344_1.gal.png?height=445&amp;width=445;https://bilder.dasschnelle.at/DasSchnelle/50/5000/9906/041529/I_041529_P_905873867_B_0035993344_2.gal.png?height=445&amp;width=445;https://bilder.dasschnelle.at/DasSchnelle/50/5000/9906/041529/I_041529_P_905873867_B_0035993344_3.gal.png?height=416&amp;width=624;https://bilder.dasschnelle.at/DasSchnelle/50/5000/9906/041529/I_041529_P_905873867_B_0035993344_4.gal.png?height=555&amp;width=555</t>
  </si>
  <si>
    <t>Gasthof zum Fallenstein • Gußwerk • Steiermark</t>
  </si>
  <si>
    <t>Gastgewerbe - Gasthöfe • Gasthof zum Fallenstein, Fallenstein 5, Gußwerk • Kontakt über aktuelle Telefonnummern ☎ und Adressen ⚑ mit Karte, Routing, Öffnungszeiten, Homepage, E-Mail, vCard und Firmendaten.</t>
  </si>
  <si>
    <t>Fallenstein 5</t>
  </si>
  <si>
    <t>Gußwerk</t>
  </si>
  <si>
    <t>47.72826</t>
  </si>
  <si>
    <t>15.33467</t>
  </si>
  <si>
    <t>+4338822661</t>
  </si>
  <si>
    <t>kontakt@fallensteinergut.at</t>
  </si>
  <si>
    <t>https://bilder.dasschnelle.at/DasSchnelle/50/5000/9906/061453/G_061453_P_906123778.adn.gif</t>
  </si>
  <si>
    <t>Wieser, Sonja, Friseur • Traisen • Niederösterreich</t>
  </si>
  <si>
    <t>Friseure • Wieser, Sonja, Albert-Schweitzer-Gasse 4, Traisen • Kontakt über aktuelle Telefonnummern ☎ und Adressen ⚑ mit Karte, Routing, Öffnungszeiten, Homepage, E-Mail, vCard und Firmendaten.</t>
  </si>
  <si>
    <t>Albert-Schweitzer-Gasse 4</t>
  </si>
  <si>
    <t>3160</t>
  </si>
  <si>
    <t>Traisen</t>
  </si>
  <si>
    <t>48.04431</t>
  </si>
  <si>
    <t>15.61041</t>
  </si>
  <si>
    <t>+436644018717</t>
  </si>
  <si>
    <t>info@friseursalon-sonja-wieser.at</t>
  </si>
  <si>
    <t>https://bilder.dasschnelle.at/DasSchnelle/50/5000/9906/041528/G_041528_P_906123789.adn.gif</t>
  </si>
  <si>
    <t>Holzbau Paul Schneck • Halltal • Steiermark</t>
  </si>
  <si>
    <t>Holzbau • Holzbau Paul Schneck, Halltal 35, Halltal • Kontakt über aktuelle Telefonnummern ☎ und Adressen ⚑ mit Karte, Routing, Öffnungszeiten, Homepage, E-Mail, vCard und Firmendaten.</t>
  </si>
  <si>
    <t>Halltal 35</t>
  </si>
  <si>
    <t>8630</t>
  </si>
  <si>
    <t>Halltal</t>
  </si>
  <si>
    <t>47.7613700</t>
  </si>
  <si>
    <t>15.3760000</t>
  </si>
  <si>
    <t>+436804027683</t>
  </si>
  <si>
    <t>paul@zimmermeister-schneck.at</t>
  </si>
  <si>
    <t>https://bilder.dasschnelle.at/DasSchnelle/50/5000/9906/061453/I_061453_P_905882403_L_0038476205_1.png</t>
  </si>
  <si>
    <t>https://bilder.dasschnelle.at/DasSchnelle/50/5000/9906/061453/I_061453_P_905882403_B_0038476205_1.gal.png?height=269&amp;width=624;https://bilder.dasschnelle.at/DasSchnelle/50/5000/9906/061453/I_061453_P_905882403_B_0038476205_2.gal.png?height=416&amp;width=624;https://bilder.dasschnelle.at/DasSchnelle/50/5000/9906/061453/I_061453_P_905882403_B_0038476205_3.gal.png?height=269&amp;width=624;https://bilder.dasschnelle.at/DasSchnelle/50/5000/9906/061453/I_061453_P_905882403_B_0038476205_4.gal.png?height=269&amp;width=624</t>
  </si>
  <si>
    <t>Johann Karl Eigelsreither • Türnitz • Niederösterreich</t>
  </si>
  <si>
    <t>Renovierungen • Johann Karl Eigelsreither, Freiland 12, Türnitz • Kontakt über aktuelle Telefonnummern ☎ und Adressen ⚑ mit Karte, Routing, Öffnungszeiten, Homepage, E-Mail, vCard und Firmendaten.</t>
  </si>
  <si>
    <t>Freiland 12</t>
  </si>
  <si>
    <t>47.9788128</t>
  </si>
  <si>
    <t>15.5686159</t>
  </si>
  <si>
    <t>+436643206637</t>
  </si>
  <si>
    <t>johann.eigelsreiter@gmx.at</t>
  </si>
  <si>
    <t>https://bilder.dasschnelle.at/DasSchnelle/50/5000/9906/041529/I_041529_P_905882351_L_0038476206_1.png</t>
  </si>
  <si>
    <t>https://bilder.dasschnelle.at/DasSchnelle/50/5000/9906/041529/G_041529_P_906121416.adn.gif</t>
  </si>
  <si>
    <t>Zöchling Martin, Tischler- &amp; Montagearbeiten • Annaberg • Niederösterreich</t>
  </si>
  <si>
    <t>Tischlereien • Zöchling Martin, Annarotte 163, Annaberg • Kontakt über aktuelle Telefonnummern ☎ und Adressen ⚑ mit Karte, Routing, Öffnungszeiten, Homepage, E-Mail, vCard und Firmendaten.</t>
  </si>
  <si>
    <t>Annarotte 163</t>
  </si>
  <si>
    <t>47.8665560</t>
  </si>
  <si>
    <t>15.3593801</t>
  </si>
  <si>
    <t>+436649661077</t>
  </si>
  <si>
    <t>martin.zoechling74@gmail.com</t>
  </si>
  <si>
    <t>https://bilder.dasschnelle.at/DasSchnelle/50/5000/9906/041516/I_041516_P_905885170_L_0038473404_1.png</t>
  </si>
  <si>
    <t>https://bilder.dasschnelle.at/DasSchnelle/50/5000/9906/041516/G_041516_P_906124081.adn.gif</t>
  </si>
  <si>
    <t>Komornik GmbH, Installationsunternehmen • Pernegg • Niederösterreich</t>
  </si>
  <si>
    <t>Installationsunternehmen • Komornik GmbH, Pernegg 25, Pernegg • Kontakt über aktuelle Telefonnummern ☎ und Adressen ⚑ mit Karte, Routing, Öffnungszeiten, Homepage, E-Mail, vCard und Firmendaten.</t>
  </si>
  <si>
    <t>Pernegg 25</t>
  </si>
  <si>
    <t>3753</t>
  </si>
  <si>
    <t>48.7382662</t>
  </si>
  <si>
    <t>15.6305552</t>
  </si>
  <si>
    <t>+43291321886;+436642382308</t>
  </si>
  <si>
    <t>+43291321889</t>
  </si>
  <si>
    <t>wolfgang@komornik.at</t>
  </si>
  <si>
    <t>https://bilder.dasschnelle.at/DasSchnelle/50/5000/9893/041397/G_041397_P_906123661.adn.gif</t>
  </si>
  <si>
    <t>Aubrunner, Martin, Heizung-Sanitär • Neukirchen an der Wild • Niederösterreich</t>
  </si>
  <si>
    <t>Heizungen, Sanitäranlagen u. -einrichtungen • Aubrunner, Martin, Neukirchen 46, Neukirchen an der Wild • Kontakt über aktuelle Telefonnummern ☎ und Adressen ⚑ mit Karte, Routing, Öffnungszeiten, Homepage, E-Mail, vCard und Firmendaten.</t>
  </si>
  <si>
    <t>Neukirchen 46</t>
  </si>
  <si>
    <t>3595</t>
  </si>
  <si>
    <t>Neukirchen an der Wild</t>
  </si>
  <si>
    <t>48.6841516</t>
  </si>
  <si>
    <t>15.5593800</t>
  </si>
  <si>
    <t>+43298923220;+4329897004</t>
  </si>
  <si>
    <t>aubrunner@aubrunner-bad-heizung.at</t>
  </si>
  <si>
    <t>https://bilder.dasschnelle.at/DasSchnelle/50/5000/9893/041386/G_041386_P_906123844.adn.gif</t>
  </si>
  <si>
    <t>Lemp, Thomas, Installationsunternehmen • Harth • Niederösterreich</t>
  </si>
  <si>
    <t>Installationsunternehmen • Lemp, Thomas, Harth 14, Harth • Kontakt über aktuelle Telefonnummern ☎ und Adressen ⚑ mit Karte, Routing, Öffnungszeiten, Homepage, E-Mail, vCard und Firmendaten.</t>
  </si>
  <si>
    <t>Harth 14</t>
  </si>
  <si>
    <t>Harth</t>
  </si>
  <si>
    <t>48.7619676</t>
  </si>
  <si>
    <t>15.6558259</t>
  </si>
  <si>
    <t>+436645151442</t>
  </si>
  <si>
    <t>thomas.lemp@aon.at</t>
  </si>
  <si>
    <t>https://bilder.dasschnelle.at/DasSchnelle/50/5000/9893/041391/G_041391_P_906123777.adn.gif</t>
  </si>
  <si>
    <t>Lacuch, Gerhard, Dachdeckerei • Gars • Niederösterreich</t>
  </si>
  <si>
    <t>Dachdeckereien, Spenglereien • Lacuch, Gerhard, Gewerbestraße 625, Gars • Kontakt über aktuelle Telefonnummern ☎ und Adressen ⚑ mit Karte, Routing, Öffnungszeiten, Homepage, E-Mail, vCard und Firmendaten.</t>
  </si>
  <si>
    <t>Gewerbestraße 625</t>
  </si>
  <si>
    <t>Gars</t>
  </si>
  <si>
    <t>48.5995184</t>
  </si>
  <si>
    <t>15.6761154</t>
  </si>
  <si>
    <t>+43298533290</t>
  </si>
  <si>
    <t>lacuch@aon.at</t>
  </si>
  <si>
    <t>https://bilder.dasschnelle.at/DasSchnelle/50/5000/9893/041390/G_041390_P_906123772.adn.gif</t>
  </si>
  <si>
    <t>Stefan Robert Tischlerei • Eggenburg • Niederösterreich</t>
  </si>
  <si>
    <t>Tischlereien • Stefan Robert Tischlerei, Kattau 85, Eggenburg • Kontakt über aktuelle Telefonnummern ☎ und Adressen ⚑ mit Karte, Routing, Öffnungszeiten, Homepage, E-Mail, vCard und Firmendaten.</t>
  </si>
  <si>
    <t>Kattau 85</t>
  </si>
  <si>
    <t>3730</t>
  </si>
  <si>
    <t>Eggenburg</t>
  </si>
  <si>
    <t>48.6769200</t>
  </si>
  <si>
    <t>15.8113700</t>
  </si>
  <si>
    <t>+4329844668</t>
  </si>
  <si>
    <t>rst.tischler@gmail.com</t>
  </si>
  <si>
    <t>https://bilder.dasschnelle.at/DasSchnelle/50/5000/9893/041385/I_041385_P_905867180_B_0036031374_1.gal.png?height=86&amp;width=457</t>
  </si>
  <si>
    <t>Höss, Helmut, Zimmerei • Messern • Niederösterreich</t>
  </si>
  <si>
    <t>Dachdeckereien, Zimmereien • Höss, Helmut, Kaidling 42, Messern • Kontakt über aktuelle Telefonnummern ☎ und Adressen ⚑ mit Karte, Routing, Öffnungszeiten, Homepage, E-Mail, vCard und Firmendaten.</t>
  </si>
  <si>
    <t>Kaidling 42</t>
  </si>
  <si>
    <t>3761</t>
  </si>
  <si>
    <t>Messern</t>
  </si>
  <si>
    <t>48.7146267</t>
  </si>
  <si>
    <t>15.5546481</t>
  </si>
  <si>
    <t>+4329892261</t>
  </si>
  <si>
    <t>holzbau@zimmerei-hoess.at</t>
  </si>
  <si>
    <t>https://bilder.dasschnelle.at/DasSchnelle/50/5000/9893/041393/G_041393_P_906123761.adn.gif</t>
  </si>
  <si>
    <t>STÖGER Kfz-Technik GmbH, KFZ Technik • Frauenhofen • Niederösterreich</t>
  </si>
  <si>
    <t>Kfz-Werkstätte • STÖGER Kfz-Technik GmbH, Scheibenstraße 11, Frauenhofen • Kontakt über aktuelle Telefonnummern ☎ und Adressen ⚑ mit Karte, Routing, Öffnungszeiten, Homepage, E-Mail, vCard und Firmendaten.</t>
  </si>
  <si>
    <t>Scheibenstraße 11</t>
  </si>
  <si>
    <t>3580</t>
  </si>
  <si>
    <t>Frauenhofen</t>
  </si>
  <si>
    <t>48.66847</t>
  </si>
  <si>
    <t>15.63037</t>
  </si>
  <si>
    <t>+43298220242;+436642784666</t>
  </si>
  <si>
    <t>info@kfz-technik-stoeger.at</t>
  </si>
  <si>
    <t>https://bilder.dasschnelle.at/DasSchnelle/50/5000/9893/041401/G_041401_P_906123938.adn.gif</t>
  </si>
  <si>
    <t>Weidenauer Rudolf Malerei u Anstrich GesmbH, Malerei • Horn • Niederösterreich</t>
  </si>
  <si>
    <t>Malereibetriebe • Weidenauer Rudolf Malerei u Anstrich GesmbH, Bahnstraße 11, Horn • Kontakt über aktuelle Telefonnummern ☎ und Adressen ⚑ mit Karte, Routing, Öffnungszeiten, Homepage, E-Mail, vCard und Firmendaten.</t>
  </si>
  <si>
    <t>Horn</t>
  </si>
  <si>
    <t>48.66578</t>
  </si>
  <si>
    <t>15.66523</t>
  </si>
  <si>
    <t>+43298230127;+436644590951</t>
  </si>
  <si>
    <t>weidenauer-malerei@aon.at</t>
  </si>
  <si>
    <t>https://bilder.dasschnelle.at/DasSchnelle/50/5000/9893/041392/G_041392_P_906123664.adn.gif</t>
  </si>
  <si>
    <t>Teppich Galerie ARIAN Gmbh, Teppiche • Horn • Niederösterreich</t>
  </si>
  <si>
    <t>Teppiche • Teppich Galerie ARIAN Gmbh, Taffatal 4, Horn • Kontakt über aktuelle Telefonnummern ☎ und Adressen ⚑ mit Karte, Routing, Öffnungszeiten, Homepage, E-Mail, vCard und Firmendaten.</t>
  </si>
  <si>
    <t>Taffatal 4</t>
  </si>
  <si>
    <t>48.66427</t>
  </si>
  <si>
    <t>15.66286</t>
  </si>
  <si>
    <t>+436504012222</t>
  </si>
  <si>
    <t>reza.hosini@me.com</t>
  </si>
  <si>
    <t>https://bilder.dasschnelle.at/DasSchnelle/50/5000/9893/041392/G_041392_P_906143399.adn.gif</t>
  </si>
  <si>
    <t>Schillinger, Bernhard, Baggerunternehmen • Nödersdorf • Niederösterreich</t>
  </si>
  <si>
    <t>Baggerungen u. Transporte • Schillinger, Bernhard, Nödersdorf 24, Nödersdorf • Kontakt über aktuelle Telefonnummern ☎ und Adressen ⚑ mit Karte, Routing, Öffnungszeiten, Homepage, E-Mail, vCard und Firmendaten.</t>
  </si>
  <si>
    <t>Nödersdorf 24</t>
  </si>
  <si>
    <t>Nödersdorf</t>
  </si>
  <si>
    <t>48.7381598</t>
  </si>
  <si>
    <t>15.6300964</t>
  </si>
  <si>
    <t>+436645003854</t>
  </si>
  <si>
    <t>bernhard.schillinger@gmail.com</t>
  </si>
  <si>
    <t>https://bilder.dasschnelle.at/DasSchnelle/50/5000/9893/041397/G_041397_P_906123849.adn.gif</t>
  </si>
  <si>
    <t>Waldviertler Havarie Center, Inh Worresch Andreas, Kfz-Reparaturen u Haveriedienst, alle Marken • Mold • Niederösterreich</t>
  </si>
  <si>
    <t>Autoreparaturen • Waldviertler Havarie Center, Inh Worresch Andreas, Johann Pivonka-Weg 1, Mold • Kontakt über aktuelle Telefonnummern ☎ und Adressen ⚑ mit Karte, Routing, Öffnungszeiten, Homepage, E-Mail, vCard und Firmendaten.</t>
  </si>
  <si>
    <t>Johann Pivonka-Weg 1</t>
  </si>
  <si>
    <t>Mold</t>
  </si>
  <si>
    <t>48.63948</t>
  </si>
  <si>
    <t>15.70506</t>
  </si>
  <si>
    <t>+43298220948</t>
  </si>
  <si>
    <t>w4havariecenter@worresch.net</t>
  </si>
  <si>
    <t>https://bilder.dasschnelle.at/DasSchnelle/50/5000/9893/041400/G_041400_P_906123876.adn.gif</t>
  </si>
  <si>
    <t>Paradeiser Jochen EVAC • Horn • Niederösterreich</t>
  </si>
  <si>
    <t>Alteisen u. Altmetalle • Paradeiser Jochen EVAC, Breiteneich 12, Horn • Kontakt über aktuelle Telefonnummern ☎ und Adressen ⚑ mit Karte, Routing, Öffnungszeiten, Homepage, E-Mail, vCard und Firmendaten.</t>
  </si>
  <si>
    <t>Breiteneich 12</t>
  </si>
  <si>
    <t>48.6765460</t>
  </si>
  <si>
    <t>15.6944019</t>
  </si>
  <si>
    <t>+436769344737</t>
  </si>
  <si>
    <t>paradeiser.j@gmail.com</t>
  </si>
  <si>
    <t>https://bilder.dasschnelle.at/DasSchnelle/50/5000/9893/041392/I_041392_P_905905339_L_0038344970_1.png</t>
  </si>
  <si>
    <t>https://bilder.dasschnelle.at/DasSchnelle/50/5000/9893/041392/I_041392_P_905905339_B_0038344970_1.gal.png?height=276&amp;width=276;https://bilder.dasschnelle.at/DasSchnelle/50/5000/9893/041392/I_041392_P_905905339_B_0038344970_2.gal.png?height=276&amp;width=276;https://bilder.dasschnelle.at/DasSchnelle/50/5000/9893/041392/I_041392_P_905905339_B_0038344970_3.gal.png?height=276&amp;width=276;https://bilder.dasschnelle.at/DasSchnelle/50/5000/9893/041392/I_041392_P_905905339_B_0038344970_4.gal.png?height=276&amp;width=276</t>
  </si>
  <si>
    <t>Lunzer Leopold GesmbH, Glaserei • Horn • Niederösterreich</t>
  </si>
  <si>
    <t>Glasereien • Lunzer Leopold GesmbH, Breiteneicher Straße 9, Horn • Kontakt über aktuelle Telefonnummern ☎ und Adressen ⚑ mit Karte, Routing, Öffnungszeiten, Homepage, E-Mail, vCard und Firmendaten.</t>
  </si>
  <si>
    <t>Breiteneicher Straße 9</t>
  </si>
  <si>
    <t>48.66964</t>
  </si>
  <si>
    <t>15.67296</t>
  </si>
  <si>
    <t>+43298244110</t>
  </si>
  <si>
    <t>office@glas-lunzer.at</t>
  </si>
  <si>
    <t>https://bilder.dasschnelle.at/DasSchnelle/50/5000/9893/041392/I_041392_P_905935263_L_0035970994_1.png</t>
  </si>
  <si>
    <t>https://bilder.dasschnelle.at/DasSchnelle/50/5000/9893/041392/I_041392_P_905935263_B_0035970994_1.gal.png?height=450&amp;width=600;https://bilder.dasschnelle.at/DasSchnelle/50/5000/9893/041392/I_041392_P_905935263_B_0035970994_2.gal.png?height=600&amp;width=450;https://bilder.dasschnelle.at/DasSchnelle/50/5000/9893/041392/I_041392_P_905935263_B_0035970994_3.gal.png?height=600&amp;width=450;https://bilder.dasschnelle.at/DasSchnelle/50/5000/9893/041392/I_041392_P_905935263_B_0035970994_4.gal.png?height=600&amp;width=450</t>
  </si>
  <si>
    <t>Vogler, Margot, Kosmetik • Eggenburg • Niederösterreich</t>
  </si>
  <si>
    <t>Fußpflege, Kosmetik • Vogler, Margot, Grätzl 5 /1, Eggenburg • Kontakt über aktuelle Telefonnummern ☎ und Adressen ⚑ mit Karte, Routing, Öffnungszeiten, Homepage, E-Mail, vCard und Firmendaten.</t>
  </si>
  <si>
    <t>Grätzl 5 /1</t>
  </si>
  <si>
    <t>48.64269</t>
  </si>
  <si>
    <t>15.81688</t>
  </si>
  <si>
    <t>+436645931540</t>
  </si>
  <si>
    <t>margot.vogler@wcon.at</t>
  </si>
  <si>
    <t>https://bilder.dasschnelle.at/DasSchnelle/50/5000/9893/041389/G_041389_P_906121413.adn.gif</t>
  </si>
  <si>
    <t>Haustechnik Ölknecht GmbH, Installateur • Horn • Niederösterreich</t>
  </si>
  <si>
    <t>Installationsunternehmen • Haustechnik Ölknecht GmbH, Honorius-Burger-Straße 6, Horn • Kontakt über aktuelle Telefonnummern ☎ und Adressen ⚑ mit Karte, Routing, Öffnungszeiten, Homepage, E-Mail, vCard und Firmendaten.</t>
  </si>
  <si>
    <t>Honorius-Burger-Straße 6</t>
  </si>
  <si>
    <t>48.6650726</t>
  </si>
  <si>
    <t>15.6648561</t>
  </si>
  <si>
    <t>+43298235253;+43298220512;+436645972596</t>
  </si>
  <si>
    <t>office@oelknecht.at</t>
  </si>
  <si>
    <t>https://bilder.dasschnelle.at/DasSchnelle/50/5000/9893/041392/G_041392_P_906123910.adn.gif</t>
  </si>
  <si>
    <t>Docekal, Thomas  • Gars • Niederösterreich</t>
  </si>
  <si>
    <t>Baustoffhandel • Docekal, Thomas, Schillerstraße 163, Gars • Kontakt über aktuelle Telefonnummern ☎ und Adressen ⚑ mit Karte, Routing, Öffnungszeiten, Homepage, E-Mail, vCard und Firmendaten.</t>
  </si>
  <si>
    <t>Schillerstraße 163</t>
  </si>
  <si>
    <t>48.5974395</t>
  </si>
  <si>
    <t>15.6647118</t>
  </si>
  <si>
    <t>+43298527215</t>
  </si>
  <si>
    <t>https://bilder.dasschnelle.at/DasSchnelle/50/5000/9893/041390/G_041390_P_906123909.adn.gif</t>
  </si>
  <si>
    <t>Cerveny, Margot, Haarstudio Margot • Marchtrenk • Oberösterreich</t>
  </si>
  <si>
    <t>Friseure • Cerveny, Margot, Haarstudio Margot, Lessingstraße 17, Marchtrenk • Kontakt über aktuelle Telefonnummern ☎ und Adressen ⚑ mit Karte, Routing, Öffnungszeiten, Homepage, E-Mail, vCard und Firmendaten.</t>
  </si>
  <si>
    <t>Lessingstraße 17</t>
  </si>
  <si>
    <t>48.19315</t>
  </si>
  <si>
    <t>14.11334</t>
  </si>
  <si>
    <t>+43724358560</t>
  </si>
  <si>
    <t>margot.haarstudio@liwest.at</t>
  </si>
  <si>
    <t>https://bilder.dasschnelle.at/DasSchnelle/50/5000/9907/043573/I_043573_P_905937907_L_0035999462_1.png</t>
  </si>
  <si>
    <t>https://bilder.dasschnelle.at/DasSchnelle/50/5000/9907/043573/I_043573_P_905937907_B_0035999462_1.gal.png?height=450&amp;width=600;https://bilder.dasschnelle.at/DasSchnelle/50/5000/9907/043573/I_043573_P_905937907_B_0035999462_2.gal.png?height=597&amp;width=600;https://bilder.dasschnelle.at/DasSchnelle/50/5000/9907/043573/I_043573_P_905937907_B_0035999462_4.gal.png?height=600&amp;width=450</t>
  </si>
  <si>
    <t>Szabo - Wohnen, Einrichtungsstudio • Marchtrenk • Oberösterreich</t>
  </si>
  <si>
    <t>Möbelhandel • Szabo - Wohnen, Linzer Straße 39, Marchtrenk • Kontakt über aktuelle Telefonnummern ☎ und Adressen ⚑ mit Karte, Routing, Öffnungszeiten, Homepage, E-Mail, vCard und Firmendaten.</t>
  </si>
  <si>
    <t>Linzer Straße 39</t>
  </si>
  <si>
    <t>48.1917</t>
  </si>
  <si>
    <t>14.11755</t>
  </si>
  <si>
    <t>+43724357540;+436644447301</t>
  </si>
  <si>
    <t>wohnen.szabo@aon.at</t>
  </si>
  <si>
    <t>https://bilder.dasschnelle.at/DasSchnelle/50/5000/9907/043573/G_043573_P_906161094.adn.gif</t>
  </si>
  <si>
    <t>Mayr, Hannes, Dr., FA für Innere Medizin • Marchtrenk • Oberösterreich</t>
  </si>
  <si>
    <t>Ärzte / Fachärzte f. Innere Medizin • Mayr, Hannes, Dr., Linzer Straße 9, Marchtrenk • Kontakt über aktuelle Telefonnummern ☎ und Adressen ⚑ mit Karte, Routing, Öffnungszeiten, Homepage, E-Mail, vCard und Firmendaten.</t>
  </si>
  <si>
    <t>Linzer Straße 9</t>
  </si>
  <si>
    <t>48.1905</t>
  </si>
  <si>
    <t>14.11283</t>
  </si>
  <si>
    <t>+43724350878</t>
  </si>
  <si>
    <t>https://bilder.dasschnelle.at/DasSchnelle/50/5000/9907/043573/G_043573_P_906162773.adn.gif</t>
  </si>
  <si>
    <t>CAR LINE, Automobile • Marchtrenk • Oberösterreich</t>
  </si>
  <si>
    <t>Autohandel • CAR LINE, Linzer Straße 179, Marchtrenk • Kontakt über aktuelle Telefonnummern ☎ und Adressen ⚑ mit Karte, Routing, Öffnungszeiten, Homepage, E-Mail, vCard und Firmendaten.</t>
  </si>
  <si>
    <t>Linzer Straße 179</t>
  </si>
  <si>
    <t>48.20197</t>
  </si>
  <si>
    <t>14.15281</t>
  </si>
  <si>
    <t>+4369911944188</t>
  </si>
  <si>
    <t>info@car-line.at</t>
  </si>
  <si>
    <t>https://bilder.dasschnelle.at/DasSchnelle/50/5000/9907/043573/G_043573_P_906154879.adn.gif</t>
  </si>
  <si>
    <t>Jungmair KG, Gastgewerbe - Gasthöfe • Oberprisching • Oberösterreich</t>
  </si>
  <si>
    <t>Gastgewerbe - Gasthöfe • Jungmair KG, Mistelbacher Straße 84, Oberprisching • Kontakt über aktuelle Telefonnummern ☎ und Adressen ⚑ mit Karte, Routing, Öffnungszeiten, Homepage, E-Mail, vCard und Firmendaten.</t>
  </si>
  <si>
    <t>Mistelbacher Straße 84</t>
  </si>
  <si>
    <t>Oberprisching</t>
  </si>
  <si>
    <t>48.2178723</t>
  </si>
  <si>
    <t>14.0868865</t>
  </si>
  <si>
    <t>+43724357162</t>
  </si>
  <si>
    <t>https://bilder.dasschnelle.at/DasSchnelle/50/5000/9907/043565/G_043565_P_906178290.adn.gif</t>
  </si>
  <si>
    <t>Lang, Rene, Glaserei • Marchtrenk • Oberösterreich</t>
  </si>
  <si>
    <t>Glasereien • Lang, Rene, Bahnhofstraße 20, Marchtrenk • Kontakt über aktuelle Telefonnummern ☎ und Adressen ⚑ mit Karte, Routing, Öffnungszeiten, Homepage, E-Mail, vCard und Firmendaten.</t>
  </si>
  <si>
    <t>Bahnhofstraße 20</t>
  </si>
  <si>
    <t>48.19322</t>
  </si>
  <si>
    <t>14.11059</t>
  </si>
  <si>
    <t>+43724352274;+436642407159</t>
  </si>
  <si>
    <t>glaserei-lang@aon.at</t>
  </si>
  <si>
    <t>https://bilder.dasschnelle.at/DasSchnelle/50/5000/9907/043573/G_043573_P_906123928.adn.gif</t>
  </si>
  <si>
    <t>Goldener Palast, JHN Jiangjun Ji, China Restaurant • Marchtrenk • Oberösterreich</t>
  </si>
  <si>
    <t>China-Restaurants • Goldener Palast, JHN Jiangjun Ji, Linzer Straße 6, Marchtrenk • Kontakt über aktuelle Telefonnummern ☎ und Adressen ⚑ mit Karte, Routing, Öffnungszeiten, Homepage, E-Mail, vCard und Firmendaten.</t>
  </si>
  <si>
    <t>Linzer Straße 6</t>
  </si>
  <si>
    <t>48.19011</t>
  </si>
  <si>
    <t>14.11201</t>
  </si>
  <si>
    <t>+43724351341</t>
  </si>
  <si>
    <t>https://bilder.dasschnelle.at/DasSchnelle/50/5000/9907/043573/G_043573_P_906123945.adn.gif</t>
  </si>
  <si>
    <t>Hablesreiter, Jakob, Gartengestaltung • Waldburg • Oberösterreich</t>
  </si>
  <si>
    <t>Garten- u. Landschaftsgestaltung • Hablesreiter, Jakob, Sankt Peter 147, Waldburg • Kontakt über aktuelle Telefonnummern ☎ und Adressen ⚑ mit Karte, Routing, Öffnungszeiten, Homepage, E-Mail, vCard und Firmendaten.</t>
  </si>
  <si>
    <t>Sankt Peter 147</t>
  </si>
  <si>
    <t>48.4984099</t>
  </si>
  <si>
    <t>14.4768969</t>
  </si>
  <si>
    <t>+436644047212</t>
  </si>
  <si>
    <t>office@hablesreiter-gartengestaltung.at</t>
  </si>
  <si>
    <t>https://bilder.dasschnelle.at/DasSchnelle/50/5000/9882/041783/I_041783_P_906073470_L_0037073429_1.png</t>
  </si>
  <si>
    <t>https://bilder.dasschnelle.at/DasSchnelle/50/5000/9882/041783/I_041783_P_906073470_B_0037073429_1.gal.png?height=664&amp;width=1010;https://bilder.dasschnelle.at/DasSchnelle/50/5000/9882/041783/I_041783_P_906073470_B_0037073429_2.gal.png?height=673&amp;width=1014;https://bilder.dasschnelle.at/DasSchnelle/50/5000/9882/041783/I_041783_P_906073470_B_0037073429_3.gal.png?height=675&amp;width=1016</t>
  </si>
  <si>
    <t>Bestattung Neumayr • Alkoven • Oberösterreich</t>
  </si>
  <si>
    <t>Bestattungsunternehmen • Bestattung Neumayr, Bahnhofstraße 3, Alkoven • Kontakt über aktuelle Telefonnummern ☎ und Adressen ⚑ mit Karte, Routing, Öffnungszeiten, Homepage, E-Mail, vCard und Firmendaten.</t>
  </si>
  <si>
    <t>48.2892400</t>
  </si>
  <si>
    <t>14.1142600</t>
  </si>
  <si>
    <t>+4372746229</t>
  </si>
  <si>
    <t>https://bilder.dasschnelle.at/DasSchnelle/50/5000/9876/044803/G_044803_P_906234721.adn.gif</t>
  </si>
  <si>
    <t>Reitsamer Bernhard e.U., Landwirtschaftliche Maschinen u Geräte • Sankt Georgen • Salzburg</t>
  </si>
  <si>
    <t>Landwirtschaftliche Maschinen u. Geräte • Reitsamer Bernhard e.U., St. Georgener Landesstraße 38, Sankt Georgen • Kontakt über aktuelle Telefonnummern ☎ und Adressen ⚑ mit Karte, Routing, Öffnungszeiten, Homepage, E-Mail, vCard und Firmendaten.</t>
  </si>
  <si>
    <t>St. Georgener Landesstraße 38</t>
  </si>
  <si>
    <t>Sankt Georgen</t>
  </si>
  <si>
    <t>47.9896000</t>
  </si>
  <si>
    <t>12.8812500</t>
  </si>
  <si>
    <t>+4362728108</t>
  </si>
  <si>
    <t>kfz-reitsamer@gmx.at</t>
  </si>
  <si>
    <t>https://bilder.dasschnelle.at/DasSchnelle/50/5000/9914/043325/G_043325_P_906031392.adn.gif</t>
  </si>
  <si>
    <t>Hofstetter, Thomas, Dr., FA f Hals-, Nasen- u Ohrenkrankheiten • Oberndorf bei Salzburg • Salzburg</t>
  </si>
  <si>
    <t>Ärzte / Fachärzte f. Hals-, Nasen u. Ohrenkrankheiten • Hofstetter, Thomas, Dr., Salzburger Straße 79, Oberndorf bei Salzburg • Kontakt über aktuelle Telefonnummern ☎ und Adressen ⚑ mit Karte, Routing, Öffnungszeiten, Homepage, E-Mail, vCard und Firmendaten.</t>
  </si>
  <si>
    <t>Salzburger Straße 79</t>
  </si>
  <si>
    <t>5110</t>
  </si>
  <si>
    <t>Oberndorf bei Salzburg</t>
  </si>
  <si>
    <t>47.94434</t>
  </si>
  <si>
    <t>12.94039</t>
  </si>
  <si>
    <t>+43627220321</t>
  </si>
  <si>
    <t>praxis@hno-hofstetter.at</t>
  </si>
  <si>
    <t>https://bilder.dasschnelle.at/DasSchnelle/50/5000/9914/043322/G_043322_P_906059829.adn.gif</t>
  </si>
  <si>
    <t>Eisl-Dürnberger, Brigitta, Dr., Ärzte / f Allgemeinmedizin • Lamprechtshausen • Salzburg</t>
  </si>
  <si>
    <t>Ärzte / f Allgemeinmedizin • Eisl-Dürnberger, Brigitta, Dr., Hauptstraße 1 b, Lamprechtshausen • Kontakt über aktuelle Telefonnummern ☎ und Adressen ⚑ mit Karte, Routing, Öffnungszeiten, Homepage, E-Mail, vCard und Firmendaten.</t>
  </si>
  <si>
    <t>Hauptstraße 1 b</t>
  </si>
  <si>
    <t>47.99164</t>
  </si>
  <si>
    <t>12.95635</t>
  </si>
  <si>
    <t>+4362747124</t>
  </si>
  <si>
    <t>https://bilder.dasschnelle.at/DasSchnelle/50/5000/9914/043318/G_043318_P_906266799.adn.gif</t>
  </si>
  <si>
    <t>Aichinger, Ingrid, Dr, Psychotherapie • St. Pantaleon • Oberösterreich</t>
  </si>
  <si>
    <t>Psychotherapie • Aichinger, Ingrid, Dr, Bergwerkstraße 1, St. Pantaleon • Kontakt über aktuelle Telefonnummern ☎ und Adressen ⚑ mit Karte, Routing, Öffnungszeiten, Homepage, E-Mail, vCard und Firmendaten.</t>
  </si>
  <si>
    <t>Bergwerkstraße 1</t>
  </si>
  <si>
    <t>5120</t>
  </si>
  <si>
    <t>48.02567</t>
  </si>
  <si>
    <t>12.8646</t>
  </si>
  <si>
    <t>+4362777558</t>
  </si>
  <si>
    <t>https://bilder.dasschnelle.at/DasSchnelle/50/5000/9914/044793/G_044793_P_906269878.adn.gif</t>
  </si>
  <si>
    <t>Grizzly Autoteile e.U. • Lamprechtshausen • Salzburg</t>
  </si>
  <si>
    <t>Autoersatzteile u. -zubehör • Grizzly Autoteile e.U., Bahnhofstraße 11, Lamprechtshausen • Kontakt über aktuelle Telefonnummern ☎ und Adressen ⚑ mit Karte, Routing, Öffnungszeiten, Homepage, E-Mail, vCard und Firmendaten.</t>
  </si>
  <si>
    <t>Bahnhofstraße 11</t>
  </si>
  <si>
    <t>47.98969</t>
  </si>
  <si>
    <t>12.94964</t>
  </si>
  <si>
    <t>+43627420268</t>
  </si>
  <si>
    <t>info@grizzly-autoteile.at</t>
  </si>
  <si>
    <t>https://bilder.dasschnelle.at/DasSchnelle/50/5000/9914/043318/I_043318_P_906071661_L_0037076176_1.png</t>
  </si>
  <si>
    <t>https://bilder.dasschnelle.at/DasSchnelle/50/5000/9914/043318/I_043318_P_906071661_B_0037076176_1.gal.png?height=230&amp;width=588;https://bilder.dasschnelle.at/DasSchnelle/50/5000/9914/043318/I_043318_P_906071661_B_0037076176_2.gal.png?height=332&amp;width=634</t>
  </si>
  <si>
    <t>Kraibacher, Wolfgang, Sonnen- u Wetterschutzanlagen • Lehen • Salzburg</t>
  </si>
  <si>
    <t>Sonnenschutzanlagen • Kraibacher, Wolfgang, Bachfeldstraße 3, Lehen • Kontakt über aktuelle Telefonnummern ☎ und Adressen ⚑ mit Karte, Routing, Öffnungszeiten, Homepage, E-Mail, vCard und Firmendaten.</t>
  </si>
  <si>
    <t>Bachfeldstraße 3</t>
  </si>
  <si>
    <t>5102</t>
  </si>
  <si>
    <t>Lehen</t>
  </si>
  <si>
    <t>47.87025</t>
  </si>
  <si>
    <t>13.01503</t>
  </si>
  <si>
    <t>+4362233106</t>
  </si>
  <si>
    <t>geierc@sonnen-wetterschutz.at</t>
  </si>
  <si>
    <t>https://bilder.dasschnelle.at/DasSchnelle/50/5000/9914/043601/G_043601_P_906257923.adn.gif</t>
  </si>
  <si>
    <t>Zimmerei GmbH Baumann Helmut • Sankt Georgen bei Salzburg • Salzburg</t>
  </si>
  <si>
    <t>Zimmereien • Zimmerei GmbH Baumann Helmut, Gewerbegebiet 6, Sankt Georgen bei Salzburg • Kontakt über aktuelle Telefonnummern ☎ und Adressen ⚑ mit Karte, Routing, Öffnungszeiten, Homepage, E-Mail, vCard und Firmendaten.</t>
  </si>
  <si>
    <t>Gewerbegebiet 6</t>
  </si>
  <si>
    <t>47.97337</t>
  </si>
  <si>
    <t>12.90131</t>
  </si>
  <si>
    <t>+43627244550</t>
  </si>
  <si>
    <t>baumann@zimmerei-bug.at</t>
  </si>
  <si>
    <t>https://bilder.dasschnelle.at/DasSchnelle/50/5000/9914/043325/G_043325_P_906266664.adn.gif</t>
  </si>
  <si>
    <t>Kellerwirt, Gasthaus • Sankt Georgen bei Salzburg • Salzburg</t>
  </si>
  <si>
    <t>Gastgewerbe - Gasthöfe • Kellerwirt, Oberndorfer Landesstraße 8, Sankt Georgen bei Salzburg • Kontakt über aktuelle Telefonnummern ☎ und Adressen ⚑ mit Karte, Routing, Öffnungszeiten, Homepage, E-Mail, vCard und Firmendaten.</t>
  </si>
  <si>
    <t>Oberndorfer Landesstraße 8</t>
  </si>
  <si>
    <t>47.96103</t>
  </si>
  <si>
    <t>12.91659</t>
  </si>
  <si>
    <t>+4362727545</t>
  </si>
  <si>
    <t>office@kellerwirt.net</t>
  </si>
  <si>
    <t>https://bilder.dasschnelle.at/DasSchnelle/50/5000/9914/043325/G_043325_P_906274087.adn.gif</t>
  </si>
  <si>
    <t>Költringer, Manuela, Webdesign • Göming • Salzburg</t>
  </si>
  <si>
    <t>Web-Design • Költringer, Manuela, Kirchgöming 10, Göming • Kontakt über aktuelle Telefonnummern ☎ und Adressen ⚑ mit Karte, Routing, Öffnungszeiten, Homepage, E-Mail, vCard und Firmendaten.</t>
  </si>
  <si>
    <t>Kirchgöming 10</t>
  </si>
  <si>
    <t>5114</t>
  </si>
  <si>
    <t>Göming</t>
  </si>
  <si>
    <t>47.95201</t>
  </si>
  <si>
    <t>12.95404</t>
  </si>
  <si>
    <t>+436605421240;+436603099795;+436643859356</t>
  </si>
  <si>
    <t>info.webart@gmx.at</t>
  </si>
  <si>
    <t>https://bilder.dasschnelle.at/DasSchnelle/50/5000/9914/043309/I_043309_P_906060682_L_0037079665_1.png</t>
  </si>
  <si>
    <t>https://bilder.dasschnelle.at/DasSchnelle/50/5000/9914/043309/I_043309_P_906060682_B_0037079665_1.gal.png?height=135&amp;width=600;https://bilder.dasschnelle.at/DasSchnelle/50/5000/9914/043309/I_043309_P_906060682_B_0037079665_2.gal.png?height=400&amp;width=600;https://bilder.dasschnelle.at/DasSchnelle/50/5000/9914/043309/I_043309_P_906060682_B_0037079665_3.gal.png?height=295&amp;width=600;https://bilder.dasschnelle.at/DasSchnelle/50/5000/9914/043309/I_043309_P_906060682_B_0037079665_4.gal.png?height=295&amp;width=600</t>
  </si>
  <si>
    <t>Karl, Christian, Dekorationsmalerei • Kötschach-Mauthen • Kärnten</t>
  </si>
  <si>
    <t>Dekorationen • Karl, Christian, Mauthen 9, Kötschach-Mauthen • Kontakt über aktuelle Telefonnummern ☎ und Adressen ⚑ mit Karte, Routing, Öffnungszeiten, Homepage, E-Mail, vCard und Firmendaten.</t>
  </si>
  <si>
    <t>Mauthen 9</t>
  </si>
  <si>
    <t>46.6617591</t>
  </si>
  <si>
    <t>12.9986322</t>
  </si>
  <si>
    <t>+436645986607</t>
  </si>
  <si>
    <t>dekorationsmalerei-c.karl@gmx.at</t>
  </si>
  <si>
    <t>https://bilder.dasschnelle.at/DasSchnelle/50/5000/9891/042086/G_042086_P_906106373.adn.gif</t>
  </si>
  <si>
    <t>Spenglerei Siegwart Pichler • Kötschach-Mauthen • Kärnten</t>
  </si>
  <si>
    <t>Spenglereien • Spenglerei Siegwart Pichler, Würmlach 97, Kötschach-Mauthen • Kontakt über aktuelle Telefonnummern ☎ und Adressen ⚑ mit Karte, Routing, Öffnungszeiten, Homepage, E-Mail, vCard und Firmendaten.</t>
  </si>
  <si>
    <t>Würmlach 97</t>
  </si>
  <si>
    <t>46.6615475</t>
  </si>
  <si>
    <t>13.0132940</t>
  </si>
  <si>
    <t>+4347158838</t>
  </si>
  <si>
    <t>spenglerei-pichler@aon.at</t>
  </si>
  <si>
    <t>https://bilder.dasschnelle.at/DasSchnelle/50/5000/9891/042086/G_042086_P_906099134.adn.gif</t>
  </si>
  <si>
    <t>Schmidt, Marek, Gallwirt • Hermagor • Kärnten</t>
  </si>
  <si>
    <t>Restaurants • Schmidt, Marek, Möderndorf 47, Hermagor • Kontakt über aktuelle Telefonnummern ☎ und Adressen ⚑ mit Karte, Routing, Öffnungszeiten, Homepage, E-Mail, vCard und Firmendaten.</t>
  </si>
  <si>
    <t>Möderndorf 47</t>
  </si>
  <si>
    <t>46.6138803</t>
  </si>
  <si>
    <t>13.3661649</t>
  </si>
  <si>
    <t>+436641077142</t>
  </si>
  <si>
    <t>marekschmidt@gmx.at</t>
  </si>
  <si>
    <t>https://bilder.dasschnelle.at/DasSchnelle/50/5000/9891/042084/G_042084_P_906106375.adn.gif</t>
  </si>
  <si>
    <t>Gefat's Hofladen - Fam. Schellander • Kötschach-Mauthen • Kärnten</t>
  </si>
  <si>
    <t>Landwirtschaftliche Produkte • Gefat's Hofladen - Fam. Schellander, Würmlach 49, Kötschach-Mauthen • Kontakt über aktuelle Telefonnummern ☎ und Adressen ⚑ mit Karte, Routing, Öffnungszeiten, Homepage, E-Mail, vCard und Firmendaten.</t>
  </si>
  <si>
    <t>Würmlach 49</t>
  </si>
  <si>
    <t>46.6561905</t>
  </si>
  <si>
    <t>13.0161042</t>
  </si>
  <si>
    <t>+436644430045</t>
  </si>
  <si>
    <t>gefatshofladen@gmail.com</t>
  </si>
  <si>
    <t>https://bilder.dasschnelle.at/DasSchnelle/50/5000/9891/042086/G_042086_P_906102380.adn.gif</t>
  </si>
  <si>
    <t>Hauck, Silvia, Gailtaler Wohlfühloase Kosmetik • St. Stefan an der Gail • Kärnten</t>
  </si>
  <si>
    <t>Kosmetik • Hauck, Silvia, Sankt Stefan 27, St. Stefan an der Gail • Kontakt über aktuelle Telefonnummern ☎ und Adressen ⚑ mit Karte, Routing, Öffnungszeiten, Homepage, E-Mail, vCard und Firmendaten.</t>
  </si>
  <si>
    <t>Sankt Stefan 27</t>
  </si>
  <si>
    <t>9623</t>
  </si>
  <si>
    <t>St. Stefan an der Gail</t>
  </si>
  <si>
    <t>46.6160172</t>
  </si>
  <si>
    <t>13.5170800</t>
  </si>
  <si>
    <t>+436509403787</t>
  </si>
  <si>
    <t>wellnesshauck@web.de</t>
  </si>
  <si>
    <t>https://bilder.dasschnelle.at/DasSchnelle/50/5000/9891/042087/I_042087_P_906070033_L_0035969853_1.png</t>
  </si>
  <si>
    <t>https://bilder.dasschnelle.at/DasSchnelle/50/5000/9891/042087/I_042087_P_906070033_B_0035969853_1.gal.png?height=291&amp;width=940;https://bilder.dasschnelle.at/DasSchnelle/50/5000/9891/042087/I_042087_P_906070033_B_0035969853_2.gal.png?height=291&amp;width=940;https://bilder.dasschnelle.at/DasSchnelle/50/5000/9891/042087/I_042087_P_906070033_B_0035969853_3.gal.png?height=291&amp;width=940;https://bilder.dasschnelle.at/DasSchnelle/50/5000/9891/042087/I_042087_P_906070033_B_0035969853_4.gal.png?height=291&amp;width=940</t>
  </si>
  <si>
    <t>Sport PUTZ • Kötschach • Kärnten</t>
  </si>
  <si>
    <t>Sportartikel u. -geräte • Sport PUTZ, Kötschach 60, Kötschach • Kontakt über aktuelle Telefonnummern ☎ und Adressen ⚑ mit Karte, Routing, Öffnungszeiten, Homepage, E-Mail, vCard und Firmendaten.</t>
  </si>
  <si>
    <t>Kötschach 60</t>
  </si>
  <si>
    <t>Kötschach</t>
  </si>
  <si>
    <t>46.6798718</t>
  </si>
  <si>
    <t>13.0039441</t>
  </si>
  <si>
    <t>+434715375</t>
  </si>
  <si>
    <t>sportputz@aon.at</t>
  </si>
  <si>
    <t>https://bilder.dasschnelle.at/DasSchnelle/50/5000/9891/042086/G_042086_P_906294841.adn.gif</t>
  </si>
  <si>
    <t>Kanzian, Adolf, Metallverarbeitung • Kirchbach • Kärnten</t>
  </si>
  <si>
    <t>Metallbe- u. -verarbeitung • Kanzian, Adolf, Kirchbach 89, Kirchbach • Kontakt über aktuelle Telefonnummern ☎ und Adressen ⚑ mit Karte, Routing, Öffnungszeiten, Homepage, E-Mail, vCard und Firmendaten.</t>
  </si>
  <si>
    <t>Kirchbach 89</t>
  </si>
  <si>
    <t>9632</t>
  </si>
  <si>
    <t>Kirchbach</t>
  </si>
  <si>
    <t>46.6385656</t>
  </si>
  <si>
    <t>13.1828886</t>
  </si>
  <si>
    <t>+43428425199</t>
  </si>
  <si>
    <t>adolf.kanzian@aon.at</t>
  </si>
  <si>
    <t>https://bilder.dasschnelle.at/DasSchnelle/50/5000/9891/042085/G_042085_P_906299981.adn.gif</t>
  </si>
  <si>
    <t>Pitzler, Claudia, Dr., FA f Urologie • Hermagor • Kärnten</t>
  </si>
  <si>
    <t>Ärzte / Fachärzte f. Urologie • Pitzler, Claudia, Dr., 10. Oktober-Straße 2, Hermagor • Kontakt über aktuelle Telefonnummern ☎ und Adressen ⚑ mit Karte, Routing, Öffnungszeiten, Homepage, E-Mail, vCard und Firmendaten.</t>
  </si>
  <si>
    <t>10. Oktober-Straße 2</t>
  </si>
  <si>
    <t>46.62687</t>
  </si>
  <si>
    <t>13.37087</t>
  </si>
  <si>
    <t>+43428220073</t>
  </si>
  <si>
    <t>+434282200734</t>
  </si>
  <si>
    <t>https://bilder.dasschnelle.at/DasSchnelle/50/5000/9891/042084/G_042084_P_906294833.adn.gif</t>
  </si>
  <si>
    <t>Altmüller GmbH Installateur • Kematen an der Krems • Oberösterreich</t>
  </si>
  <si>
    <t>Installationen • Altmüller GmbH Installateur, Lastenstraße 8, Kematen an der Krems • Kontakt über aktuelle Telefonnummern ☎ und Adressen ⚑ mit Karte, Routing, Öffnungszeiten, Homepage, E-Mail, vCard und Firmendaten.</t>
  </si>
  <si>
    <t>Lastenstraße 8</t>
  </si>
  <si>
    <t>4531</t>
  </si>
  <si>
    <t>Kematen an der Krems</t>
  </si>
  <si>
    <t>48.1207829</t>
  </si>
  <si>
    <t>14.2067939</t>
  </si>
  <si>
    <t>+4372274964</t>
  </si>
  <si>
    <t>info@altmueller.at</t>
  </si>
  <si>
    <t>https://bilder.dasschnelle.at/DasSchnelle/50/5000/9912/042820/G_042820_P_906162780.adn.gif</t>
  </si>
  <si>
    <t>Burgstaller, Heinz, Gastgewerbe - Gasthöfe • Neuhofen an der Krems • Oberösterreich</t>
  </si>
  <si>
    <t>Gastgewerbe - Gasthöfe • Burgstaller, Heinz, Wimmerstraße 32, Neuhofen an der Krems • Kontakt über aktuelle Telefonnummern ☎ und Adressen ⚑ mit Karte, Routing, Öffnungszeiten, Homepage, E-Mail, vCard und Firmendaten.</t>
  </si>
  <si>
    <t>Wimmerstraße 32</t>
  </si>
  <si>
    <t>4501</t>
  </si>
  <si>
    <t>Neuhofen an der Krems</t>
  </si>
  <si>
    <t>48.13357</t>
  </si>
  <si>
    <t>14.21781</t>
  </si>
  <si>
    <t>+4372274580</t>
  </si>
  <si>
    <t>wimmerwald@gmx.at</t>
  </si>
  <si>
    <t>https://bilder.dasschnelle.at/DasSchnelle/50/5000/9912/046113/G_046113_P_906156968.adn.gif</t>
  </si>
  <si>
    <t>Salon Irndorfer, Friseure • Neuhofen an der Krems • Oberösterreich</t>
  </si>
  <si>
    <t>Friseure, Fußpflege, Kosmetik • Salon Irndorfer, Linzer Straße 11, Neuhofen an der Krems • Kontakt über aktuelle Telefonnummern ☎ und Adressen ⚑ mit Karte, Routing, Öffnungszeiten, Homepage, E-Mail, vCard und Firmendaten.</t>
  </si>
  <si>
    <t>48.13925</t>
  </si>
  <si>
    <t>14.22815</t>
  </si>
  <si>
    <t>+4372274343</t>
  </si>
  <si>
    <t>salon.irndorfer@gmail.com</t>
  </si>
  <si>
    <t>https://bilder.dasschnelle.at/DasSchnelle/50/5000/9912/046113/G_046113_P_906151768.adn.gif</t>
  </si>
  <si>
    <t>Möbes &amp; Mair GmbH, Dachdeckerei • Kematen an der Krems • Oberösterreich</t>
  </si>
  <si>
    <t>Dachdeckereien • Möbes &amp; Mair GmbH, Bahnhofstraße 5, Kematen an der Krems • Kontakt über aktuelle Telefonnummern ☎ und Adressen ⚑ mit Karte, Routing, Öffnungszeiten, Homepage, E-Mail, vCard und Firmendaten.</t>
  </si>
  <si>
    <t>Bahnhofstraße 5</t>
  </si>
  <si>
    <t>48.11274</t>
  </si>
  <si>
    <t>14.19835</t>
  </si>
  <si>
    <t>+437228605020</t>
  </si>
  <si>
    <t>office@dach-mm.net</t>
  </si>
  <si>
    <t>https://bilder.dasschnelle.at/DasSchnelle/50/5000/9912/046109/G_046109_P_906161086.adn.gif</t>
  </si>
  <si>
    <t>STYLE-BAR-OG, Friseur • Lambach • Oberösterreich</t>
  </si>
  <si>
    <t>Friseure • STYLE-BAR-OG, Leitenstraße 23, Lambach • Kontakt über aktuelle Telefonnummern ☎ und Adressen ⚑ mit Karte, Routing, Öffnungszeiten, Homepage, E-Mail, vCard und Firmendaten.</t>
  </si>
  <si>
    <t>Leitenstraße 23</t>
  </si>
  <si>
    <t>4650</t>
  </si>
  <si>
    <t>Lambach</t>
  </si>
  <si>
    <t>48.09237</t>
  </si>
  <si>
    <t>13.8722</t>
  </si>
  <si>
    <t>+43724532223</t>
  </si>
  <si>
    <t>style-bar@gmx.at</t>
  </si>
  <si>
    <t>https://bilder.dasschnelle.at/DasSchnelle/50/5000/9902/043572/G_043572_P_906199353.adn.gif</t>
  </si>
  <si>
    <t>Steinerstuff GmbH, Haushaltsgeräte • Stadl-Paura • Oberösterreich</t>
  </si>
  <si>
    <t>Haus- u. Küchengeräte • Steinerstuff GmbH, Maximilian-Pagl-Straße 1, Stadl-Paura • Kontakt über aktuelle Telefonnummern ☎ und Adressen ⚑ mit Karte, Routing, Öffnungszeiten, Homepage, E-Mail, vCard und Firmendaten.</t>
  </si>
  <si>
    <t>Maximilian-Pagl-Straße 1</t>
  </si>
  <si>
    <t>48.08546</t>
  </si>
  <si>
    <t>13.87248</t>
  </si>
  <si>
    <t>+43724520027</t>
  </si>
  <si>
    <t>office@steinerservice.com</t>
  </si>
  <si>
    <t>https://bilder.dasschnelle.at/DasSchnelle/50/5000/9902/043581/G_043581_P_906197594.adn.gif</t>
  </si>
  <si>
    <t>Musikantenwirt Pirker-Windhager • Annaberg im Lammertal • Salzburg</t>
  </si>
  <si>
    <t>Gastgewerbe - Gasthöfe • Musikantenwirt Pirker-Windhager, Annaberg 67, Annaberg im Lammertal • Kontakt über aktuelle Telefonnummern ☎ und Adressen ⚑ mit Karte, Routing, Öffnungszeiten, Homepage, E-Mail, vCard und Firmendaten.</t>
  </si>
  <si>
    <t>Annaberg 67</t>
  </si>
  <si>
    <t>47.5145258</t>
  </si>
  <si>
    <t>13.4506833</t>
  </si>
  <si>
    <t>+4364638181</t>
  </si>
  <si>
    <t>musikantenwirt@aon.at</t>
  </si>
  <si>
    <t>https://bilder.dasschnelle.at/DasSchnelle/50/5000/9889/043589/G_043589_P_906257921.adn.gif</t>
  </si>
  <si>
    <t>Writzmann &amp; Partner SteuerberatungsgesmbH. • Baden • Niederösterreich</t>
  </si>
  <si>
    <t>Steuerberater, Wirtschaftstreuhänder / Steuerberater • Writzmann &amp; Partner SteuerberatungsgesmbH., Wassergasse 22 -26, Baden • Kontakt über aktuelle Telefonnummern ☎ und Adressen ⚑ mit Karte, Routing, Öffnungszeiten, Homepage, E-Mail, vCard und Firmendaten.</t>
  </si>
  <si>
    <t>Wassergasse 22 -26</t>
  </si>
  <si>
    <t>48.0053431</t>
  </si>
  <si>
    <t>16.2364388</t>
  </si>
  <si>
    <t>+43225248333</t>
  </si>
  <si>
    <t>+4322524833317</t>
  </si>
  <si>
    <t>baden@writzmann.at</t>
  </si>
  <si>
    <t>https://bilder.dasschnelle.at/DasSchnelle/50/5000/9870/041339/G_041339_P_906052953.adn.gif</t>
  </si>
  <si>
    <t>Thumfarth GmbH, Haustechnik • Grünbach • Oberösterreich</t>
  </si>
  <si>
    <t>Haustechnik • Thumfarth GmbH, Schlag 18, Grünbach • Kontakt über aktuelle Telefonnummern ☎ und Adressen ⚑ mit Karte, Routing, Öffnungszeiten, Homepage, E-Mail, vCard und Firmendaten.</t>
  </si>
  <si>
    <t>Schlag 18</t>
  </si>
  <si>
    <t>4264</t>
  </si>
  <si>
    <t>Grünbach</t>
  </si>
  <si>
    <t>48.5248900</t>
  </si>
  <si>
    <t>14.5297400</t>
  </si>
  <si>
    <t>+437942741640</t>
  </si>
  <si>
    <t>+437942741644</t>
  </si>
  <si>
    <t>office@thumfarth.at</t>
  </si>
  <si>
    <t>https://bilder.dasschnelle.at/DasSchnelle/50/5000/9882/044816/G_044816_P_906294871.adn.gif</t>
  </si>
  <si>
    <t>Kohnle, Patrick, Malermeister • Groß Gerungs • Niederösterreich</t>
  </si>
  <si>
    <t>Malereibetriebe • Kohnle, Patrick, Preinreichs 2, Groß Gerungs • Kontakt über aktuelle Telefonnummern ☎ und Adressen ⚑ mit Karte, Routing, Öffnungszeiten, Homepage, E-Mail, vCard und Firmendaten.</t>
  </si>
  <si>
    <t>Preinreichs 2</t>
  </si>
  <si>
    <t>48.6225032</t>
  </si>
  <si>
    <t>14.9794087</t>
  </si>
  <si>
    <t>+436641024982;+436641024982;+4366475145711</t>
  </si>
  <si>
    <t>patrick.kohnle@gmail.com</t>
  </si>
  <si>
    <t>https://bilder.dasschnelle.at/DasSchnelle/50/5000/9950/044528/G_044528_P_906305834.adn.gif</t>
  </si>
  <si>
    <t>Wärme Raab GmbH • Raab • Oberösterreich</t>
  </si>
  <si>
    <t>Baumaschinen u. -geräte • Wärme Raab GmbH, Brünning 12, Raab • Kontakt über aktuelle Telefonnummern ☎ und Adressen ⚑ mit Karte, Routing, Öffnungszeiten, Homepage, E-Mail, vCard und Firmendaten.</t>
  </si>
  <si>
    <t>Brünning 12</t>
  </si>
  <si>
    <t>48.3520832</t>
  </si>
  <si>
    <t>13.6346918</t>
  </si>
  <si>
    <t>+436642030727</t>
  </si>
  <si>
    <t>info@waerme-raab.at</t>
  </si>
  <si>
    <t>https://bilder.dasschnelle.at/DasSchnelle/50/5000/9926/042789/G_042789_P_906305837.adn.gif</t>
  </si>
  <si>
    <t>Staudinger, Klaus, Elektrotechnik • Oberwang • Oberösterreich</t>
  </si>
  <si>
    <t>Elektrotechnik • Staudinger, Klaus, Gessenschwandt 44, Oberwang • Kontakt über aktuelle Telefonnummern ☎ und Adressen ⚑ mit Karte, Routing, Öffnungszeiten, Homepage, E-Mail, vCard und Firmendaten.</t>
  </si>
  <si>
    <t>Gessenschwandt 44</t>
  </si>
  <si>
    <t>47.8543663</t>
  </si>
  <si>
    <t>13.4376084</t>
  </si>
  <si>
    <t>+43623320050</t>
  </si>
  <si>
    <t>office@staudinger-elektrotechnik.at</t>
  </si>
  <si>
    <t>https://bilder.dasschnelle.at/DasSchnelle/50/5000/9909/043087/G_043087_P_906305838.adn.gif</t>
  </si>
  <si>
    <t>B.A.R.F Shop, Tierfutter • Stockerau • Niederösterreich</t>
  </si>
  <si>
    <t>Futtermittel • B.A.R.F Shop, Hauptstraße 45, Stockerau • Kontakt über aktuelle Telefonnummern ☎ und Adressen ⚑ mit Karte, Routing, Öffnungszeiten, Homepage, E-Mail, vCard und Firmendaten.</t>
  </si>
  <si>
    <t>Hauptstraße 45</t>
  </si>
  <si>
    <t>2000</t>
  </si>
  <si>
    <t>Stockerau</t>
  </si>
  <si>
    <t>48.38614</t>
  </si>
  <si>
    <t>16.21496</t>
  </si>
  <si>
    <t>+436508002989</t>
  </si>
  <si>
    <t>office@barf-shop.at</t>
  </si>
  <si>
    <t>https://bilder.dasschnelle.at/DasSchnelle/50/5000/9898/041484/I_041484_P_906063798_L_0037093482_1.png</t>
  </si>
  <si>
    <t>https://bilder.dasschnelle.at/DasSchnelle/50/5000/9898/041484/I_041484_P_906063798_B_0037093482_1.gal.png?height=503&amp;width=1183;https://bilder.dasschnelle.at/DasSchnelle/50/5000/9898/041484/I_041484_P_906063798_B_0037093482_2.gal.png?height=323&amp;width=392;https://bilder.dasschnelle.at/DasSchnelle/50/5000/9898/041484/I_041484_P_906063798_B_0037093482_3.gal.png?height=325&amp;width=386;https://bilder.dasschnelle.at/DasSchnelle/50/5000/9898/041484/I_041484_P_906063798_B_0037093482_4.gal.png?height=367&amp;width=493</t>
  </si>
  <si>
    <t>Suppan Optik • Perg • Oberösterreich</t>
  </si>
  <si>
    <t>Optik • Suppan Optik, Naarner Straße 1, Perg • Kontakt über aktuelle Telefonnummern ☎ und Adressen ⚑ mit Karte, Routing, Öffnungszeiten, Homepage, E-Mail, vCard und Firmendaten.</t>
  </si>
  <si>
    <t>Naarner Straße 1</t>
  </si>
  <si>
    <t>48.24883</t>
  </si>
  <si>
    <t>14.63444</t>
  </si>
  <si>
    <t>+43726254630</t>
  </si>
  <si>
    <t>office@perg-optik.at</t>
  </si>
  <si>
    <t>https://bilder.dasschnelle.at/DasSchnelle/50/5000/9916/042528/I_042528_P_906091851_L_0036002927_1.png</t>
  </si>
  <si>
    <t>https://bilder.dasschnelle.at/DasSchnelle/50/5000/9916/042528/I_042528_P_906091851_B_0036002927_1.gal.png?height=412&amp;width=624;https://bilder.dasschnelle.at/DasSchnelle/50/5000/9916/042528/I_042528_P_906091851_B_0036002927_2.gal.png?height=533&amp;width=533;https://bilder.dasschnelle.at/DasSchnelle/50/5000/9916/042528/I_042528_P_906091851_B_0036002927_3.gal.png?height=416&amp;width=624;https://bilder.dasschnelle.at/DasSchnelle/50/5000/9916/042528/I_042528_P_906091851_B_0036002927_4.gal.png?height=397&amp;width=595</t>
  </si>
  <si>
    <t>Stix, Gerd, Dr., Arzt f Allgemeinmedizin, Sportarzt • Amstetten • Niederösterreich</t>
  </si>
  <si>
    <t>Ärzte / f Allgemeinmedizin • Stix, Gerd, Dr., Wiener Straße 49, Amstetten • Kontakt über aktuelle Telefonnummern ☎ und Adressen ⚑ mit Karte, Routing, Öffnungszeiten, Homepage, E-Mail, vCard und Firmendaten.</t>
  </si>
  <si>
    <t>Wiener Straße 49</t>
  </si>
  <si>
    <t>48.12311</t>
  </si>
  <si>
    <t>14.88023</t>
  </si>
  <si>
    <t>+43747225805</t>
  </si>
  <si>
    <t>office@sportmedstix.at</t>
  </si>
  <si>
    <t>https://bilder.dasschnelle.at/DasSchnelle/50/5000/9866/042062/G_042062_P_906123903.adn.gif</t>
  </si>
  <si>
    <t>Arosio, Manuela  • St. Stefan • Kärnten</t>
  </si>
  <si>
    <t>Friseure, Fußpflege • Arosio, Manuela, St. Marein 19, St. Stefan • Kontakt über aktuelle Telefonnummern ☎ und Adressen ⚑ mit Karte, Routing, Öffnungszeiten, Homepage, E-Mail, vCard und Firmendaten.</t>
  </si>
  <si>
    <t>St. Marein 19</t>
  </si>
  <si>
    <t>46.8109634</t>
  </si>
  <si>
    <t>14.8195170</t>
  </si>
  <si>
    <t>+43435282480</t>
  </si>
  <si>
    <t>milano-styling@aon.at</t>
  </si>
  <si>
    <t>https://bilder.dasschnelle.at/DasSchnelle/50/5000/9949/042046/G_042046_P_906123787.adn.gif</t>
  </si>
  <si>
    <t>Michi Mobil, Friseurin &amp; Ätherische Öle • Wipfing • Oberösterreich</t>
  </si>
  <si>
    <t>Friseure • Michi Mobil, Lindenstraße 4, Wipfing • Kontakt über aktuelle Telefonnummern ☎ und Adressen ⚑ mit Karte, Routing, Öffnungszeiten, Homepage, E-Mail, vCard und Firmendaten.</t>
  </si>
  <si>
    <t>Lindenstraße 4</t>
  </si>
  <si>
    <t>Wipfing</t>
  </si>
  <si>
    <t>48.04767</t>
  </si>
  <si>
    <t>13.98357</t>
  </si>
  <si>
    <t>+436503512052</t>
  </si>
  <si>
    <t>michimobil@hunzo.at</t>
  </si>
  <si>
    <t>https://bilder.dasschnelle.at/DasSchnelle/50/5000/9934/043566/G_043566_P_906156964.adn.gif</t>
  </si>
  <si>
    <t>Elektro Unterberger GmbH • Kuchl • Salzburg</t>
  </si>
  <si>
    <t>Elektrounternehmen • Elektro Unterberger GmbH, Moos 8, Kuchl • Kontakt über aktuelle Telefonnummern ☎ und Adressen ⚑ mit Karte, Routing, Öffnungszeiten, Homepage, E-Mail, vCard und Firmendaten.</t>
  </si>
  <si>
    <t>Moos 8</t>
  </si>
  <si>
    <t>47.6353710</t>
  </si>
  <si>
    <t>13.1388526</t>
  </si>
  <si>
    <t>+43624463400</t>
  </si>
  <si>
    <t>sekretariat@elektro-unterberger.com</t>
  </si>
  <si>
    <t>https://bilder.dasschnelle.at/DasSchnelle/50/5000/9889/043593/G_043593_P_906245841.adn.gif</t>
  </si>
  <si>
    <t>Manfred Wallinger GmbH, Landwirtschaftliche Maschinen u Geräte • Abtenau • Salzburg</t>
  </si>
  <si>
    <t>Landwirtschaftliche Maschinen u. Geräte • Manfred Wallinger GmbH, Markt 125, Abtenau • Kontakt über aktuelle Telefonnummern ☎ und Adressen ⚑ mit Karte, Routing, Öffnungszeiten, Homepage, E-Mail, vCard und Firmendaten.</t>
  </si>
  <si>
    <t>Markt 125</t>
  </si>
  <si>
    <t>47.56678</t>
  </si>
  <si>
    <t>13.33989</t>
  </si>
  <si>
    <t>+43624341070</t>
  </si>
  <si>
    <t>office@manfredwallinger.com</t>
  </si>
  <si>
    <t>https://bilder.dasschnelle.at/DasSchnelle/50/5000/9889/043587/G_043587_P_906258947.adn.gif</t>
  </si>
  <si>
    <t>Wiesinger Transport &amp; Erdtechnologie GmbH • Schönau im Mühlkreis • Oberösterreich</t>
  </si>
  <si>
    <t>Transportunternehmen • Wiesinger Transport &amp; Erdtechnologie GmbH, Sonnblick 1, Schönau im Mühlkreis • Kontakt über aktuelle Telefonnummern ☎ und Adressen ⚑ mit Karte, Routing, Öffnungszeiten, Homepage, E-Mail, vCard und Firmendaten.</t>
  </si>
  <si>
    <t>Sonnblick 1</t>
  </si>
  <si>
    <t>4274</t>
  </si>
  <si>
    <t>Schönau im Mühlkreis</t>
  </si>
  <si>
    <t>48.3829821</t>
  </si>
  <si>
    <t>14.7069539</t>
  </si>
  <si>
    <t>+43726177000</t>
  </si>
  <si>
    <t>office@wiesinger-transporte.at</t>
  </si>
  <si>
    <t>https://bilder.dasschnelle.at/DasSchnelle/50/5000/9882/041779/G_041779_P_906304160.adn.gif</t>
  </si>
  <si>
    <t>Blumen Erika • Taufkirchen an der Pram • Oberösterreich</t>
  </si>
  <si>
    <t>Blumenhandel • Blumen Erika, Eferdinger Straße 6, Taufkirchen an der Pram • Kontakt über aktuelle Telefonnummern ☎ und Adressen ⚑ mit Karte, Routing, Öffnungszeiten, Homepage, E-Mail, vCard und Firmendaten.</t>
  </si>
  <si>
    <t>Eferdinger Straße 6</t>
  </si>
  <si>
    <t>4775</t>
  </si>
  <si>
    <t>Taufkirchen an der Pram</t>
  </si>
  <si>
    <t>48.41043</t>
  </si>
  <si>
    <t>13.53702</t>
  </si>
  <si>
    <t>+43771920179</t>
  </si>
  <si>
    <t>https://bilder.dasschnelle.at/DasSchnelle/50/5000/9926/042801/G_042801_P_906304161.adn.gif</t>
  </si>
  <si>
    <t>Brantner-Dürr GmbH &amp; Co KG, Müllabfuhr • Kleinschönau • Niederösterreich</t>
  </si>
  <si>
    <t>Müllabfuhr • Brantner-Dürr GmbH &amp; Co KG, Kleinschönau 102, Kleinschönau • Kontakt über aktuelle Telefonnummern ☎ und Adressen ⚑ mit Karte, Routing, Öffnungszeiten, Homepage, E-Mail, vCard und Firmendaten.</t>
  </si>
  <si>
    <t>Kleinschönau 102</t>
  </si>
  <si>
    <t>3533</t>
  </si>
  <si>
    <t>Kleinschönau</t>
  </si>
  <si>
    <t>48.5828215</t>
  </si>
  <si>
    <t>15.2327277</t>
  </si>
  <si>
    <t>+43282688099;+43282670109</t>
  </si>
  <si>
    <t>office@brantner-duerr.at</t>
  </si>
  <si>
    <t>https://bilder.dasschnelle.at/DasSchnelle/50/5000/9950/044545/G_044545_P_906304164.adn.gif</t>
  </si>
  <si>
    <t>Kriz, Martin, Dr., FA f Haut- u. Geschlechtskrankheiten • Gmünd • Niederösterreich</t>
  </si>
  <si>
    <t>Ärzte / Fachärzte f. Haut u. Geschlechtskrankheiten • Kriz, Martin, Dr., Conrathstraße 14, Gmünd • Kontakt über aktuelle Telefonnummern ☎ und Adressen ⚑ mit Karte, Routing, Öffnungszeiten, Homepage, E-Mail, vCard und Firmendaten.</t>
  </si>
  <si>
    <t>Conrathstraße 14</t>
  </si>
  <si>
    <t>3950</t>
  </si>
  <si>
    <t>Gmünd</t>
  </si>
  <si>
    <t>48.76255</t>
  </si>
  <si>
    <t>14.97588</t>
  </si>
  <si>
    <t>+43285253054</t>
  </si>
  <si>
    <t>office@hautarzt-gmuend.at</t>
  </si>
  <si>
    <t>https://bilder.dasschnelle.at/DasSchnelle/50/5000/9885/045075/G_045075_P_906304166.adn.gif</t>
  </si>
  <si>
    <t>Haar Total, Bettina Zimmerling, Friseurin • Neumarkt im Hausruckkreis • Oberösterreich</t>
  </si>
  <si>
    <t>Friseure • Haar Total, Bettina Zimmerling, Kallham 53, Neumarkt im Hausruckkreis • Kontakt über aktuelle Telefonnummern ☎ und Adressen ⚑ mit Karte, Routing, Öffnungszeiten, Homepage, E-Mail, vCard und Firmendaten.</t>
  </si>
  <si>
    <t>Kallham 53</t>
  </si>
  <si>
    <t>48.2807027</t>
  </si>
  <si>
    <t>13.7172505</t>
  </si>
  <si>
    <t>+43773350187</t>
  </si>
  <si>
    <t>salon@haartotal.at</t>
  </si>
  <si>
    <t>https://bilder.dasschnelle.at/DasSchnelle/50/5000/9887/041819/G_041819_P_906198659.adn.gif</t>
  </si>
  <si>
    <t>HSA Scharrenbroich GmbH, Installationen • Stockerau • Niederösterreich</t>
  </si>
  <si>
    <t>Installationsunternehmen • HSA Scharrenbroich GmbH, Hauptstraße 15, Stockerau • Kontakt über aktuelle Telefonnummern ☎ und Adressen ⚑ mit Karte, Routing, Öffnungszeiten, Homepage, E-Mail, vCard und Firmendaten.</t>
  </si>
  <si>
    <t>Hauptstraße 15</t>
  </si>
  <si>
    <t>48.38531</t>
  </si>
  <si>
    <t>16.21003</t>
  </si>
  <si>
    <t>+43226663437</t>
  </si>
  <si>
    <t>office@hsa.co.at</t>
  </si>
  <si>
    <t>https://bilder.dasschnelle.at/DasSchnelle/50/5000/9898/041484/I_041484_P_906068666_L_0037077721_1.png</t>
  </si>
  <si>
    <t>https://bilder.dasschnelle.at/DasSchnelle/50/5000/9898/041484/I_041484_P_906068666_B_0037077721_1.gal.png?height=720&amp;width=517;https://bilder.dasschnelle.at/DasSchnelle/50/5000/9898/041484/I_041484_P_906068666_B_0037077721_2.gal.png?height=298&amp;width=720;https://bilder.dasschnelle.at/DasSchnelle/50/5000/9898/041484/I_041484_P_906068666_B_0037077721_3.gal.png?height=298&amp;width=720</t>
  </si>
  <si>
    <t>Meyer Karl GesmbH, Gas - Wasser - Heizung • Korneuburg • Niederösterreich</t>
  </si>
  <si>
    <t>Installationsunternehmen • Meyer Karl GesmbH, Hauptplatz 16, Korneuburg • Kontakt über aktuelle Telefonnummern ☎ und Adressen ⚑ mit Karte, Routing, Öffnungszeiten, Homepage, E-Mail, vCard und Firmendaten.</t>
  </si>
  <si>
    <t>Hauptplatz 16</t>
  </si>
  <si>
    <t>48.34337</t>
  </si>
  <si>
    <t>16.33477</t>
  </si>
  <si>
    <t>+432262724600</t>
  </si>
  <si>
    <t>meyer@1a-installateur.at</t>
  </si>
  <si>
    <t>https://bilder.dasschnelle.at/DasSchnelle/50/5000/9898/041413/I_041413_P_906072579_L_0035971172_1.png</t>
  </si>
  <si>
    <t>https://bilder.dasschnelle.at/DasSchnelle/50/5000/9898/041413/I_041413_P_906072579_B_0035971172_1.gal.png?height=315&amp;width=555;https://bilder.dasschnelle.at/DasSchnelle/50/5000/9898/041413/I_041413_P_906072579_B_0035971172_2.gal.png?height=315&amp;width=555;https://bilder.dasschnelle.at/DasSchnelle/50/5000/9898/041413/I_041413_P_906072579_B_0035971172_3.gal.png?height=315&amp;width=555;https://bilder.dasschnelle.at/DasSchnelle/50/5000/9898/041413/I_041413_P_906072579_B_0035971172_4.gal.png?height=315&amp;width=555</t>
  </si>
  <si>
    <t>Seibert, Helmut, Elektrotechnik • Großmugl • Niederösterreich</t>
  </si>
  <si>
    <t>Elektrotechnik • Seibert, Helmut, Hauptstraße 70, Großmugl • Kontakt über aktuelle Telefonnummern ☎ und Adressen ⚑ mit Karte, Routing, Öffnungszeiten, Homepage, E-Mail, vCard und Firmendaten.</t>
  </si>
  <si>
    <t>Hauptstraße 70</t>
  </si>
  <si>
    <t>2002</t>
  </si>
  <si>
    <t>Großmugl</t>
  </si>
  <si>
    <t>48.49674</t>
  </si>
  <si>
    <t>16.2304</t>
  </si>
  <si>
    <t>+4322686156;+436643364809</t>
  </si>
  <si>
    <t>office@elektroseibert.at</t>
  </si>
  <si>
    <t>https://bilder.dasschnelle.at/DasSchnelle/50/5000/9898/041408/I_041408_P_906080978_L_0035970103_1.png</t>
  </si>
  <si>
    <t>https://bilder.dasschnelle.at/DasSchnelle/50/5000/9898/041408/I_041408_P_906080978_B_0035970103_1.gal.png?height=395&amp;width=809;https://bilder.dasschnelle.at/DasSchnelle/50/5000/9898/041408/I_041408_P_906080978_B_0035970103_2.gal.png?height=282&amp;width=810;https://bilder.dasschnelle.at/DasSchnelle/50/5000/9898/041408/I_041408_P_906080978_B_0035970103_3.gal.png?height=397&amp;width=421;https://bilder.dasschnelle.at/DasSchnelle/50/5000/9898/041408/I_041408_P_906080978_B_0035970103_4.gal.png?height=398&amp;width=414</t>
  </si>
  <si>
    <t>Seltenlach Messebau - Inh. Bernhard Nuding, Messebau &amp; Raumausstatter • Klosterneuburg • Niederösterreich</t>
  </si>
  <si>
    <t>Raumausstatter • Seltenlach Messebau - Inh. Bernhard Nuding, Albrechtstraße 55 -57, Klosterneuburg • Kontakt über aktuelle Telefonnummern ☎ und Adressen ⚑ mit Karte, Routing, Öffnungszeiten, Homepage, E-Mail, vCard und Firmendaten.</t>
  </si>
  <si>
    <t>Albrechtstraße 55 -57</t>
  </si>
  <si>
    <t>48.31029</t>
  </si>
  <si>
    <t>16.31943</t>
  </si>
  <si>
    <t>+43224337994</t>
  </si>
  <si>
    <t>seltenlach-messebau@gmx.at</t>
  </si>
  <si>
    <t>https://bilder.dasschnelle.at/DasSchnelle/50/5000/9897/061492/I_061492_P_906089860_L_0035994381_1.png</t>
  </si>
  <si>
    <t>https://bilder.dasschnelle.at/DasSchnelle/50/5000/9897/061492/I_061492_P_906089860_B_0035994381_1.gal.png?height=468&amp;width=700;https://bilder.dasschnelle.at/DasSchnelle/50/5000/9897/061492/I_061492_P_906089860_B_0035994381_2.gal.png?height=525&amp;width=700;https://bilder.dasschnelle.at/DasSchnelle/50/5000/9897/061492/I_061492_P_906089860_B_0035994381_3.gal.png?height=525&amp;width=700;https://bilder.dasschnelle.at/DasSchnelle/50/5000/9897/061492/I_061492_P_906089860_B_0035994381_4.gal.png?height=525&amp;width=700</t>
  </si>
  <si>
    <t>Haydn, Tanja, Dr., FA f Neurologie • Wörgl • Tirol</t>
  </si>
  <si>
    <t>Ärzte / Fachärzte f. Neurologie u. Psychiatrie • Haydn, Tanja, Dr., Bahnhofstraße 35, Wörgl • Kontakt über aktuelle Telefonnummern ☎ und Adressen ⚑ mit Karte, Routing, Öffnungszeiten, Homepage, E-Mail, vCard und Firmendaten.</t>
  </si>
  <si>
    <t>Bahnhofstraße 35</t>
  </si>
  <si>
    <t>6300</t>
  </si>
  <si>
    <t>Wörgl</t>
  </si>
  <si>
    <t>47.48916</t>
  </si>
  <si>
    <t>12.06306</t>
  </si>
  <si>
    <t>+43533223560</t>
  </si>
  <si>
    <t>praxis@neuro.tirol</t>
  </si>
  <si>
    <t>https://bilder.dasschnelle.at/DasSchnelle/50/5000/9901/044570/G_044570_P_906304284.adn.gif</t>
  </si>
  <si>
    <t>Hairfactory 75, Friseur • Radstadt • Salzburg</t>
  </si>
  <si>
    <t>Friseure • Hairfactory 75, Schernbergstraße 9, Radstadt • Kontakt über aktuelle Telefonnummern ☎ und Adressen ⚑ mit Karte, Routing, Öffnungszeiten, Homepage, E-Mail, vCard und Firmendaten.</t>
  </si>
  <si>
    <t>Schernbergstraße 9</t>
  </si>
  <si>
    <t>5550</t>
  </si>
  <si>
    <t>Radstadt</t>
  </si>
  <si>
    <t>47.38497</t>
  </si>
  <si>
    <t>13.46398</t>
  </si>
  <si>
    <t>+43645221054</t>
  </si>
  <si>
    <t>https://bilder.dasschnelle.at/DasSchnelle/50/5000/9919/043350/G_043350_P_906123771.adn.gif</t>
  </si>
  <si>
    <t>Halbartschlager, Alois, Ing. • Horn • Niederösterreich</t>
  </si>
  <si>
    <t>Innenarchitekten, Raumausstatter • Halbartschlager, Alois, Ing., Ferdinand-Kurz-Gasse 14, Horn • Kontakt über aktuelle Telefonnummern ☎ und Adressen ⚑ mit Karte, Routing, Öffnungszeiten, Homepage, E-Mail, vCard und Firmendaten.</t>
  </si>
  <si>
    <t>Ferdinand-Kurz-Gasse 14</t>
  </si>
  <si>
    <t>48.6678300</t>
  </si>
  <si>
    <t>15.6562400</t>
  </si>
  <si>
    <t>+43298235153;+436645433073</t>
  </si>
  <si>
    <t>office@kuecheundmehr.at</t>
  </si>
  <si>
    <t>https://bilder.dasschnelle.at/DasSchnelle/50/5000/9893/041392/G_041392_P_906130554.adn.gif</t>
  </si>
  <si>
    <t>Novak, Johann Maria, Dr., FA f Lungenkrankheiten • Rohrbach • Oberösterreich</t>
  </si>
  <si>
    <t>Ärzte / Fachärzte f. Lungenkrankheiten • Novak, Johann Maria, Dr., Mitterfeld 16 B, Rohrbach • Kontakt über aktuelle Telefonnummern ☎ und Adressen ⚑ mit Karte, Routing, Öffnungszeiten, Homepage, E-Mail, vCard und Firmendaten.</t>
  </si>
  <si>
    <t>Mitterfeld 16 B</t>
  </si>
  <si>
    <t>48.5712123</t>
  </si>
  <si>
    <t>13.9835798</t>
  </si>
  <si>
    <t>+43728940515</t>
  </si>
  <si>
    <t>https://bilder.dasschnelle.at/DasSchnelle/50/5000/9923/061480/G_061480_P_906137889.adn.gif</t>
  </si>
  <si>
    <t>Reformhaus Drack GmbH • Gmunden • Oberösterreich</t>
  </si>
  <si>
    <t>Reformhäuser • Reformhaus Drack GmbH, Franz Karl Fellinger-Gasse 1, Gmunden • Kontakt über aktuelle Telefonnummern ☎ und Adressen ⚑ mit Karte, Routing, Öffnungszeiten, Homepage, E-Mail, vCard und Firmendaten.</t>
  </si>
  <si>
    <t>Franz Karl Fellinger-Gasse 1</t>
  </si>
  <si>
    <t>47.91957</t>
  </si>
  <si>
    <t>13.80052</t>
  </si>
  <si>
    <t>+43761263946</t>
  </si>
  <si>
    <t>margit.drack@aon.at</t>
  </si>
  <si>
    <t>https://bilder.dasschnelle.at/DasSchnelle/50/5000/9886/041792/G_041792_P_906232916.adn.gif</t>
  </si>
  <si>
    <t>Blumen Stanzer • Leobendorf • Niederösterreich</t>
  </si>
  <si>
    <t>Gärtnereien • Blumen Stanzer, Schliefbergstraße 12 a, Leobendorf • Kontakt über aktuelle Telefonnummern ☎ und Adressen ⚑ mit Karte, Routing, Öffnungszeiten, Homepage, E-Mail, vCard und Firmendaten.</t>
  </si>
  <si>
    <t>Schliefbergstraße 12 a</t>
  </si>
  <si>
    <t>Leobendorf</t>
  </si>
  <si>
    <t>48.37035</t>
  </si>
  <si>
    <t>16.3075</t>
  </si>
  <si>
    <t>+43226266193</t>
  </si>
  <si>
    <t>bongo@kabsi.at</t>
  </si>
  <si>
    <t>https://bilder.dasschnelle.at/DasSchnelle/50/5000/9898/041416/G_041416_P_906304569.adn.gif</t>
  </si>
  <si>
    <t>Scheiterer Herbert GesmbH, Gasthof • Enzersfeld im Weinviertel • Niederösterreich</t>
  </si>
  <si>
    <t>Gastgewerbe - Gasthöfe • Scheiterer Herbert GesmbH, Hauptstraße 37 -39, Enzersfeld im Weinviertel • Kontakt über aktuelle Telefonnummern ☎ und Adressen ⚑ mit Karte, Routing, Öffnungszeiten, Homepage, E-Mail, vCard und Firmendaten.</t>
  </si>
  <si>
    <t>Hauptstraße 37 -39</t>
  </si>
  <si>
    <t>2202</t>
  </si>
  <si>
    <t>Enzersfeld im Weinviertel</t>
  </si>
  <si>
    <t>48.3605917</t>
  </si>
  <si>
    <t>16.4291339</t>
  </si>
  <si>
    <t>+4322626733290</t>
  </si>
  <si>
    <t>+432262672447</t>
  </si>
  <si>
    <t>scheiterer@aon.at</t>
  </si>
  <si>
    <t>https://bilder.dasschnelle.at/DasSchnelle/50/5000/9898/041406/G_041406_P_906304570.adn.gif</t>
  </si>
  <si>
    <t>Rockenbauer, Thomas, Dachdeckerei • Gerasdorf • Niederösterreich</t>
  </si>
  <si>
    <t>Dachdeckereien • Rockenbauer, Thomas, Kegelgasse 5, Gerasdorf • Kontakt über aktuelle Telefonnummern ☎ und Adressen ⚑ mit Karte, Routing, Öffnungszeiten, Homepage, E-Mail, vCard und Firmendaten.</t>
  </si>
  <si>
    <t>Kegelgasse 5</t>
  </si>
  <si>
    <t>2201</t>
  </si>
  <si>
    <t>Gerasdorf</t>
  </si>
  <si>
    <t>48.3251115</t>
  </si>
  <si>
    <t>16.4494692</t>
  </si>
  <si>
    <t>+4369911321540;+4369911321540</t>
  </si>
  <si>
    <t>thomas.rockenbauer@aon.at</t>
  </si>
  <si>
    <t>https://bilder.dasschnelle.at/DasSchnelle/50/5000/9898/044507/I_044507_P_906066035_L_0037078587_1.png</t>
  </si>
  <si>
    <t>https://bilder.dasschnelle.at/DasSchnelle/50/5000/9898/044507/G_044507_P_906304572.adn.gif</t>
  </si>
  <si>
    <t>Bartosch, Oliver, Glaserei Glaserei, Bilder-Rahmungen • Stockerau • Niederösterreich</t>
  </si>
  <si>
    <t>Glasereien • Bartosch, Oliver, Josef Wolfik-Straße 7, Stockerau • Kontakt über aktuelle Telefonnummern ☎ und Adressen ⚑ mit Karte, Routing, Öffnungszeiten, Homepage, E-Mail, vCard und Firmendaten.</t>
  </si>
  <si>
    <t>Josef Wolfik-Straße 7</t>
  </si>
  <si>
    <t>48.38441</t>
  </si>
  <si>
    <t>16.20607</t>
  </si>
  <si>
    <t>+43226662223;+43226698250;+436602171858</t>
  </si>
  <si>
    <t>+43226666225</t>
  </si>
  <si>
    <t>office@glasbartosch.com</t>
  </si>
  <si>
    <t>https://bilder.dasschnelle.at/DasSchnelle/50/5000/9898/041484/G_041484_P_906304801.adn.gif</t>
  </si>
  <si>
    <t>Blumen Luser-Grosch  • Stockerau • Niederösterreich</t>
  </si>
  <si>
    <t>Blumenhandel • Blumen Luser-Grosch, Hauptstraße 58, Stockerau • Kontakt über aktuelle Telefonnummern ☎ und Adressen ⚑ mit Karte, Routing, Öffnungszeiten, Homepage, E-Mail, vCard und Firmendaten.</t>
  </si>
  <si>
    <t>Hauptstraße 58</t>
  </si>
  <si>
    <t>48.38604</t>
  </si>
  <si>
    <t>16.21667</t>
  </si>
  <si>
    <t>+43226662767</t>
  </si>
  <si>
    <t>office@blumengrosch.at</t>
  </si>
  <si>
    <t>https://bilder.dasschnelle.at/DasSchnelle/50/5000/9898/041484/G_041484_P_906304805.adn.gif</t>
  </si>
  <si>
    <t>Haircut Dagmar • Langenzersdorf • Niederösterreich</t>
  </si>
  <si>
    <t>Friseure • Haircut Dagmar, Wiener Straße 92, Langenzersdorf • Kontakt über aktuelle Telefonnummern ☎ und Adressen ⚑ mit Karte, Routing, Öffnungszeiten, Homepage, E-Mail, vCard und Firmendaten.</t>
  </si>
  <si>
    <t>Wiener Straße 92</t>
  </si>
  <si>
    <t>2103</t>
  </si>
  <si>
    <t>Langenzersdorf</t>
  </si>
  <si>
    <t>48.3047512</t>
  </si>
  <si>
    <t>16.3667579</t>
  </si>
  <si>
    <t>+43224433123</t>
  </si>
  <si>
    <t>office@haircut-dagmar.at</t>
  </si>
  <si>
    <t>https://bilder.dasschnelle.at/DasSchnelle/50/5000/9898/041414/G_041414_P_906304814.adn.gif</t>
  </si>
  <si>
    <t>Fischer Installationen GmbH • Flandorf • Niederösterreich</t>
  </si>
  <si>
    <t>Installationsunternehmen • Fischer Installationen GmbH, Hauptstraße 16, Flandorf • Kontakt über aktuelle Telefonnummern ☎ und Adressen ⚑ mit Karte, Routing, Öffnungszeiten, Homepage, E-Mail, vCard und Firmendaten.</t>
  </si>
  <si>
    <t>2102</t>
  </si>
  <si>
    <t>Flandorf</t>
  </si>
  <si>
    <t>48.34897</t>
  </si>
  <si>
    <t>16.37925</t>
  </si>
  <si>
    <t>+43226264170;+436645485368;+4369910494740</t>
  </si>
  <si>
    <t>info@fischer-installationen.at</t>
  </si>
  <si>
    <t>https://bilder.dasschnelle.at/DasSchnelle/50/5000/9898/041405/I_041405_P_906070041_L_0037076003_1.png</t>
  </si>
  <si>
    <t>https://bilder.dasschnelle.at/DasSchnelle/50/5000/9898/041405/I_041405_P_906070041_B_0037076003_1.gal.png?height=225&amp;width=301;https://bilder.dasschnelle.at/DasSchnelle/50/5000/9898/041405/I_041405_P_906070041_B_0037076003_2.gal.png?height=213&amp;width=218;https://bilder.dasschnelle.at/DasSchnelle/50/5000/9898/041405/I_041405_P_906070041_B_0037076003_3.gal.png?height=149&amp;width=225;https://bilder.dasschnelle.at/DasSchnelle/50/5000/9898/041405/I_041405_P_906070041_B_0037076003_4.gal.png?height=217&amp;width=248;https://bilder.dasschnelle.at/DasSchnelle/50/5000/9898/041405/G_041405_P_906304815.adn.gif</t>
  </si>
  <si>
    <t>Seethaler, Manfred, Spengler • Stockerau • Niederösterreich</t>
  </si>
  <si>
    <t>Spenglereien • Seethaler, Manfred, Industriestraße 5, Stockerau • Kontakt über aktuelle Telefonnummern ☎ und Adressen ⚑ mit Karte, Routing, Öffnungszeiten, Homepage, E-Mail, vCard und Firmendaten.</t>
  </si>
  <si>
    <t>Industriestraße 5</t>
  </si>
  <si>
    <t>48.38709</t>
  </si>
  <si>
    <t>16.23557</t>
  </si>
  <si>
    <t>+436643559911</t>
  </si>
  <si>
    <t>bauspenglerei.seethaler@gmail.com</t>
  </si>
  <si>
    <t>https://bilder.dasschnelle.at/DasSchnelle/50/5000/9898/041484/G_041484_P_906304821.adn.gif</t>
  </si>
  <si>
    <t>Technik-Kurz E.U., Elektrotechnik • Bisamberg • Niederösterreich</t>
  </si>
  <si>
    <t>Elektrotechnik • Technik-Kurz E.U., Kirchenweg 19, Bisamberg • Kontakt über aktuelle Telefonnummern ☎ und Adressen ⚑ mit Karte, Routing, Öffnungszeiten, Homepage, E-Mail, vCard und Firmendaten.</t>
  </si>
  <si>
    <t>Kirchenweg 19</t>
  </si>
  <si>
    <t>Bisamberg</t>
  </si>
  <si>
    <t>48.33312</t>
  </si>
  <si>
    <t>16.39851</t>
  </si>
  <si>
    <t>+4366488613140</t>
  </si>
  <si>
    <t>+43226263913</t>
  </si>
  <si>
    <t>office@technik-kurz.at</t>
  </si>
  <si>
    <t>https://bilder.dasschnelle.at/DasSchnelle/50/5000/9898/041410/I_041410_P_906071813_L_0035969586_1.png</t>
  </si>
  <si>
    <t>https://bilder.dasschnelle.at/DasSchnelle/50/5000/9898/041410/I_041410_P_906071813_B_0035969586_1.gal.png?height=388&amp;width=700;https://bilder.dasschnelle.at/DasSchnelle/50/5000/9898/041410/I_041410_P_906071813_B_0035969586_2.gal.png?height=402&amp;width=700;https://bilder.dasschnelle.at/DasSchnelle/50/5000/9898/041410/G_041410_P_906304822.adn.gif</t>
  </si>
  <si>
    <t>Auto Nöhammer, KFZ-Werkstatt • Schwertfern • Oberösterreich</t>
  </si>
  <si>
    <t>Autoreparaturen • Auto Nöhammer, Schwertfern 22, Schwertfern • Kontakt über aktuelle Telefonnummern ☎ und Adressen ⚑ mit Karte, Routing, Öffnungszeiten, Homepage, E-Mail, vCard und Firmendaten.</t>
  </si>
  <si>
    <t>Schwertfern 22</t>
  </si>
  <si>
    <t>4890</t>
  </si>
  <si>
    <t>Schwertfern</t>
  </si>
  <si>
    <t>47.9871367</t>
  </si>
  <si>
    <t>13.4010020</t>
  </si>
  <si>
    <t>+4376846521</t>
  </si>
  <si>
    <t>office@a-n.at</t>
  </si>
  <si>
    <t>https://bilder.dasschnelle.at/DasSchnelle/50/5000/9881/043076/G_043076_P_906304827.adn.gif</t>
  </si>
  <si>
    <t>Steinbichler, Horst, Malermeister • Frankenmarkt • Oberösterreich</t>
  </si>
  <si>
    <t>Maler, Anstreicher u. Lackierer • Steinbichler, Horst, Brauhausgasse 4, Frankenmarkt • Kontakt über aktuelle Telefonnummern ☎ und Adressen ⚑ mit Karte, Routing, Öffnungszeiten, Homepage, E-Mail, vCard und Firmendaten.</t>
  </si>
  <si>
    <t>Brauhausgasse 4</t>
  </si>
  <si>
    <t>Frankenmarkt</t>
  </si>
  <si>
    <t>47.98551</t>
  </si>
  <si>
    <t>13.42513</t>
  </si>
  <si>
    <t>+436641426112</t>
  </si>
  <si>
    <t>m.steinbichler@tvweb.at</t>
  </si>
  <si>
    <t>https://bilder.dasschnelle.at/DasSchnelle/50/5000/9881/043076/G_043076_P_906304828.adn.gif</t>
  </si>
  <si>
    <t>Lochner Johann GesmbH, Taxi • Frankenmarkt • Oberösterreich</t>
  </si>
  <si>
    <t>Autovermietung, Taxi • Lochner Johann GesmbH, Weißenkirchnerstraße 12, Frankenmarkt • Kontakt über aktuelle Telefonnummern ☎ und Adressen ⚑ mit Karte, Routing, Öffnungszeiten, Homepage, E-Mail, vCard und Firmendaten.</t>
  </si>
  <si>
    <t>Weißenkirchnerstraße 12</t>
  </si>
  <si>
    <t>47.98039</t>
  </si>
  <si>
    <t>13.41712</t>
  </si>
  <si>
    <t>+436766071326</t>
  </si>
  <si>
    <t>https://bilder.dasschnelle.at/DasSchnelle/50/5000/9881/043076/G_043076_P_906304829.adn.gif</t>
  </si>
  <si>
    <t>Team Heide, Friseur • Korneuburg • Niederösterreich</t>
  </si>
  <si>
    <t>Friseure • Team Heide, Stockerauer Straße 39, Korneuburg • Kontakt über aktuelle Telefonnummern ☎ und Adressen ⚑ mit Karte, Routing, Öffnungszeiten, Homepage, E-Mail, vCard und Firmendaten.</t>
  </si>
  <si>
    <t>Stockerauer Straße 39</t>
  </si>
  <si>
    <t>48.34603</t>
  </si>
  <si>
    <t>16.32983</t>
  </si>
  <si>
    <t>+43226264160</t>
  </si>
  <si>
    <t>heide.gerhart@a1.net</t>
  </si>
  <si>
    <t>https://bilder.dasschnelle.at/DasSchnelle/50/5000/9898/041413/G_041413_P_906304830.adn.gif</t>
  </si>
  <si>
    <t>Friseur Kaisler • Kierling • Niederösterreich</t>
  </si>
  <si>
    <t>Friseure • Friseur Kaisler, Roman Himmelbauer-Platz 1, Kierling • Kontakt über aktuelle Telefonnummern ☎ und Adressen ⚑ mit Karte, Routing, Öffnungszeiten, Homepage, E-Mail, vCard und Firmendaten.</t>
  </si>
  <si>
    <t>Roman Himmelbauer-Platz 1</t>
  </si>
  <si>
    <t>Kierling</t>
  </si>
  <si>
    <t>48.30857</t>
  </si>
  <si>
    <t>16.27355</t>
  </si>
  <si>
    <t>+43224383449</t>
  </si>
  <si>
    <t>friseur.kaisler@a1.net</t>
  </si>
  <si>
    <t>https://bilder.dasschnelle.at/DasSchnelle/50/5000/9897/061492/G_061492_P_906304833.adn.gif</t>
  </si>
  <si>
    <t>Müllner &amp; Dr. Molnar OG, Zahntechnische Laboratorien • Stockerau • Niederösterreich</t>
  </si>
  <si>
    <t>Zahntechnische Laboratorien • Müllner &amp; Dr. Molnar OG, Nikolaus Heid-Straße 28 3, Stockerau • Kontakt über aktuelle Telefonnummern ☎ und Adressen ⚑ mit Karte, Routing, Öffnungszeiten, Homepage, E-Mail, vCard und Firmendaten.</t>
  </si>
  <si>
    <t>Nikolaus Heid-Straße 28 3</t>
  </si>
  <si>
    <t>48.38952</t>
  </si>
  <si>
    <t>16.22361</t>
  </si>
  <si>
    <t>+43226671990</t>
  </si>
  <si>
    <t>solu-dent@gmx.at</t>
  </si>
  <si>
    <t>https://bilder.dasschnelle.at/DasSchnelle/50/5000/9898/041484/G_041484_P_906304839.adn.gif</t>
  </si>
  <si>
    <t>Kerbl, Franz Josef, Zimmerei und Holzhandlung • Kierling • Niederösterreich</t>
  </si>
  <si>
    <t>Zimmereien • Kerbl, Franz Josef, Hauptstraße 157, Kierling • Kontakt über aktuelle Telefonnummern ☎ und Adressen ⚑ mit Karte, Routing, Öffnungszeiten, Homepage, E-Mail, vCard und Firmendaten.</t>
  </si>
  <si>
    <t>Hauptstraße 157</t>
  </si>
  <si>
    <t>48.30892</t>
  </si>
  <si>
    <t>16.27207</t>
  </si>
  <si>
    <t>+43224383315</t>
  </si>
  <si>
    <t>kerbl.zimmerei@aon.at</t>
  </si>
  <si>
    <t>https://bilder.dasschnelle.at/DasSchnelle/50/5000/9897/061492/G_061492_P_906304841.adn.gif</t>
  </si>
  <si>
    <t>Christian Ruzicka, Schlosserei • Stockerau • Niederösterreich</t>
  </si>
  <si>
    <t>Schlossereien • Christian Ruzicka, Tullnerstraße 80, Stockerau • Kontakt über aktuelle Telefonnummern ☎ und Adressen ⚑ mit Karte, Routing, Öffnungszeiten, Homepage, E-Mail, vCard und Firmendaten.</t>
  </si>
  <si>
    <t>Tullnerstraße 80</t>
  </si>
  <si>
    <t>48.3812060</t>
  </si>
  <si>
    <t>16.1719641</t>
  </si>
  <si>
    <t>+43226662045</t>
  </si>
  <si>
    <t>office@metallbau-ruzicka.at</t>
  </si>
  <si>
    <t>https://bilder.dasschnelle.at/DasSchnelle/50/5000/9898/041484/G_041484_P_906304847.adn.gif</t>
  </si>
  <si>
    <t>Wanas, Patricia, Dr., Tierärztin • Stockerau • Niederösterreich</t>
  </si>
  <si>
    <t>Tierärzte • Wanas, Patricia, Dr., Theresia Pampichler-Straße 38, Stockerau • Kontakt über aktuelle Telefonnummern ☎ und Adressen ⚑ mit Karte, Routing, Öffnungszeiten, Homepage, E-Mail, vCard und Firmendaten.</t>
  </si>
  <si>
    <t>Theresia Pampichler-Straße 38</t>
  </si>
  <si>
    <t>48.38954</t>
  </si>
  <si>
    <t>16.20655</t>
  </si>
  <si>
    <t>+436763427895</t>
  </si>
  <si>
    <t>patricia@wanashelp.at</t>
  </si>
  <si>
    <t>https://bilder.dasschnelle.at/DasSchnelle/50/5000/9898/041484/G_041484_P_906304848.adn.gif</t>
  </si>
  <si>
    <t>Dr. Reisinger &amp; Dr. Angermann • Korneuburg • Niederösterreich</t>
  </si>
  <si>
    <t>Ärzte / Fachärzte f. Augenheilkunde u. Optometrie • Dr. Reisinger &amp; Dr. Angermann, Bisamberger Straße 53, Korneuburg • Kontakt über aktuelle Telefonnummern ☎ und Adressen ⚑ mit Karte, Routing, Öffnungszeiten, Homepage, E-Mail, vCard und Firmendaten.</t>
  </si>
  <si>
    <t>Bisamberger Straße 53</t>
  </si>
  <si>
    <t>48.34065</t>
  </si>
  <si>
    <t>16.34167</t>
  </si>
  <si>
    <t>+43226272541</t>
  </si>
  <si>
    <t>reisinger@medway.at</t>
  </si>
  <si>
    <t>https://bilder.dasschnelle.at/DasSchnelle/50/5000/9898/041413/G_041413_P_906304849.adn.gif</t>
  </si>
  <si>
    <t>Gasthof Kogler • Frankenmarkt • Oberösterreich</t>
  </si>
  <si>
    <t>Gastgewerbe - Gasthöfe • Gasthof Kogler, Hauptstraße 122, Frankenmarkt • Kontakt über aktuelle Telefonnummern ☎ und Adressen ⚑ mit Karte, Routing, Öffnungszeiten, Homepage, E-Mail, vCard und Firmendaten.</t>
  </si>
  <si>
    <t>Hauptstraße 122</t>
  </si>
  <si>
    <t>47.98556</t>
  </si>
  <si>
    <t>13.41688</t>
  </si>
  <si>
    <t>+4376846258</t>
  </si>
  <si>
    <t>gasthof-kogler@tvweb.at</t>
  </si>
  <si>
    <t>https://bilder.dasschnelle.at/DasSchnelle/50/5000/9881/043076/G_043076_P_906304850.adn.gif</t>
  </si>
  <si>
    <t>Vyhnalek Gerald Ing GesmbH, Installationsunternehmen • Pulkau • Niederösterreich</t>
  </si>
  <si>
    <t>Ingenieurbüro • Vyhnalek Gerald Ing GesmbH, Neubruch 3, Pulkau • Kontakt über aktuelle Telefonnummern ☎ und Adressen ⚑ mit Karte, Routing, Öffnungszeiten, Homepage, E-Mail, vCard und Firmendaten.</t>
  </si>
  <si>
    <t>Neubruch 3</t>
  </si>
  <si>
    <t>3741</t>
  </si>
  <si>
    <t>Pulkau</t>
  </si>
  <si>
    <t>48.7016600</t>
  </si>
  <si>
    <t>15.8767500</t>
  </si>
  <si>
    <t>+4329462217;+436642229771</t>
  </si>
  <si>
    <t>vyhnalek.installationen@speed.at</t>
  </si>
  <si>
    <t>https://bilder.dasschnelle.at/DasSchnelle/50/5000/9892/045556/G_045556_P_906123817.adn.gif</t>
  </si>
  <si>
    <t>Harald Tantscher, Elektrotechnik • Gnas • Steiermark</t>
  </si>
  <si>
    <t>Solartechnik • Harald Tantscher, Obergnas 59, Gnas • Kontakt über aktuelle Telefonnummern ☎ und Adressen ⚑ mit Karte, Routing, Öffnungszeiten, Homepage, E-Mail, vCard und Firmendaten.</t>
  </si>
  <si>
    <t>Obergnas 59</t>
  </si>
  <si>
    <t>46.9072476</t>
  </si>
  <si>
    <t>15.7818820</t>
  </si>
  <si>
    <t>+43315130596</t>
  </si>
  <si>
    <t>office@elektrotechnik-tantscher.at</t>
  </si>
  <si>
    <t>https://bilder.dasschnelle.at/DasSchnelle/50/5000/9879/061351/I_506175_P_905883569_L_0036237531_1.png</t>
  </si>
  <si>
    <t>https://bilder.dasschnelle.at/DasSchnelle/50/5000/9879/061351/I_506175_P_905883569_B_0036237531_1.gal.png?height=450&amp;width=800;https://bilder.dasschnelle.at/DasSchnelle/50/5000/9879/061351/I_506175_P_905883569_B_0036237531_2.gal.png?height=600&amp;width=800;https://bilder.dasschnelle.at/DasSchnelle/50/5000/9879/061351/I_506175_P_905883569_B_0036237531_3.gal.png?height=450&amp;width=800;https://bilder.dasschnelle.at/DasSchnelle/50/5000/9879/061351/I_061351_P_905883569_B_0036237531_4.gal.png?height=599&amp;width=800;https://bilder.dasschnelle.at/DasSchnelle/50/5000/9879/061351/G_061351_P_906123951.adn.gif</t>
  </si>
  <si>
    <t>Walch &amp; Partner, Wirtschaftsprüfer und Steuerberater • Linz • Oberösterreich</t>
  </si>
  <si>
    <t>Wirtschaftstreuhänder / Steuerberater • Walch &amp; Partner, Novaragasse 4 /4, Linz • Kontakt über aktuelle Telefonnummern ☎ und Adressen ⚑ mit Karte, Routing, Öffnungszeiten, Homepage, E-Mail, vCard und Firmendaten.</t>
  </si>
  <si>
    <t>Novaragasse 4 /4</t>
  </si>
  <si>
    <t>48.28697</t>
  </si>
  <si>
    <t>14.2954</t>
  </si>
  <si>
    <t>+437326002410</t>
  </si>
  <si>
    <t>office@stb-walch.at</t>
  </si>
  <si>
    <t>https://bilder.dasschnelle.at/DasSchnelle/50/5000/9939/042827/G_042827_P_906121423.adn.gif</t>
  </si>
  <si>
    <t>Gartenservice Förster Sascha • Hainfeld • Niederösterreich</t>
  </si>
  <si>
    <t>Garten- u. Landschaftspflege • Gartenservice Förster Sascha, Gölsenstraße 1, Hainfeld • Kontakt über aktuelle Telefonnummern ☎ und Adressen ⚑ mit Karte, Routing, Öffnungszeiten, Homepage, E-Mail, vCard und Firmendaten.</t>
  </si>
  <si>
    <t>Gölsenstraße 1</t>
  </si>
  <si>
    <t>3170</t>
  </si>
  <si>
    <t>Hainfeld</t>
  </si>
  <si>
    <t>48.0372801</t>
  </si>
  <si>
    <t>15.7696042</t>
  </si>
  <si>
    <t>+436644307537</t>
  </si>
  <si>
    <t>gartenservice.foerster@outlook.at</t>
  </si>
  <si>
    <t>https://bilder.dasschnelle.at/DasSchnelle/50/5000/9906/041518/I_041518_P_905888334_L_0038478349_1.png</t>
  </si>
  <si>
    <t>https://bilder.dasschnelle.at/DasSchnelle/50/5000/9906/041518/I_041518_P_905888334_B_0038478349_1.gal.png?height=468&amp;width=624;https://bilder.dasschnelle.at/DasSchnelle/50/5000/9906/041518/I_041518_P_905888334_B_0038478349_2.gal.png?height=624&amp;width=831;https://bilder.dasschnelle.at/DasSchnelle/50/5000/9906/041518/I_041518_P_905888334_B_0038478349_3.gal.png?height=468&amp;width=624;https://bilder.dasschnelle.at/DasSchnelle/50/5000/9906/041518/I_041518_P_905888334_B_0038478349_4.gal.png?height=414&amp;width=624</t>
  </si>
  <si>
    <t>Lindenberger Gmbh, Tischler • Linz • Oberösterreich</t>
  </si>
  <si>
    <t>Tischlereien • Lindenberger Gmbh, Schmiedgraben 7, Linz • Kontakt über aktuelle Telefonnummern ☎ und Adressen ⚑ mit Karte, Routing, Öffnungszeiten, Homepage, E-Mail, vCard und Firmendaten.</t>
  </si>
  <si>
    <t>Schmiedgraben 7</t>
  </si>
  <si>
    <t>4040</t>
  </si>
  <si>
    <t>48.35982</t>
  </si>
  <si>
    <t>14.25475</t>
  </si>
  <si>
    <t>+4372396217</t>
  </si>
  <si>
    <t>office@lindenberger.co.at</t>
  </si>
  <si>
    <t>Schusser, Eduard, Bauunternehmen • Sankt Georgen ob Judenburg • Steiermark</t>
  </si>
  <si>
    <t>Baubetreuung • Schusser, Eduard, Sankt Georgen ob Judenburg 91, Sankt Georgen ob Judenburg • Kontakt über aktuelle Telefonnummern ☎ und Adressen ⚑ mit Karte, Routing, Öffnungszeiten, Homepage, E-Mail, vCard und Firmendaten.</t>
  </si>
  <si>
    <t>Sankt Georgen ob Judenburg 91</t>
  </si>
  <si>
    <t>8756</t>
  </si>
  <si>
    <t>Sankt Georgen ob Judenburg</t>
  </si>
  <si>
    <t>47.2063842</t>
  </si>
  <si>
    <t>14.4998769</t>
  </si>
  <si>
    <t>+436642070556</t>
  </si>
  <si>
    <t>eduard.schusser@aon.at</t>
  </si>
  <si>
    <t>https://bilder.dasschnelle.at/DasSchnelle/50/5000/9910/061477/G_061477_P_906174352.adn.gif</t>
  </si>
  <si>
    <t>Yilmaz, Serpil, Psychotherapie • Feldkirch • Vorarlberg</t>
  </si>
  <si>
    <t>Psychotherapie • Yilmaz, Serpil, Gilmstraße 2, Feldkirch • Kontakt über aktuelle Telefonnummern ☎ und Adressen ⚑ mit Karte, Routing, Öffnungszeiten, Homepage, E-Mail, vCard und Firmendaten.</t>
  </si>
  <si>
    <t>Gilmstraße 2</t>
  </si>
  <si>
    <t>6800</t>
  </si>
  <si>
    <t>Feldkirch</t>
  </si>
  <si>
    <t>Vorarlberg</t>
  </si>
  <si>
    <t>47.23673</t>
  </si>
  <si>
    <t>9.59199</t>
  </si>
  <si>
    <t>+436645218855</t>
  </si>
  <si>
    <t>office@psychotherapie-yilmaz.at</t>
  </si>
  <si>
    <t>https://bilder.dasschnelle.at/DasSchnelle/50/5000/9929/042613/I_042613_P_905939364_L_0037246018_1.png</t>
  </si>
  <si>
    <t>https://bilder.dasschnelle.at/DasSchnelle/50/5000/9929/042613/I_042613_P_905939364_B_0037246018_1.gal.png?height=262&amp;width=600;https://bilder.dasschnelle.at/DasSchnelle/50/5000/9929/042613/I_042613_P_905939364_B_0037246018_2.gal.png?height=262&amp;width=600;https://bilder.dasschnelle.at/DasSchnelle/50/5000/9929/042613/I_042613_P_905939364_B_0037246018_3.gal.png?height=262&amp;width=600;https://bilder.dasschnelle.at/DasSchnelle/50/5000/9929/042613/I_042613_P_905939364_B_0037246018_4.gal.png?height=262&amp;width=600</t>
  </si>
  <si>
    <t>Schmedler Dach GmbH, Dachdeckerei • Spielberg • Steiermark</t>
  </si>
  <si>
    <t>Dachdeckereien • Schmedler Dach GmbH, Spielbergstraße 13, Spielberg • Kontakt über aktuelle Telefonnummern ☎ und Adressen ⚑ mit Karte, Routing, Öffnungszeiten, Homepage, E-Mail, vCard und Firmendaten.</t>
  </si>
  <si>
    <t>Spielbergstraße 13</t>
  </si>
  <si>
    <t>8724</t>
  </si>
  <si>
    <t>Spielberg</t>
  </si>
  <si>
    <t>47.2134900</t>
  </si>
  <si>
    <t>14.7877400</t>
  </si>
  <si>
    <t>+43351285357</t>
  </si>
  <si>
    <t>+43351271647</t>
  </si>
  <si>
    <t>dach@schmedler.at</t>
  </si>
  <si>
    <t>https://bilder.dasschnelle.at/DasSchnelle/50/5000/9941/045375/I_045375_P_905952393_L_0036253784_1.png</t>
  </si>
  <si>
    <t>https://bilder.dasschnelle.at/DasSchnelle/50/5000/9941/045375/I_045375_P_905952393_B_0036253784_1.gal.png?height=230&amp;width=230;https://bilder.dasschnelle.at/DasSchnelle/50/5000/9941/045375/I_045375_P_905952393_B_0036253784_2.gal.png?height=230&amp;width=230;https://bilder.dasschnelle.at/DasSchnelle/50/5000/9941/045375/I_045375_P_905952393_B_0036253784_3.gal.png?height=230&amp;width=230;https://bilder.dasschnelle.at/DasSchnelle/50/5000/9941/045375/I_045375_P_905952393_B_0036253784_4.gal.png?height=230&amp;width=230</t>
  </si>
  <si>
    <t>Brunnsteiner, Wolfgang, Ing. für Waffentechnik • Leibnitz • Steiermark</t>
  </si>
  <si>
    <t>Waffen u. Munition • Brunnsteiner, Wolfgang, Augasse 5, Leibnitz • Kontakt über aktuelle Telefonnummern ☎ und Adressen ⚑ mit Karte, Routing, Öffnungszeiten, Homepage, E-Mail, vCard und Firmendaten.</t>
  </si>
  <si>
    <t>Augasse 5</t>
  </si>
  <si>
    <t>46.78147</t>
  </si>
  <si>
    <t>15.53657</t>
  </si>
  <si>
    <t>+43345282978</t>
  </si>
  <si>
    <t>info@waffenbrunnsteiner.com</t>
  </si>
  <si>
    <t>https://bilder.dasschnelle.at/DasSchnelle/50/5000/9920/061432/G_061432_P_905996324.adn.gif</t>
  </si>
  <si>
    <t>Radiologische Ordinationsgemeinschaft im Medicent Innsbruck, Radiologie • Innsbruck • Tirol</t>
  </si>
  <si>
    <t>Ärzte / Fachärzte f. Radiologie • Radiologische Ordinationsgemeinschaft im Medicent Innsbruck, Innrain 143, Innsbruck • Kontakt über aktuelle Telefonnummern ☎ und Adressen ⚑ mit Karte, Routing, Öffnungszeiten, Homepage, E-Mail, vCard und Firmendaten.</t>
  </si>
  <si>
    <t>Innrain 143</t>
  </si>
  <si>
    <t>6020</t>
  </si>
  <si>
    <t>Innsbruck</t>
  </si>
  <si>
    <t>47.2561</t>
  </si>
  <si>
    <t>11.37743</t>
  </si>
  <si>
    <t>+43512312888</t>
  </si>
  <si>
    <t>office@radiologieinnsbruck.at</t>
  </si>
  <si>
    <t>https://bilder.dasschnelle.at/DasSchnelle/50/5000/9921/042603/I_042603_P_905996243_L_0037992520_1.png</t>
  </si>
  <si>
    <t>https://bilder.dasschnelle.at/DasSchnelle/50/5000/9921/042603/I_042603_P_905996243_B_0037992520_1.gal.png?height=255&amp;width=198;https://bilder.dasschnelle.at/DasSchnelle/50/5000/9921/042603/I_042603_P_905996243_B_0037992520_2.gal.png?height=410&amp;width=980;https://bilder.dasschnelle.at/DasSchnelle/50/5000/9921/042603/I_042603_P_905996243_B_0037992520_3.gal.png?height=255&amp;width=198;https://bilder.dasschnelle.at/DasSchnelle/50/5000/9921/042603/I_042603_P_905996243_B_0037992520_4.gal.png?height=410&amp;width=980</t>
  </si>
  <si>
    <t>Schöpf, Andreas, Blumen • Wenns • Tirol</t>
  </si>
  <si>
    <t>Blumenhandel • Schöpf, Andreas, Unterdorf 7, Wenns • Kontakt über aktuelle Telefonnummern ☎ und Adressen ⚑ mit Karte, Routing, Öffnungszeiten, Homepage, E-Mail, vCard und Firmendaten.</t>
  </si>
  <si>
    <t>Unterdorf 7</t>
  </si>
  <si>
    <t>47.16835</t>
  </si>
  <si>
    <t>10.73142</t>
  </si>
  <si>
    <t>+43541487606</t>
  </si>
  <si>
    <t>imst@blumenandy.at</t>
  </si>
  <si>
    <t>https://bilder.dasschnelle.at/DasSchnelle/50/5000/9894/045659/G_045659_P_906231134.adn.gif</t>
  </si>
  <si>
    <t>Loimayr, Vinzenz, Mag. Loimayr Erika, Dr., Tierarztpraxis • Ternberg • Oberösterreich</t>
  </si>
  <si>
    <t>Tierärzte • Loimayr, Vinzenz, Mag. Loimayr Erika, Dr., Zur Steinwend 10, Ternberg • Kontakt über aktuelle Telefonnummern ☎ und Adressen ⚑ mit Karte, Routing, Öffnungszeiten, Homepage, E-Mail, vCard und Firmendaten.</t>
  </si>
  <si>
    <t>Zur Steinwend 10</t>
  </si>
  <si>
    <t>47.9528900</t>
  </si>
  <si>
    <t>14.3651100</t>
  </si>
  <si>
    <t>+4372568963;+4369913124991</t>
  </si>
  <si>
    <t>loimayr@ktv-ternberg.at</t>
  </si>
  <si>
    <t>https://bilder.dasschnelle.at/DasSchnelle/50/5000/9878/042822/G_042822_P_906240603.adn.gif</t>
  </si>
  <si>
    <t>Seidl, Johannes, Tischlerei • Kuchl • Salzburg</t>
  </si>
  <si>
    <t>Tischlereien • Seidl, Johannes, Weißenbach 2, Kuchl • Kontakt über aktuelle Telefonnummern ☎ und Adressen ⚑ mit Karte, Routing, Öffnungszeiten, Homepage, E-Mail, vCard und Firmendaten.</t>
  </si>
  <si>
    <t>Weißenbach 2</t>
  </si>
  <si>
    <t>47.6068369</t>
  </si>
  <si>
    <t>13.1491598</t>
  </si>
  <si>
    <t>+4362445380</t>
  </si>
  <si>
    <t>info@tischlerei-seidl.at</t>
  </si>
  <si>
    <t>https://bilder.dasschnelle.at/DasSchnelle/50/5000/9889/043593/G_043593_P_906245170.adn.gif</t>
  </si>
  <si>
    <t>Pecherstorfer GmbH, Tischlerei • Eferding • Oberösterreich</t>
  </si>
  <si>
    <t>Tischlereien • Pecherstorfer GmbH, Pupping 24, Eferding • Kontakt über aktuelle Telefonnummern ☎ und Adressen ⚑ mit Karte, Routing, Öffnungszeiten, Homepage, E-Mail, vCard und Firmendaten.</t>
  </si>
  <si>
    <t>Pupping 24</t>
  </si>
  <si>
    <t>48.3355285</t>
  </si>
  <si>
    <t>14.0026325</t>
  </si>
  <si>
    <t>+43727920060</t>
  </si>
  <si>
    <t>office@ihr-tischler.at</t>
  </si>
  <si>
    <t>https://bilder.dasschnelle.at/DasSchnelle/50/5000/9876/044811/I_044811_P_906012852_L_0036253859_1.png</t>
  </si>
  <si>
    <t>https://bilder.dasschnelle.at/DasSchnelle/50/5000/9876/044811/I_044811_P_906012852_B_0036253859_1.gal.png?height=450&amp;width=600;https://bilder.dasschnelle.at/DasSchnelle/50/5000/9876/044811/I_044811_P_906012852_B_0036253859_2.gal.png?height=450&amp;width=600;https://bilder.dasschnelle.at/DasSchnelle/50/5000/9876/044811/I_044811_P_906012852_B_0036253859_3.gal.png?height=450&amp;width=600;https://bilder.dasschnelle.at/DasSchnelle/50/5000/9876/044811/I_044811_P_906012852_B_0036253859_4.gal.png?height=450&amp;width=600</t>
  </si>
  <si>
    <t>Amon, Andrea, Steuerberaterin • Gmunden • Oberösterreich</t>
  </si>
  <si>
    <t>Steuerberater • Amon, Andrea, Am Sonnenhang 26 /6, Gmunden • Kontakt über aktuelle Telefonnummern ☎ und Adressen ⚑ mit Karte, Routing, Öffnungszeiten, Homepage, E-Mail, vCard und Firmendaten.</t>
  </si>
  <si>
    <t>Am Sonnenhang 26 /6</t>
  </si>
  <si>
    <t>48.20462</t>
  </si>
  <si>
    <t>16.27535</t>
  </si>
  <si>
    <t>+436641315986</t>
  </si>
  <si>
    <t>amon.steuerberaterin@aon.at</t>
  </si>
  <si>
    <t>https://bilder.dasschnelle.at/DasSchnelle/50/5000/9886/041792/G_041792_P_906027567.adn.gif</t>
  </si>
  <si>
    <t>Nothmüller, Michael, Haustechnik • Trumau • Niederösterreich</t>
  </si>
  <si>
    <t>Haustechnik • Nothmüller, Michael, Dr. Theodor Körner Straße 16, Trumau • Kontakt über aktuelle Telefonnummern ☎ und Adressen ⚑ mit Karte, Routing, Öffnungszeiten, Homepage, E-Mail, vCard und Firmendaten.</t>
  </si>
  <si>
    <t>Dr. Theodor Körner Straße 16</t>
  </si>
  <si>
    <t>47.99542</t>
  </si>
  <si>
    <t>16.3521</t>
  </si>
  <si>
    <t>+4322539158</t>
  </si>
  <si>
    <t>nothmichael@aon.at</t>
  </si>
  <si>
    <t>https://bilder.dasschnelle.at/DasSchnelle/50/5000/9870/041363/I_041363_P_906042327_L_0037073479_1.png</t>
  </si>
  <si>
    <t>https://bilder.dasschnelle.at/DasSchnelle/50/5000/9870/041363/I_041363_P_906042327_B_0037073479_1.gal.png?height=454&amp;width=713;https://bilder.dasschnelle.at/DasSchnelle/50/5000/9870/041363/G_041363_P_906042327.adn.gif</t>
  </si>
  <si>
    <t>Restaurant Imbiss Tantuni Graz • Graz • Steiermark</t>
  </si>
  <si>
    <t>Imbiß • Restaurant Imbiss Tantuni Graz, Triesterstraße 391, Graz • Kontakt über aktuelle Telefonnummern ☎ und Adressen ⚑ mit Karte, Routing, Öffnungszeiten, Homepage, E-Mail, vCard und Firmendaten.</t>
  </si>
  <si>
    <t>Triesterstraße 391</t>
  </si>
  <si>
    <t>8055</t>
  </si>
  <si>
    <t>Graz</t>
  </si>
  <si>
    <t>47.0243109</t>
  </si>
  <si>
    <t>15.4363374</t>
  </si>
  <si>
    <t>+4366499465151</t>
  </si>
  <si>
    <t>info@tantuni-graz.at</t>
  </si>
  <si>
    <t>Raumcolor GmbH, Farben + Malerei • Kufstein • Tirol</t>
  </si>
  <si>
    <t>Raumausstatter • Raumcolor GmbH, Willy Graf-Straße 11, Kufstein • Kontakt über aktuelle Telefonnummern ☎ und Adressen ⚑ mit Karte, Routing, Öffnungszeiten, Homepage, E-Mail, vCard und Firmendaten.</t>
  </si>
  <si>
    <t>Willy Graf-Straße 11</t>
  </si>
  <si>
    <t>47.5922600</t>
  </si>
  <si>
    <t>12.1705900</t>
  </si>
  <si>
    <t>+43537267467;+43537264447</t>
  </si>
  <si>
    <t>info@raumcolor.at</t>
  </si>
  <si>
    <t>https://bilder.dasschnelle.at/DasSchnelle/50/5000/9901/046156/G_046156_P_906294826.adn.gif</t>
  </si>
  <si>
    <t>Aigner, G., Dr.med.univ. • Bad Vöslau • Niederösterreich</t>
  </si>
  <si>
    <t>Ärzte / f Allgemeinmedizin • Aigner, G., Dr.med.univ., Hochstraße 19 a, Bad Vöslau • Kontakt über aktuelle Telefonnummern ☎ und Adressen ⚑ mit Karte, Routing, Öffnungszeiten, Homepage, E-Mail, vCard und Firmendaten.</t>
  </si>
  <si>
    <t>Hochstraße 19 a</t>
  </si>
  <si>
    <t>47.9646675</t>
  </si>
  <si>
    <t>16.2104420</t>
  </si>
  <si>
    <t>+436506403190</t>
  </si>
  <si>
    <t>https://bilder.dasschnelle.at/DasSchnelle/50/5000/9870/998274/G_998274_P_906282725.adn.gif</t>
  </si>
  <si>
    <t>Weber, Gerald, Maler • Niederneustift • Niederösterreich</t>
  </si>
  <si>
    <t>Malereibetriebe • Weber, Gerald, Niederneustift 91, Niederneustift • Kontakt über aktuelle Telefonnummern ☎ und Adressen ⚑ mit Karte, Routing, Öffnungszeiten, Homepage, E-Mail, vCard und Firmendaten.</t>
  </si>
  <si>
    <t>Niederneustift 91</t>
  </si>
  <si>
    <t>3924</t>
  </si>
  <si>
    <t>Niederneustift</t>
  </si>
  <si>
    <t>48.6006725</t>
  </si>
  <si>
    <t>15.0480002</t>
  </si>
  <si>
    <t>+436641745450</t>
  </si>
  <si>
    <t>malerei.weber@zdsl.at</t>
  </si>
  <si>
    <t>https://bilder.dasschnelle.at/DasSchnelle/50/5000/9950/044545/I_044545_P_906092904_L_0035974094_1.png</t>
  </si>
  <si>
    <t>https://bilder.dasschnelle.at/DasSchnelle/50/5000/9950/044545/I_044545_P_906092904_B_0035974094_1.gal.png?height=200&amp;width=300;https://bilder.dasschnelle.at/DasSchnelle/50/5000/9950/044545/I_044545_P_906092904_B_0035974094_2.gal.png?height=200&amp;width=300</t>
  </si>
  <si>
    <t>Hochstöger, Ludwig, Taxi • Neuhofen an der Krems • Oberösterreich</t>
  </si>
  <si>
    <t>Taxi • Hochstöger, Ludwig, Marktplatz 3, Neuhofen an der Krems • Kontakt über aktuelle Telefonnummern ☎ und Adressen ⚑ mit Karte, Routing, Öffnungszeiten, Homepage, E-Mail, vCard und Firmendaten.</t>
  </si>
  <si>
    <t>Marktplatz 3</t>
  </si>
  <si>
    <t>48.13803</t>
  </si>
  <si>
    <t>14.2297</t>
  </si>
  <si>
    <t>+4372274337</t>
  </si>
  <si>
    <t>taxi@neuhofen.at</t>
  </si>
  <si>
    <t>https://bilder.dasschnelle.at/DasSchnelle/50/5000/9912/046113/G_046113_P_906157652.adn.gif</t>
  </si>
  <si>
    <t>Siegl, Albert, Motorradbedarf u -zubehör • Bad Ischl • Oberösterreich</t>
  </si>
  <si>
    <t>Autoreparaturen, Motorradbedarf u. -zubehör • Siegl, Albert, Linzer Straße 2, Bad Ischl • Kontakt über aktuelle Telefonnummern ☎ und Adressen ⚑ mit Karte, Routing, Öffnungszeiten, Homepage, E-Mail, vCard und Firmendaten.</t>
  </si>
  <si>
    <t>Linzer Straße 2</t>
  </si>
  <si>
    <t>47.7252800</t>
  </si>
  <si>
    <t>13.6468400</t>
  </si>
  <si>
    <t>+43613225474</t>
  </si>
  <si>
    <t>a.siegl@aon.at</t>
  </si>
  <si>
    <t>https://bilder.dasschnelle.at/DasSchnelle/50/5000/9868/041790/G_041790_P_906245154.adn.gif</t>
  </si>
  <si>
    <t>Schnitzhofer Transporte u. Erdbewegung GmbH, Transportunternehmen • Abtenau • Salzburg</t>
  </si>
  <si>
    <t>Erdbau, Sand u. Schotter, Transportunternehmen • Schnitzhofer Transporte u. Erdbewegung GmbH, Au 61, Abtenau • Kontakt über aktuelle Telefonnummern ☎ und Adressen ⚑ mit Karte, Routing, Öffnungszeiten, Homepage, E-Mail, vCard und Firmendaten.</t>
  </si>
  <si>
    <t>Au 61</t>
  </si>
  <si>
    <t>47.5609500</t>
  </si>
  <si>
    <t>13.3502900</t>
  </si>
  <si>
    <t>+43624323210</t>
  </si>
  <si>
    <t>+43624323214</t>
  </si>
  <si>
    <t>trans.schnitzhofer@aon.at</t>
  </si>
  <si>
    <t>https://bilder.dasschnelle.at/DasSchnelle/50/5000/9889/043587/G_043587_P_906065937.adn.gif</t>
  </si>
  <si>
    <t>Karl, Anton, Sägewerk • Vöcklamarkt • Oberösterreich</t>
  </si>
  <si>
    <t>Säge- u. Hobelwerke • Karl, Anton, Reichenthalheim 15, Vöcklamarkt • Kontakt über aktuelle Telefonnummern ☎ und Adressen ⚑ mit Karte, Routing, Öffnungszeiten, Homepage, E-Mail, vCard und Firmendaten.</t>
  </si>
  <si>
    <t>Reichenthalheim 15</t>
  </si>
  <si>
    <t>47.9775298</t>
  </si>
  <si>
    <t>13.5122663</t>
  </si>
  <si>
    <t>+4376826349</t>
  </si>
  <si>
    <t>saegewerk.karl@gmail.com</t>
  </si>
  <si>
    <t>https://bilder.dasschnelle.at/DasSchnelle/50/5000/9940/043556/G_043556_P_906314902.adn.gif</t>
  </si>
  <si>
    <t>All Clean GmbH • Amstetten • Niederösterreich</t>
  </si>
  <si>
    <t>Reinigungsanstalten • All Clean GmbH, Kubastastr. 5, Amstetten • Kontakt über aktuelle Telefonnummern ☎ und Adressen ⚑ mit Karte, Routing, Öffnungszeiten, Homepage, E-Mail, vCard und Firmendaten.</t>
  </si>
  <si>
    <t>Kubastastr. 5</t>
  </si>
  <si>
    <t>48.1235200</t>
  </si>
  <si>
    <t>14.8796900</t>
  </si>
  <si>
    <t>+43747265265</t>
  </si>
  <si>
    <t>office@allclean.at</t>
  </si>
  <si>
    <t>https://bilder.dasschnelle.at/DasSchnelle/50/5000/9866/042062/G_042062_P_906310942.adn.gif</t>
  </si>
  <si>
    <t>Schmidtbauer, Christian, Uhrmachermeister • Hitzendorf • Steiermark</t>
  </si>
  <si>
    <t>Juweliere, Uhrmacher • Schmidtbauer, Christian, Hitzendorf 151, Hitzendorf • Kontakt über aktuelle Telefonnummern ☎ und Adressen ⚑ mit Karte, Routing, Öffnungszeiten, Homepage, E-Mail, vCard und Firmendaten.</t>
  </si>
  <si>
    <t>Hitzendorf 151</t>
  </si>
  <si>
    <t>47.0345381</t>
  </si>
  <si>
    <t>15.3012952</t>
  </si>
  <si>
    <t>+4331372383</t>
  </si>
  <si>
    <t>christian.schmiedtbauer@gmx.net</t>
  </si>
  <si>
    <t>https://bilder.dasschnelle.at/DasSchnelle/50/5000/9883/061360/G_061360_P_906297268.adn.gif</t>
  </si>
  <si>
    <t>Gasthaus Kührer/ Zum Goldenen Alder • Fischamend-Dorf • Niederösterreich</t>
  </si>
  <si>
    <t>Gastgewerbe - Gasthöfe • Gasthaus Kührer/ Zum Goldenen Alder, Klein-Neusiedler Straße 23, Fischamend-Dorf • Kontakt über aktuelle Telefonnummern ☎ und Adressen ⚑ mit Karte, Routing, Öffnungszeiten, Homepage, E-Mail, vCard und Firmendaten.</t>
  </si>
  <si>
    <t>Klein-Neusiedler Straße 23</t>
  </si>
  <si>
    <t>Fischamend-Dorf</t>
  </si>
  <si>
    <t>48.11534</t>
  </si>
  <si>
    <t>16.60621</t>
  </si>
  <si>
    <t>+43223276358;+43223276533</t>
  </si>
  <si>
    <t>office@gh-kuehrer.at</t>
  </si>
  <si>
    <t>https://bilder.dasschnelle.at/DasSchnelle/50/5000/9930/044505/G_044505_P_906174398.adn.gif</t>
  </si>
  <si>
    <t>Urferer, Wilhelm, Immobilien • Braunau am Inn • Oberösterreich</t>
  </si>
  <si>
    <t>Immobilien, Immobilienmakler • Urferer, Wilhelm, Palmstraße 5, Braunau am Inn • Kontakt über aktuelle Telefonnummern ☎ und Adressen ⚑ mit Karte, Routing, Öffnungszeiten, Homepage, E-Mail, vCard und Firmendaten.</t>
  </si>
  <si>
    <t>Palmstraße 5</t>
  </si>
  <si>
    <t>48.2587077</t>
  </si>
  <si>
    <t>13.0366462</t>
  </si>
  <si>
    <t>+43772263558</t>
  </si>
  <si>
    <t>+437722635584</t>
  </si>
  <si>
    <t>immobilien.uferer@utantet.at</t>
  </si>
  <si>
    <t>https://bilder.dasschnelle.at/DasSchnelle/50/5000/9872/044551/G_044551_P_906297510.adn.gif</t>
  </si>
  <si>
    <t>Bestattung Großschädl • Gleisdorf • Steiermark</t>
  </si>
  <si>
    <t>Bestattungsunternehmen • Bestattung Großschädl, Weizer Straße 7, Gleisdorf • Kontakt über aktuelle Telefonnummern ☎ und Adressen ⚑ mit Karte, Routing, Öffnungszeiten, Homepage, E-Mail, vCard und Firmendaten.</t>
  </si>
  <si>
    <t>Weizer Straße 7</t>
  </si>
  <si>
    <t>47.10632</t>
  </si>
  <si>
    <t>15.70842</t>
  </si>
  <si>
    <t>+43311242990</t>
  </si>
  <si>
    <t>johann@grossschaedl.at</t>
  </si>
  <si>
    <t>https://bilder.dasschnelle.at/DasSchnelle/50/5000/9944/061361/G_061361_P_906089031.adn.gif</t>
  </si>
  <si>
    <t>Auinger Ges.m.b.H., Raumausstattung • Laufenbach • Oberösterreich</t>
  </si>
  <si>
    <t>Estriche, Raumausstatter • Auinger Ges.m.b.H., Laufenbach 10, Laufenbach • Kontakt über aktuelle Telefonnummern ☎ und Adressen ⚑ mit Karte, Routing, Öffnungszeiten, Homepage, E-Mail, vCard und Firmendaten.</t>
  </si>
  <si>
    <t>Laufenbach 10</t>
  </si>
  <si>
    <t>Laufenbach</t>
  </si>
  <si>
    <t>48.3932626</t>
  </si>
  <si>
    <t>13.5103813</t>
  </si>
  <si>
    <t>+43771975030</t>
  </si>
  <si>
    <t>a.auinger@auinger-raum.at</t>
  </si>
  <si>
    <t>https://bilder.dasschnelle.at/DasSchnelle/50/5000/9926/042801/I_042801_P_906099151_L_0035993537_1.png</t>
  </si>
  <si>
    <t>https://bilder.dasschnelle.at/DasSchnelle/50/5000/9926/042801/I_042801_P_906099151_B_0035993537_1.gal.png?height=448&amp;width=977;https://bilder.dasschnelle.at/DasSchnelle/50/5000/9926/042801/I_042801_P_906099151_B_0035993537_2.gal.png?height=448&amp;width=979;https://bilder.dasschnelle.at/DasSchnelle/50/5000/9926/042801/I_042801_P_906099151_B_0035993537_3.gal.png?height=447&amp;width=978;https://bilder.dasschnelle.at/DasSchnelle/50/5000/9926/042801/I_042801_P_906099151_B_0035993537_4.gal.png?height=447&amp;width=980;https://bilder.dasschnelle.at/DasSchnelle/50/5000/9926/042801/G_042801_P_906099151.adn.gif</t>
  </si>
  <si>
    <t>Prauser Gärtnerei • Sankt Martin im Sulmtal • Steiermark</t>
  </si>
  <si>
    <t>Blumen, Gärtnereien • Prauser Gärtnerei, Gasselsdorf 13, Sankt Martin im Sulmtal • Kontakt über aktuelle Telefonnummern ☎ und Adressen ⚑ mit Karte, Routing, Öffnungszeiten, Homepage, E-Mail, vCard und Firmendaten.</t>
  </si>
  <si>
    <t>Gasselsdorf 13</t>
  </si>
  <si>
    <t>8543</t>
  </si>
  <si>
    <t>Sankt Martin im Sulmtal</t>
  </si>
  <si>
    <t>46.7421537</t>
  </si>
  <si>
    <t>15.3222902</t>
  </si>
  <si>
    <t>+4334652234;+436644339444;+436643517900</t>
  </si>
  <si>
    <t>+433465223414</t>
  </si>
  <si>
    <t>office@gaertnerei-prauser.at</t>
  </si>
  <si>
    <t>https://bilder.dasschnelle.at/DasSchnelle/50/5000/9875/061411/G_061411_P_906099802.adn.gif</t>
  </si>
  <si>
    <t>Bestattung Großschädl • Eggersdorf • Steiermark</t>
  </si>
  <si>
    <t>Bestattungsunternehmen • Bestattung Großschädl, Stuhlsdorfer Straße 18, Eggersdorf • Kontakt über aktuelle Telefonnummern ☎ und Adressen ⚑ mit Karte, Routing, Öffnungszeiten, Homepage, E-Mail, vCard und Firmendaten.</t>
  </si>
  <si>
    <t>Stuhlsdorfer Straße 18</t>
  </si>
  <si>
    <t>8063</t>
  </si>
  <si>
    <t>Eggersdorf</t>
  </si>
  <si>
    <t>47.1227345</t>
  </si>
  <si>
    <t>15.6037985</t>
  </si>
  <si>
    <t>+4331175117</t>
  </si>
  <si>
    <t>robert@bestattung.grossschaedl.at</t>
  </si>
  <si>
    <t>https://bilder.dasschnelle.at/DasSchnelle/50/5000/9944/061355/I_061355_P_906104211_L_0036177632_1.png</t>
  </si>
  <si>
    <t>https://bilder.dasschnelle.at/DasSchnelle/50/5000/9944/061355/I_061355_P_906104211_B_0036177632_1.gal.png?height=175&amp;width=282;https://bilder.dasschnelle.at/DasSchnelle/50/5000/9944/061355/I_061355_P_906104211_B_0036177632_2.gal.png?height=186&amp;width=300;https://bilder.dasschnelle.at/DasSchnelle/50/5000/9944/061355/I_061355_P_906104211_B_0036177632_3.gal.png?height=175&amp;width=282;https://bilder.dasschnelle.at/DasSchnelle/50/5000/9944/061355/I_061355_P_906104211_B_0036177632_4.gal.png?height=143&amp;width=300</t>
  </si>
  <si>
    <t>Friseur Styling M&amp;Ms - M. Kimmeswenger • Haag • Niederösterreich</t>
  </si>
  <si>
    <t>Friseure • Friseur Styling M&amp;Ms - M. Kimmeswenger, Wiener Straße 13, Haag • Kontakt über aktuelle Telefonnummern ☎ und Adressen ⚑ mit Karte, Routing, Öffnungszeiten, Homepage, E-Mail, vCard und Firmendaten.</t>
  </si>
  <si>
    <t>Wiener Straße 13</t>
  </si>
  <si>
    <t>48.11283</t>
  </si>
  <si>
    <t>14.56675</t>
  </si>
  <si>
    <t>+43743444220</t>
  </si>
  <si>
    <t>stylingmms-haag@a1.net</t>
  </si>
  <si>
    <t>https://bilder.dasschnelle.at/DasSchnelle/50/5000/9924/041691/G_041691_P_906324701.adn.gif</t>
  </si>
  <si>
    <t>Berger GesmbH, Montage • Nöstl • Steiermark</t>
  </si>
  <si>
    <t>Montagen u. Montagetechnik • Berger GesmbH, Radweg 2, Nöstl • Kontakt über aktuelle Telefonnummern ☎ und Adressen ⚑ mit Karte, Routing, Öffnungszeiten, Homepage, E-Mail, vCard und Firmendaten.</t>
  </si>
  <si>
    <t>Radweg 2</t>
  </si>
  <si>
    <t>Nöstl</t>
  </si>
  <si>
    <t>47.22513</t>
  </si>
  <si>
    <t>15.67082</t>
  </si>
  <si>
    <t>+433172388380;+436645168538</t>
  </si>
  <si>
    <t>office@berger-weiz.at</t>
  </si>
  <si>
    <t>https://bilder.dasschnelle.at/DasSchnelle/50/5000/9944/061397/G_061397_P_906128696.adn.gif</t>
  </si>
  <si>
    <t>Mock, Peter, Hafnermeister Hafnermeister • Strallegg • Steiermark</t>
  </si>
  <si>
    <t>Hafner • Mock, Peter, Strallegg • Kontakt über aktuelle Telefonnummern ☎ und Adressen ⚑ mit Karte, Routing, Öffnungszeiten, Homepage, E-Mail, vCard und Firmendaten.</t>
  </si>
  <si>
    <t>8192</t>
  </si>
  <si>
    <t>Strallegg</t>
  </si>
  <si>
    <t>47.4143342</t>
  </si>
  <si>
    <t>15.7282431</t>
  </si>
  <si>
    <t>+436644262640</t>
  </si>
  <si>
    <t>office@mock-kachelofen.at</t>
  </si>
  <si>
    <t>https://bilder.dasschnelle.at/DasSchnelle/50/5000/9944/045629/I_045629_P_906128699_L_0036239059_1.png</t>
  </si>
  <si>
    <t>https://bilder.dasschnelle.at/DasSchnelle/50/5000/9944/045629/I_045629_P_906128699_B_0036239059_1.gal.png?height=800&amp;width=600;https://bilder.dasschnelle.at/DasSchnelle/50/5000/9944/045629/I_045629_P_906128699_B_0036239059_2.gal.png?height=600&amp;width=561;https://bilder.dasschnelle.at/DasSchnelle/50/5000/9944/045629/G_045629_P_906128699.adn.gif</t>
  </si>
  <si>
    <t>Bäckerei Tengg GmbH, Cafe • Weiz • Steiermark</t>
  </si>
  <si>
    <t>Cafés • Bäckerei Tengg GmbH, Mühlgasse 36, Weiz • Kontakt über aktuelle Telefonnummern ☎ und Adressen ⚑ mit Karte, Routing, Öffnungszeiten, Homepage, E-Mail, vCard und Firmendaten.</t>
  </si>
  <si>
    <t>Mühlgasse 36</t>
  </si>
  <si>
    <t>47.21538</t>
  </si>
  <si>
    <t>15.62612</t>
  </si>
  <si>
    <t>+43317224370</t>
  </si>
  <si>
    <t>baeckerei.tengg@aon.at</t>
  </si>
  <si>
    <t>https://bilder.dasschnelle.at/DasSchnelle/50/5000/9944/061397/G_061397_P_906128737.adn.gif</t>
  </si>
  <si>
    <t>Korossy &amp; Kiskilas GesmbH., Fahrschule • Weiz • Steiermark</t>
  </si>
  <si>
    <t>Fahrschulen • Korossy &amp; Kiskilas GesmbH., Wielandgasse 8, Weiz • Kontakt über aktuelle Telefonnummern ☎ und Adressen ⚑ mit Karte, Routing, Öffnungszeiten, Homepage, E-Mail, vCard und Firmendaten.</t>
  </si>
  <si>
    <t>Wielandgasse 8</t>
  </si>
  <si>
    <t>47.2138</t>
  </si>
  <si>
    <t>15.63025</t>
  </si>
  <si>
    <t>+4331722243</t>
  </si>
  <si>
    <t>fahrschule@korossy.at</t>
  </si>
  <si>
    <t>https://bilder.dasschnelle.at/DasSchnelle/50/5000/9944/061397/G_061397_P_906128740.adn.gif</t>
  </si>
  <si>
    <t>Schanner KG, Dachdeckerei • Sankt Ruprecht an der Raab • Steiermark</t>
  </si>
  <si>
    <t>Dachdeckereien • Schanner KG, Bundesstraße 293, Sankt Ruprecht an der Raab • Kontakt über aktuelle Telefonnummern ☎ und Adressen ⚑ mit Karte, Routing, Öffnungszeiten, Homepage, E-Mail, vCard und Firmendaten.</t>
  </si>
  <si>
    <t>Bundesstraße 293</t>
  </si>
  <si>
    <t>Sankt Ruprecht an der Raab</t>
  </si>
  <si>
    <t>47.15687</t>
  </si>
  <si>
    <t>15.66885</t>
  </si>
  <si>
    <t>+4331782307;+4331783454;+436649836642;+4366488620258;+436649836641</t>
  </si>
  <si>
    <t>info@schanner-dach.at</t>
  </si>
  <si>
    <t>https://bilder.dasschnelle.at/DasSchnelle/50/5000/9944/061402/G_061402_P_906128750.adn.gif</t>
  </si>
  <si>
    <t>Höfer &amp; Klaminger GmbH, Personalbereitstellung • Birkfeld • Steiermark</t>
  </si>
  <si>
    <t>Personalbereitstellung • Höfer &amp; Klaminger GmbH, Edelsee-Straße 3, Birkfeld • Kontakt über aktuelle Telefonnummern ☎ und Adressen ⚑ mit Karte, Routing, Öffnungszeiten, Homepage, E-Mail, vCard und Firmendaten.</t>
  </si>
  <si>
    <t>Edelsee-Straße 3</t>
  </si>
  <si>
    <t>47.3588</t>
  </si>
  <si>
    <t>15.69081</t>
  </si>
  <si>
    <t>+43676844035100</t>
  </si>
  <si>
    <t>hoefer-klaminger-bau.at@aon.at</t>
  </si>
  <si>
    <t>https://bilder.dasschnelle.at/DasSchnelle/50/5000/9944/061398/G_061398_P_906128806.adn.gif</t>
  </si>
  <si>
    <t>Leuchtenparadies Wiedenegger KG, Leuchten • Weiz • Steiermark</t>
  </si>
  <si>
    <t>Leuchten • Leuchtenparadies Wiedenegger KG, Siegfried-Esterl-Gasse 17, Weiz • Kontakt über aktuelle Telefonnummern ☎ und Adressen ⚑ mit Karte, Routing, Öffnungszeiten, Homepage, E-Mail, vCard und Firmendaten.</t>
  </si>
  <si>
    <t>Siegfried-Esterl-Gasse 17</t>
  </si>
  <si>
    <t>47.22026</t>
  </si>
  <si>
    <t>15.6268</t>
  </si>
  <si>
    <t>+4331726266;+436641141295</t>
  </si>
  <si>
    <t>leuchtenparadies@aon.at</t>
  </si>
  <si>
    <t>https://bilder.dasschnelle.at/DasSchnelle/50/5000/9944/061397/G_061397_P_906129891.adn.gif</t>
  </si>
  <si>
    <t>Priesch, Bernhard Ronald, Gärtnerei • Hofing • Steiermark</t>
  </si>
  <si>
    <t>Gärtnereien • Priesch, Bernhard Ronald, Hofing • Kontakt über aktuelle Telefonnummern ☎ und Adressen ⚑ mit Karte, Routing, Öffnungszeiten, Homepage, E-Mail, vCard und Firmendaten.</t>
  </si>
  <si>
    <t>8221</t>
  </si>
  <si>
    <t>Hofing</t>
  </si>
  <si>
    <t>47.1912793</t>
  </si>
  <si>
    <t>15.8465444</t>
  </si>
  <si>
    <t>+436602583056</t>
  </si>
  <si>
    <t>bernhardpriesch@icloud.com</t>
  </si>
  <si>
    <t>https://bilder.dasschnelle.at/DasSchnelle/50/5000/9944/061405/I_061405_P_906130076_L_0036252639_1.png</t>
  </si>
  <si>
    <t>https://bilder.dasschnelle.at/DasSchnelle/50/5000/9944/061405/I_061405_P_906130076_B_0036252639_1.gal.png?height=300&amp;width=600;https://bilder.dasschnelle.at/DasSchnelle/50/5000/9944/061405/I_061405_P_906130076_B_0036252639_2.gal.png?height=300&amp;width=600;https://bilder.dasschnelle.at/DasSchnelle/50/5000/9944/061405/I_061405_P_906130076_B_0036252639_3.gal.png?height=230&amp;width=360;https://bilder.dasschnelle.at/DasSchnelle/50/5000/9944/061405/I_061405_P_906130076_B_0036252639_4.gal.png?height=90&amp;width=140</t>
  </si>
  <si>
    <t>Haustechnik Hofer GmbH, Haustechnik • Etzersdorf • Steiermark</t>
  </si>
  <si>
    <t>Haustechnik • Haustechnik Hofer GmbH, Etzersdorf • Kontakt über aktuelle Telefonnummern ☎ und Adressen ⚑ mit Karte, Routing, Öffnungszeiten, Homepage, E-Mail, vCard und Firmendaten.</t>
  </si>
  <si>
    <t>Etzersdorf</t>
  </si>
  <si>
    <t>47.2135315</t>
  </si>
  <si>
    <t>15.6810745</t>
  </si>
  <si>
    <t>+43317246085</t>
  </si>
  <si>
    <t>office@haustechnik-hofer.at</t>
  </si>
  <si>
    <t>https://bilder.dasschnelle.at/DasSchnelle/50/5000/9944/061402/I_061402_P_906131355_L_0036177332_1.png</t>
  </si>
  <si>
    <t>https://bilder.dasschnelle.at/DasSchnelle/50/5000/9944/061402/I_061402_P_906131355_B_0036177332_1.gal.png?height=334&amp;width=500;https://bilder.dasschnelle.at/DasSchnelle/50/5000/9944/061402/I_061402_P_906131355_B_0036177332_2.gal.png?height=334&amp;width=500</t>
  </si>
  <si>
    <t>Leitner, Franz, Elektromaschinenbau • Weiz • Steiermark</t>
  </si>
  <si>
    <t>Elektromaschinen • Leitner, Franz, Thannhausen 2, Weiz • Kontakt über aktuelle Telefonnummern ☎ und Adressen ⚑ mit Karte, Routing, Öffnungszeiten, Homepage, E-Mail, vCard und Firmendaten.</t>
  </si>
  <si>
    <t>Thannhausen 2</t>
  </si>
  <si>
    <t>47.22392</t>
  </si>
  <si>
    <t>15.6442</t>
  </si>
  <si>
    <t>+43317230125;+436645241484</t>
  </si>
  <si>
    <t>office@motoren-leitner.at</t>
  </si>
  <si>
    <t>https://bilder.dasschnelle.at/DasSchnelle/50/5000/9944/045630/G_045630_P_906131359.adn.gif</t>
  </si>
  <si>
    <t>Schwarz, Verena, Mag., Reisebüros • Gleisdorf • Steiermark</t>
  </si>
  <si>
    <t>Reisebüros • Schwarz, Verena, Mag., Franz-Perl-Straße 1, Gleisdorf • Kontakt über aktuelle Telefonnummern ☎ und Adressen ⚑ mit Karte, Routing, Öffnungszeiten, Homepage, E-Mail, vCard und Firmendaten.</t>
  </si>
  <si>
    <t>Franz-Perl-Straße 1</t>
  </si>
  <si>
    <t>47.10543</t>
  </si>
  <si>
    <t>15.70596</t>
  </si>
  <si>
    <t>+4331124560;+4331124378</t>
  </si>
  <si>
    <t>office@reisen-schwarz.at</t>
  </si>
  <si>
    <t>https://bilder.dasschnelle.at/DasSchnelle/50/5000/9944/061361/G_061361_P_906131364.adn.gif</t>
  </si>
  <si>
    <t>Friesenbichler, Matthias, Malereibetriebe • Waisenegg • Steiermark</t>
  </si>
  <si>
    <t>Malereibetriebe • Friesenbichler, Matthias, Waisenegg • Kontakt über aktuelle Telefonnummern ☎ und Adressen ⚑ mit Karte, Routing, Öffnungszeiten, Homepage, E-Mail, vCard und Firmendaten.</t>
  </si>
  <si>
    <t>Waisenegg</t>
  </si>
  <si>
    <t>47.3685409</t>
  </si>
  <si>
    <t>15.6832175</t>
  </si>
  <si>
    <t>+4331742450;+4331742247;+436641817417;+4331742247</t>
  </si>
  <si>
    <t>+4331742482</t>
  </si>
  <si>
    <t>info@maler-friesenbichler.at</t>
  </si>
  <si>
    <t>https://bilder.dasschnelle.at/DasSchnelle/50/5000/9944/061398/I_061398_P_906134698_L_0036237624_1.png</t>
  </si>
  <si>
    <t>https://bilder.dasschnelle.at/DasSchnelle/50/5000/9944/061398/I_061398_P_906134698_B_0036237624_1.gal.png?height=489&amp;width=910;https://bilder.dasschnelle.at/DasSchnelle/50/5000/9944/061398/I_061398_P_906134698_B_0036237624_2.gal.png?height=489&amp;width=910</t>
  </si>
  <si>
    <t>Wolf, Anita, Haarstudio Wolf, Haarstudio • Sankt Ruprecht an der Raab • Steiermark</t>
  </si>
  <si>
    <t>Friseure • Wolf, Anita, Haarstudio Wolf, Parkstraße 6, Sankt Ruprecht an der Raab • Kontakt über aktuelle Telefonnummern ☎ und Adressen ⚑ mit Karte, Routing, Öffnungszeiten, Homepage, E-Mail, vCard und Firmendaten.</t>
  </si>
  <si>
    <t>Parkstraße 6</t>
  </si>
  <si>
    <t>47.15141</t>
  </si>
  <si>
    <t>15.6631</t>
  </si>
  <si>
    <t>+43317828800</t>
  </si>
  <si>
    <t>office@haarstudio-wolf.at</t>
  </si>
  <si>
    <t>https://bilder.dasschnelle.at/DasSchnelle/50/5000/9944/061402/G_061402_P_906133289.adn.gif</t>
  </si>
  <si>
    <t>Reiter, Florian, Installationen • Gleisdorf • Steiermark</t>
  </si>
  <si>
    <t>Installationsunternehmen • Reiter, Florian, Nitscha 27, Gleisdorf • Kontakt über aktuelle Telefonnummern ☎ und Adressen ⚑ mit Karte, Routing, Öffnungszeiten, Homepage, E-Mail, vCard und Firmendaten.</t>
  </si>
  <si>
    <t>Nitscha 27</t>
  </si>
  <si>
    <t>47.1174541</t>
  </si>
  <si>
    <t>15.7262485</t>
  </si>
  <si>
    <t>+436644101740</t>
  </si>
  <si>
    <t>office@reiter-installationen.at</t>
  </si>
  <si>
    <t>https://bilder.dasschnelle.at/DasSchnelle/50/5000/9944/061361/I_061361_P_906133294_L_0036252740_1.png</t>
  </si>
  <si>
    <t>https://bilder.dasschnelle.at/DasSchnelle/50/5000/9944/061361/I_061361_P_906133294_B_0036252740_1.gal.png?height=450&amp;width=600;https://bilder.dasschnelle.at/DasSchnelle/50/5000/9944/061361/I_061361_P_906133294_B_0036252740_2.gal.png?height=450&amp;width=600;https://bilder.dasschnelle.at/DasSchnelle/50/5000/9944/061361/I_061361_P_906133294_B_0036252740_3.gal.png?height=600&amp;width=450;https://bilder.dasschnelle.at/DasSchnelle/50/5000/9944/061361/I_061361_P_906133294_B_0036252740_4.gal.png?height=450&amp;width=600</t>
  </si>
  <si>
    <t>Mild Stein GesmbH, Steinmetzbetrieb • Pischelsdorf in der Steiermark • Steiermark</t>
  </si>
  <si>
    <t>Steinmetzbetriebe • Mild Stein GesmbH, Pischelsdorf 116, Pischelsdorf in der Steiermark • Kontakt über aktuelle Telefonnummern ☎ und Adressen ⚑ mit Karte, Routing, Öffnungszeiten, Homepage, E-Mail, vCard und Firmendaten.</t>
  </si>
  <si>
    <t>Pischelsdorf 116</t>
  </si>
  <si>
    <t>47.1726552</t>
  </si>
  <si>
    <t>15.7963591</t>
  </si>
  <si>
    <t>+43311323320</t>
  </si>
  <si>
    <t>office@mildstein.com</t>
  </si>
  <si>
    <t>https://bilder.dasschnelle.at/DasSchnelle/50/5000/9944/061407/I_061407_P_906133379_L_0036252640_1.png</t>
  </si>
  <si>
    <t>https://bilder.dasschnelle.at/DasSchnelle/50/5000/9944/061407/I_061407_P_906133379_B_0036252640_1.gal.png?height=399&amp;width=600;https://bilder.dasschnelle.at/DasSchnelle/50/5000/9944/061407/I_061407_P_906133379_B_0036252640_2.gal.png?height=399&amp;width=600;https://bilder.dasschnelle.at/DasSchnelle/50/5000/9944/061407/I_061407_P_906133379_B_0036252640_3.gal.png?height=399&amp;width=600;https://bilder.dasschnelle.at/DasSchnelle/50/5000/9944/061407/I_061407_P_906133379_B_0036252640_4.gal.png?height=399&amp;width=600</t>
  </si>
  <si>
    <t>Posch, Stefan, Steinmetzbetriebe • Gleisdorf • Steiermark</t>
  </si>
  <si>
    <t>Steinmetzbetriebe • Posch, Stefan, Laßnitzthal 196, Gleisdorf • Kontakt über aktuelle Telefonnummern ☎ und Adressen ⚑ mit Karte, Routing, Öffnungszeiten, Homepage, E-Mail, vCard und Firmendaten.</t>
  </si>
  <si>
    <t>Laßnitzthal 196</t>
  </si>
  <si>
    <t>47.0809238</t>
  </si>
  <si>
    <t>15.6497276</t>
  </si>
  <si>
    <t>+4331332408</t>
  </si>
  <si>
    <t>office@steinmetz-posch.at</t>
  </si>
  <si>
    <t>https://bilder.dasschnelle.at/DasSchnelle/50/5000/9944/061361/I_061361_P_906133392_L_0036252869_1.png</t>
  </si>
  <si>
    <t>https://bilder.dasschnelle.at/DasSchnelle/50/5000/9944/061361/I_061361_P_906133392_B_0036252869_1.gal.png?height=1024&amp;width=768;https://bilder.dasschnelle.at/DasSchnelle/50/5000/9944/061361/I_061361_P_906133392_B_0036252869_2.gal.png?height=1024&amp;width=632;https://bilder.dasschnelle.at/DasSchnelle/50/5000/9944/061361/I_061361_P_906133392_B_0036252869_3.gal.png?height=576&amp;width=1024;https://bilder.dasschnelle.at/DasSchnelle/50/5000/9944/061361/I_061361_P_906133392_B_0036252869_4.gal.png?height=683&amp;width=1024</t>
  </si>
  <si>
    <t>Bestattung Höfler-Kreimer, Bestattungsunternehmen • Anger • Steiermark</t>
  </si>
  <si>
    <t>Bestattungsunternehmen, Tischlereien • Bestattung Höfler-Kreimer, Bahnhofstraße 4, Anger • Kontakt über aktuelle Telefonnummern ☎ und Adressen ⚑ mit Karte, Routing, Öffnungszeiten, Homepage, E-Mail, vCard und Firmendaten.</t>
  </si>
  <si>
    <t>8184</t>
  </si>
  <si>
    <t>Anger</t>
  </si>
  <si>
    <t>47.27341</t>
  </si>
  <si>
    <t>15.69251</t>
  </si>
  <si>
    <t>+4331752548</t>
  </si>
  <si>
    <t>bestattung_hoefler@aon.at</t>
  </si>
  <si>
    <t>https://bilder.dasschnelle.at/DasSchnelle/50/5000/9944/061399/I_061399_P_906134660_L_0035999754_1.png</t>
  </si>
  <si>
    <t>LHB &amp; Partner Bauges.m.b.H, Bauunternehmen • Sinabelkirchen • Steiermark</t>
  </si>
  <si>
    <t>Bauunternehmen • LHB &amp; Partner Bauges.m.b.H, Untergroßau 136, Sinabelkirchen • Kontakt über aktuelle Telefonnummern ☎ und Adressen ⚑ mit Karte, Routing, Öffnungszeiten, Homepage, E-Mail, vCard und Firmendaten.</t>
  </si>
  <si>
    <t>Untergroßau 136</t>
  </si>
  <si>
    <t>8261</t>
  </si>
  <si>
    <t>Sinabelkirchen</t>
  </si>
  <si>
    <t>47.1023809</t>
  </si>
  <si>
    <t>15.8156637</t>
  </si>
  <si>
    <t>+436648550930</t>
  </si>
  <si>
    <t>a.dobaj@lhb-partner.at</t>
  </si>
  <si>
    <t>https://bilder.dasschnelle.at/DasSchnelle/50/5000/9944/045627/G_045627_P_906135686.adn.gif</t>
  </si>
  <si>
    <t>Gschanes, Franz, Elektro • Pischelsdorf am Kulm • Steiermark</t>
  </si>
  <si>
    <t>Elektrotechnik • Gschanes, Franz, Romatschachen 78, Pischelsdorf am Kulm • Kontakt über aktuelle Telefonnummern ☎ und Adressen ⚑ mit Karte, Routing, Öffnungszeiten, Homepage, E-Mail, vCard und Firmendaten.</t>
  </si>
  <si>
    <t>Romatschachen 78</t>
  </si>
  <si>
    <t>Pischelsdorf am Kulm</t>
  </si>
  <si>
    <t>47.1919926</t>
  </si>
  <si>
    <t>15.7917949</t>
  </si>
  <si>
    <t>+43311320094</t>
  </si>
  <si>
    <t>franz.gschanes@aon.at</t>
  </si>
  <si>
    <t>https://bilder.dasschnelle.at/DasSchnelle/50/5000/9944/061407/G_061407_P_906135887.adn.gif</t>
  </si>
  <si>
    <t>Allmer, Markus, Elektrotechnik • Pischelsdorf am Kulm • Steiermark</t>
  </si>
  <si>
    <t>Elektrotechnik • Allmer, Markus, Kleinpesendorf 53, Pischelsdorf am Kulm • Kontakt über aktuelle Telefonnummern ☎ und Adressen ⚑ mit Karte, Routing, Öffnungszeiten, Homepage, E-Mail, vCard und Firmendaten.</t>
  </si>
  <si>
    <t>Kleinpesendorf 53</t>
  </si>
  <si>
    <t>47.2002189</t>
  </si>
  <si>
    <t>15.7964128</t>
  </si>
  <si>
    <t>+436645156574</t>
  </si>
  <si>
    <t>smarthome-allmer@gmx.at</t>
  </si>
  <si>
    <t>https://bilder.dasschnelle.at/DasSchnelle/50/5000/9944/061407/I_061407_P_906135903_L_0036252711_1.png</t>
  </si>
  <si>
    <t>https://bilder.dasschnelle.at/DasSchnelle/50/5000/9944/061407/I_061407_P_906135903_B_0036252711_1.gal.png?height=3200&amp;width=4800</t>
  </si>
  <si>
    <t>RSR Reifen Service Raith, Reifenhandel • Krammersdorf • Steiermark</t>
  </si>
  <si>
    <t>Reifenservice • RSR Reifen Service Raith, Krammersdorf • Kontakt über aktuelle Telefonnummern ☎ und Adressen ⚑ mit Karte, Routing, Öffnungszeiten, Homepage, E-Mail, vCard und Firmendaten.</t>
  </si>
  <si>
    <t>Krammersdorf</t>
  </si>
  <si>
    <t>47.2893656</t>
  </si>
  <si>
    <t>15.5521914</t>
  </si>
  <si>
    <t>+436604730474</t>
  </si>
  <si>
    <t>rsraith@gmx.at</t>
  </si>
  <si>
    <t>https://bilder.dasschnelle.at/DasSchnelle/50/5000/9944/061369/G_061369_P_906136995.adn.gif</t>
  </si>
  <si>
    <t>Ederer GesmbH, Gasthaus-Hotel-Seminar • Weiz • Steiermark</t>
  </si>
  <si>
    <t>Gastgewerbe - Gasthöfe, Hotels • Ederer GesmbH, Weizberg 2, Weiz • Kontakt über aktuelle Telefonnummern ☎ und Adressen ⚑ mit Karte, Routing, Öffnungszeiten, Homepage, E-Mail, vCard und Firmendaten.</t>
  </si>
  <si>
    <t>Weizberg 2</t>
  </si>
  <si>
    <t>47.22407</t>
  </si>
  <si>
    <t>15.63647</t>
  </si>
  <si>
    <t>+43317223490</t>
  </si>
  <si>
    <t>office@ederer.at</t>
  </si>
  <si>
    <t>https://bilder.dasschnelle.at/DasSchnelle/50/5000/9944/061397/G_061397_P_906136997.adn.gif</t>
  </si>
  <si>
    <t>Iberer Blumenfachgeschäft, Blumen • Passail • Steiermark</t>
  </si>
  <si>
    <t>Blumenhandel • Iberer Blumenfachgeschäft, Markt 19, Passail • Kontakt über aktuelle Telefonnummern ☎ und Adressen ⚑ mit Karte, Routing, Öffnungszeiten, Homepage, E-Mail, vCard und Firmendaten.</t>
  </si>
  <si>
    <t>Markt 19</t>
  </si>
  <si>
    <t>47.28243</t>
  </si>
  <si>
    <t>15.51481</t>
  </si>
  <si>
    <t>+43317923268</t>
  </si>
  <si>
    <t>office@blumeniberer.at</t>
  </si>
  <si>
    <t>https://bilder.dasschnelle.at/DasSchnelle/50/5000/9944/061369/G_061369_P_906137846.adn.gif</t>
  </si>
  <si>
    <t>Reiter, Günther, Gasinstallationen • Pischelsdorf in der Steiermark • Steiermark</t>
  </si>
  <si>
    <t>Installationsunternehmen • Reiter, Günther, Pischelsdorf 460, Pischelsdorf in der Steiermark • Kontakt über aktuelle Telefonnummern ☎ und Adressen ⚑ mit Karte, Routing, Öffnungszeiten, Homepage, E-Mail, vCard und Firmendaten.</t>
  </si>
  <si>
    <t>Pischelsdorf 460</t>
  </si>
  <si>
    <t>47.1804887</t>
  </si>
  <si>
    <t>15.8014028</t>
  </si>
  <si>
    <t>+436643889765</t>
  </si>
  <si>
    <t>reiter.gunther@aon.at</t>
  </si>
  <si>
    <t>https://bilder.dasschnelle.at/DasSchnelle/50/5000/9944/061407/G_061407_P_906140658.adn.gif</t>
  </si>
  <si>
    <t>Schloffer Dach • Anger • Steiermark</t>
  </si>
  <si>
    <t>Dachdeckerei u. Spenglerei • Schloffer Dach, Oberfeistritz 115, Anger • Kontakt über aktuelle Telefonnummern ☎ und Adressen ⚑ mit Karte, Routing, Öffnungszeiten, Homepage, E-Mail, vCard und Firmendaten.</t>
  </si>
  <si>
    <t>Oberfeistritz 115</t>
  </si>
  <si>
    <t>47.2611426</t>
  </si>
  <si>
    <t>15.7015309</t>
  </si>
  <si>
    <t>+4367762856951</t>
  </si>
  <si>
    <t>office@schlofferdach.at</t>
  </si>
  <si>
    <t>https://bilder.dasschnelle.at/DasSchnelle/50/5000/9944/061399/I_061399_P_906140660_L_0038059254_1.png</t>
  </si>
  <si>
    <t>https://bilder.dasschnelle.at/DasSchnelle/50/5000/9944/061399/I_061399_P_906140660_B_0038059254_1.gal.png?height=399&amp;width=600;https://bilder.dasschnelle.at/DasSchnelle/50/5000/9944/061399/I_061399_P_906140660_B_0038059254_2.gal.png?height=399&amp;width=600;https://bilder.dasschnelle.at/DasSchnelle/50/5000/9944/061399/I_061399_P_906140660_B_0038059254_3.gal.png?height=450&amp;width=800;https://bilder.dasschnelle.at/DasSchnelle/50/5000/9944/061399/I_061399_P_906140660_B_0038059254_4.gal.png?height=450&amp;width=800</t>
  </si>
  <si>
    <t>Holz Bauer KG, Säge- und Hobelwerk • Unterfeistritz • Steiermark</t>
  </si>
  <si>
    <t>Säge- u. Hobelwerke • Holz Bauer KG, Unterfeistritz • Kontakt über aktuelle Telefonnummern ☎ und Adressen ⚑ mit Karte, Routing, Öffnungszeiten, Homepage, E-Mail, vCard und Firmendaten.</t>
  </si>
  <si>
    <t>8183</t>
  </si>
  <si>
    <t>Unterfeistritz</t>
  </si>
  <si>
    <t>47.2464600</t>
  </si>
  <si>
    <t>15.7243600</t>
  </si>
  <si>
    <t>+4331772232;+436647930753</t>
  </si>
  <si>
    <t>office@holz-bauer.at</t>
  </si>
  <si>
    <t>https://bilder.dasschnelle.at/DasSchnelle/50/5000/9944/045385/G_045385_P_906140664.adn.gif</t>
  </si>
  <si>
    <t>Allmer, Irmgard, Bestattung • Birkfeld • Steiermark</t>
  </si>
  <si>
    <t>Bestattungsunternehmen • Allmer, Irmgard, Gschaid 47, Birkfeld • Kontakt über aktuelle Telefonnummern ☎ und Adressen ⚑ mit Karte, Routing, Öffnungszeiten, Homepage, E-Mail, vCard und Firmendaten.</t>
  </si>
  <si>
    <t>Gschaid 47</t>
  </si>
  <si>
    <t>47.3482098</t>
  </si>
  <si>
    <t>15.7280808</t>
  </si>
  <si>
    <t>+4331744720;+436641602870</t>
  </si>
  <si>
    <t>+4331744702</t>
  </si>
  <si>
    <t>office@allmer-bestattung.at</t>
  </si>
  <si>
    <t>https://bilder.dasschnelle.at/DasSchnelle/50/5000/9944/061398/I_061398_P_906139520_B_0036252697_1.gal.png?height=337&amp;width=600;https://bilder.dasschnelle.at/DasSchnelle/50/5000/9944/061398/I_061398_P_906139520_B_0036252697_2.gal.png?height=2748&amp;width=4235</t>
  </si>
  <si>
    <t>Wiedenhofer L Steinmetzmeister-GesmbH &amp; Co KG, Steinmetzbetriebe • Weiz • Steiermark</t>
  </si>
  <si>
    <t>Steinmetzbetriebe • Wiedenhofer L Steinmetzmeister-GesmbH &amp; Co KG, Birkfelder Straße 84, Weiz • Kontakt über aktuelle Telefonnummern ☎ und Adressen ⚑ mit Karte, Routing, Öffnungszeiten, Homepage, E-Mail, vCard und Firmendaten.</t>
  </si>
  <si>
    <t>Birkfelder Straße 84</t>
  </si>
  <si>
    <t>47.21961</t>
  </si>
  <si>
    <t>15.63801</t>
  </si>
  <si>
    <t>+43317223320</t>
  </si>
  <si>
    <t>+43317223326</t>
  </si>
  <si>
    <t>steinwiedenhofer@aon.at</t>
  </si>
  <si>
    <t>https://bilder.dasschnelle.at/DasSchnelle/50/5000/9944/061397/I_061397_P_906139583_L_0036252787_1.png</t>
  </si>
  <si>
    <t>https://bilder.dasschnelle.at/DasSchnelle/50/5000/9944/061397/I_061397_P_906139583_B_0036252787_1.gal.png?height=300&amp;width=400;https://bilder.dasschnelle.at/DasSchnelle/50/5000/9944/061397/I_061397_P_906139583_B_0036252787_2.gal.png?height=300&amp;width=400;https://bilder.dasschnelle.at/DasSchnelle/50/5000/9944/061397/I_061397_P_906139583_B_0036252787_3.gal.png?height=300&amp;width=400;https://bilder.dasschnelle.at/DasSchnelle/50/5000/9944/061397/I_061397_P_906139583_B_0036252787_4.gal.png?height=300&amp;width=400;https://bilder.dasschnelle.at/DasSchnelle/50/5000/9944/061397/G_061397_P_906139583.adn.gif</t>
  </si>
  <si>
    <t>Groh Optik GmbH &amp; Co KG • Weiz • Steiermark</t>
  </si>
  <si>
    <t>Hörgeräte, Kontaktlinsen, Optik • Groh Optik GmbH &amp; Co KG, Brachter Gasse 6, Weiz • Kontakt über aktuelle Telefonnummern ☎ und Adressen ⚑ mit Karte, Routing, Öffnungszeiten, Homepage, E-Mail, vCard und Firmendaten.</t>
  </si>
  <si>
    <t>Brachter Gasse 6</t>
  </si>
  <si>
    <t>47.22054</t>
  </si>
  <si>
    <t>15.62689</t>
  </si>
  <si>
    <t>+43317247470</t>
  </si>
  <si>
    <t>weiz@optik-groh.at</t>
  </si>
  <si>
    <t>https://bilder.dasschnelle.at/DasSchnelle/50/5000/9944/061397/G_061397_P_906141677.adn.gif</t>
  </si>
  <si>
    <t>Kurtz, Bernhard, Elektrowaren • Gleisdorf • Steiermark</t>
  </si>
  <si>
    <t>Elektrowaren • Kurtz, Bernhard, Hauptplatz 5, Gleisdorf • Kontakt über aktuelle Telefonnummern ☎ und Adressen ⚑ mit Karte, Routing, Öffnungszeiten, Homepage, E-Mail, vCard und Firmendaten.</t>
  </si>
  <si>
    <t>47.10626</t>
  </si>
  <si>
    <t>+43311226060;+43311238182;+436502606222</t>
  </si>
  <si>
    <t>+433112260675</t>
  </si>
  <si>
    <t>kurtz@htb.at</t>
  </si>
  <si>
    <t>https://bilder.dasschnelle.at/DasSchnelle/50/5000/9944/061361/G_061361_P_906141686.adn.gif</t>
  </si>
  <si>
    <t>Fadenberger, Konrad, Tischlereien • Passail • Steiermark</t>
  </si>
  <si>
    <t>Tischlereien • Fadenberger, Konrad, Weizer Straße 26, Passail • Kontakt über aktuelle Telefonnummern ☎ und Adressen ⚑ mit Karte, Routing, Öffnungszeiten, Homepage, E-Mail, vCard und Firmendaten.</t>
  </si>
  <si>
    <t>Weizer Straße 26</t>
  </si>
  <si>
    <t>47.27988</t>
  </si>
  <si>
    <t>15.51884</t>
  </si>
  <si>
    <t>+433179233360</t>
  </si>
  <si>
    <t>office@tkf-fadenberger.at</t>
  </si>
  <si>
    <t>https://bilder.dasschnelle.at/DasSchnelle/50/5000/9944/061369/I_061369_P_906141691_L_0035999147_1.png</t>
  </si>
  <si>
    <t>https://bilder.dasschnelle.at/DasSchnelle/50/5000/9944/061369/I_061369_P_906141691_B_0035999147_1.gal.png?height=338&amp;width=450;https://bilder.dasschnelle.at/DasSchnelle/50/5000/9944/061369/I_061369_P_906141691_B_0035999147_2.gal.png?height=338&amp;width=450;https://bilder.dasschnelle.at/DasSchnelle/50/5000/9944/061369/I_061369_P_906141691_B_0035999147_3.gal.png?height=338&amp;width=450;https://bilder.dasschnelle.at/DasSchnelle/50/5000/9944/061369/I_061369_P_906141691_B_0035999147_4.gal.png?height=338&amp;width=450</t>
  </si>
  <si>
    <t>Perhofer GesmbH, Gas, Wasser, Heizung • Birkfeld • Steiermark</t>
  </si>
  <si>
    <t>Gasinstallationen • Perhofer GesmbH, Waisenegg 115, Birkfeld • Kontakt über aktuelle Telefonnummern ☎ und Adressen ⚑ mit Karte, Routing, Öffnungszeiten, Homepage, E-Mail, vCard und Firmendaten.</t>
  </si>
  <si>
    <t>Waisenegg 115</t>
  </si>
  <si>
    <t>47.3921047</t>
  </si>
  <si>
    <t>15.6614769</t>
  </si>
  <si>
    <t>+43317437050</t>
  </si>
  <si>
    <t>+43317437058</t>
  </si>
  <si>
    <t>office@perhofer.at</t>
  </si>
  <si>
    <t>https://bilder.dasschnelle.at/DasSchnelle/50/5000/9944/061398/G_061398_P_906142528.adn.gif</t>
  </si>
  <si>
    <t>Stebegg, Franz jun., Spenglereien • Passail • Steiermark</t>
  </si>
  <si>
    <t>Spenglereien • Stebegg, Franz jun., Fischteichweg 8, Passail • Kontakt über aktuelle Telefonnummern ☎ und Adressen ⚑ mit Karte, Routing, Öffnungszeiten, Homepage, E-Mail, vCard und Firmendaten.</t>
  </si>
  <si>
    <t>Fischteichweg 8</t>
  </si>
  <si>
    <t>47.27792</t>
  </si>
  <si>
    <t>15.52729</t>
  </si>
  <si>
    <t>+43317923468;+436643116891</t>
  </si>
  <si>
    <t>stebegg01@a1.net</t>
  </si>
  <si>
    <t>https://bilder.dasschnelle.at/DasSchnelle/50/5000/9944/061369/I_061369_P_906142533_L_0035999749_1.png</t>
  </si>
  <si>
    <t>https://bilder.dasschnelle.at/DasSchnelle/50/5000/9944/061369/I_061369_P_906142533_B_0035999749_1.gal.png?height=562&amp;width=1000;https://bilder.dasschnelle.at/DasSchnelle/50/5000/9944/061369/I_061369_P_906142533_B_0035999749_2.gal.png?height=562&amp;width=1000;https://bilder.dasschnelle.at/DasSchnelle/50/5000/9944/061369/I_061369_P_906142533_B_0035999749_3.gal.png?height=335&amp;width=595;https://bilder.dasschnelle.at/DasSchnelle/50/5000/9944/061369/I_061369_P_906142533_B_0035999749_4.gal.png?height=335&amp;width=595;https://bilder.dasschnelle.at/DasSchnelle/50/5000/9944/061369/G_061369_P_906142533.adn.gif</t>
  </si>
  <si>
    <t>Bestattung Koller - Adlmann OG, Bestattung • Weiz • Steiermark</t>
  </si>
  <si>
    <t>Bestattungsunternehmen • Bestattung Koller - Adlmann OG, Marburger Straße 23, Weiz • Kontakt über aktuelle Telefonnummern ☎ und Adressen ⚑ mit Karte, Routing, Öffnungszeiten, Homepage, E-Mail, vCard und Firmendaten.</t>
  </si>
  <si>
    <t>Marburger Straße 23</t>
  </si>
  <si>
    <t>47.21572</t>
  </si>
  <si>
    <t>15.62411</t>
  </si>
  <si>
    <t>+43317229310</t>
  </si>
  <si>
    <t>office@bestattung-weiz.at</t>
  </si>
  <si>
    <t>https://bilder.dasschnelle.at/DasSchnelle/50/5000/9944/061397/I_061397_P_906142536_L_0036242984_1.png</t>
  </si>
  <si>
    <t>https://bilder.dasschnelle.at/DasSchnelle/50/5000/9944/061397/I_061397_P_906142536_B_0036242984_1.gal.png?height=200&amp;width=460;https://bilder.dasschnelle.at/DasSchnelle/50/5000/9944/061397/I_061397_P_906142536_B_0036242984_2.gal.png?height=426&amp;width=720;https://bilder.dasschnelle.at/DasSchnelle/50/5000/9944/061397/I_061397_P_906142536_B_0036242984_3.gal.png?height=247&amp;width=720</t>
  </si>
  <si>
    <t>Herbst, Katharina-Wittgruber, Fußpflege • Gleisdorf • Steiermark</t>
  </si>
  <si>
    <t>Fußpflege • Herbst, Katharina-Wittgruber, Bürgergasse 1, Gleisdorf • Kontakt über aktuelle Telefonnummern ☎ und Adressen ⚑ mit Karte, Routing, Öffnungszeiten, Homepage, E-Mail, vCard und Firmendaten.</t>
  </si>
  <si>
    <t>Bürgergasse 1</t>
  </si>
  <si>
    <t>47.10474</t>
  </si>
  <si>
    <t>15.70992</t>
  </si>
  <si>
    <t>+4331125204</t>
  </si>
  <si>
    <t>vitaloase@blumart.at</t>
  </si>
  <si>
    <t>https://bilder.dasschnelle.at/DasSchnelle/50/5000/9944/061361/G_061361_P_906143360.adn.gif</t>
  </si>
  <si>
    <t>Herbst, Katharina-Wittgruber, Fußpflege • Fladnitz an der Teichalm • Steiermark</t>
  </si>
  <si>
    <t>Fußpflege • Herbst, Katharina-Wittgruber, Fladnitz an der Teichalm • Kontakt über aktuelle Telefonnummern ☎ und Adressen ⚑ mit Karte, Routing, Öffnungszeiten, Homepage, E-Mail, vCard und Firmendaten.</t>
  </si>
  <si>
    <t>47.2898095</t>
  </si>
  <si>
    <t>15.4769791</t>
  </si>
  <si>
    <t>+4331792331448</t>
  </si>
  <si>
    <t>https://bilder.dasschnelle.at/DasSchnelle/50/5000/9944/061366/G_061366_P_906143362.adn.gif</t>
  </si>
  <si>
    <t>Parhammer Brunnen @ Erdwärme GmbH, Brunner &amp; Erdwärme • Mondsee • Oberösterreich</t>
  </si>
  <si>
    <t>Brunnen u. Brunnenbau, Energietechnik • Parhammer Brunnen @ Erdwärme GmbH, Hierzenbergerstraße 28, Mondsee • Kontakt über aktuelle Telefonnummern ☎ und Adressen ⚑ mit Karte, Routing, Öffnungszeiten, Homepage, E-Mail, vCard und Firmendaten.</t>
  </si>
  <si>
    <t>Hierzenbergerstraße 28</t>
  </si>
  <si>
    <t>47.85479</t>
  </si>
  <si>
    <t>13.33879</t>
  </si>
  <si>
    <t>+436648549801</t>
  </si>
  <si>
    <t>office@parhammer.eu</t>
  </si>
  <si>
    <t>https://bilder.dasschnelle.at/DasSchnelle/50/5000/9868/041790/I_041790_P_906143365_L_0035974114_1.png</t>
  </si>
  <si>
    <t>https://bilder.dasschnelle.at/DasSchnelle/50/5000/9868/041790/I_041790_P_906143365_B_0035974114_1.gal.png?height=333&amp;width=500;https://bilder.dasschnelle.at/DasSchnelle/50/5000/9868/041790/I_041790_P_906143365_B_0035974114_2.gal.png?height=333&amp;width=500;https://bilder.dasschnelle.at/DasSchnelle/50/5000/9868/041790/I_041790_P_906143365_B_0035974114_3.gal.png?height=281&amp;width=500;https://bilder.dasschnelle.at/DasSchnelle/50/5000/9868/041790/I_041790_P_906143365_B_0035974114_4.gal.png?height=333&amp;width=500</t>
  </si>
  <si>
    <t>Gasthof Donner • Fladnitz-Tober • Steiermark</t>
  </si>
  <si>
    <t>Pensionen • Gasthof Donner, Fladnitz-Tober • Kontakt über aktuelle Telefonnummern ☎ und Adressen ⚑ mit Karte, Routing, Öffnungszeiten, Homepage, E-Mail, vCard und Firmendaten.</t>
  </si>
  <si>
    <t>Fladnitz-Tober</t>
  </si>
  <si>
    <t>47.2810025</t>
  </si>
  <si>
    <t>15.4874216</t>
  </si>
  <si>
    <t>+43317923217</t>
  </si>
  <si>
    <t>donner@almenland.at</t>
  </si>
  <si>
    <t>https://bilder.dasschnelle.at/DasSchnelle/50/5000/9944/061366/G_061366_P_906145336.adn.gif</t>
  </si>
  <si>
    <t>Feldgrill Gerhard GesmbH &amp; Co KG, Bauunternehmen • Passail • Steiermark</t>
  </si>
  <si>
    <t>Bauunternehmen • Feldgrill Gerhard GesmbH &amp; Co KG, Untergasse 15, Passail • Kontakt über aktuelle Telefonnummern ☎ und Adressen ⚑ mit Karte, Routing, Öffnungszeiten, Homepage, E-Mail, vCard und Firmendaten.</t>
  </si>
  <si>
    <t>Untergasse 15</t>
  </si>
  <si>
    <t>47.27984</t>
  </si>
  <si>
    <t>15.5175</t>
  </si>
  <si>
    <t>+433179232270</t>
  </si>
  <si>
    <t>office@feldgrill-bau.at</t>
  </si>
  <si>
    <t>https://bilder.dasschnelle.at/DasSchnelle/50/5000/9944/061369/G_061369_P_906144239.adn.gif</t>
  </si>
  <si>
    <t>Stockner, Manfred, Dachdeckerei • Passail • Steiermark</t>
  </si>
  <si>
    <t>Dachdeckereien, Spenglereien • Stockner, Manfred, Untergasse 18, Passail • Kontakt über aktuelle Telefonnummern ☎ und Adressen ⚑ mit Karte, Routing, Öffnungszeiten, Homepage, E-Mail, vCard und Firmendaten.</t>
  </si>
  <si>
    <t>Untergasse 18</t>
  </si>
  <si>
    <t>47.27956</t>
  </si>
  <si>
    <t>15.51696</t>
  </si>
  <si>
    <t>+436769001490</t>
  </si>
  <si>
    <t>office@dachwerkstatt.at</t>
  </si>
  <si>
    <t>https://bilder.dasschnelle.at/DasSchnelle/50/5000/9944/061369/I_061369_P_906145423_L_0035969807_1.png</t>
  </si>
  <si>
    <t>https://bilder.dasschnelle.at/DasSchnelle/50/5000/9944/061369/I_061369_P_906145423_B_0035969807_1.gal.png?height=300&amp;width=309;https://bilder.dasschnelle.at/DasSchnelle/50/5000/9944/061369/I_061369_P_906145423_B_0035969807_2.gal.png?height=310&amp;width=309;https://bilder.dasschnelle.at/DasSchnelle/50/5000/9944/061369/I_061369_P_906145423_B_0035969807_3.gal.png?height=455&amp;width=452;https://bilder.dasschnelle.at/DasSchnelle/50/5000/9944/061369/I_061369_P_906145423_B_0035969807_4.gal.png?height=454&amp;width=454</t>
  </si>
  <si>
    <t>Gotthard Obauer, Bäckerei • Sankt Gilgen • Salzburg</t>
  </si>
  <si>
    <t>Bäckereien • Gotthard Obauer, Steinklüftstraße 3, Sankt Gilgen • Kontakt über aktuelle Telefonnummern ☎ und Adressen ⚑ mit Karte, Routing, Öffnungszeiten, Homepage, E-Mail, vCard und Firmendaten.</t>
  </si>
  <si>
    <t>Steinklüftstraße 3</t>
  </si>
  <si>
    <t>47.76752</t>
  </si>
  <si>
    <t>13.36386</t>
  </si>
  <si>
    <t>+4362272225</t>
  </si>
  <si>
    <t>baeckerei-obauer@aon.at</t>
  </si>
  <si>
    <t>https://bilder.dasschnelle.at/DasSchnelle/50/5000/9868/043326/G_043326_P_906145499.adn.gif</t>
  </si>
  <si>
    <t>Holzbau Hackl GmbH • Anger • Steiermark</t>
  </si>
  <si>
    <t>Holzbau • Holzbau Hackl GmbH, Stegerweg 14, Anger • Kontakt über aktuelle Telefonnummern ☎ und Adressen ⚑ mit Karte, Routing, Öffnungszeiten, Homepage, E-Mail, vCard und Firmendaten.</t>
  </si>
  <si>
    <t>Stegerweg 14</t>
  </si>
  <si>
    <t>47.27908</t>
  </si>
  <si>
    <t>15.69118</t>
  </si>
  <si>
    <t>+436503705778</t>
  </si>
  <si>
    <t>office@holzbau-hackl.at</t>
  </si>
  <si>
    <t>https://bilder.dasschnelle.at/DasSchnelle/50/5000/9944/061399/I_061399_P_906146774_L_0036233164_1.png</t>
  </si>
  <si>
    <t>https://bilder.dasschnelle.at/DasSchnelle/50/5000/9944/061399/I_061399_P_906146774_B_0036233164_1.gal.png?height=336&amp;width=450;https://bilder.dasschnelle.at/DasSchnelle/50/5000/9944/061399/I_061399_P_906146774_B_0036233164_2.gal.png?height=333&amp;width=450;https://bilder.dasschnelle.at/DasSchnelle/50/5000/9944/061399/I_061399_P_906146774_B_0036233164_3.gal.png?height=518&amp;width=693;https://bilder.dasschnelle.at/DasSchnelle/50/5000/9944/061399/I_061399_P_906146774_B_0036233164_4.gal.png?height=384&amp;width=695</t>
  </si>
  <si>
    <t>Fleischerei Pierer • Passail • Steiermark</t>
  </si>
  <si>
    <t>Fleischhauereien • Fleischerei Pierer, Angerstraße 9, Passail • Kontakt über aktuelle Telefonnummern ☎ und Adressen ⚑ mit Karte, Routing, Öffnungszeiten, Homepage, E-Mail, vCard und Firmendaten.</t>
  </si>
  <si>
    <t>Angerstraße 9</t>
  </si>
  <si>
    <t>47.2763388</t>
  </si>
  <si>
    <t>15.5189165</t>
  </si>
  <si>
    <t>+43317923286</t>
  </si>
  <si>
    <t>office@fleischerei-pierer.at</t>
  </si>
  <si>
    <t>https://bilder.dasschnelle.at/DasSchnelle/50/5000/9944/061369/G_061369_P_906146951.adn.gif</t>
  </si>
  <si>
    <t>Preissler-Raumausstatter, Raumausstatter • Passail • Steiermark</t>
  </si>
  <si>
    <t>Raumausstatter • Preissler-Raumausstatter, Obergasse 3, Passail • Kontakt über aktuelle Telefonnummern ☎ und Adressen ⚑ mit Karte, Routing, Öffnungszeiten, Homepage, E-Mail, vCard und Firmendaten.</t>
  </si>
  <si>
    <t>Obergasse 3</t>
  </si>
  <si>
    <t>47.28307</t>
  </si>
  <si>
    <t>15.51475</t>
  </si>
  <si>
    <t>+43317923324</t>
  </si>
  <si>
    <t>+433179233244</t>
  </si>
  <si>
    <t>raumausstatter.preissler@gmail.com</t>
  </si>
  <si>
    <t>https://bilder.dasschnelle.at/DasSchnelle/50/5000/9944/061369/G_061369_P_906148466.adn.gif</t>
  </si>
  <si>
    <t>Klammler GmbH, Spenglerei-Dachdeckerei • Krammersdorf • Steiermark</t>
  </si>
  <si>
    <t>Dachdeckereien, Spenglereien • Klammler GmbH, Lamm 3, Krammersdorf • Kontakt über aktuelle Telefonnummern ☎ und Adressen ⚑ mit Karte, Routing, Öffnungszeiten, Homepage, E-Mail, vCard und Firmendaten.</t>
  </si>
  <si>
    <t>Lamm 3</t>
  </si>
  <si>
    <t>47.2856012</t>
  </si>
  <si>
    <t>15.5602731</t>
  </si>
  <si>
    <t>+43317923630</t>
  </si>
  <si>
    <t>info@klammler.at</t>
  </si>
  <si>
    <t>https://bilder.dasschnelle.at/DasSchnelle/50/5000/9944/061369/I_061369_P_906152976_B_0035999498_1.gal.png?height=449&amp;width=600;https://bilder.dasschnelle.at/DasSchnelle/50/5000/9944/061369/I_061369_P_906152976_B_0035999498_2.gal.png?height=449&amp;width=600;https://bilder.dasschnelle.at/DasSchnelle/50/5000/9944/061369/G_061369_P_906152976.adn.gif</t>
  </si>
  <si>
    <t>Sonnenschutz Christian Grüner • Weiz • Steiermark</t>
  </si>
  <si>
    <t>Sonnenschutz • Sonnenschutz Christian Grüner, Weizerzeil 145, Weiz • Kontakt über aktuelle Telefonnummern ☎ und Adressen ⚑ mit Karte, Routing, Öffnungszeiten, Homepage, E-Mail, vCard und Firmendaten.</t>
  </si>
  <si>
    <t>Weizerzeil 145</t>
  </si>
  <si>
    <t>47.2463511</t>
  </si>
  <si>
    <t>15.5902756</t>
  </si>
  <si>
    <t>+436642205006</t>
  </si>
  <si>
    <t>office@sonnenschutz-gruener.at</t>
  </si>
  <si>
    <t>https://bilder.dasschnelle.at/DasSchnelle/50/5000/9944/061397/I_061397_P_906153008_L_0038059253_1.png</t>
  </si>
  <si>
    <t>https://bilder.dasschnelle.at/DasSchnelle/50/5000/9944/061397/I_061397_P_906153008_B_0038059253_1.gal.png?height=640&amp;width=640;https://bilder.dasschnelle.at/DasSchnelle/50/5000/9944/061397/I_061397_P_906153008_B_0038059253_2.gal.png?height=297&amp;width=540;https://bilder.dasschnelle.at/DasSchnelle/50/5000/9944/061397/I_061397_P_906153008_B_0038059253_3.gal.png?height=310&amp;width=555;https://bilder.dasschnelle.at/DasSchnelle/50/5000/9944/061397/I_061397_P_906153008_B_0038059253_4.gal.png?height=420&amp;width=624</t>
  </si>
  <si>
    <t>Bleimuth, Johann, Malermeister • Weiz • Steiermark</t>
  </si>
  <si>
    <t>Malereibetriebe • Bleimuth, Johann, Marburger Straße 71, Weiz • Kontakt über aktuelle Telefonnummern ☎ und Adressen ⚑ mit Karte, Routing, Öffnungszeiten, Homepage, E-Mail, vCard und Firmendaten.</t>
  </si>
  <si>
    <t>Marburger Straße 71</t>
  </si>
  <si>
    <t>47.21084</t>
  </si>
  <si>
    <t>15.62662</t>
  </si>
  <si>
    <t>+4331723973;+436641141305</t>
  </si>
  <si>
    <t>office@maler-bleimuth.at</t>
  </si>
  <si>
    <t>https://bilder.dasschnelle.at/DasSchnelle/50/5000/9944/061397/I_061397_P_906153795_L_0036252806_1.png</t>
  </si>
  <si>
    <t>https://bilder.dasschnelle.at/DasSchnelle/50/5000/9944/061397/I_061397_P_906153795_B_0036252806_1.gal.png?height=399&amp;width=600;https://bilder.dasschnelle.at/DasSchnelle/50/5000/9944/061397/I_061397_P_906153795_B_0036252806_2.gal.png?height=338&amp;width=600;https://bilder.dasschnelle.at/DasSchnelle/50/5000/9944/061397/I_061397_P_906153795_B_0036252806_3.gal.png?height=720&amp;width=480;https://bilder.dasschnelle.at/DasSchnelle/50/5000/9944/061397/I_061397_P_906153795_B_0036252806_4.gal.png?height=720&amp;width=480</t>
  </si>
  <si>
    <t>Gasthof Landseele, Gastgewerbe - Gasthöfe • Sankt Ruprecht an der Raab • Steiermark</t>
  </si>
  <si>
    <t>Gastgewerbe - Gasthöfe • Gasthof Landseele, Neudorf 31, Sankt Ruprecht an der Raab • Kontakt über aktuelle Telefonnummern ☎ und Adressen ⚑ mit Karte, Routing, Öffnungszeiten, Homepage, E-Mail, vCard und Firmendaten.</t>
  </si>
  <si>
    <t>Neudorf 31</t>
  </si>
  <si>
    <t>47.1777340</t>
  </si>
  <si>
    <t>15.6582966</t>
  </si>
  <si>
    <t>+4331782381</t>
  </si>
  <si>
    <t>willkommen@landseele.at</t>
  </si>
  <si>
    <t>https://bilder.dasschnelle.at/DasSchnelle/50/5000/9944/061402/G_061402_P_906155384.adn.gif</t>
  </si>
  <si>
    <t>Rosenberger, Patrik, Erdbewegung • Passail • Steiermark</t>
  </si>
  <si>
    <t>Erdbau • Rosenberger, Patrik, Büchlweg 34, Passail • Kontakt über aktuelle Telefonnummern ☎ und Adressen ⚑ mit Karte, Routing, Öffnungszeiten, Homepage, E-Mail, vCard und Firmendaten.</t>
  </si>
  <si>
    <t>Büchlweg 34</t>
  </si>
  <si>
    <t>47.27826</t>
  </si>
  <si>
    <t>15.50952</t>
  </si>
  <si>
    <t>+436643502057</t>
  </si>
  <si>
    <t>rosenberger.tb016@yahoo.com</t>
  </si>
  <si>
    <t>https://bilder.dasschnelle.at/DasSchnelle/50/5000/9944/061369/I_061369_P_906156551_L_0036252710_1.png</t>
  </si>
  <si>
    <t>https://bilder.dasschnelle.at/DasSchnelle/50/5000/9944/061369/I_061369_P_906156551_B_0036252710_1.gal.png?height=217&amp;width=325;https://bilder.dasschnelle.at/DasSchnelle/50/5000/9944/061369/I_061369_P_906156551_B_0036252710_2.gal.png?height=217&amp;width=325;https://bilder.dasschnelle.at/DasSchnelle/50/5000/9944/061369/I_061369_P_906156551_B_0036252710_3.gal.png?height=217&amp;width=325</t>
  </si>
  <si>
    <t>Bestattung A. &amp; J. Kos GmbH • Griffen • Kärnten</t>
  </si>
  <si>
    <t>Bestattungsunternehmen • Bestattung A. &amp; J. Kos GmbH, Hauptplatz 24, Griffen • Kontakt über aktuelle Telefonnummern ☎ und Adressen ⚑ mit Karte, Routing, Öffnungszeiten, Homepage, E-Mail, vCard und Firmendaten.</t>
  </si>
  <si>
    <t>Hauptplatz 24</t>
  </si>
  <si>
    <t>46.83163</t>
  </si>
  <si>
    <t>14.84428</t>
  </si>
  <si>
    <t>+43423325003</t>
  </si>
  <si>
    <t>griffen@bestattung-kos.at</t>
  </si>
  <si>
    <t>https://bilder.dasschnelle.at/DasSchnelle/50/5000/9942/042032/I_042032_P_906155496_L_0035994056_1.png</t>
  </si>
  <si>
    <t>https://bilder.dasschnelle.at/DasSchnelle/50/5000/9942/042032/I_042032_P_906155496_B_0035994056_1.gal.png?height=540&amp;width=720;https://bilder.dasschnelle.at/DasSchnelle/50/5000/9942/042032/I_042032_P_906155496_B_0035994056_2.gal.png?height=540&amp;width=720;https://bilder.dasschnelle.at/DasSchnelle/50/5000/9942/042032/I_042032_P_906155496_B_0035994056_3.gal.png?height=540&amp;width=720;https://bilder.dasschnelle.at/DasSchnelle/50/5000/9942/042032/I_042032_P_906155496_B_0035994056_4.gal.png?height=540&amp;width=720;https://bilder.dasschnelle.at/DasSchnelle/50/5000/9942/042032/G_042032_P_906155496.adn.gif</t>
  </si>
  <si>
    <t>Wagner Josef GesmbH, Malermeister • Gleisdorf • Steiermark</t>
  </si>
  <si>
    <t>Malereibetriebe • Wagner Josef GesmbH, Gartengasse 25, Gleisdorf • Kontakt über aktuelle Telefonnummern ☎ und Adressen ⚑ mit Karte, Routing, Öffnungszeiten, Homepage, E-Mail, vCard und Firmendaten.</t>
  </si>
  <si>
    <t>Gartengasse 25</t>
  </si>
  <si>
    <t>47.10087</t>
  </si>
  <si>
    <t>15.71104</t>
  </si>
  <si>
    <t>+43311220040</t>
  </si>
  <si>
    <t>jowa.gmbh@aon.at</t>
  </si>
  <si>
    <t>https://bilder.dasschnelle.at/DasSchnelle/50/5000/9944/061361/I_061361_P_906156450_L_0036252784_1.png</t>
  </si>
  <si>
    <t>https://bilder.dasschnelle.at/DasSchnelle/50/5000/9944/061361/I_061361_P_906156450_B_0036252784_1.gal.png?height=276&amp;width=600;https://bilder.dasschnelle.at/DasSchnelle/50/5000/9944/061361/I_061361_P_906156450_B_0036252784_2.gal.png?height=276&amp;width=600</t>
  </si>
  <si>
    <t>Harb GesmbH, Gas-Wasser-Heizung-Installationen • Preding • Steiermark</t>
  </si>
  <si>
    <t>Installationsunternehmen • Harb GesmbH, Moarweg 1, Preding • Kontakt über aktuelle Telefonnummern ☎ und Adressen ⚑ mit Karte, Routing, Öffnungszeiten, Homepage, E-Mail, vCard und Firmendaten.</t>
  </si>
  <si>
    <t>Moarweg 1</t>
  </si>
  <si>
    <t>47.20209</t>
  </si>
  <si>
    <t>15.64184</t>
  </si>
  <si>
    <t>+433172388280;+436643350686;+436644317966</t>
  </si>
  <si>
    <t>+43317238729</t>
  </si>
  <si>
    <t>office@harb-weiz.at</t>
  </si>
  <si>
    <t>https://bilder.dasschnelle.at/DasSchnelle/50/5000/9944/061397/G_061397_P_906157549.adn.gif</t>
  </si>
  <si>
    <t>Groh, Markus, Ing., Bekleidung • Weiz • Steiermark</t>
  </si>
  <si>
    <t>Bekleidung • Groh, Markus, Ing., Lederergasse 12, Weiz • Kontakt über aktuelle Telefonnummern ☎ und Adressen ⚑ mit Karte, Routing, Öffnungszeiten, Homepage, E-Mail, vCard und Firmendaten.</t>
  </si>
  <si>
    <t>Lederergasse 12</t>
  </si>
  <si>
    <t>47.21708</t>
  </si>
  <si>
    <t>15.62598</t>
  </si>
  <si>
    <t>+4331723595;+43317242768</t>
  </si>
  <si>
    <t>office.groh@gmail.com</t>
  </si>
  <si>
    <t>https://bilder.dasschnelle.at/DasSchnelle/50/5000/9944/061397/I_061397_P_906158621_L_0036252850_1.png</t>
  </si>
  <si>
    <t>https://bilder.dasschnelle.at/DasSchnelle/50/5000/9944/061397/I_061397_P_906158621_B_0036252850_1.gal.png?height=192&amp;width=288;https://bilder.dasschnelle.at/DasSchnelle/50/5000/9944/061397/I_061397_P_906158621_B_0036252850_2.gal.png?height=200&amp;width=288;https://bilder.dasschnelle.at/DasSchnelle/50/5000/9944/061397/I_061397_P_906158621_B_0036252850_3.gal.png?height=333&amp;width=507;https://bilder.dasschnelle.at/DasSchnelle/50/5000/9944/061397/I_061397_P_906158621_B_0036252850_4.gal.png?height=480&amp;width=480;https://bilder.dasschnelle.at/DasSchnelle/50/5000/9944/061397/G_061397_P_906158621.adn.gif</t>
  </si>
  <si>
    <t>Doppelhofer, Karl-Heinz, Maler • Weiz • Steiermark</t>
  </si>
  <si>
    <t>Malereibetriebe • Doppelhofer, Karl-Heinz, Verdigasse 16 /19, Weiz • Kontakt über aktuelle Telefonnummern ☎ und Adressen ⚑ mit Karte, Routing, Öffnungszeiten, Homepage, E-Mail, vCard und Firmendaten.</t>
  </si>
  <si>
    <t>Verdigasse 16 /19</t>
  </si>
  <si>
    <t>15.63526</t>
  </si>
  <si>
    <t>+436644160380</t>
  </si>
  <si>
    <t>office@maler-heinz.at</t>
  </si>
  <si>
    <t>https://bilder.dasschnelle.at/DasSchnelle/50/5000/9944/061397/G_061397_P_906158625.adn.gif</t>
  </si>
  <si>
    <t>Pongratz Bau GesmbH • Graz • Steiermark</t>
  </si>
  <si>
    <t>Bauunternehmen • Pongratz Bau GesmbH, Zoisweg 6, Graz • Kontakt über aktuelle Telefonnummern ☎ und Adressen ⚑ mit Karte, Routing, Öffnungszeiten, Homepage, E-Mail, vCard und Firmendaten.</t>
  </si>
  <si>
    <t>Zoisweg 6</t>
  </si>
  <si>
    <t>8041</t>
  </si>
  <si>
    <t>47.0445364</t>
  </si>
  <si>
    <t>15.4572234</t>
  </si>
  <si>
    <t>+43316296622</t>
  </si>
  <si>
    <t>office@pongratz.at</t>
  </si>
  <si>
    <t>https://bilder.dasschnelle.at/DasSchnelle/50/5000/9944/061397/I_061397_P_906159781_L_0038056194_1.png</t>
  </si>
  <si>
    <t>https://bilder.dasschnelle.at/DasSchnelle/50/5000/9944/061397/I_061397_P_906159781_B_0038056194_1.gal.png?height=675&amp;width=900;https://bilder.dasschnelle.at/DasSchnelle/50/5000/9944/061397/I_061397_P_906159781_B_0038056194_2.gal.png?height=394&amp;width=900;https://bilder.dasschnelle.at/DasSchnelle/50/5000/9944/061397/I_061397_P_906159781_B_0038056194_3.gal.png?height=600&amp;width=900;https://bilder.dasschnelle.at/DasSchnelle/50/5000/9944/061397/I_061397_P_906159781_B_0038056194_4.gal.png?height=600&amp;width=900</t>
  </si>
  <si>
    <t>Windisch, Dietmar, Licht Architekt • Fladnitz an der Teichalm • Steiermark</t>
  </si>
  <si>
    <t>Beleuchtung • Windisch, Dietmar, Fladnitz an der Teichalm 22, Fladnitz an der Teichalm • Kontakt über aktuelle Telefonnummern ☎ und Adressen ⚑ mit Karte, Routing, Öffnungszeiten, Homepage, E-Mail, vCard und Firmendaten.</t>
  </si>
  <si>
    <t>Fladnitz an der Teichalm 22</t>
  </si>
  <si>
    <t>47.2884800</t>
  </si>
  <si>
    <t>15.4766301</t>
  </si>
  <si>
    <t>+436763530978</t>
  </si>
  <si>
    <t>office@lichtarchitekt.at</t>
  </si>
  <si>
    <t>https://bilder.dasschnelle.at/DasSchnelle/50/5000/9944/061366/G_061366_P_906160801.adn.gif</t>
  </si>
  <si>
    <t>Kleintierklinik Vitalis • Vorchdorf • Oberösterreich</t>
  </si>
  <si>
    <t>Tierärzte • Kleintierklinik Vitalis, Neue Landstraße 29, Vorchdorf • Kontakt über aktuelle Telefonnummern ☎ und Adressen ⚑ mit Karte, Routing, Öffnungszeiten, Homepage, E-Mail, vCard und Firmendaten.</t>
  </si>
  <si>
    <t>Neue Landstraße 29</t>
  </si>
  <si>
    <t>kleintierklinik.vitalis@gmail.com</t>
  </si>
  <si>
    <t>https://bilder.dasschnelle.at/DasSchnelle/50/5000/9886/041807/G_041807_P_906162598.adn.gif</t>
  </si>
  <si>
    <t>Silber Elektrotechnik • Hartkirchen • Oberösterreich</t>
  </si>
  <si>
    <t>Elektrotechnik • Silber Elektrotechnik, Vornholz 70, Hartkirchen • Kontakt über aktuelle Telefonnummern ☎ und Adressen ⚑ mit Karte, Routing, Öffnungszeiten, Homepage, E-Mail, vCard und Firmendaten.</t>
  </si>
  <si>
    <t>Vornholz 70</t>
  </si>
  <si>
    <t>48.3754300</t>
  </si>
  <si>
    <t>14.0077500</t>
  </si>
  <si>
    <t>+4369981897481</t>
  </si>
  <si>
    <t>office@elektrotechnik-silber.at</t>
  </si>
  <si>
    <t>https://bilder.dasschnelle.at/DasSchnelle/50/5000/9876/044808/G_044808_P_906162046.adn.gif</t>
  </si>
  <si>
    <t>Versicherungs-Consulting-Reisinger Versicherungsmakler &amp; Schadenservice GmbH, Versicherungen • Pischelsdorf in der Steiermark • Steiermark</t>
  </si>
  <si>
    <t>Consulting, Versicherungsunternehmen • Versicherungs-Consulting-Reisinger Versicherungsmakler &amp; Schadenservice GmbH, Pischelsdorf in der Steiermark • Kontakt über aktuelle Telefonnummern ☎ und Adressen ⚑ mit Karte, Routing, Öffnungszeiten, Homepage, E-Mail, vCard und Firmendaten.</t>
  </si>
  <si>
    <t>47.1707450</t>
  </si>
  <si>
    <t>15.8039389</t>
  </si>
  <si>
    <t>+43311388010;+436765055891;+436765055892;+436765852130;+436766045820;+4369913580800;+4369913580801;+4369913580802;+4369913580803;+4369913580805;+4369913580806;+4369913580807;+4369913580880;+4369913580881;+4369913580887;+4369913580890;+4369914221635;+4369914282704</t>
  </si>
  <si>
    <t>office@vcr-reisinger.com</t>
  </si>
  <si>
    <t>https://bilder.dasschnelle.at/DasSchnelle/50/5000/9944/061407/I_061407_P_906166042_L_0036252833_1.png</t>
  </si>
  <si>
    <t>https://bilder.dasschnelle.at/DasSchnelle/50/5000/9944/061407/I_061407_P_906166042_B_0036252833_1.gal.png?height=452&amp;width=949;https://bilder.dasschnelle.at/DasSchnelle/50/5000/9944/061407/I_061407_P_906166042_B_0036252833_2.gal.png?height=408&amp;width=623;https://bilder.dasschnelle.at/DasSchnelle/50/5000/9944/061407/I_061407_P_906166042_B_0036252833_3.gal.png?height=452&amp;width=949</t>
  </si>
  <si>
    <t>City Taxi - Schwarz Taxi GmbH • Gleisdorf • Steiermark</t>
  </si>
  <si>
    <t>Taxi • City Taxi - Schwarz Taxi GmbH, Industriestraße 33, Gleisdorf • Kontakt über aktuelle Telefonnummern ☎ und Adressen ⚑ mit Karte, Routing, Öffnungszeiten, Homepage, E-Mail, vCard und Firmendaten.</t>
  </si>
  <si>
    <t>Industriestraße 33</t>
  </si>
  <si>
    <t>47.10925</t>
  </si>
  <si>
    <t>15.699</t>
  </si>
  <si>
    <t>+4331125335</t>
  </si>
  <si>
    <t>E5335@citytaxi.at</t>
  </si>
  <si>
    <t>https://bilder.dasschnelle.at/DasSchnelle/50/5000/9944/061361/G_061361_P_906166076.adn.gif</t>
  </si>
  <si>
    <t>Karosserie Gimpl Ges.m.b.H. • Puch • Salzburg</t>
  </si>
  <si>
    <t>Karosseriebau • Karosserie Gimpl Ges.m.b.H., Steinbruchstr. 27, Puch • Kontakt über aktuelle Telefonnummern ☎ und Adressen ⚑ mit Karte, Routing, Öffnungszeiten, Homepage, E-Mail, vCard und Firmendaten.</t>
  </si>
  <si>
    <t>Steinbruchstr. 27</t>
  </si>
  <si>
    <t>Puch</t>
  </si>
  <si>
    <t>47.7187113</t>
  </si>
  <si>
    <t>13.0960974</t>
  </si>
  <si>
    <t>+43624583004</t>
  </si>
  <si>
    <t>office@karosseriegimpl.at</t>
  </si>
  <si>
    <t>https://bilder.dasschnelle.at/DasSchnelle/50/5000/9889/043595/G_043595_P_906171978.adn.gif</t>
  </si>
  <si>
    <t>Wurm, Sabine, Blumenhandlung • Gols • Burgenland</t>
  </si>
  <si>
    <t>Bindegeräte, Blumenhandel • Wurm, Sabine, Untere Hauptstraße 102, Gols • Kontakt über aktuelle Telefonnummern ☎ und Adressen ⚑ mit Karte, Routing, Öffnungszeiten, Homepage, E-Mail, vCard und Firmendaten.</t>
  </si>
  <si>
    <t>Untere Hauptstraße 102</t>
  </si>
  <si>
    <t>47.894</t>
  </si>
  <si>
    <t>16.9155</t>
  </si>
  <si>
    <t>+4321732645</t>
  </si>
  <si>
    <t>sabinewurm@aon.at</t>
  </si>
  <si>
    <t>https://bilder.dasschnelle.at/DasSchnelle/50/5000/9873/041698/I_041698_P_906176145_B_0036261527_1.gal.png?height=347&amp;width=650;https://bilder.dasschnelle.at/DasSchnelle/50/5000/9873/041698/I_041698_P_906176145_B_0036261527_2.gal.png?height=348&amp;width=650;https://bilder.dasschnelle.at/DasSchnelle/50/5000/9873/041698/I_041698_P_906176145_B_0036261527_3.gal.png?height=348&amp;width=650;https://bilder.dasschnelle.at/DasSchnelle/50/5000/9873/041698/I_041698_P_906176145_B_0036261527_4.gal.png?height=345&amp;width=650;https://bilder.dasschnelle.at/DasSchnelle/50/5000/9873/041698/G_041698_P_906176145.adn.gif</t>
  </si>
  <si>
    <t>Paar Peter BetriebsgmbH, Betonwerk • Frauenkirchen • Burgenland</t>
  </si>
  <si>
    <t>Betonsteinwerke • Paar Peter BetriebsgmbH, Neustiftstraße 13, Frauenkirchen • Kontakt über aktuelle Telefonnummern ☎ und Adressen ⚑ mit Karte, Routing, Öffnungszeiten, Homepage, E-Mail, vCard und Firmendaten.</t>
  </si>
  <si>
    <t>Neustiftstraße 13</t>
  </si>
  <si>
    <t>47.83821</t>
  </si>
  <si>
    <t>16.92044</t>
  </si>
  <si>
    <t>+4321722288</t>
  </si>
  <si>
    <t>office@betonwerkpaar.at</t>
  </si>
  <si>
    <t>https://bilder.dasschnelle.at/DasSchnelle/50/5000/9873/041696/G_041696_P_906176147.adn.gif</t>
  </si>
  <si>
    <t>Ermler E. Ing. GMBH, Autohaus • Neusiedl am See • Burgenland</t>
  </si>
  <si>
    <t>Autoreparaturen • Ermler E. Ing. GMBH, Obere Hauptstraße 92, Neusiedl am See • Kontakt über aktuelle Telefonnummern ☎ und Adressen ⚑ mit Karte, Routing, Öffnungszeiten, Homepage, E-Mail, vCard und Firmendaten.</t>
  </si>
  <si>
    <t>Obere Hauptstraße 92</t>
  </si>
  <si>
    <t>47.9374394</t>
  </si>
  <si>
    <t>16.8553573</t>
  </si>
  <si>
    <t>+43216728630;+4321672212</t>
  </si>
  <si>
    <t>office@ermler.at</t>
  </si>
  <si>
    <t>https://bilder.dasschnelle.at/DasSchnelle/50/5000/9873/041713/I_041713_P_906177176_L_0036891807_1.png</t>
  </si>
  <si>
    <t>https://bilder.dasschnelle.at/DasSchnelle/50/5000/9873/041713/I_041713_P_906177176_B_0036891807_1.gal.png?height=244&amp;width=600;https://bilder.dasschnelle.at/DasSchnelle/50/5000/9873/041713/I_041713_P_906177176_B_0036891807_2.gal.png?height=337&amp;width=600;https://bilder.dasschnelle.at/DasSchnelle/50/5000/9873/041713/I_041713_P_906177176_B_0036891807_3.gal.png?height=450&amp;width=600</t>
  </si>
  <si>
    <t>Michael Rettenbacher, Schlosserei • Adnet • Salzburg</t>
  </si>
  <si>
    <t>Landmaschinen • Michael Rettenbacher, Waidach 97, Adnet • Kontakt über aktuelle Telefonnummern ☎ und Adressen ⚑ mit Karte, Routing, Öffnungszeiten, Homepage, E-Mail, vCard und Firmendaten.</t>
  </si>
  <si>
    <t>+436642101388</t>
  </si>
  <si>
    <t>https://bilder.dasschnelle.at/DasSchnelle/50/5000/9889/043588/G_043588_P_906177182.adn.gif</t>
  </si>
  <si>
    <t>Ribitsch, Diether, Dr. • Eselsbach • Steiermark</t>
  </si>
  <si>
    <t>Ärzte / Fachärzte f. Anästhesiologie u. Intensivmedizin • Ribitsch, Diether, Dr., Mühlleite 27, Eselsbach • Kontakt über aktuelle Telefonnummern ☎ und Adressen ⚑ mit Karte, Routing, Öffnungszeiten, Homepage, E-Mail, vCard und Firmendaten.</t>
  </si>
  <si>
    <t>Mühlleite 27</t>
  </si>
  <si>
    <t>Eselsbach</t>
  </si>
  <si>
    <t>47.60855</t>
  </si>
  <si>
    <t>13.78612</t>
  </si>
  <si>
    <t>+43362254979;+436607773321</t>
  </si>
  <si>
    <t>schmerzpraxisaussee@gmail.com</t>
  </si>
  <si>
    <t>https://bilder.dasschnelle.at/DasSchnelle/50/5000/9868/044351/G_044351_P_906177127.adn.gif</t>
  </si>
  <si>
    <t>Schmiedhofer Metallbau GmbH, Metallbau • Kindberg • Steiermark</t>
  </si>
  <si>
    <t>Metallbau • Schmiedhofer Metallbau GmbH, Stanzer Straße 9 a, Kindberg • Kontakt über aktuelle Telefonnummern ☎ und Adressen ⚑ mit Karte, Routing, Öffnungszeiten, Homepage, E-Mail, vCard und Firmendaten.</t>
  </si>
  <si>
    <t>Stanzer Straße 9 a</t>
  </si>
  <si>
    <t>+43386531622;+436643944952;+436643944992</t>
  </si>
  <si>
    <t>office@schmiedhofergmbh.at</t>
  </si>
  <si>
    <t>https://bilder.dasschnelle.at/DasSchnelle/50/5000/9911/061380/G_061380_P_906177867.adn.gif</t>
  </si>
  <si>
    <t>Schuh, Günther, Steinmetz • Sankt Marein im Mürztal • Steiermark</t>
  </si>
  <si>
    <t>Steinmetzbetriebe • Schuh, Günther, Brunnenweg 12, Sankt Marein im Mürztal • Kontakt über aktuelle Telefonnummern ☎ und Adressen ⚑ mit Karte, Routing, Öffnungszeiten, Homepage, E-Mail, vCard und Firmendaten.</t>
  </si>
  <si>
    <t>Brunnenweg 12</t>
  </si>
  <si>
    <t>47.47076</t>
  </si>
  <si>
    <t>15.36557</t>
  </si>
  <si>
    <t>+4338642918</t>
  </si>
  <si>
    <t>office@steinbau-schuh.at</t>
  </si>
  <si>
    <t>https://bilder.dasschnelle.at/DasSchnelle/50/5000/9911/061430/I_061430_P_906177874_L_0035999570_1.png</t>
  </si>
  <si>
    <t>https://bilder.dasschnelle.at/DasSchnelle/50/5000/9911/061430/I_061430_P_906177874_B_0035999570_1.gal.png?height=276&amp;width=276;https://bilder.dasschnelle.at/DasSchnelle/50/5000/9911/061430/I_061430_P_906177874_B_0035999570_2.gal.png?height=276&amp;width=276;https://bilder.dasschnelle.at/DasSchnelle/50/5000/9911/061430/G_061430_P_906177874.adn.gif</t>
  </si>
  <si>
    <t>Popp, Beate, Uhren • Mürzzuschlag • Steiermark</t>
  </si>
  <si>
    <t>Uhren u. Schmuck • Popp, Beate, Wiener Straße 22, Mürzzuschlag • Kontakt über aktuelle Telefonnummern ☎ und Adressen ⚑ mit Karte, Routing, Öffnungszeiten, Homepage, E-Mail, vCard und Firmendaten.</t>
  </si>
  <si>
    <t>Wiener Straße 22</t>
  </si>
  <si>
    <t>47.60578</t>
  </si>
  <si>
    <t>15.67326</t>
  </si>
  <si>
    <t>+4338522360</t>
  </si>
  <si>
    <t>seeyou@beatepopp.at</t>
  </si>
  <si>
    <t>https://bilder.dasschnelle.at/DasSchnelle/50/5000/9911/061431/I_061431_P_906179382_L_0036256232_1.png</t>
  </si>
  <si>
    <t>https://bilder.dasschnelle.at/DasSchnelle/50/5000/9911/061431/I_061431_P_906179382_B_0036256232_1.gal.png?height=415&amp;width=1200;https://bilder.dasschnelle.at/DasSchnelle/50/5000/9911/061431/I_061431_P_906179382_B_0036256232_2.gal.png?height=415&amp;width=1200;https://bilder.dasschnelle.at/DasSchnelle/50/5000/9911/061431/I_061431_P_906179382_B_0036256232_3.gal.png?height=415&amp;width=1200;https://bilder.dasschnelle.at/DasSchnelle/50/5000/9911/061431/G_061431_P_906179382.adn.gif</t>
  </si>
  <si>
    <t>Windhaber GmbH, Zimmerei • Langenwang • Steiermark</t>
  </si>
  <si>
    <t>Dienstleistungen, Elektrotechnik, Zimmereien • Windhaber GmbH, Wehrgasse 3, Langenwang • Kontakt über aktuelle Telefonnummern ☎ und Adressen ⚑ mit Karte, Routing, Öffnungszeiten, Homepage, E-Mail, vCard und Firmendaten.</t>
  </si>
  <si>
    <t>Wehrgasse 3</t>
  </si>
  <si>
    <t>47.5739500</t>
  </si>
  <si>
    <t>15.6336300</t>
  </si>
  <si>
    <t>+4338542752;+436649118682;+436644217928;+436644561476</t>
  </si>
  <si>
    <t>info@windhaber.at</t>
  </si>
  <si>
    <t>https://bilder.dasschnelle.at/DasSchnelle/50/5000/9911/044891/G_044891_P_906179198.adn.gif</t>
  </si>
  <si>
    <t>Nierer, Manfred, Autohandel • Mürzzuschlag • Steiermark</t>
  </si>
  <si>
    <t>Autohandel, Kfz-Werkstätte • Nierer, Manfred, Grazer Straße 116, Mürzzuschlag • Kontakt über aktuelle Telefonnummern ☎ und Adressen ⚑ mit Karte, Routing, Öffnungszeiten, Homepage, E-Mail, vCard und Firmendaten.</t>
  </si>
  <si>
    <t>Grazer Straße 116</t>
  </si>
  <si>
    <t>47.57921</t>
  </si>
  <si>
    <t>15.64234</t>
  </si>
  <si>
    <t>+433852258313</t>
  </si>
  <si>
    <t>office@kfz-nierer.at</t>
  </si>
  <si>
    <t>https://bilder.dasschnelle.at/DasSchnelle/50/5000/9911/061431/G_061431_P_906179429.adn.gif</t>
  </si>
  <si>
    <t>Gutschelhofer, Harald, Installationen • Neuberg an der Mürz • Steiermark</t>
  </si>
  <si>
    <t>Installationsunternehmen • Gutschelhofer, Harald, Mariazeller Straße 1, Neuberg an der Mürz • Kontakt über aktuelle Telefonnummern ☎ und Adressen ⚑ mit Karte, Routing, Öffnungszeiten, Homepage, E-Mail, vCard und Firmendaten.</t>
  </si>
  <si>
    <t>Mariazeller Straße 1</t>
  </si>
  <si>
    <t>47.66751</t>
  </si>
  <si>
    <t>15.57426</t>
  </si>
  <si>
    <t>+4338578585</t>
  </si>
  <si>
    <t>technik@hg-installation.at</t>
  </si>
  <si>
    <t>https://bilder.dasschnelle.at/DasSchnelle/50/5000/9911/061436/G_061436_P_906179431.adn.gif</t>
  </si>
  <si>
    <t>Anita Hinterhofer, Friseur • Neualm • Salzburg</t>
  </si>
  <si>
    <t>Friseure • Anita Hinterhofer, Salzburger-Schützen-Weg 8, Neualm • Kontakt über aktuelle Telefonnummern ☎ und Adressen ⚑ mit Karte, Routing, Öffnungszeiten, Homepage, E-Mail, vCard und Firmendaten.</t>
  </si>
  <si>
    <t>Salzburger-Schützen-Weg 8</t>
  </si>
  <si>
    <t>Neualm</t>
  </si>
  <si>
    <t>https://bilder.dasschnelle.at/DasSchnelle/50/5000/9889/043591/I_043591_P_906179305_L_0037073503_1.png</t>
  </si>
  <si>
    <t>https://bilder.dasschnelle.at/DasSchnelle/50/5000/9889/043591/I_043591_P_906179305_B_0037073503_1.gal.png?height=502&amp;width=720;https://bilder.dasschnelle.at/DasSchnelle/50/5000/9889/043591/I_043591_P_906179305_B_0037073503_2.gal.png?height=565&amp;width=720</t>
  </si>
  <si>
    <t>BIRO Sonnenluk e.U. • Mannersdorf am Leithagebirge • Niederösterreich</t>
  </si>
  <si>
    <t>Sonnen u. Insektenschutz • BIRO Sonnenluk e.U., Hauptstraße (Mannersdorf) 70, Mannersdorf am Leithagebirge • Kontakt über aktuelle Telefonnummern ☎ und Adressen ⚑ mit Karte, Routing, Öffnungszeiten, Homepage, E-Mail, vCard und Firmendaten.</t>
  </si>
  <si>
    <t>Hauptstraße (Mannersdorf) 70</t>
  </si>
  <si>
    <t>2452</t>
  </si>
  <si>
    <t>Mannersdorf am Leithagebirge</t>
  </si>
  <si>
    <t>47.97484</t>
  </si>
  <si>
    <t>16.60694</t>
  </si>
  <si>
    <t>+43216868608;+43216867259;+436641473990</t>
  </si>
  <si>
    <t>office@sonnenschutz-aussenrollos.at</t>
  </si>
  <si>
    <t>https://bilder.dasschnelle.at/DasSchnelle/50/5000/9873/041444/I_041444_P_906180094_L_0036256071_1.png</t>
  </si>
  <si>
    <t>https://bilder.dasschnelle.at/DasSchnelle/50/5000/9873/041444/I_041444_P_906180094_B_0036256071_1.gal.png?height=208&amp;width=720;https://bilder.dasschnelle.at/DasSchnelle/50/5000/9873/041444/I_041444_P_906180094_B_0036256071_2.gal.png?height=208&amp;width=720;https://bilder.dasschnelle.at/DasSchnelle/50/5000/9873/041444/I_041444_P_906180094_B_0036256071_3.gal.png?height=508&amp;width=720;https://bilder.dasschnelle.at/DasSchnelle/50/5000/9873/041444/G_041444_P_906180094.adn.gif</t>
  </si>
  <si>
    <t>Hitzinger, Andreas, Tischler • Neusiedl • Burgenland</t>
  </si>
  <si>
    <t>Bestattungsunternehmen, Tischlereien • Hitzinger, Andreas, Gartenweg 26, Neusiedl • Kontakt über aktuelle Telefonnummern ☎ und Adressen ⚑ mit Karte, Routing, Öffnungszeiten, Homepage, E-Mail, vCard und Firmendaten.</t>
  </si>
  <si>
    <t>Gartenweg 26</t>
  </si>
  <si>
    <t>47.9456577</t>
  </si>
  <si>
    <t>16.8467241</t>
  </si>
  <si>
    <t>+4321672595;+4369910474234</t>
  </si>
  <si>
    <t>hitzinger@gmx.at</t>
  </si>
  <si>
    <t>https://bilder.dasschnelle.at/DasSchnelle/50/5000/9873/041704/G_041704_P_906180110.adn.gif</t>
  </si>
  <si>
    <t>Glaserei Gruber GmbH, Glaserei • Bruck an der Mur • Steiermark</t>
  </si>
  <si>
    <t>Glasereien • Glaserei Gruber GmbH, Koloman-Wallisch-Platz 6, Bruck an der Mur • Kontakt über aktuelle Telefonnummern ☎ und Adressen ⚑ mit Karte, Routing, Öffnungszeiten, Homepage, E-Mail, vCard und Firmendaten.</t>
  </si>
  <si>
    <t>Koloman-Wallisch-Platz 6</t>
  </si>
  <si>
    <t>47.4096</t>
  </si>
  <si>
    <t>15.26893</t>
  </si>
  <si>
    <t>+43386251334</t>
  </si>
  <si>
    <t>office@glaserei-gruber.at</t>
  </si>
  <si>
    <t>https://bilder.dasschnelle.at/DasSchnelle/50/5000/9874/061404/G_061404_P_906181426.adn.gif</t>
  </si>
  <si>
    <t>Kala, Egon, Steinmetz • Mürzzuschlag • Steiermark</t>
  </si>
  <si>
    <t>Steinmetzbetriebe • Kala, Egon, Grazer Straße 71, Mürzzuschlag • Kontakt über aktuelle Telefonnummern ☎ und Adressen ⚑ mit Karte, Routing, Öffnungszeiten, Homepage, E-Mail, vCard und Firmendaten.</t>
  </si>
  <si>
    <t>Grazer Straße 71</t>
  </si>
  <si>
    <t>47.59979</t>
  </si>
  <si>
    <t>15.6675</t>
  </si>
  <si>
    <t>+4338522592</t>
  </si>
  <si>
    <t>+433852259240</t>
  </si>
  <si>
    <t>muerzzuschlag@kala.at</t>
  </si>
  <si>
    <t>https://bilder.dasschnelle.at/DasSchnelle/50/5000/9911/061431/G_061431_P_906181435.adn.gif</t>
  </si>
  <si>
    <t>Farben Schurz • Mürzzuschlag • Steiermark</t>
  </si>
  <si>
    <t>Farben u. Lacke • Farben Schurz, Stadtplatz 2 A, Mürzzuschlag • Kontakt über aktuelle Telefonnummern ☎ und Adressen ⚑ mit Karte, Routing, Öffnungszeiten, Homepage, E-Mail, vCard und Firmendaten.</t>
  </si>
  <si>
    <t>Stadtplatz 2 A</t>
  </si>
  <si>
    <t>47.60653</t>
  </si>
  <si>
    <t>15.67229</t>
  </si>
  <si>
    <t>+4338522449</t>
  </si>
  <si>
    <t>farbenschurz@aon.at</t>
  </si>
  <si>
    <t>https://bilder.dasschnelle.at/DasSchnelle/50/5000/9911/061431/G_061431_P_906181438.adn.gif</t>
  </si>
  <si>
    <t>Schrittwieser, Carina, Wellness- u Vitalcenter • Mürzzuschlag • Steiermark</t>
  </si>
  <si>
    <t>Wellness- u. Vitalcenter • Schrittwieser, Carina, Stadtplatz 9 1, Mürzzuschlag • Kontakt über aktuelle Telefonnummern ☎ und Adressen ⚑ mit Karte, Routing, Öffnungszeiten, Homepage, E-Mail, vCard und Firmendaten.</t>
  </si>
  <si>
    <t>Stadtplatz 9 1</t>
  </si>
  <si>
    <t>47.60667</t>
  </si>
  <si>
    <t>15.67374</t>
  </si>
  <si>
    <t>+43385230200</t>
  </si>
  <si>
    <t>carina.schrittwieser@muerznet.at</t>
  </si>
  <si>
    <t>https://bilder.dasschnelle.at/DasSchnelle/50/5000/9911/061431/G_061431_P_906181442.adn.gif</t>
  </si>
  <si>
    <t>SOMMER Schuh &amp; Orthopädie GmbH • Bruck an der Mur • Steiermark</t>
  </si>
  <si>
    <t>Orthopädie • SOMMER Schuh &amp; Orthopädie GmbH, Minoritenplatz 3, Bruck an der Mur • Kontakt über aktuelle Telefonnummern ☎ und Adressen ⚑ mit Karte, Routing, Öffnungszeiten, Homepage, E-Mail, vCard und Firmendaten.</t>
  </si>
  <si>
    <t>Minoritenplatz 3</t>
  </si>
  <si>
    <t>47.54514</t>
  </si>
  <si>
    <t>15.55964</t>
  </si>
  <si>
    <t>+43386281868</t>
  </si>
  <si>
    <t>schuh-sommer@live.at</t>
  </si>
  <si>
    <t>https://bilder.dasschnelle.at/DasSchnelle/50/5000/9874/061404/G_061404_P_906182696.adn.gif</t>
  </si>
  <si>
    <t>Sommer Schuh u Orthopädie GmbH • Mürzzuschlag • Steiermark</t>
  </si>
  <si>
    <t>Orthopädie • Sommer Schuh u Orthopädie GmbH, Wiener Straße 1, Mürzzuschlag • Kontakt über aktuelle Telefonnummern ☎ und Adressen ⚑ mit Karte, Routing, Öffnungszeiten, Homepage, E-Mail, vCard und Firmendaten.</t>
  </si>
  <si>
    <t>+4338522205</t>
  </si>
  <si>
    <t>https://bilder.dasschnelle.at/DasSchnelle/50/5000/9911/044890/G_044890_P_906182698.adn.gif</t>
  </si>
  <si>
    <t>Sommer Schuh- u Othopädie GmbH • Krieglach • Steiermark</t>
  </si>
  <si>
    <t>Orthopädie • Sommer Schuh- u Othopädie GmbH, Hauptplatz 2, Krieglach • Kontakt über aktuelle Telefonnummern ☎ und Adressen ⚑ mit Karte, Routing, Öffnungszeiten, Homepage, E-Mail, vCard und Firmendaten.</t>
  </si>
  <si>
    <t>8670</t>
  </si>
  <si>
    <t>Krieglach</t>
  </si>
  <si>
    <t>+43385522120</t>
  </si>
  <si>
    <t>https://bilder.dasschnelle.at/DasSchnelle/50/5000/9911/061431/G_061431_P_906182700.adn.gif</t>
  </si>
  <si>
    <t>Filzwieser, Herbert, Autohaus • Krieglach • Steiermark</t>
  </si>
  <si>
    <t>Autohandel • Filzwieser, Herbert, Freßnitzstraße 42, Krieglach • Kontakt über aktuelle Telefonnummern ☎ und Adressen ⚑ mit Karte, Routing, Öffnungszeiten, Homepage, E-Mail, vCard und Firmendaten.</t>
  </si>
  <si>
    <t>Freßnitzstraße 42</t>
  </si>
  <si>
    <t>47.54174</t>
  </si>
  <si>
    <t>15.53666</t>
  </si>
  <si>
    <t>+4338552850</t>
  </si>
  <si>
    <t>office@filzwieser.at</t>
  </si>
  <si>
    <t>https://bilder.dasschnelle.at/DasSchnelle/50/5000/9911/044890/G_044890_P_906182704.adn.gif</t>
  </si>
  <si>
    <t>Radsport Waldherr • Podersdorf am See • Burgenland</t>
  </si>
  <si>
    <t>Fahrradfachhandel • Radsport Waldherr, Hauptstraße 42, Podersdorf am See • Kontakt über aktuelle Telefonnummern ☎ und Adressen ⚑ mit Karte, Routing, Öffnungszeiten, Homepage, E-Mail, vCard und Firmendaten.</t>
  </si>
  <si>
    <t>47.85282</t>
  </si>
  <si>
    <t>16.83867</t>
  </si>
  <si>
    <t>+4321772297</t>
  </si>
  <si>
    <t>info@radsport-waldherr.at</t>
  </si>
  <si>
    <t>https://bilder.dasschnelle.at/DasSchnelle/50/5000/9873/041709/G_041709_P_906181353.adn.gif</t>
  </si>
  <si>
    <t>Peter Auer Zimmerei-Holzbau GmbH &amp; Co KG • Abtenau • Salzburg</t>
  </si>
  <si>
    <t>Zimmereien • Peter Auer Zimmerei-Holzbau GmbH &amp; Co KG,, Au 82, Abtenau • Kontakt über aktuelle Telefonnummern ☎ und Adressen ⚑ mit Karte, Routing, Öffnungszeiten, Homepage, E-Mail, vCard und Firmendaten.</t>
  </si>
  <si>
    <t>+436643021632</t>
  </si>
  <si>
    <t>https://bilder.dasschnelle.at/DasSchnelle/50/5000/9889/043587/I_043587_P_906181356_L_0037077686_1.png</t>
  </si>
  <si>
    <t>https://bilder.dasschnelle.at/DasSchnelle/50/5000/9889/043587/I_043587_P_906181356_B_0037077686_1.gal.png?height=540&amp;width=720;https://bilder.dasschnelle.at/DasSchnelle/50/5000/9889/043587/I_043587_P_906181356_B_0037077686_2.gal.png?height=720&amp;width=540;https://bilder.dasschnelle.at/DasSchnelle/50/5000/9889/043587/I_043587_P_906181356_B_0037077686_3.gal.png?height=540&amp;width=720;https://bilder.dasschnelle.at/DasSchnelle/50/5000/9889/043587/I_043587_P_906181356_B_0037077686_4.gal.png?height=540&amp;width=720</t>
  </si>
  <si>
    <t>Franz Gartner, Elektroinstallationsunternehmen • Illmitz • Burgenland</t>
  </si>
  <si>
    <t>Elektroinstallationsunternehmen • Franz Gartner, Apetlonerstraße 19, Illmitz • Kontakt über aktuelle Telefonnummern ☎ und Adressen ⚑ mit Karte, Routing, Öffnungszeiten, Homepage, E-Mail, vCard und Firmendaten.</t>
  </si>
  <si>
    <t>Apetlonerstraße 19</t>
  </si>
  <si>
    <t>7142</t>
  </si>
  <si>
    <t>Illmitz</t>
  </si>
  <si>
    <t>47.76227</t>
  </si>
  <si>
    <t>16.80426</t>
  </si>
  <si>
    <t>+4321752372</t>
  </si>
  <si>
    <t>illmitz@elektro-gartner.at</t>
  </si>
  <si>
    <t>https://bilder.dasschnelle.at/DasSchnelle/50/5000/9873/041700/G_041700_P_906182600.adn.gif</t>
  </si>
  <si>
    <t>Hofbauer &amp; Nokaj Rechtsanwalts GmbH, Rechtsanwälte • Ybbs an der Donau • Niederösterreich</t>
  </si>
  <si>
    <t>Rechtsanwälte • Hofbauer &amp; Nokaj Rechtsanwalts GmbH, Hauptplatz 6, Ybbs an der Donau • Kontakt über aktuelle Telefonnummern ☎ und Adressen ⚑ mit Karte, Routing, Öffnungszeiten, Homepage, E-Mail, vCard und Firmendaten.</t>
  </si>
  <si>
    <t>48.1773589</t>
  </si>
  <si>
    <t>15.0856169</t>
  </si>
  <si>
    <t>+43741252731</t>
  </si>
  <si>
    <t>kanzlei@hofbauer-nokaj.at</t>
  </si>
  <si>
    <t>https://bilder.dasschnelle.at/DasSchnelle/50/5000/9908/041645/G_041645_P_906184674.adn.gif</t>
  </si>
  <si>
    <t>Möbel Peer • Bad Aussee • Steiermark</t>
  </si>
  <si>
    <t>Tischlereien • Möbel Peer, Grundlseer Straße 77, Bad Aussee • Kontakt über aktuelle Telefonnummern ☎ und Adressen ⚑ mit Karte, Routing, Öffnungszeiten, Homepage, E-Mail, vCard und Firmendaten.</t>
  </si>
  <si>
    <t>Grundlseer Straße 77</t>
  </si>
  <si>
    <t>47.61323</t>
  </si>
  <si>
    <t>13.79002</t>
  </si>
  <si>
    <t>+43362252195</t>
  </si>
  <si>
    <t>+43362254630</t>
  </si>
  <si>
    <t>moebelpeer@aon.at</t>
  </si>
  <si>
    <t>https://bilder.dasschnelle.at/DasSchnelle/50/5000/9868/044351/G_044351_P_906184728.adn.gif</t>
  </si>
  <si>
    <t>GREBIEN Peter, Schrift+Design Grebien GmbH • Bruck an der Mur • Steiermark</t>
  </si>
  <si>
    <t>Designer • GREBIEN Peter, Schrift+Design Grebien GmbH, Bergstraße 45, Bruck an der Mur • Kontakt über aktuelle Telefonnummern ☎ und Adressen ⚑ mit Karte, Routing, Öffnungszeiten, Homepage, E-Mail, vCard und Firmendaten.</t>
  </si>
  <si>
    <t>Bergstraße 45</t>
  </si>
  <si>
    <t>47.41315</t>
  </si>
  <si>
    <t>15.26104</t>
  </si>
  <si>
    <t>+43386290279</t>
  </si>
  <si>
    <t>+4338629027918</t>
  </si>
  <si>
    <t>office@grebien-design.at</t>
  </si>
  <si>
    <t>https://bilder.dasschnelle.at/DasSchnelle/50/5000/9874/061404/I_061404_P_906183557_L_0036738823_1.png</t>
  </si>
  <si>
    <t>https://bilder.dasschnelle.at/DasSchnelle/50/5000/9874/061404/I_061404_P_906183557_B_0036738823_1.gal.png?height=449&amp;width=600;https://bilder.dasschnelle.at/DasSchnelle/50/5000/9874/061404/I_061404_P_906183557_B_0036738823_2.gal.png?height=600&amp;width=450;https://bilder.dasschnelle.at/DasSchnelle/50/5000/9874/061404/I_061404_P_906183557_B_0036738823_3.gal.png?height=539&amp;width=720;https://bilder.dasschnelle.at/DasSchnelle/50/5000/9874/061404/I_061404_P_906183557_B_0036738823_4.gal.png?height=720&amp;width=536</t>
  </si>
  <si>
    <t>Sajowitz Franz KG, Dachdeckerei u Spenglerei in Kapfenberg • Kapfenberg • Steiermark</t>
  </si>
  <si>
    <t>Dachdeckerei u. Spenglerei • Sajowitz Franz KG, Dachdeckerei u Spenglerei in Kapfenberg, Hafendorf 10, Kapfenberg • Kontakt über aktuelle Telefonnummern ☎ und Adressen ⚑ mit Karte, Routing, Öffnungszeiten, Homepage, E-Mail, vCard und Firmendaten.</t>
  </si>
  <si>
    <t>Hafendorf 10</t>
  </si>
  <si>
    <t>8605</t>
  </si>
  <si>
    <t>Kapfenberg</t>
  </si>
  <si>
    <t>47.4554525</t>
  </si>
  <si>
    <t>15.3186358</t>
  </si>
  <si>
    <t>+433862312940</t>
  </si>
  <si>
    <t>office@sajowitz-kapfenberg.at</t>
  </si>
  <si>
    <t>https://bilder.dasschnelle.at/DasSchnelle/50/5000/9874/061367/I_061367_P_906183560_L_0036256216_1.png</t>
  </si>
  <si>
    <t>https://bilder.dasschnelle.at/DasSchnelle/50/5000/9874/061367/I_061367_P_906183560_B_0036256216_1.gal.png?height=338&amp;width=600;https://bilder.dasschnelle.at/DasSchnelle/50/5000/9874/061367/I_061367_P_906183560_B_0036256216_2.gal.png?height=300&amp;width=450;https://bilder.dasschnelle.at/DasSchnelle/50/5000/9874/061367/I_061367_P_906183560_B_0036256216_3.gal.png?height=400&amp;width=533;https://bilder.dasschnelle.at/DasSchnelle/50/5000/9874/061367/I_061367_P_906183560_B_0036256216_4.gal.png?height=400&amp;width=533</t>
  </si>
  <si>
    <t>Zeilbauer, Christian, Malereibetriebe • Sankt Marein im Mürztal • Steiermark</t>
  </si>
  <si>
    <t>Malereibetriebe • Zeilbauer, Christian, Hauptstraße 24, Sankt Marein im Mürztal • Kontakt über aktuelle Telefonnummern ☎ und Adressen ⚑ mit Karte, Routing, Öffnungszeiten, Homepage, E-Mail, vCard und Firmendaten.</t>
  </si>
  <si>
    <t>Hauptstraße 24</t>
  </si>
  <si>
    <t>47.47269</t>
  </si>
  <si>
    <t>15.36567</t>
  </si>
  <si>
    <t>+43386436710</t>
  </si>
  <si>
    <t>+43386436714</t>
  </si>
  <si>
    <t>office@zeilbauer.at</t>
  </si>
  <si>
    <t>https://bilder.dasschnelle.at/DasSchnelle/50/5000/9874/061430/G_061430_P_906183564.adn.gif</t>
  </si>
  <si>
    <t>Bestattung Lesiak Konrad • Sankt Gilgen • Salzburg</t>
  </si>
  <si>
    <t>Bestattungsunternehmen • Bestattung Lesiak Konrad, Claus-von-Gagernweg 19, Sankt Gilgen • Kontakt über aktuelle Telefonnummern ☎ und Adressen ⚑ mit Karte, Routing, Öffnungszeiten, Homepage, E-Mail, vCard und Firmendaten.</t>
  </si>
  <si>
    <t>Claus-von-Gagernweg 19</t>
  </si>
  <si>
    <t>47.77488</t>
  </si>
  <si>
    <t>13.35962</t>
  </si>
  <si>
    <t>+4362272381</t>
  </si>
  <si>
    <t>bestattung@lesiak.at</t>
  </si>
  <si>
    <t>https://bilder.dasschnelle.at/DasSchnelle/50/5000/9868/043326/G_043326_P_906183567.adn.gif</t>
  </si>
  <si>
    <t>Jurak GmbH, Metallbau • Kapfenberg • Steiermark</t>
  </si>
  <si>
    <t>Metallbau, Personalbereitstellung • Jurak GmbH, Mariazeller Straße 49, Kapfenberg • Kontakt über aktuelle Telefonnummern ☎ und Adressen ⚑ mit Karte, Routing, Öffnungszeiten, Homepage, E-Mail, vCard und Firmendaten.</t>
  </si>
  <si>
    <t>Mariazeller Straße 49</t>
  </si>
  <si>
    <t>47.44883</t>
  </si>
  <si>
    <t>15.2756</t>
  </si>
  <si>
    <t>+43386221475;+43386221852</t>
  </si>
  <si>
    <t>i.jurak@jurakgmbh.at</t>
  </si>
  <si>
    <t>https://bilder.dasschnelle.at/DasSchnelle/50/5000/9874/061367/I_061367_P_906184584_L_0037990053_1.png</t>
  </si>
  <si>
    <t>https://bilder.dasschnelle.at/DasSchnelle/50/5000/9874/061367/I_061367_P_906184584_B_0037990053_1.gal.png?height=795&amp;width=1200;https://bilder.dasschnelle.at/DasSchnelle/50/5000/9874/061367/I_061367_P_906184584_B_0037990053_2.gal.png?height=795&amp;width=1200;https://bilder.dasschnelle.at/DasSchnelle/50/5000/9874/061367/I_061367_P_906184584_B_0037990053_3.gal.png?height=800&amp;width=1067;https://bilder.dasschnelle.at/DasSchnelle/50/5000/9874/061367/I_061367_P_906184584_B_0037990053_4.gal.png?height=800&amp;width=1067</t>
  </si>
  <si>
    <t>Wohninsel Geschenke • Kindberg • Steiermark</t>
  </si>
  <si>
    <t>Möbelhandel • Wohninsel Geschenke, Hauptstraße 60 a, Kindberg • Kontakt über aktuelle Telefonnummern ☎ und Adressen ⚑ mit Karte, Routing, Öffnungszeiten, Homepage, E-Mail, vCard und Firmendaten.</t>
  </si>
  <si>
    <t>Hauptstraße 60 a</t>
  </si>
  <si>
    <t>47.5046</t>
  </si>
  <si>
    <t>15.44759</t>
  </si>
  <si>
    <t>+4369914101960;+4338653932</t>
  </si>
  <si>
    <t>wohninsel.fladischer@aon.at</t>
  </si>
  <si>
    <t>https://bilder.dasschnelle.at/DasSchnelle/50/5000/9911/061380/G_061380_P_906184589.adn.gif</t>
  </si>
  <si>
    <t>Gollner GmbH, Dachdeckerei, Spenglerei • Kapfenberg • Steiermark</t>
  </si>
  <si>
    <t>Dachdeckerei u. Spenglerei, Dachdeckereien • Gollner GmbH, Anton-Buchalka-Straße 15, Kapfenberg • Kontakt über aktuelle Telefonnummern ☎ und Adressen ⚑ mit Karte, Routing, Öffnungszeiten, Homepage, E-Mail, vCard und Firmendaten.</t>
  </si>
  <si>
    <t>Anton-Buchalka-Straße 15</t>
  </si>
  <si>
    <t>47.44575</t>
  </si>
  <si>
    <t>15.29063</t>
  </si>
  <si>
    <t>+433862234630</t>
  </si>
  <si>
    <t>+4338622346320</t>
  </si>
  <si>
    <t>office@gollnerdach-garten.at</t>
  </si>
  <si>
    <t>https://bilder.dasschnelle.at/DasSchnelle/50/5000/9874/061367/I_061367_P_906186432_L_0036256122_1.png</t>
  </si>
  <si>
    <t>https://bilder.dasschnelle.at/DasSchnelle/50/5000/9874/061367/I_061367_P_906186432_B_0036256122_1.gal.png?height=489&amp;width=489;https://bilder.dasschnelle.at/DasSchnelle/50/5000/9874/061367/I_061367_P_906186432_B_0036256122_2.gal.png?height=489&amp;width=489;https://bilder.dasschnelle.at/DasSchnelle/50/5000/9874/061367/I_061367_P_906186432_B_0036256122_3.gal.png?height=720&amp;width=720;https://bilder.dasschnelle.at/DasSchnelle/50/5000/9874/061367/I_061367_P_906186432_B_0036256122_4.gal.png?height=720&amp;width=720;https://bilder.dasschnelle.at/DasSchnelle/50/5000/9874/061367/G_061367_P_906186432.adn.gif</t>
  </si>
  <si>
    <t>Kohlhuber, Herbert, Zimmerei • Stanz im Mürztal • Steiermark</t>
  </si>
  <si>
    <t>Zimmereien • Kohlhuber, Herbert, Stanz im Mürztal 233, Stanz im Mürztal • Kontakt über aktuelle Telefonnummern ☎ und Adressen ⚑ mit Karte, Routing, Öffnungszeiten, Homepage, E-Mail, vCard und Firmendaten.</t>
  </si>
  <si>
    <t>Stanz im Mürztal 233</t>
  </si>
  <si>
    <t>47.4653193</t>
  </si>
  <si>
    <t>15.5083987</t>
  </si>
  <si>
    <t>+43386527123</t>
  </si>
  <si>
    <t>zimmerei.kohlhuber@speed.at</t>
  </si>
  <si>
    <t>https://bilder.dasschnelle.at/DasSchnelle/50/5000/9874/061404/G_061404_P_906187818.adn.gif</t>
  </si>
  <si>
    <t>Landesverband vom Roten Kreuz Bezirksstelle Hainburg • Hainburg an der Donau • Niederösterreich</t>
  </si>
  <si>
    <t>Rettungsdienste • Landesverband vom Roten Kreuz Bezirksstelle Hainburg, Rotkreuzstr. 14, Hainburg an der Donau • Kontakt über aktuelle Telefonnummern ☎ und Adressen ⚑ mit Karte, Routing, Öffnungszeiten, Homepage, E-Mail, vCard und Firmendaten.</t>
  </si>
  <si>
    <t>Rotkreuzstr. 14</t>
  </si>
  <si>
    <t>48.1436585</t>
  </si>
  <si>
    <t>16.9595076</t>
  </si>
  <si>
    <t>+43216564040</t>
  </si>
  <si>
    <t>hainburg@n.roteskreuz.at</t>
  </si>
  <si>
    <t>https://bilder.dasschnelle.at/DasSchnelle/50/5000/9873/041432/G_041439_P_906187976.adn.gif</t>
  </si>
  <si>
    <t>Fernsebner BaugesmbH • Unken • Salzburg</t>
  </si>
  <si>
    <t>Transportunternehmen • Fernsebner BaugesmbH, Unken 118, Unken • Kontakt über aktuelle Telefonnummern ☎ und Adressen ⚑ mit Karte, Routing, Öffnungszeiten, Homepage, E-Mail, vCard und Firmendaten.</t>
  </si>
  <si>
    <t>Unken 118</t>
  </si>
  <si>
    <t>5091</t>
  </si>
  <si>
    <t>Unken</t>
  </si>
  <si>
    <t>47.6440761</t>
  </si>
  <si>
    <t>12.7168010</t>
  </si>
  <si>
    <t>+4365894280</t>
  </si>
  <si>
    <t>office@fernsebner-bau.at</t>
  </si>
  <si>
    <t>https://bilder.dasschnelle.at/DasSchnelle/50/5000/9896/046140/G_046140_P_906189318.adn.gif</t>
  </si>
  <si>
    <t>Petritsch, Georg, Dr., Rechtsanwälte • Bad Aussee • Steiermark</t>
  </si>
  <si>
    <t>Rechtsanwälte • Petritsch, Georg, Dr., Chlumeckyplatz 42, Bad Aussee • Kontakt über aktuelle Telefonnummern ☎ und Adressen ⚑ mit Karte, Routing, Öffnungszeiten, Homepage, E-Mail, vCard und Firmendaten.</t>
  </si>
  <si>
    <t>Chlumeckyplatz 42</t>
  </si>
  <si>
    <t>47.61117</t>
  </si>
  <si>
    <t>13.78462</t>
  </si>
  <si>
    <t>+43362252793</t>
  </si>
  <si>
    <t>+43362252801</t>
  </si>
  <si>
    <t>office@ra-petritsch.at</t>
  </si>
  <si>
    <t>https://bilder.dasschnelle.at/DasSchnelle/50/5000/9868/044351/G_044351_P_906187927.adn.gif</t>
  </si>
  <si>
    <t>Schwarzl, Robert, Kfz-Technik • Aflenz • Steiermark</t>
  </si>
  <si>
    <t>Autoreparaturen • Schwarzl, Robert, Aflenz • Kontakt über aktuelle Telefonnummern ☎ und Adressen ⚑ mit Karte, Routing, Öffnungszeiten, Homepage, E-Mail, vCard und Firmendaten.</t>
  </si>
  <si>
    <t>8623</t>
  </si>
  <si>
    <t>Aflenz</t>
  </si>
  <si>
    <t>47.5375745</t>
  </si>
  <si>
    <t>15.2385135</t>
  </si>
  <si>
    <t>+43386123389</t>
  </si>
  <si>
    <t>kfz-technik-schwarzl@aon.at</t>
  </si>
  <si>
    <t>https://bilder.dasschnelle.at/DasSchnelle/50/5000/9874/061459/G_061459_P_906187936.adn.gif</t>
  </si>
  <si>
    <t>Grünbichler, Kurt, Bau- u Möbeltischlerei • Neuberg an der Mürz • Steiermark</t>
  </si>
  <si>
    <t>Tischlereien • Grünbichler, Kurt, Lechen 20 A, Neuberg an der Mürz • Kontakt über aktuelle Telefonnummern ☎ und Adressen ⚑ mit Karte, Routing, Öffnungszeiten, Homepage, E-Mail, vCard und Firmendaten.</t>
  </si>
  <si>
    <t>Lechen 20 A</t>
  </si>
  <si>
    <t>47.6549483</t>
  </si>
  <si>
    <t>15.6134744</t>
  </si>
  <si>
    <t>+4338578179;+436641603588;+4338578259</t>
  </si>
  <si>
    <t>office@tischlerei-gruenbichler.at</t>
  </si>
  <si>
    <t>https://bilder.dasschnelle.at/DasSchnelle/50/5000/9911/061436/I_061436_P_906187942_L_0036256318_1.png</t>
  </si>
  <si>
    <t>https://bilder.dasschnelle.at/DasSchnelle/50/5000/9911/061436/I_061436_P_906187942_B_0036256318_1.gal.png?height=151&amp;width=211;https://bilder.dasschnelle.at/DasSchnelle/50/5000/9911/061436/I_061436_P_906187942_B_0036256318_2.gal.png?height=151&amp;width=211</t>
  </si>
  <si>
    <t>Nachbargauer, Michael, Malerei • Bruck an der Mur • Steiermark</t>
  </si>
  <si>
    <t>Malereibetriebe • Nachbargauer, Michael, Bahnweg 5 A, Bruck an der Mur • Kontakt über aktuelle Telefonnummern ☎ und Adressen ⚑ mit Karte, Routing, Öffnungszeiten, Homepage, E-Mail, vCard und Firmendaten.</t>
  </si>
  <si>
    <t>Bahnweg 5 A</t>
  </si>
  <si>
    <t>47.40545</t>
  </si>
  <si>
    <t>15.27095</t>
  </si>
  <si>
    <t>+43386256222;+436769637527</t>
  </si>
  <si>
    <t>michael@malerei-nachbargauer.at</t>
  </si>
  <si>
    <t>https://bilder.dasschnelle.at/DasSchnelle/50/5000/9874/061404/I_061404_P_906189355_L_0037990050_1.png</t>
  </si>
  <si>
    <t>https://bilder.dasschnelle.at/DasSchnelle/50/5000/9874/061404/I_061404_P_906189355_B_0037990050_1.gal.png?height=789&amp;width=1183;https://bilder.dasschnelle.at/DasSchnelle/50/5000/9874/061404/I_061404_P_906189355_B_0037990050_2.gal.png?height=789&amp;width=1183;https://bilder.dasschnelle.at/DasSchnelle/50/5000/9874/061404/G_061404_P_906189355.adn.gif</t>
  </si>
  <si>
    <t>Köppl, Christian, Malermeister • Kapfenberg • Steiermark</t>
  </si>
  <si>
    <t>Malereibetriebe • Köppl, Christian, Gustav-Kramer-Straße 6 A, Kapfenberg • Kontakt über aktuelle Telefonnummern ☎ und Adressen ⚑ mit Karte, Routing, Öffnungszeiten, Homepage, E-Mail, vCard und Firmendaten.</t>
  </si>
  <si>
    <t>Gustav-Kramer-Straße 6 A</t>
  </si>
  <si>
    <t>47.43312</t>
  </si>
  <si>
    <t>15.27598</t>
  </si>
  <si>
    <t>+436766933594</t>
  </si>
  <si>
    <t>christiankoeppl@ymail.com</t>
  </si>
  <si>
    <t>https://bilder.dasschnelle.at/DasSchnelle/50/5000/9874/061367/I_061367_P_906189358_L_0036256140_1.png</t>
  </si>
  <si>
    <t>https://bilder.dasschnelle.at/DasSchnelle/50/5000/9874/061367/I_061367_P_906189358_B_0036256140_1.gal.png?height=372&amp;width=372;https://bilder.dasschnelle.at/DasSchnelle/50/5000/9874/061367/I_061367_P_906189358_B_0036256140_2.gal.png?height=372&amp;width=372;https://bilder.dasschnelle.at/DasSchnelle/50/5000/9874/061367/I_061367_P_906189358_B_0036256140_3.gal.png?height=372&amp;width=372;https://bilder.dasschnelle.at/DasSchnelle/50/5000/9874/061367/I_061367_P_906189358_B_0036256140_4.gal.png?height=372&amp;width=372</t>
  </si>
  <si>
    <t>Gangl W Ing GmbH, Haustechnik • Mönchhof • Burgenland</t>
  </si>
  <si>
    <t>Haustechnik • Gangl W Ing GmbH, Betriebsgebiet Nord 10, Mönchhof • Kontakt über aktuelle Telefonnummern ☎ und Adressen ⚑ mit Karte, Routing, Öffnungszeiten, Homepage, E-Mail, vCard und Firmendaten.</t>
  </si>
  <si>
    <t>Betriebsgebiet Nord 10</t>
  </si>
  <si>
    <t>47.88956</t>
  </si>
  <si>
    <t>16.95603</t>
  </si>
  <si>
    <t>+43217380213</t>
  </si>
  <si>
    <t>+432173802134</t>
  </si>
  <si>
    <t>gangl.haustechnik@aon.at</t>
  </si>
  <si>
    <t>https://bilder.dasschnelle.at/DasSchnelle/50/5000/9873/041703/G_041703_P_906187858.adn.gif</t>
  </si>
  <si>
    <t>Svejnoha, Gerhard, Malereibetrieb • Bruck an der Leitha • Niederösterreich</t>
  </si>
  <si>
    <t>Malereibetriebe • Svejnoha, Gerhard, Schillerstraße 5, Bruck an der Leitha • Kontakt über aktuelle Telefonnummern ☎ und Adressen ⚑ mit Karte, Routing, Öffnungszeiten, Homepage, E-Mail, vCard und Firmendaten.</t>
  </si>
  <si>
    <t>Schillerstraße 5</t>
  </si>
  <si>
    <t>Bruck an der Leitha</t>
  </si>
  <si>
    <t>48.0250072</t>
  </si>
  <si>
    <t>16.7801676</t>
  </si>
  <si>
    <t>+43216262284</t>
  </si>
  <si>
    <t>svejnoha@svejnoha.at</t>
  </si>
  <si>
    <t>https://bilder.dasschnelle.at/DasSchnelle/50/5000/9873/041435/I_041435_P_906187862_B_0036256127_1.gal.png?height=454&amp;width=720</t>
  </si>
  <si>
    <t>Autohaus Haas GmbH &amp; Co KG • Lannach • Steiermark</t>
  </si>
  <si>
    <t>Autoreparaturen, Kfz-Werkstätte • Autohaus Haas GmbH &amp; Co KG, Hauptstraße 33, Lannach • Kontakt über aktuelle Telefonnummern ☎ und Adressen ⚑ mit Karte, Routing, Öffnungszeiten, Homepage, E-Mail, vCard und Firmendaten.</t>
  </si>
  <si>
    <t>Hauptstraße 33</t>
  </si>
  <si>
    <t>46.94165</t>
  </si>
  <si>
    <t>15.3308</t>
  </si>
  <si>
    <t>+43313681750;+436643807385</t>
  </si>
  <si>
    <t>verkauf@toyota-haas.at</t>
  </si>
  <si>
    <t>https://bilder.dasschnelle.at/DasSchnelle/50/5000/9875/045308/G_045308_P_906187873.adn.gif</t>
  </si>
  <si>
    <t>G &amp; A Nikolic Bau-und Galanterie-Spenglerei GmbH, Bauspenglerei • Bruck an der Leitha • Niederösterreich</t>
  </si>
  <si>
    <t>Spenglereien • G &amp; A Nikolic Bau-und Galanterie-Spenglerei GmbH, Ernst Pfiel-Gasse 5, Bruck an der Leitha • Kontakt über aktuelle Telefonnummern ☎ und Adressen ⚑ mit Karte, Routing, Öffnungszeiten, Homepage, E-Mail, vCard und Firmendaten.</t>
  </si>
  <si>
    <t>Ernst Pfiel-Gasse 5</t>
  </si>
  <si>
    <t>48.0315132</t>
  </si>
  <si>
    <t>16.7716449</t>
  </si>
  <si>
    <t>+43216266086</t>
  </si>
  <si>
    <t>office@g-a-nikolic.at</t>
  </si>
  <si>
    <t>https://bilder.dasschnelle.at/DasSchnelle/50/5000/9873/041435/I_041435_P_906189339_B_0035969901_1.gal.png?height=501&amp;width=720;https://bilder.dasschnelle.at/DasSchnelle/50/5000/9873/041435/I_041435_P_906189339_B_0035969901_2.gal.png?height=471&amp;width=720;https://bilder.dasschnelle.at/DasSchnelle/50/5000/9873/041435/I_041435_P_906189339_B_0035969901_3.gal.png?height=476&amp;width=720;https://bilder.dasschnelle.at/DasSchnelle/50/5000/9873/041435/I_041435_P_906189339_B_0035969901_4.gal.png?height=391&amp;width=720</t>
  </si>
  <si>
    <t>Autohaus Schiffner GesmbH Kraftfahrzeugtechniker, Kraftfahrzeugtechniker • Bad Aussee • Steiermark</t>
  </si>
  <si>
    <t>Autoreparaturen • Autohaus Schiffner GesmbH Kraftfahrzeugtechniker, Grundlseer Straße 63, Bad Aussee • Kontakt über aktuelle Telefonnummern ☎ und Adressen ⚑ mit Karte, Routing, Öffnungszeiten, Homepage, E-Mail, vCard und Firmendaten.</t>
  </si>
  <si>
    <t>Grundlseer Straße 63</t>
  </si>
  <si>
    <t>47.61479</t>
  </si>
  <si>
    <t>13.79094</t>
  </si>
  <si>
    <t>+433622522230</t>
  </si>
  <si>
    <t>office@autohaus-schiffner.at</t>
  </si>
  <si>
    <t>https://bilder.dasschnelle.at/DasSchnelle/50/5000/9868/044351/G_044351_P_906191925.adn.gif</t>
  </si>
  <si>
    <t>Gartner-Schiener Bau GesmbH • Halbturn • Burgenland</t>
  </si>
  <si>
    <t>Bauunternehmen • Gartner-Schiener Bau GesmbH, Friedhofgasse 15, Halbturn • Kontakt über aktuelle Telefonnummern ☎ und Adressen ⚑ mit Karte, Routing, Öffnungszeiten, Homepage, E-Mail, vCard und Firmendaten.</t>
  </si>
  <si>
    <t>Friedhofgasse 15</t>
  </si>
  <si>
    <t>47.8663100</t>
  </si>
  <si>
    <t>16.9790400</t>
  </si>
  <si>
    <t>+43217286210</t>
  </si>
  <si>
    <t>+432172862114</t>
  </si>
  <si>
    <t>office@gs-bau.at</t>
  </si>
  <si>
    <t>https://bilder.dasschnelle.at/DasSchnelle/50/5000/9873/041699/I_041699_P_906190887_B_0036262165_1.gal.png?height=720&amp;width=720;https://bilder.dasschnelle.at/DasSchnelle/50/5000/9873/041699/I_041699_P_906190887_B_0036262165_2.gal.png?height=720&amp;width=720;https://bilder.dasschnelle.at/DasSchnelle/50/5000/9873/041699/I_041699_P_906190887_B_0036262165_3.gal.png?height=720&amp;width=720;https://bilder.dasschnelle.at/DasSchnelle/50/5000/9873/041699/I_041699_P_906190887_B_0036262165_4.gal.png?height=720&amp;width=720</t>
  </si>
  <si>
    <t>Mühlhans, Christian, Fenster-Türen-Garagentore • Krieglach • Steiermark</t>
  </si>
  <si>
    <t>Fenster u. Türen • Mühlhans, Christian, Lohnackerstraße 4, Krieglach • Kontakt über aktuelle Telefonnummern ☎ und Adressen ⚑ mit Karte, Routing, Öffnungszeiten, Homepage, E-Mail, vCard und Firmendaten.</t>
  </si>
  <si>
    <t>Lohnackerstraße 4</t>
  </si>
  <si>
    <t>47.54502</t>
  </si>
  <si>
    <t>15.54445</t>
  </si>
  <si>
    <t>+4338554024</t>
  </si>
  <si>
    <t>cm.fenster@a1.net</t>
  </si>
  <si>
    <t>https://bilder.dasschnelle.at/DasSchnelle/50/5000/9911/044890/G_044890_P_906190325.adn.gif</t>
  </si>
  <si>
    <t>Elektro Mann e. U. • Krieglach • Steiermark</t>
  </si>
  <si>
    <t>Elektrogeräte u. -bedarf • Elektro Mann e. U., Rittisstraße 17 a, Krieglach • Kontakt über aktuelle Telefonnummern ☎ und Adressen ⚑ mit Karte, Routing, Öffnungszeiten, Homepage, E-Mail, vCard und Firmendaten.</t>
  </si>
  <si>
    <t>Rittisstraße 17 a</t>
  </si>
  <si>
    <t>47.55062</t>
  </si>
  <si>
    <t>15.54457</t>
  </si>
  <si>
    <t>+436765220122</t>
  </si>
  <si>
    <t>martin@emann.at</t>
  </si>
  <si>
    <t>https://bilder.dasschnelle.at/DasSchnelle/50/5000/9911/044890/G_044890_P_906190527.adn.gif</t>
  </si>
  <si>
    <t>Gasthof Pollerus, Gasthaus • Spital am Semmering • Steiermark</t>
  </si>
  <si>
    <t>Gastgewerbe - Gasthöfe • Gasthof Pollerus, Bundesstraße 36, Spital am Semmering • Kontakt über aktuelle Telefonnummern ☎ und Adressen ⚑ mit Karte, Routing, Öffnungszeiten, Homepage, E-Mail, vCard und Firmendaten.</t>
  </si>
  <si>
    <t>Bundesstraße 36</t>
  </si>
  <si>
    <t>8684</t>
  </si>
  <si>
    <t>Spital am Semmering</t>
  </si>
  <si>
    <t>47.6140292</t>
  </si>
  <si>
    <t>15.7489496</t>
  </si>
  <si>
    <t>+4338532010</t>
  </si>
  <si>
    <t>dagmar.kratzer@speed.at</t>
  </si>
  <si>
    <t>https://bilder.dasschnelle.at/DasSchnelle/50/5000/9911/045101/I_045101_P_906191926_B_0036256230_1.gal.png?height=393&amp;width=600;https://bilder.dasschnelle.at/DasSchnelle/50/5000/9911/045101/I_045101_P_906191926_B_0036256230_2.gal.png?height=803&amp;width=600;https://bilder.dasschnelle.at/DasSchnelle/50/5000/9911/045101/I_045101_P_906191926_B_0036256230_3.gal.png?height=600&amp;width=450</t>
  </si>
  <si>
    <t>Ziniel, Gerald, Bau- u Portalverglasung • Sankt Andrä • Burgenland</t>
  </si>
  <si>
    <t>Glasereien • Ziniel, Gerald, Windmühlgasse 18, Sankt Andrä • Kontakt über aktuelle Telefonnummern ☎ und Adressen ⚑ mit Karte, Routing, Öffnungszeiten, Homepage, E-Mail, vCard und Firmendaten.</t>
  </si>
  <si>
    <t>Windmühlgasse 18</t>
  </si>
  <si>
    <t>7161</t>
  </si>
  <si>
    <t>47.7849996</t>
  </si>
  <si>
    <t>16.9294549</t>
  </si>
  <si>
    <t>+4321762465;+43217628579</t>
  </si>
  <si>
    <t>gerald.ziniel@bnet.at</t>
  </si>
  <si>
    <t>https://bilder.dasschnelle.at/DasSchnelle/50/5000/9873/041710/I_041710_P_906191852_L_0036262121_1.png</t>
  </si>
  <si>
    <t>https://bilder.dasschnelle.at/DasSchnelle/50/5000/9873/041710/I_041710_P_906191852_B_0036262121_1.gal.png?height=575&amp;width=720;https://bilder.dasschnelle.at/DasSchnelle/50/5000/9873/041710/I_041710_P_906191852_B_0036262121_2.gal.png?height=480&amp;width=300;https://bilder.dasschnelle.at/DasSchnelle/50/5000/9873/041710/I_041710_P_906191852_B_0036262121_3.gal.png?height=720&amp;width=540;https://bilder.dasschnelle.at/DasSchnelle/50/5000/9873/041710/I_041710_P_906191852_B_0036262121_4.gal.png?height=556&amp;width=720;https://bilder.dasschnelle.at/DasSchnelle/50/5000/9873/041710/G_041710_P_906191852.adn.gif</t>
  </si>
  <si>
    <t>Hoell, Christian, Installationen • Abtenau • Salzburg</t>
  </si>
  <si>
    <t>Installationsunternehmen • Hoell, Christian, Döllerhof 126, Abtenau • Kontakt über aktuelle Telefonnummern ☎ und Adressen ⚑ mit Karte, Routing, Öffnungszeiten, Homepage, E-Mail, vCard und Firmendaten.</t>
  </si>
  <si>
    <t>Döllerhof 126</t>
  </si>
  <si>
    <t>47.5671100</t>
  </si>
  <si>
    <t>13.3372500</t>
  </si>
  <si>
    <t>+4362433888;+436645288006</t>
  </si>
  <si>
    <t>office@installationen-hoell.at</t>
  </si>
  <si>
    <t>https://bilder.dasschnelle.at/DasSchnelle/50/5000/9889/043587/G_043587_P_906191859.adn.gif</t>
  </si>
  <si>
    <t>HAARE BY SILVIA, Team Silvia Quehenberger OG, Friseur • Abtenau • Salzburg</t>
  </si>
  <si>
    <t>Friseure • HAARE BY SILVIA, Team Silvia Quehenberger OG, Markt 153, Abtenau • Kontakt über aktuelle Telefonnummern ☎ und Adressen ⚑ mit Karte, Routing, Öffnungszeiten, Homepage, E-Mail, vCard und Firmendaten.</t>
  </si>
  <si>
    <t>Markt 153</t>
  </si>
  <si>
    <t>47.56421</t>
  </si>
  <si>
    <t>13.34345</t>
  </si>
  <si>
    <t>+43624323040</t>
  </si>
  <si>
    <t>haarebysilvia@gmx.at</t>
  </si>
  <si>
    <t>https://bilder.dasschnelle.at/DasSchnelle/50/5000/9889/043587/G_043587_P_906191862.adn.gif</t>
  </si>
  <si>
    <t>Brunauer Installationen GmbH • Oberalm • Salzburg</t>
  </si>
  <si>
    <t>Installationsunternehmen • Brunauer Installationen GmbH, Jobstengutgasse 9, Oberalm • Kontakt über aktuelle Telefonnummern ☎ und Adressen ⚑ mit Karte, Routing, Öffnungszeiten, Homepage, E-Mail, vCard und Firmendaten.</t>
  </si>
  <si>
    <t>Jobstengutgasse 9</t>
  </si>
  <si>
    <t>47.69747</t>
  </si>
  <si>
    <t>13.09928</t>
  </si>
  <si>
    <t>+43624583305</t>
  </si>
  <si>
    <t>hls@brunauer.at</t>
  </si>
  <si>
    <t>https://bilder.dasschnelle.at/DasSchnelle/50/5000/9889/043594/G_043594_P_906191864.adn.gif</t>
  </si>
  <si>
    <t>Zechner, Norbert, Glaserei • Kuchl • Salzburg</t>
  </si>
  <si>
    <t>Glasereien • Zechner, Norbert, Georgenberg 17, Kuchl • Kontakt über aktuelle Telefonnummern ☎ und Adressen ⚑ mit Karte, Routing, Öffnungszeiten, Homepage, E-Mail, vCard und Firmendaten.</t>
  </si>
  <si>
    <t>Georgenberg 17</t>
  </si>
  <si>
    <t>47.6219182</t>
  </si>
  <si>
    <t>13.1557238</t>
  </si>
  <si>
    <t>+43624430407;+436641022808</t>
  </si>
  <si>
    <t>+43624430069</t>
  </si>
  <si>
    <t>office@glaserei-zechner.at</t>
  </si>
  <si>
    <t>https://bilder.dasschnelle.at/DasSchnelle/50/5000/9889/043593/G_043593_P_906192996.adn.gif</t>
  </si>
  <si>
    <t>Stadtgemeinde Kapfenberg • Kapfenberg • Steiermark</t>
  </si>
  <si>
    <t>Gemeinde • Stadtgemeinde Kapfenberg, Koloman-Wallisch-Platz 1, Kapfenberg • Kontakt über aktuelle Telefonnummern ☎ und Adressen ⚑ mit Karte, Routing, Öffnungszeiten, Homepage, E-Mail, vCard und Firmendaten.</t>
  </si>
  <si>
    <t>Koloman-Wallisch-Platz 1</t>
  </si>
  <si>
    <t>47.43955</t>
  </si>
  <si>
    <t>15.28939</t>
  </si>
  <si>
    <t>+43386222501;+433862225011444;+433862225011001;+433862225012000;+433862225012004;+433862225011070;+433862225011010;+433862225012100;+433862225012001;+433862225012150;+433862225012040;+433862225011100;+433862225011200;+433862225011300;+433862225011400;+433862225011600;+433862225011606;+433862225011611;+433862225011617;+433862225011700;+433862225011800;+433862225011900;+433862225011250;+43386232138;+43386222820;+43386224266;+43386224264;+43386222091;+43386231167;+43386222307;+43386222428;+43386232153;+43386222120;+43386231170;+43386222022;+43386222049;+43386231169;+43386224977;+43386224297</t>
  </si>
  <si>
    <t>+433862225012090</t>
  </si>
  <si>
    <t>gde@kapfenberg.gv.at</t>
  </si>
  <si>
    <t>https://bilder.dasschnelle.at/DasSchnelle/50/5000/9874/061367/G_061367_P_906193133.adn.gif</t>
  </si>
  <si>
    <t>Spenglerei Pfaffelmoser • Weißenbach am Lech • Tirol</t>
  </si>
  <si>
    <t>Spenglereien • Spenglerei Pfaffelmoser, Mühlbachweg 8, Weißenbach am Lech • Kontakt über aktuelle Telefonnummern ☎ und Adressen ⚑ mit Karte, Routing, Öffnungszeiten, Homepage, E-Mail, vCard und Firmendaten.</t>
  </si>
  <si>
    <t>Mühlbachweg 8</t>
  </si>
  <si>
    <t>6671</t>
  </si>
  <si>
    <t>Weißenbach am Lech</t>
  </si>
  <si>
    <t>47.44205</t>
  </si>
  <si>
    <t>10.64747</t>
  </si>
  <si>
    <t>+4356785217</t>
  </si>
  <si>
    <t>spenglerei-pfaffelmoser@gmx.at</t>
  </si>
  <si>
    <t>https://bilder.dasschnelle.at/DasSchnelle/50/5000/9921/042611/G_042611_P_906196348.adn.gif</t>
  </si>
  <si>
    <t>Langer &amp; Frey • Hainburg • Niederösterreich</t>
  </si>
  <si>
    <t>Steinmetzbetriebe • Langer &amp; Frey, Hofmeisterstraße 5, Hainburg • Kontakt über aktuelle Telefonnummern ☎ und Adressen ⚑ mit Karte, Routing, Öffnungszeiten, Homepage, E-Mail, vCard und Firmendaten.</t>
  </si>
  <si>
    <t>Hofmeisterstraße 5</t>
  </si>
  <si>
    <t>Hainburg</t>
  </si>
  <si>
    <t>48.14697</t>
  </si>
  <si>
    <t>16.94898</t>
  </si>
  <si>
    <t>+436642040887</t>
  </si>
  <si>
    <t>langer-frey@a1.net</t>
  </si>
  <si>
    <t>https://bilder.dasschnelle.at/DasSchnelle/50/5000/9873/041439/G_041439_P_906194821.adn.gif</t>
  </si>
  <si>
    <t>Auer Abfallwirtschaft-GmbH, Abfallentsorgung u -verwertung • Abtenau • Salzburg</t>
  </si>
  <si>
    <t>Abfallentsorgung u. -verwertung • Auer Abfallwirtschaft-GmbH, Waldhof 61, Abtenau • Kontakt über aktuelle Telefonnummern ☎ und Adressen ⚑ mit Karte, Routing, Öffnungszeiten, Homepage, E-Mail, vCard und Firmendaten.</t>
  </si>
  <si>
    <t>Waldhof 61</t>
  </si>
  <si>
    <t>47.5797296</t>
  </si>
  <si>
    <t>13.3221206</t>
  </si>
  <si>
    <t>+4362433700;+436643032349;+436649863284</t>
  </si>
  <si>
    <t>office@auer-abfallwirtschaft.at</t>
  </si>
  <si>
    <t>https://bilder.dasschnelle.at/DasSchnelle/50/5000/9889/043587/G_043587_P_906194936.adn.gif</t>
  </si>
  <si>
    <t>MARTINI-SPORTSWEAR GesmbH, Sportbekleidungserzeugung • Annaberg im Lammertal • Salzburg</t>
  </si>
  <si>
    <t>Bekleidung, Sport- u. Freizeitmode • MARTINI-SPORTSWEAR GesmbH, Annaberg im Lammertal 133, Annaberg im Lammertal • Kontakt über aktuelle Telefonnummern ☎ und Adressen ⚑ mit Karte, Routing, Öffnungszeiten, Homepage, E-Mail, vCard und Firmendaten.</t>
  </si>
  <si>
    <t>Annaberg im Lammertal 133</t>
  </si>
  <si>
    <t>47.5150200</t>
  </si>
  <si>
    <t>13.4498950</t>
  </si>
  <si>
    <t>+43646381710;+436644139121</t>
  </si>
  <si>
    <t>info@martini-sportswear.at</t>
  </si>
  <si>
    <t>https://bilder.dasschnelle.at/DasSchnelle/50/5000/9889/043589/G_043589_P_906194942.adn.gif</t>
  </si>
  <si>
    <t>Glaserei Kovacs • Mannersdorf am Leithagebirge • Niederösterreich</t>
  </si>
  <si>
    <t>Glasereien • Glaserei Kovacs, Untere Kirchengasse 20, Mannersdorf am Leithagebirge • Kontakt über aktuelle Telefonnummern ☎ und Adressen ⚑ mit Karte, Routing, Öffnungszeiten, Homepage, E-Mail, vCard und Firmendaten.</t>
  </si>
  <si>
    <t>Untere Kirchengasse 20</t>
  </si>
  <si>
    <t>47.97138</t>
  </si>
  <si>
    <t>16.60213</t>
  </si>
  <si>
    <t>+43216862344</t>
  </si>
  <si>
    <t>glasereikovacs@aon.at</t>
  </si>
  <si>
    <t>https://bilder.dasschnelle.at/DasSchnelle/50/5000/9873/041444/I_041444_P_906196269_L_0036261747_1.png</t>
  </si>
  <si>
    <t>https://bilder.dasschnelle.at/DasSchnelle/50/5000/9873/041444/I_041444_P_906196269_B_0036261747_1.gal.png?height=295&amp;width=460;https://bilder.dasschnelle.at/DasSchnelle/50/5000/9873/041444/I_041444_P_906196269_B_0036261747_2.gal.png?height=295&amp;width=460;https://bilder.dasschnelle.at/DasSchnelle/50/5000/9873/041444/I_041444_P_906196269_B_0036261747_3.gal.png?height=295&amp;width=460;https://bilder.dasschnelle.at/DasSchnelle/50/5000/9873/041444/I_041444_P_906196269_B_0036261747_4.gal.png?height=295&amp;width=460</t>
  </si>
  <si>
    <t>Höll, Matthias, Raumausstatter • Abtenau • Salzburg</t>
  </si>
  <si>
    <t>Raumausstatter, Tapezierer u. Dekorateure • Höll, Matthias, Markt 120, Abtenau • Kontakt über aktuelle Telefonnummern ☎ und Adressen ⚑ mit Karte, Routing, Öffnungszeiten, Homepage, E-Mail, vCard und Firmendaten.</t>
  </si>
  <si>
    <t>Markt 120</t>
  </si>
  <si>
    <t>47.56511</t>
  </si>
  <si>
    <t>13.34628</t>
  </si>
  <si>
    <t>+43624323680;+436641239578</t>
  </si>
  <si>
    <t>raumausstattung.hoell@sbg.at</t>
  </si>
  <si>
    <t>https://bilder.dasschnelle.at/DasSchnelle/50/5000/9889/043587/G_043587_P_906196141.adn.gif</t>
  </si>
  <si>
    <t>Schnitzhofer, Josef, KFZ Werkstatt • Abtenau • Salzburg</t>
  </si>
  <si>
    <t>Autoreparaturen • Schnitzhofer, Josef, Markt 191, Abtenau • Kontakt über aktuelle Telefonnummern ☎ und Adressen ⚑ mit Karte, Routing, Öffnungszeiten, Homepage, E-Mail, vCard und Firmendaten.</t>
  </si>
  <si>
    <t>Markt 191</t>
  </si>
  <si>
    <t>47.56299</t>
  </si>
  <si>
    <t>13.34918</t>
  </si>
  <si>
    <t>+4362432298</t>
  </si>
  <si>
    <t>office@schnitzhofer.at</t>
  </si>
  <si>
    <t>https://bilder.dasschnelle.at/DasSchnelle/50/5000/9889/043587/G_043587_P_906196144.adn.gif</t>
  </si>
  <si>
    <t>Wolf, Gabi, Bekleidung • Reutte • Tirol</t>
  </si>
  <si>
    <t>Bekleidung • Wolf, Gabi, Obermarkt 35, Reutte • Kontakt über aktuelle Telefonnummern ☎ und Adressen ⚑ mit Karte, Routing, Öffnungszeiten, Homepage, E-Mail, vCard und Firmendaten.</t>
  </si>
  <si>
    <t>Obermarkt 35</t>
  </si>
  <si>
    <t>47.48787</t>
  </si>
  <si>
    <t>10.71956</t>
  </si>
  <si>
    <t>+43567262658</t>
  </si>
  <si>
    <t>gabiwolf@aon.at</t>
  </si>
  <si>
    <t>https://bilder.dasschnelle.at/DasSchnelle/50/5000/9921/042603/G_042603_P_906198261.adn.gif</t>
  </si>
  <si>
    <t>Niggl, Marcus, Tischlerei • Vils • Tirol</t>
  </si>
  <si>
    <t>Tischlereien • Niggl, Marcus, Stegen 2, Vils • Kontakt über aktuelle Telefonnummern ☎ und Adressen ⚑ mit Karte, Routing, Öffnungszeiten, Homepage, E-Mail, vCard und Firmendaten.</t>
  </si>
  <si>
    <t>Stegen 2</t>
  </si>
  <si>
    <t>6682</t>
  </si>
  <si>
    <t>Vils</t>
  </si>
  <si>
    <t>47.5482200</t>
  </si>
  <si>
    <t>10.6580600</t>
  </si>
  <si>
    <t>+4356778189;+436644731685</t>
  </si>
  <si>
    <t>tischlerei-niggl@gmx.at</t>
  </si>
  <si>
    <t>https://bilder.dasschnelle.at/DasSchnelle/50/5000/9921/042608/G_042608_P_906197167.adn.gif</t>
  </si>
  <si>
    <t>Wiener Verein Bestattungs- u VersicherungsservicegesmbH • Hallein • Salzburg</t>
  </si>
  <si>
    <t>Bestattungsunternehmen • Wiener Verein Bestattungs- u VersicherungsservicegesmbH, Salzachtalstraße 6, Hallein • Kontakt über aktuelle Telefonnummern ☎ und Adressen ⚑ mit Karte, Routing, Öffnungszeiten, Homepage, E-Mail, vCard und Firmendaten.</t>
  </si>
  <si>
    <t>Salzachtalstraße 6</t>
  </si>
  <si>
    <t>47.6779</t>
  </si>
  <si>
    <t>13.09699</t>
  </si>
  <si>
    <t>+43624580253</t>
  </si>
  <si>
    <t>office@wv-bestattung.at</t>
  </si>
  <si>
    <t>https://bilder.dasschnelle.at/DasSchnelle/50/5000/9889/043591/G_043591_P_906197300.adn.gif</t>
  </si>
  <si>
    <t>Bachler Erdbau GmbH, Raupen- u Baggerunternehmen • Abtenau • Salzburg</t>
  </si>
  <si>
    <t>Baggerungen u. Transporte • Bachler Erdbau GmbH, Lindenthal 74, Abtenau • Kontakt über aktuelle Telefonnummern ☎ und Adressen ⚑ mit Karte, Routing, Öffnungszeiten, Homepage, E-Mail, vCard und Firmendaten.</t>
  </si>
  <si>
    <t>Lindenthal 74</t>
  </si>
  <si>
    <t>47.5621001</t>
  </si>
  <si>
    <t>13.3927918</t>
  </si>
  <si>
    <t>+43624325510</t>
  </si>
  <si>
    <t>+436243255115</t>
  </si>
  <si>
    <t>transporte@erdbau-bachler.at</t>
  </si>
  <si>
    <t>https://bilder.dasschnelle.at/DasSchnelle/50/5000/9889/043587/G_043587_P_906198347.adn.gif</t>
  </si>
  <si>
    <t>Krötzl, Werner, Baggerunternehmen • Meggenhofen • Oberösterreich</t>
  </si>
  <si>
    <t>Erdbau • Krötzl, Werner, Bruckhof 1, Meggenhofen • Kontakt über aktuelle Telefonnummern ☎ und Adressen ⚑ mit Karte, Routing, Öffnungszeiten, Homepage, E-Mail, vCard und Firmendaten.</t>
  </si>
  <si>
    <t>Bruckhof 1</t>
  </si>
  <si>
    <t>4714</t>
  </si>
  <si>
    <t>Meggenhofen</t>
  </si>
  <si>
    <t>48.1717332</t>
  </si>
  <si>
    <t>13.8096860</t>
  </si>
  <si>
    <t>+436641498732</t>
  </si>
  <si>
    <t>office@werner-baggerungen.at</t>
  </si>
  <si>
    <t>https://bilder.dasschnelle.at/DasSchnelle/50/5000/9915/041960/I_041960_P_906267207_L_0038576457_1.png</t>
  </si>
  <si>
    <t>https://bilder.dasschnelle.at/DasSchnelle/50/5000/9915/041960/I_041960_P_906267207_B_0038576457_1.gal.png?height=398&amp;width=720;https://bilder.dasschnelle.at/DasSchnelle/50/5000/9915/041960/I_041960_P_906267207_B_0038576457_2.gal.png?height=398&amp;width=720;https://bilder.dasschnelle.at/DasSchnelle/50/5000/9915/041960/I_041960_P_906267207_B_0038576457_3.gal.png?height=645&amp;width=720;https://bilder.dasschnelle.at/DasSchnelle/50/5000/9915/041960/I_041960_P_906267207_B_0038576457_4.gal.png?height=414&amp;width=720</t>
  </si>
  <si>
    <t>Dr. Secklehner Rechtsanwalts KG • Windischgarsten • Oberösterreich</t>
  </si>
  <si>
    <t>Rechtsanwälte • Dr. Secklehner Rechtsanwalts KG, Rosenauerweg 16, Windischgarsten • Kontakt über aktuelle Telefonnummern ☎ und Adressen ⚑ mit Karte, Routing, Öffnungszeiten, Homepage, E-Mail, vCard und Firmendaten.</t>
  </si>
  <si>
    <t>Rosenauerweg 16</t>
  </si>
  <si>
    <t>47.71903</t>
  </si>
  <si>
    <t>14.3335</t>
  </si>
  <si>
    <t>+43361222219</t>
  </si>
  <si>
    <t>office@advoc.at</t>
  </si>
  <si>
    <t>Schwarz, Christian, Dr.med., FA f Zahn- Mund- u Kieferheilkunde • Stadl-Traun • Oberösterreich</t>
  </si>
  <si>
    <t>Ärzte / Fachärzte f. Mund-, Kiefer- u. Gesichtschirurgie, Ärzte / Fachärzte f. Zahn-, Mund u. Kieferheilkunde • Schwarz, Christian, Dr.med., Maximilian-Pagl-Straße 6 Stg 1, Stadl-Traun • Kontakt über aktuelle Telefonnummern ☎ und Adressen ⚑ mit Karte, Routing, Öffnungszeiten, Homepage, E-Mail, vCard und Firmendaten.</t>
  </si>
  <si>
    <t>Maximilian-Pagl-Straße 6 Stg 1</t>
  </si>
  <si>
    <t>Stadl-Traun</t>
  </si>
  <si>
    <t>48.08576</t>
  </si>
  <si>
    <t>13.87222</t>
  </si>
  <si>
    <t>+43724532141</t>
  </si>
  <si>
    <t>christian@doktor-schwarz.at</t>
  </si>
  <si>
    <t>https://bilder.dasschnelle.at/DasSchnelle/50/5000/9902/043581/G_043581_P_906200528.adn.gif</t>
  </si>
  <si>
    <t>Gehring, Martin, Erdbau • Schattwald • Tirol</t>
  </si>
  <si>
    <t>Erdbau • Gehring, Martin, Schattwald 54, Schattwald • Kontakt über aktuelle Telefonnummern ☎ und Adressen ⚑ mit Karte, Routing, Öffnungszeiten, Homepage, E-Mail, vCard und Firmendaten.</t>
  </si>
  <si>
    <t>Schattwald 54</t>
  </si>
  <si>
    <t>6677</t>
  </si>
  <si>
    <t>Schattwald</t>
  </si>
  <si>
    <t>47.5159138</t>
  </si>
  <si>
    <t>10.4584383</t>
  </si>
  <si>
    <t>+436764446705</t>
  </si>
  <si>
    <t>info@erdbau-gehring.at</t>
  </si>
  <si>
    <t>https://bilder.dasschnelle.at/DasSchnelle/50/5000/9921/042604/G_042604_P_906201730.adn.gif</t>
  </si>
  <si>
    <t>Mayr Entsorgungs- und Transport Gmb Kanal-und Grubendienst, Transportunternehmen • Wartberg an der Krems • Oberösterreich</t>
  </si>
  <si>
    <t>Kanal- u. Grubendienste • Mayr Entsorgungs- und Transport Gmb Kanal-und Grubendienst, Hiersdorf 16, Wartberg an der Krems • Kontakt über aktuelle Telefonnummern ☎ und Adressen ⚑ mit Karte, Routing, Öffnungszeiten, Homepage, E-Mail, vCard und Firmendaten.</t>
  </si>
  <si>
    <t>Hiersdorf 16</t>
  </si>
  <si>
    <t>47.9853322</t>
  </si>
  <si>
    <t>14.0859995</t>
  </si>
  <si>
    <t>+4375877740</t>
  </si>
  <si>
    <t>office@mayr-kanaldienst.at</t>
  </si>
  <si>
    <t>https://bilder.dasschnelle.at/DasSchnelle/50/5000/9895/046099/G_046099_P_906201768.adn.gif</t>
  </si>
  <si>
    <t>Krammer, Richard, Gas-Wasser-Heizung • Leopoldsdorf • Niederösterreich</t>
  </si>
  <si>
    <t>Gasinstallationen • Krammer, Richard, Hauptstraße 15, Leopoldsdorf • Kontakt über aktuelle Telefonnummern ☎ und Adressen ⚑ mit Karte, Routing, Öffnungszeiten, Homepage, E-Mail, vCard und Firmendaten.</t>
  </si>
  <si>
    <t>2333</t>
  </si>
  <si>
    <t>Leopoldsdorf</t>
  </si>
  <si>
    <t>48.1085400</t>
  </si>
  <si>
    <t>16.3954300</t>
  </si>
  <si>
    <t>+43223547174;+436641430405</t>
  </si>
  <si>
    <t>+43223573074</t>
  </si>
  <si>
    <t>krammer@krammer-installationen.at</t>
  </si>
  <si>
    <t>https://bilder.dasschnelle.at/DasSchnelle/50/5000/9930/044513/I_044513_P_906201721_L_0036031557_1.png</t>
  </si>
  <si>
    <t>https://bilder.dasschnelle.at/DasSchnelle/50/5000/9930/044513/I_044513_P_906201721_B_0036031557_1.gal.png?height=199&amp;width=300;https://bilder.dasschnelle.at/DasSchnelle/50/5000/9930/044513/I_044513_P_906201721_B_0036031557_2.gal.png?height=201&amp;width=300;https://bilder.dasschnelle.at/DasSchnelle/50/5000/9930/044513/I_044513_P_906201721_B_0036031557_3.gal.png?height=199&amp;width=300</t>
  </si>
  <si>
    <t>Pichler, Martin, Glaserei • Oberalm • Salzburg</t>
  </si>
  <si>
    <t>Glasereien • Pichler, Martin, Kohlreitgutweg 3, Oberalm • Kontakt über aktuelle Telefonnummern ☎ und Adressen ⚑ mit Karte, Routing, Öffnungszeiten, Homepage, E-Mail, vCard und Firmendaten.</t>
  </si>
  <si>
    <t>Kohlreitgutweg 3</t>
  </si>
  <si>
    <t>47.70124</t>
  </si>
  <si>
    <t>13.0977</t>
  </si>
  <si>
    <t>+43624585017</t>
  </si>
  <si>
    <t>+43624582041</t>
  </si>
  <si>
    <t>office@glas-pichler.at</t>
  </si>
  <si>
    <t>https://bilder.dasschnelle.at/DasSchnelle/50/5000/9889/043594/G_043594_P_906201782.adn.gif</t>
  </si>
  <si>
    <t>Vogl &amp; Co. AutoverkaufsgesmbH, Autohandel • Kapfenberg • Steiermark</t>
  </si>
  <si>
    <t>Autohandel • Vogl &amp; Co. AutoverkaufsgesmbH, Werk-VI-Straße 33, Kapfenberg • Kontakt über aktuelle Telefonnummern ☎ und Adressen ⚑ mit Karte, Routing, Öffnungszeiten, Homepage, E-Mail, vCard und Firmendaten.</t>
  </si>
  <si>
    <t>Werk-VI-Straße 33</t>
  </si>
  <si>
    <t>47.45078</t>
  </si>
  <si>
    <t>15.32202</t>
  </si>
  <si>
    <t>+43386228882</t>
  </si>
  <si>
    <t>andreas.winkler@vogl-kapfenberg.at</t>
  </si>
  <si>
    <t>https://bilder.dasschnelle.at/DasSchnelle/50/5000/9874/061367/G_061367_P_906202530.adn.gif</t>
  </si>
  <si>
    <t>Gstettner, Roland, Karosseriebau • Langenwang • Steiermark</t>
  </si>
  <si>
    <t>Karosseriebau • Gstettner, Roland, Schwöbing 65, Langenwang • Kontakt über aktuelle Telefonnummern ☎ und Adressen ⚑ mit Karte, Routing, Öffnungszeiten, Homepage, E-Mail, vCard und Firmendaten.</t>
  </si>
  <si>
    <t>Schwöbing 65</t>
  </si>
  <si>
    <t>47.5586006</t>
  </si>
  <si>
    <t>15.5857910</t>
  </si>
  <si>
    <t>+436641923250</t>
  </si>
  <si>
    <t>roland@gstettner.co.at</t>
  </si>
  <si>
    <t>https://bilder.dasschnelle.at/DasSchnelle/50/5000/9911/044891/G_044891_P_906202532.adn.gif</t>
  </si>
  <si>
    <t>Knittel, Michael, Bäckerei • Reutte • Tirol</t>
  </si>
  <si>
    <t>Bäckereien • Knittel, Michael, Obermarkt 29, Reutte • Kontakt über aktuelle Telefonnummern ☎ und Adressen ⚑ mit Karte, Routing, Öffnungszeiten, Homepage, E-Mail, vCard und Firmendaten.</t>
  </si>
  <si>
    <t>Obermarkt 29</t>
  </si>
  <si>
    <t>47.48826</t>
  </si>
  <si>
    <t>10.71934</t>
  </si>
  <si>
    <t>+43567262507</t>
  </si>
  <si>
    <t>baeckerei-knittel@tnr.at</t>
  </si>
  <si>
    <t>https://bilder.dasschnelle.at/DasSchnelle/50/5000/9921/042603/G_042603_P_906202534.adn.gif</t>
  </si>
  <si>
    <t>Loidl, Elektro • Golling an der Salzach • Salzburg</t>
  </si>
  <si>
    <t>Elektrogeräte u. -bedarf, Elektrohandel, Elektrotechnik • Loidl, Markt 157, Golling an der Salzach • Kontakt über aktuelle Telefonnummern ☎ und Adressen ⚑ mit Karte, Routing, Öffnungszeiten, Homepage, E-Mail, vCard und Firmendaten.</t>
  </si>
  <si>
    <t>Markt 157</t>
  </si>
  <si>
    <t>47.59783</t>
  </si>
  <si>
    <t>13.16662</t>
  </si>
  <si>
    <t>+4362444377</t>
  </si>
  <si>
    <t>+43624443771</t>
  </si>
  <si>
    <t>elektro.loidl@sbg.at</t>
  </si>
  <si>
    <t>https://bilder.dasschnelle.at/DasSchnelle/50/5000/9889/043590/G_043590_P_906202681.adn.gif</t>
  </si>
  <si>
    <t>Herbst, Patrick, Tischlerei • Wartberg im Mürztal • Steiermark</t>
  </si>
  <si>
    <t>Tischlereien • Herbst, Patrick, Volksheimstraße 16, Wartberg im Mürztal • Kontakt über aktuelle Telefonnummern ☎ und Adressen ⚑ mit Karte, Routing, Öffnungszeiten, Homepage, E-Mail, vCard und Firmendaten.</t>
  </si>
  <si>
    <t>Volksheimstraße 16</t>
  </si>
  <si>
    <t>8661</t>
  </si>
  <si>
    <t>Wartberg im Mürztal</t>
  </si>
  <si>
    <t>47.52855</t>
  </si>
  <si>
    <t>15.49812</t>
  </si>
  <si>
    <t>+436769266102</t>
  </si>
  <si>
    <t>office@patrick-herbst.at</t>
  </si>
  <si>
    <t>https://bilder.dasschnelle.at/DasSchnelle/50/5000/9911/061435/G_061435_P_906202623.adn.gif</t>
  </si>
  <si>
    <t>Malerei Erik van de Meerakker, Malereibetriebe • Lindenthal • Salzburg</t>
  </si>
  <si>
    <t>Malereibetriebe • Malerei Erik van de Meerakker, Lindenthal • Kontakt über aktuelle Telefonnummern ☎ und Adressen ⚑ mit Karte, Routing, Öffnungszeiten, Homepage, E-Mail, vCard und Firmendaten.</t>
  </si>
  <si>
    <t>Lindenthal</t>
  </si>
  <si>
    <t>47.5632016</t>
  </si>
  <si>
    <t>13.3711190</t>
  </si>
  <si>
    <t>+4362434208;+436645118108</t>
  </si>
  <si>
    <t>office@meerakker.at</t>
  </si>
  <si>
    <t>https://bilder.dasschnelle.at/DasSchnelle/50/5000/9889/043587/G_043587_P_906203441.adn.gif</t>
  </si>
  <si>
    <t>DES IS`A TAXI e.U. • Hallein • Salzburg</t>
  </si>
  <si>
    <t>Taxi • DES IS`A TAXI e.U., Brennerhofstraße 13, Hallein • Kontakt über aktuelle Telefonnummern ☎ und Adressen ⚑ mit Karte, Routing, Öffnungszeiten, Homepage, E-Mail, vCard und Firmendaten.</t>
  </si>
  <si>
    <t>Brennerhofstraße 13</t>
  </si>
  <si>
    <t>47.67822</t>
  </si>
  <si>
    <t>13.11489</t>
  </si>
  <si>
    <t>+43624570400</t>
  </si>
  <si>
    <t>info@taxi-hallein.at</t>
  </si>
  <si>
    <t>https://bilder.dasschnelle.at/DasSchnelle/50/5000/9889/043591/G_043591_P_906203444.adn.gif</t>
  </si>
  <si>
    <t>Schwarzkogler, Reinhard, Dr.iur., RA u Verteidiger in Strafsachen • Lambach • Oberösterreich</t>
  </si>
  <si>
    <t>Rechtsanwälte • Schwarzkogler, Reinhard, Dr.iur., Marktplatz 2, Lambach • Kontakt über aktuelle Telefonnummern ☎ und Adressen ⚑ mit Karte, Routing, Öffnungszeiten, Homepage, E-Mail, vCard und Firmendaten.</t>
  </si>
  <si>
    <t>48.0909831</t>
  </si>
  <si>
    <t>13.8744781</t>
  </si>
  <si>
    <t>+437245217080</t>
  </si>
  <si>
    <t>+4372452170820</t>
  </si>
  <si>
    <t>office@lawmaster.at</t>
  </si>
  <si>
    <t>https://bilder.dasschnelle.at/DasSchnelle/50/5000/9902/998200/G_998200_P_906203545.adn.gif</t>
  </si>
  <si>
    <t>NSM Taxi GmbH Taxi ENTERPRISE • Völkermarkt • Kärnten</t>
  </si>
  <si>
    <t>Taxi • NSM Taxi GmbH Taxi ENTERPRISE, Switbert Lobisser-Straße 16, Völkermarkt • Kontakt über aktuelle Telefonnummern ☎ und Adressen ⚑ mit Karte, Routing, Öffnungszeiten, Homepage, E-Mail, vCard und Firmendaten.</t>
  </si>
  <si>
    <t>Switbert Lobisser-Straße 16</t>
  </si>
  <si>
    <t>46.7338200</t>
  </si>
  <si>
    <t>14.8823000</t>
  </si>
  <si>
    <t>+436642399932</t>
  </si>
  <si>
    <t>office@taxi-enterprise.at</t>
  </si>
  <si>
    <t>https://bilder.dasschnelle.at/DasSchnelle/50/5000/9942/042037/I_042037_P_906203550_L_0035970461_1.png</t>
  </si>
  <si>
    <t>https://bilder.dasschnelle.at/DasSchnelle/50/5000/9942/042037/I_042037_P_906203550_B_0035970461_1.gal.png?height=399&amp;width=600;https://bilder.dasschnelle.at/DasSchnelle/50/5000/9942/042037/I_042037_P_906203550_B_0035970461_2.gal.png?height=399&amp;width=600;https://bilder.dasschnelle.at/DasSchnelle/50/5000/9942/042037/I_042037_P_906203550_B_0035970461_3.gal.png?height=450&amp;width=600;https://bilder.dasschnelle.at/DasSchnelle/50/5000/9942/042037/I_042037_P_906203550_B_0035970461_4.gal.png?height=399&amp;width=600</t>
  </si>
  <si>
    <t>Happenhofer Bau GmbH, Erdbau • Dörflach • Steiermark</t>
  </si>
  <si>
    <t>Erdbau • Happenhofer Bau GmbH, Draiach 15, Dörflach • Kontakt über aktuelle Telefonnummern ☎ und Adressen ⚑ mit Karte, Routing, Öffnungszeiten, Homepage, E-Mail, vCard und Firmendaten.</t>
  </si>
  <si>
    <t>Draiach 15</t>
  </si>
  <si>
    <t>Dörflach</t>
  </si>
  <si>
    <t>47.5495324</t>
  </si>
  <si>
    <t>15.2726571</t>
  </si>
  <si>
    <t>+436643252852</t>
  </si>
  <si>
    <t>office@happenhofer-bau.at</t>
  </si>
  <si>
    <t>https://bilder.dasschnelle.at/DasSchnelle/50/5000/9874/061459/G_061459_P_906205124.adn.gif</t>
  </si>
  <si>
    <t>Guem, Alexander, Schlosserei-Metallbau • Ehrwald • Tirol</t>
  </si>
  <si>
    <t>Schlossereien • Guem, Alexander, Wettersteinstraße 13, Ehrwald • Kontakt über aktuelle Telefonnummern ☎ und Adressen ⚑ mit Karte, Routing, Öffnungszeiten, Homepage, E-Mail, vCard und Firmendaten.</t>
  </si>
  <si>
    <t>Wettersteinstraße 13</t>
  </si>
  <si>
    <t>6632</t>
  </si>
  <si>
    <t>Ehrwald</t>
  </si>
  <si>
    <t>47.40032</t>
  </si>
  <si>
    <t>10.92163</t>
  </si>
  <si>
    <t>+436764094851</t>
  </si>
  <si>
    <t>guem.schlosserei@gmail.com</t>
  </si>
  <si>
    <t>https://bilder.dasschnelle.at/DasSchnelle/50/5000/9921/044843/G_044843_P_906205451.adn.gif</t>
  </si>
  <si>
    <t>Thaler, Eva, Fußpflege • Hefenscher • Salzburg</t>
  </si>
  <si>
    <t>Fußpflege • Thaler, Eva, Hefenscher • Kontakt über aktuelle Telefonnummern ☎ und Adressen ⚑ mit Karte, Routing, Öffnungszeiten, Homepage, E-Mail, vCard und Firmendaten.</t>
  </si>
  <si>
    <t>Hefenscher</t>
  </si>
  <si>
    <t>47.5209389</t>
  </si>
  <si>
    <t>13.4292776</t>
  </si>
  <si>
    <t>+436643163345</t>
  </si>
  <si>
    <t>https://bilder.dasschnelle.at/DasSchnelle/50/5000/9889/043589/G_043589_P_906205417.adn.gif</t>
  </si>
  <si>
    <t>Tischlerei Wallinger GesmbH &amp; Co. KG. • Sankt Koloman • Salzburg</t>
  </si>
  <si>
    <t>Tischlereien • Tischlerei Wallinger GesmbH &amp; Co. KG., Tiefenbachstraße 160, Sankt Koloman • Kontakt über aktuelle Telefonnummern ☎ und Adressen ⚑ mit Karte, Routing, Öffnungszeiten, Homepage, E-Mail, vCard und Firmendaten.</t>
  </si>
  <si>
    <t>Tiefenbachstraße 160</t>
  </si>
  <si>
    <t>5423</t>
  </si>
  <si>
    <t>Sankt Koloman</t>
  </si>
  <si>
    <t>47.64849</t>
  </si>
  <si>
    <t>13.20573</t>
  </si>
  <si>
    <t>+4362418998</t>
  </si>
  <si>
    <t>office@wallinger.co.at</t>
  </si>
  <si>
    <t>https://bilder.dasschnelle.at/DasSchnelle/50/5000/9889/043597/G_043597_P_906205419.adn.gif</t>
  </si>
  <si>
    <t>Prinz, Gregor, Dr.med., FA f HNO-Erkrankungen • Eferding • Oberösterreich</t>
  </si>
  <si>
    <t>Ärzte / Fachärzte f. Hals-, Nasen u. Ohrenkrankheiten • Prinz, Gregor, Dr.med., Welser Straße 4, Eferding • Kontakt über aktuelle Telefonnummern ☎ und Adressen ⚑ mit Karte, Routing, Öffnungszeiten, Homepage, E-Mail, vCard und Firmendaten.</t>
  </si>
  <si>
    <t>Welser Straße 4</t>
  </si>
  <si>
    <t>48.30633</t>
  </si>
  <si>
    <t>14.02269</t>
  </si>
  <si>
    <t>+4372727666</t>
  </si>
  <si>
    <t>+437272766677</t>
  </si>
  <si>
    <t>https://bilder.dasschnelle.at/DasSchnelle/50/5000/9876/044805/G_044805_P_906206507.adn.gif</t>
  </si>
  <si>
    <t>Wallner Otto GmbH &amp; Co KG, Holzfachmarkt • Bruck an der Mur • Steiermark</t>
  </si>
  <si>
    <t>Holzfachmärkte • Wallner Otto GmbH &amp; Co KG, Wiener Straße 63, Bruck an der Mur • Kontakt über aktuelle Telefonnummern ☎ und Adressen ⚑ mit Karte, Routing, Öffnungszeiten, Homepage, E-Mail, vCard und Firmendaten.</t>
  </si>
  <si>
    <t>47.4199453</t>
  </si>
  <si>
    <t>15.2739872</t>
  </si>
  <si>
    <t>+433862525410</t>
  </si>
  <si>
    <t>+4338625254120</t>
  </si>
  <si>
    <t>office@wallnerholz.at</t>
  </si>
  <si>
    <t>https://bilder.dasschnelle.at/DasSchnelle/50/5000/9874/061404/I_061404_P_906206394_L_0037078607_1.png</t>
  </si>
  <si>
    <t>https://bilder.dasschnelle.at/DasSchnelle/50/5000/9874/061404/I_061404_P_906206394_B_0037078607_1.gal.png?height=402&amp;width=600;https://bilder.dasschnelle.at/DasSchnelle/50/5000/9874/061404/I_061404_P_906206394_B_0037078607_2.gal.png?height=402&amp;width=600;https://bilder.dasschnelle.at/DasSchnelle/50/5000/9874/061404/I_061404_P_906206394_B_0037078607_3.gal.png?height=402&amp;width=600;https://bilder.dasschnelle.at/DasSchnelle/50/5000/9874/061404/I_061404_P_906206394_B_0037078607_4.gal.png?height=402&amp;width=600</t>
  </si>
  <si>
    <t>Fensterladen Ing. Christian Höller • Kindberg-Mürzhofen • Steiermark</t>
  </si>
  <si>
    <t>Fenster u. Türen • Fensterladen Ing. Christian Höller, Grazerstraße 41, Kindberg-Mürzhofen • Kontakt über aktuelle Telefonnummern ☎ und Adressen ⚑ mit Karte, Routing, Öffnungszeiten, Homepage, E-Mail, vCard und Firmendaten.</t>
  </si>
  <si>
    <t>Grazerstraße 41</t>
  </si>
  <si>
    <t>Kindberg-Mürzhofen</t>
  </si>
  <si>
    <t>47.4753139</t>
  </si>
  <si>
    <t>15.3586975</t>
  </si>
  <si>
    <t>+4366488269277</t>
  </si>
  <si>
    <t>christian.hoeller@meinfensterladen.at</t>
  </si>
  <si>
    <t>https://bilder.dasschnelle.at/DasSchnelle/50/5000/9911/061380/I_061380_P_906207651_L_0038339990_1.png</t>
  </si>
  <si>
    <t>https://bilder.dasschnelle.at/DasSchnelle/50/5000/9911/061380/I_061380_P_906207651_B_0038339990_1.gal.png?height=400&amp;width=600;https://bilder.dasschnelle.at/DasSchnelle/50/5000/9911/061380/I_061380_P_906207651_B_0038339990_2.gal.png?height=457&amp;width=600;https://bilder.dasschnelle.at/DasSchnelle/50/5000/9911/061380/I_061380_P_906207651_B_0038339990_3.gal.png?height=399&amp;width=600;https://bilder.dasschnelle.at/DasSchnelle/50/5000/9911/061380/I_061380_P_906207651_B_0038339990_4.gal.png?height=400&amp;width=600</t>
  </si>
  <si>
    <t>Oppitz-Glas GesmbH • Kapfenberg • Steiermark</t>
  </si>
  <si>
    <t>Glas u. Service • Oppitz-Glas GesmbH, Lindenplatz 7, Kapfenberg • Kontakt über aktuelle Telefonnummern ☎ und Adressen ⚑ mit Karte, Routing, Öffnungszeiten, Homepage, E-Mail, vCard und Firmendaten.</t>
  </si>
  <si>
    <t>Lindenplatz 7</t>
  </si>
  <si>
    <t>47.44048</t>
  </si>
  <si>
    <t>15.28819</t>
  </si>
  <si>
    <t>+43386222592</t>
  </si>
  <si>
    <t>office@glas-oppitz.at</t>
  </si>
  <si>
    <t>Hammer, Alfred, Fenster-Türen • Reutte • Tirol</t>
  </si>
  <si>
    <t>Fenster u. Türen • Hammer, Alfred, Bahnhofstraße 7, Reutte • Kontakt über aktuelle Telefonnummern ☎ und Adressen ⚑ mit Karte, Routing, Öffnungszeiten, Homepage, E-Mail, vCard und Firmendaten.</t>
  </si>
  <si>
    <t>47.49311</t>
  </si>
  <si>
    <t>10.71919</t>
  </si>
  <si>
    <t>+43567273208</t>
  </si>
  <si>
    <t>+43567273209</t>
  </si>
  <si>
    <t>office@hammer-fenster.at</t>
  </si>
  <si>
    <t>https://bilder.dasschnelle.at/DasSchnelle/50/5000/9921/042603/I_042603_P_906207659_L_0035971137_1.png</t>
  </si>
  <si>
    <t>https://bilder.dasschnelle.at/DasSchnelle/50/5000/9921/042603/I_042603_P_906207659_B_0035971137_1.gal.png?height=337&amp;width=600;https://bilder.dasschnelle.at/DasSchnelle/50/5000/9921/042603/I_042603_P_906207659_B_0035971137_2.gal.png?height=337&amp;width=600;https://bilder.dasschnelle.at/DasSchnelle/50/5000/9921/042603/I_042603_P_906207659_B_0035971137_3.gal.png?height=337&amp;width=600;https://bilder.dasschnelle.at/DasSchnelle/50/5000/9921/042603/I_042603_P_906207659_B_0035971137_4.gal.png?height=279&amp;width=537</t>
  </si>
  <si>
    <t>Akito, Floristin • Kuchl • Salzburg</t>
  </si>
  <si>
    <t>Blumenhandel • Akito, Markt 6, Kuchl • Kontakt über aktuelle Telefonnummern ☎ und Adressen ⚑ mit Karte, Routing, Öffnungszeiten, Homepage, E-Mail, vCard und Firmendaten.</t>
  </si>
  <si>
    <t>47.62731</t>
  </si>
  <si>
    <t>13.14487</t>
  </si>
  <si>
    <t>+4362446158</t>
  </si>
  <si>
    <t>info@akito-blumen.at</t>
  </si>
  <si>
    <t>https://bilder.dasschnelle.at/DasSchnelle/50/5000/9889/043593/I_043593_P_906206534_L_0037073501_1.png</t>
  </si>
  <si>
    <t>https://bilder.dasschnelle.at/DasSchnelle/50/5000/9889/043593/I_043593_P_906206534_B_0037073501_1.gal.png?height=372&amp;width=372;https://bilder.dasschnelle.at/DasSchnelle/50/5000/9889/043593/I_043593_P_906206534_B_0037073501_2.gal.png?height=372&amp;width=372;https://bilder.dasschnelle.at/DasSchnelle/50/5000/9889/043593/I_043593_P_906206534_B_0037073501_3.gal.png?height=606&amp;width=606;https://bilder.dasschnelle.at/DasSchnelle/50/5000/9889/043593/I_043593_P_906206534_B_0037073501_4.gal.png?height=564&amp;width=564;https://bilder.dasschnelle.at/DasSchnelle/50/5000/9889/043593/G_043593_P_906206534.adn.gif</t>
  </si>
  <si>
    <t>Hofer, Peter-Matthias, Tischlereien • Kuchl • Salzburg</t>
  </si>
  <si>
    <t>Tischlereien • Hofer, Peter-Matthias, Georgenberg 311, Kuchl • Kontakt über aktuelle Telefonnummern ☎ und Adressen ⚑ mit Karte, Routing, Öffnungszeiten, Homepage, E-Mail, vCard und Firmendaten.</t>
  </si>
  <si>
    <t>Georgenberg 311</t>
  </si>
  <si>
    <t>47.6175385</t>
  </si>
  <si>
    <t>13.1609071</t>
  </si>
  <si>
    <t>+4362443683;+436645025425</t>
  </si>
  <si>
    <t>peter.hofer@tischlerei-hofer.at</t>
  </si>
  <si>
    <t>https://bilder.dasschnelle.at/DasSchnelle/50/5000/9889/043593/I_043593_P_906208398_L_0037073375_1.png</t>
  </si>
  <si>
    <t>https://bilder.dasschnelle.at/DasSchnelle/50/5000/9889/043593/I_043593_P_906208398_B_0037073375_1.gal.png?height=480&amp;width=720;https://bilder.dasschnelle.at/DasSchnelle/50/5000/9889/043593/I_043593_P_906208398_B_0037073375_2.gal.png?height=480&amp;width=720;https://bilder.dasschnelle.at/DasSchnelle/50/5000/9889/043593/I_043593_P_906208398_B_0037073375_3.gal.png?height=540&amp;width=720;https://bilder.dasschnelle.at/DasSchnelle/50/5000/9889/043593/I_043593_P_906208398_B_0037073375_4.gal.png?height=540&amp;width=720</t>
  </si>
  <si>
    <t>Optik Köpfelsberger GmbH • Kindberg • Steiermark</t>
  </si>
  <si>
    <t>Optik • Optik Köpfelsberger GmbH, Hauptstraße 84, Kindberg • Kontakt über aktuelle Telefonnummern ☎ und Adressen ⚑ mit Karte, Routing, Öffnungszeiten, Homepage, E-Mail, vCard und Firmendaten.</t>
  </si>
  <si>
    <t>Hauptstraße 84</t>
  </si>
  <si>
    <t>47.50429</t>
  </si>
  <si>
    <t>15.44624</t>
  </si>
  <si>
    <t>+4338652453</t>
  </si>
  <si>
    <t>optik.koepfelsberger@aon.at</t>
  </si>
  <si>
    <t>https://bilder.dasschnelle.at/DasSchnelle/50/5000/9911/061380/G_061380_P_906208405.adn.gif</t>
  </si>
  <si>
    <t>Ing. Helfried Csamay GmbH, Sanitär- u. Heizungstechnik • Krieglach • Steiermark</t>
  </si>
  <si>
    <t>Sanitäranlagen u. -einrichtungen • Ing. Helfried Csamay GmbH, Grazer Straße 22, Krieglach • Kontakt über aktuelle Telefonnummern ☎ und Adressen ⚑ mit Karte, Routing, Öffnungszeiten, Homepage, E-Mail, vCard und Firmendaten.</t>
  </si>
  <si>
    <t>Grazer Straße 22</t>
  </si>
  <si>
    <t>47.54388</t>
  </si>
  <si>
    <t>15.55903</t>
  </si>
  <si>
    <t>+4338552622</t>
  </si>
  <si>
    <t>office@csamay.at</t>
  </si>
  <si>
    <t>https://bilder.dasschnelle.at/DasSchnelle/50/5000/9911/044890/I_044890_P_906209543_L_0036233204_1.png</t>
  </si>
  <si>
    <t>Tierarztpraxis Dr. Plattner OG • Weiz • Steiermark</t>
  </si>
  <si>
    <t>Tierärzte • Tierarztpraxis Dr. Plattner OG, Birkfelder Straße 33, Weiz • Kontakt über aktuelle Telefonnummern ☎ und Adressen ⚑ mit Karte, Routing, Öffnungszeiten, Homepage, E-Mail, vCard und Firmendaten.</t>
  </si>
  <si>
    <t>Birkfelder Straße 33</t>
  </si>
  <si>
    <t>47.21877</t>
  </si>
  <si>
    <t>15.63034</t>
  </si>
  <si>
    <t>+43317238756</t>
  </si>
  <si>
    <t>dr.plattner@aon.at</t>
  </si>
  <si>
    <t>https://bilder.dasschnelle.at/DasSchnelle/50/5000/9944/061397/G_061397_P_906209545.adn.gif</t>
  </si>
  <si>
    <t>Hautzinger, Markus, Glaserei • Mönchhof • Burgenland</t>
  </si>
  <si>
    <t>Glasereien • Hautzinger, Markus, Neustiftgasse 70, Mönchhof • Kontakt über aktuelle Telefonnummern ☎ und Adressen ⚑ mit Karte, Routing, Öffnungszeiten, Homepage, E-Mail, vCard und Firmendaten.</t>
  </si>
  <si>
    <t>Neustiftgasse 70</t>
  </si>
  <si>
    <t>47.8709</t>
  </si>
  <si>
    <t>16.94468</t>
  </si>
  <si>
    <t>+43217380299</t>
  </si>
  <si>
    <t>office@glas-hautzinger.at</t>
  </si>
  <si>
    <t>https://bilder.dasschnelle.at/DasSchnelle/50/5000/9873/041703/I_041703_P_906210928_L_0036262349_1.png</t>
  </si>
  <si>
    <t>https://bilder.dasschnelle.at/DasSchnelle/50/5000/9873/041703/I_041703_P_906210928_B_0036262349_1.gal.png?height=432&amp;width=720;https://bilder.dasschnelle.at/DasSchnelle/50/5000/9873/041703/I_041703_P_906210928_B_0036262349_2.gal.png?height=600&amp;width=429;https://bilder.dasschnelle.at/DasSchnelle/50/5000/9873/041703/I_041703_P_906210928_B_0036262349_3.gal.png?height=600&amp;width=360;https://bilder.dasschnelle.at/DasSchnelle/50/5000/9873/041703/I_041703_P_906210928_B_0036262349_4.gal.png?height=600&amp;width=450</t>
  </si>
  <si>
    <t>Tennengauer Versicherung • Golling an der Salzach • Salzburg</t>
  </si>
  <si>
    <t>Versicherungsunternehmen • Tennengauer Versicherung, Markt 70, Golling an der Salzach • Kontakt über aktuelle Telefonnummern ☎ und Adressen ⚑ mit Karte, Routing, Öffnungszeiten, Homepage, E-Mail, vCard und Firmendaten.</t>
  </si>
  <si>
    <t>Markt 70</t>
  </si>
  <si>
    <t>47.59573</t>
  </si>
  <si>
    <t>13.16985</t>
  </si>
  <si>
    <t>+436244508820;+436244508822</t>
  </si>
  <si>
    <t>tennengauer.versicherung@sbg.at</t>
  </si>
  <si>
    <t>https://bilder.dasschnelle.at/DasSchnelle/50/5000/9889/043590/G_043590_P_906210941.adn.gif</t>
  </si>
  <si>
    <t>Perner, Walter, Tischlereien • Stanz im Mürztal • Steiermark</t>
  </si>
  <si>
    <t>Tischlereien • Perner, Walter, Stanz im Mürztal 87, Stanz im Mürztal • Kontakt über aktuelle Telefonnummern ☎ und Adressen ⚑ mit Karte, Routing, Öffnungszeiten, Homepage, E-Mail, vCard und Firmendaten.</t>
  </si>
  <si>
    <t>Stanz im Mürztal 87</t>
  </si>
  <si>
    <t>47.4700000</t>
  </si>
  <si>
    <t>15.5000000</t>
  </si>
  <si>
    <t>+4338658265</t>
  </si>
  <si>
    <t>office@tischlerei-perner.at</t>
  </si>
  <si>
    <t>https://bilder.dasschnelle.at/DasSchnelle/50/5000/9911/045102/G_045102_P_906210880.adn.gif</t>
  </si>
  <si>
    <t>Kneihsl Ludwig GesmbH, Heiztechnik • Mürzzuschlag • Steiermark</t>
  </si>
  <si>
    <t>Heizungen • Kneihsl Ludwig GesmbH, Königsbrunngasse 7, Mürzzuschlag • Kontakt über aktuelle Telefonnummern ☎ und Adressen ⚑ mit Karte, Routing, Öffnungszeiten, Homepage, E-Mail, vCard und Firmendaten.</t>
  </si>
  <si>
    <t>Königsbrunngasse 7</t>
  </si>
  <si>
    <t>47.60591</t>
  </si>
  <si>
    <t>15.67047</t>
  </si>
  <si>
    <t>+43385222560</t>
  </si>
  <si>
    <t>office@kneihsl.at</t>
  </si>
  <si>
    <t>https://bilder.dasschnelle.at/DasSchnelle/50/5000/9911/061431/I_061431_P_906210886_L_0036256228_1.png</t>
  </si>
  <si>
    <t>https://bilder.dasschnelle.at/DasSchnelle/50/5000/9911/061431/I_061431_P_906210886_B_0036256228_1.gal.png?height=285&amp;width=472;https://bilder.dasschnelle.at/DasSchnelle/50/5000/9911/061431/I_061431_P_906210886_B_0036256228_2.gal.png?height=285&amp;width=472;https://bilder.dasschnelle.at/DasSchnelle/50/5000/9911/061431/I_061431_P_906210886_B_0036256228_3.gal.png?height=474&amp;width=720;https://bilder.dasschnelle.at/DasSchnelle/50/5000/9911/061431/I_061431_P_906210886_B_0036256228_4.gal.png?height=321&amp;width=454;https://bilder.dasschnelle.at/DasSchnelle/50/5000/9911/061431/G_061431_P_906210886.adn.gif</t>
  </si>
  <si>
    <t>Frank Johann Zimmerei u Holzbau GmbH, Zimmerei • Sankt Margarethen • Salzburg</t>
  </si>
  <si>
    <t>Zimmereien • Frank Johann Zimmerei u Holzbau GmbH, Sankt Margarethenstraße 60, Sankt Margarethen • Kontakt über aktuelle Telefonnummern ☎ und Adressen ⚑ mit Karte, Routing, Öffnungszeiten, Homepage, E-Mail, vCard und Firmendaten.</t>
  </si>
  <si>
    <t>Sankt Margarethenstraße 60</t>
  </si>
  <si>
    <t>Sankt Margarethen</t>
  </si>
  <si>
    <t>47.67433</t>
  </si>
  <si>
    <t>13.12817</t>
  </si>
  <si>
    <t>+43624584420;+436649063672;+436648444120</t>
  </si>
  <si>
    <t>office@holzbau-frank.at</t>
  </si>
  <si>
    <t>https://bilder.dasschnelle.at/DasSchnelle/50/5000/9889/043599/I_043599_P_906210798_L_0036891894_1.png</t>
  </si>
  <si>
    <t>https://bilder.dasschnelle.at/DasSchnelle/50/5000/9889/043599/I_043599_P_906210798_B_0036891894_1.gal.png?height=540&amp;width=720;https://bilder.dasschnelle.at/DasSchnelle/50/5000/9889/043599/I_043599_P_906210798_B_0036891894_2.gal.png?height=540&amp;width=720;https://bilder.dasschnelle.at/DasSchnelle/50/5000/9889/043599/I_043599_P_906210798_B_0036891894_3.gal.png?height=461&amp;width=720;https://bilder.dasschnelle.at/DasSchnelle/50/5000/9889/043599/I_043599_P_906210798_B_0036891894_4.gal.png?height=540&amp;width=720;https://bilder.dasschnelle.at/DasSchnelle/50/5000/9889/043599/G_043599_P_906210798.adn.gif</t>
  </si>
  <si>
    <t>Gerhard Füssel Steuerberatung priv:, Wirtschaftstreuhänder / SteuerberaterKanzlei • Gunskirchen • Oberösterreich</t>
  </si>
  <si>
    <t>Wirtschaftstreuhänder / Steuerberater • Gerhard Füssel Steuerberatung priv:, Welser Straße 64, Gunskirchen • Kontakt über aktuelle Telefonnummern ☎ und Adressen ⚑ mit Karte, Routing, Öffnungszeiten, Homepage, E-Mail, vCard und Firmendaten.</t>
  </si>
  <si>
    <t>Welser Straße 64</t>
  </si>
  <si>
    <t>48.13095</t>
  </si>
  <si>
    <t>13.93965</t>
  </si>
  <si>
    <t>+43724664620</t>
  </si>
  <si>
    <t>office@fuessel.at</t>
  </si>
  <si>
    <t>https://bilder.dasschnelle.at/DasSchnelle/50/5000/9915/043569/G_043569_P_906210925.adn.gif</t>
  </si>
  <si>
    <t>Taufner, Gerhard, Dr., RA u Vert i Strafs • Melk • Niederösterreich</t>
  </si>
  <si>
    <t>Rechtsanwälte • Taufner, Gerhard, Dr., Bahnhofplatz 4, Melk • Kontakt über aktuelle Telefonnummern ☎ und Adressen ⚑ mit Karte, Routing, Öffnungszeiten, Homepage, E-Mail, vCard und Firmendaten.</t>
  </si>
  <si>
    <t>Bahnhofplatz 4</t>
  </si>
  <si>
    <t>48.22515</t>
  </si>
  <si>
    <t>15.33064</t>
  </si>
  <si>
    <t>+432752524660</t>
  </si>
  <si>
    <t>melanie.taufner@taufner.at</t>
  </si>
  <si>
    <t>https://bilder.dasschnelle.at/DasSchnelle/50/5000/9908/041629/I_041629_P_906210957_B_0036244146_1.gal.png?height=450&amp;width=515;https://bilder.dasschnelle.at/DasSchnelle/50/5000/9908/041629/I_041629_P_906210957_B_0036244146_2.gal.png?height=299&amp;width=448;https://bilder.dasschnelle.at/DasSchnelle/50/5000/9908/041629/I_041629_P_906210957_B_0036244146_3.gal.png?height=662&amp;width=993;https://bilder.dasschnelle.at/DasSchnelle/50/5000/9908/041629/I_041629_P_906210957_B_0036244146_4.gal.png?height=352&amp;width=235</t>
  </si>
  <si>
    <t>Schwab, Christian, Dr.med., FA f Augenheilkunde u Optometrie • Gleisdorf • Steiermark</t>
  </si>
  <si>
    <t>Ärzte / Fachärzte f. Augenheilkunde u. Optometrie • Schwab, Christian, Dr.med., Hauptplatz 3, Gleisdorf • Kontakt über aktuelle Telefonnummern ☎ und Adressen ⚑ mit Karte, Routing, Öffnungszeiten, Homepage, E-Mail, vCard und Firmendaten.</t>
  </si>
  <si>
    <t>47.10568</t>
  </si>
  <si>
    <t>15.70936</t>
  </si>
  <si>
    <t>+4331126168</t>
  </si>
  <si>
    <t>dr.schwab@aon.at</t>
  </si>
  <si>
    <t>https://bilder.dasschnelle.at/DasSchnelle/50/5000/9944/061361/G_061361_P_906211688.adn.gif</t>
  </si>
  <si>
    <t>Prommer, Hubert, Dr.med.vet., Tierarzt • Gleisdorf • Steiermark</t>
  </si>
  <si>
    <t>Tierärzte • Prommer, Hubert, Dr.med.vet., Wünschendorf 217, Gleisdorf • Kontakt über aktuelle Telefonnummern ☎ und Adressen ⚑ mit Karte, Routing, Öffnungszeiten, Homepage, E-Mail, vCard und Firmendaten.</t>
  </si>
  <si>
    <t>Wünschendorf 217</t>
  </si>
  <si>
    <t>47.0995074</t>
  </si>
  <si>
    <t>15.7215551</t>
  </si>
  <si>
    <t>+43311236080</t>
  </si>
  <si>
    <t>h.prommer.vet@utanet.at</t>
  </si>
  <si>
    <t>https://bilder.dasschnelle.at/DasSchnelle/50/5000/9944/045394/G_045394_P_906211695.adn.gif</t>
  </si>
  <si>
    <t>Textilpflege Wächter GmbH • Steyr • Oberösterreich</t>
  </si>
  <si>
    <t>Textilreinigung • Textilpflege Wächter GmbH, Franklin-D.-Roosevelt-Straße 4 A, Steyr • Kontakt über aktuelle Telefonnummern ☎ und Adressen ⚑ mit Karte, Routing, Öffnungszeiten, Homepage, E-Mail, vCard und Firmendaten.</t>
  </si>
  <si>
    <t>Franklin-D.-Roosevelt-Straße 4 A</t>
  </si>
  <si>
    <t>48.0474546</t>
  </si>
  <si>
    <t>14.4176962</t>
  </si>
  <si>
    <t>+43725271696;+4372592037;+436644110614;+4369914207317;+4369914250527;+4369914250541;+4369914250544;+4369914298756;+4369914298758</t>
  </si>
  <si>
    <t>office@textilpflege-waechter.at</t>
  </si>
  <si>
    <t>https://bilder.dasschnelle.at/DasSchnelle/50/5000/9878/044546/I_044546_P_906211979_L_0035970836_1.png</t>
  </si>
  <si>
    <t>https://bilder.dasschnelle.at/DasSchnelle/50/5000/9878/044546/I_044546_P_906211979_B_0035970836_1.gal.png?height=183&amp;width=275;https://bilder.dasschnelle.at/DasSchnelle/50/5000/9878/044546/I_044546_P_906211979_B_0035970836_2.gal.png?height=225&amp;width=225;https://bilder.dasschnelle.at/DasSchnelle/50/5000/9878/044546/I_044546_P_906211979_B_0035970836_3.gal.png?height=378&amp;width=555;https://bilder.dasschnelle.at/DasSchnelle/50/5000/9878/044546/I_044546_P_906211979_B_0035970836_4.gal.png?height=490&amp;width=720</t>
  </si>
  <si>
    <t>FPÖ Bezirkspartei Bruck-Mürzzuschlag, Politik • Mürzzuschlag • Steiermark</t>
  </si>
  <si>
    <t>Politische Parteien • FPÖ Bezirkspartei Bruck-Mürzzuschlag, Wiener Straße 67, Mürzzuschlag • Kontakt über aktuelle Telefonnummern ☎ und Adressen ⚑ mit Karte, Routing, Öffnungszeiten, Homepage, E-Mail, vCard und Firmendaten.</t>
  </si>
  <si>
    <t>Wiener Straße 67</t>
  </si>
  <si>
    <t>47.60658</t>
  </si>
  <si>
    <t>15.67994</t>
  </si>
  <si>
    <t>+43385220016</t>
  </si>
  <si>
    <t>bruck-muerzzuschlag@fpoe-stmk.at</t>
  </si>
  <si>
    <t>https://bilder.dasschnelle.at/DasSchnelle/50/5000/9874/061404/G_061404_P_906212724.adn.gif</t>
  </si>
  <si>
    <t>haarscharf, Friseur • Bruck an der Mur • Steiermark</t>
  </si>
  <si>
    <t>Friseure • haarscharf, Dr.-Theodor-Körner-Straße 5, Bruck an der Mur • Kontakt über aktuelle Telefonnummern ☎ und Adressen ⚑ mit Karte, Routing, Öffnungszeiten, Homepage, E-Mail, vCard und Firmendaten.</t>
  </si>
  <si>
    <t>Dr.-Theodor-Körner-Straße 5</t>
  </si>
  <si>
    <t>47.40963</t>
  </si>
  <si>
    <t>15.26794</t>
  </si>
  <si>
    <t>+43386257166</t>
  </si>
  <si>
    <t>m.lenhard@gmx.at</t>
  </si>
  <si>
    <t>https://bilder.dasschnelle.at/DasSchnelle/50/5000/9874/061404/I_061404_P_906211940_L_0035969898_1.png</t>
  </si>
  <si>
    <t>https://bilder.dasschnelle.at/DasSchnelle/50/5000/9874/061404/I_061404_P_906211940_B_0035969898_1.gal.png?height=299&amp;width=600;https://bilder.dasschnelle.at/DasSchnelle/50/5000/9874/061404/I_061404_P_906211940_B_0035969898_2.gal.png?height=406&amp;width=600</t>
  </si>
  <si>
    <t>Stadtwerke Mürzzuschlag GesmbH, Vermittlung • Mürzzuschlag • Steiermark</t>
  </si>
  <si>
    <t>Elektroinstallationsunternehmen • Stadtwerke Mürzzuschlag GesmbH, Mariazeller Straße 45, Mürzzuschlag • Kontakt über aktuelle Telefonnummern ☎ und Adressen ⚑ mit Karte, Routing, Öffnungszeiten, Homepage, E-Mail, vCard und Firmendaten.</t>
  </si>
  <si>
    <t>Mariazeller Straße 45</t>
  </si>
  <si>
    <t>47.61203</t>
  </si>
  <si>
    <t>15.66784</t>
  </si>
  <si>
    <t>+43385220250</t>
  </si>
  <si>
    <t>bestattung@stwmz.at</t>
  </si>
  <si>
    <t>https://bilder.dasschnelle.at/DasSchnelle/50/5000/9911/061431/G_061431_P_906211941.adn.gif</t>
  </si>
  <si>
    <t>Elektro Moser GmbH &amp; Co KG • Höhnhart • Oberösterreich</t>
  </si>
  <si>
    <t>Elektrounternehmen • Elektro Moser GmbH &amp; Co KG, Höhnhart 86, Höhnhart • Kontakt über aktuelle Telefonnummern ☎ und Adressen ⚑ mit Karte, Routing, Öffnungszeiten, Homepage, E-Mail, vCard und Firmendaten.</t>
  </si>
  <si>
    <t>Höhnhart 86</t>
  </si>
  <si>
    <t>5251</t>
  </si>
  <si>
    <t>Höhnhart</t>
  </si>
  <si>
    <t>48.1638916</t>
  </si>
  <si>
    <t>13.2715228</t>
  </si>
  <si>
    <t>+4377555383</t>
  </si>
  <si>
    <t>elektro.moser@gmx.at</t>
  </si>
  <si>
    <t>https://bilder.dasschnelle.at/DasSchnelle/50/5000/9872/044771/G_044771_P_906211732.adn.gif</t>
  </si>
  <si>
    <t>Franz Dvorak GmbH, Maler • Bruck an der Leitha • Niederösterreich</t>
  </si>
  <si>
    <t>Malereibetriebe • Franz Dvorak GmbH, Dammstraße 7, Bruck an der Leitha • Kontakt über aktuelle Telefonnummern ☎ und Adressen ⚑ mit Karte, Routing, Öffnungszeiten, Homepage, E-Mail, vCard und Firmendaten.</t>
  </si>
  <si>
    <t>Dammstraße 7</t>
  </si>
  <si>
    <t>48.0154151</t>
  </si>
  <si>
    <t>16.77612</t>
  </si>
  <si>
    <t>+43216262224</t>
  </si>
  <si>
    <t>office@der-maler.at</t>
  </si>
  <si>
    <t>https://bilder.dasschnelle.at/DasSchnelle/50/5000/9873/041605/G_041605_P_906213587.adn.gif</t>
  </si>
  <si>
    <t>Meisterhofer, Ewald, Maler • Mürzzuschlag • Steiermark</t>
  </si>
  <si>
    <t>Malereibetriebe • Meisterhofer, Ewald, Gutenbrunngasse 26, Mürzzuschlag • Kontakt über aktuelle Telefonnummern ☎ und Adressen ⚑ mit Karte, Routing, Öffnungszeiten, Homepage, E-Mail, vCard und Firmendaten.</t>
  </si>
  <si>
    <t>Gutenbrunngasse 26</t>
  </si>
  <si>
    <t>47.57613</t>
  </si>
  <si>
    <t>15.64361</t>
  </si>
  <si>
    <t>+43385230497;+436649141226</t>
  </si>
  <si>
    <t>1980ewald@gmail.com</t>
  </si>
  <si>
    <t>https://bilder.dasschnelle.at/DasSchnelle/50/5000/9911/061431/G_061431_P_906214506.adn.gif</t>
  </si>
  <si>
    <t>Wasserbauer, Peter, Dr., RA • Weiz • Steiermark</t>
  </si>
  <si>
    <t>Rechtsanwälte • Wasserbauer, Peter, Dr., Lederergasse 10, Weiz • Kontakt über aktuelle Telefonnummern ☎ und Adressen ⚑ mit Karte, Routing, Öffnungszeiten, Homepage, E-Mail, vCard und Firmendaten.</t>
  </si>
  <si>
    <t>Lederergasse 10</t>
  </si>
  <si>
    <t>47.21715</t>
  </si>
  <si>
    <t>15.62573</t>
  </si>
  <si>
    <t>+4331722442;+43317238858</t>
  </si>
  <si>
    <t>+433172244214</t>
  </si>
  <si>
    <t>office@ra-wpm.at</t>
  </si>
  <si>
    <t>https://bilder.dasschnelle.at/DasSchnelle/50/5000/9944/061397/I_061397_P_906214523_L_0036262544_1.png</t>
  </si>
  <si>
    <t>https://bilder.dasschnelle.at/DasSchnelle/50/5000/9944/061397/I_061397_P_906214523_B_0036262544_1.gal.png?height=300&amp;width=600;https://bilder.dasschnelle.at/DasSchnelle/50/5000/9944/061397/I_061397_P_906214523_B_0036262544_2.gal.png?height=300&amp;width=600;https://bilder.dasschnelle.at/DasSchnelle/50/5000/9944/061397/I_061397_P_906214523_B_0036262544_3.gal.png?height=167&amp;width=305;https://bilder.dasschnelle.at/DasSchnelle/50/5000/9944/061397/I_061397_P_906214523_B_0036262544_4.gal.png?height=207&amp;width=305</t>
  </si>
  <si>
    <t>Hechenblaikner Alexander Versicherungsmakler GmbH, Versicherungsmakler • Reutte • Tirol</t>
  </si>
  <si>
    <t>Versicherungsmakler • Hechenblaikner Alexander Versicherungsmakler GmbH, Planseestraße 5, Reutte • Kontakt über aktuelle Telefonnummern ☎ und Adressen ⚑ mit Karte, Routing, Öffnungszeiten, Homepage, E-Mail, vCard und Firmendaten.</t>
  </si>
  <si>
    <t>Planseestraße 5</t>
  </si>
  <si>
    <t>47.4906200</t>
  </si>
  <si>
    <t>10.7209000</t>
  </si>
  <si>
    <t>+43567265009</t>
  </si>
  <si>
    <t>info@versicherungsmakler-hechenblaikner.at</t>
  </si>
  <si>
    <t>https://bilder.dasschnelle.at/DasSchnelle/50/5000/9921/042603/I_042603_P_906215500_L_0036738797_1.png</t>
  </si>
  <si>
    <t>https://bilder.dasschnelle.at/DasSchnelle/50/5000/9921/042603/I_042603_P_906215500_B_0036738797_1.gal.png?height=318&amp;width=295;https://bilder.dasschnelle.at/DasSchnelle/50/5000/9921/042603/I_042603_P_906215500_B_0036738797_2.gal.png?height=162&amp;width=289</t>
  </si>
  <si>
    <t>Lehne-Frick, Angelika, Blumen • Reutte • Tirol</t>
  </si>
  <si>
    <t>Blumenhandel • Lehne-Frick, Angelika, Obermarkt 57, Reutte • Kontakt über aktuelle Telefonnummern ☎ und Adressen ⚑ mit Karte, Routing, Öffnungszeiten, Homepage, E-Mail, vCard und Firmendaten.</t>
  </si>
  <si>
    <t>Obermarkt 57</t>
  </si>
  <si>
    <t>47.48637</t>
  </si>
  <si>
    <t>10.72016</t>
  </si>
  <si>
    <t>+43567262580</t>
  </si>
  <si>
    <t>info@blumen-lehne.at</t>
  </si>
  <si>
    <t>https://bilder.dasschnelle.at/DasSchnelle/50/5000/9921/042603/G_042603_P_906215655.adn.gif</t>
  </si>
  <si>
    <t>Rein Mag. &amp; Partner Steuerberatung GmbH, Wirtschaftstreuhänder / Steuerberater • Birkfeld • Steiermark</t>
  </si>
  <si>
    <t>Wirtschaftstreuhänder / Steuerberater • Rein Mag. &amp; Partner Steuerberatung GmbH, Oberer Markt 1, Birkfeld • Kontakt über aktuelle Telefonnummern ☎ und Adressen ⚑ mit Karte, Routing, Öffnungszeiten, Homepage, E-Mail, vCard und Firmendaten.</t>
  </si>
  <si>
    <t>Oberer Markt 1</t>
  </si>
  <si>
    <t>47.35419</t>
  </si>
  <si>
    <t>15.69316</t>
  </si>
  <si>
    <t>+43317442440;+436641913375</t>
  </si>
  <si>
    <t>office@rein-stb.at</t>
  </si>
  <si>
    <t>https://bilder.dasschnelle.at/DasSchnelle/50/5000/9944/061398/G_061398_P_906215661.adn.gif</t>
  </si>
  <si>
    <t>Holzknecht, Karola, Änderungsschneiderei • Umhausen • Tirol</t>
  </si>
  <si>
    <t>Änderungsschneidereien • Holzknecht, Karola, Dorf 22, Umhausen • Kontakt über aktuelle Telefonnummern ☎ und Adressen ⚑ mit Karte, Routing, Öffnungszeiten, Homepage, E-Mail, vCard und Firmendaten.</t>
  </si>
  <si>
    <t>Dorf 22</t>
  </si>
  <si>
    <t>47.13969</t>
  </si>
  <si>
    <t>10.92739</t>
  </si>
  <si>
    <t>+436645572912</t>
  </si>
  <si>
    <t>holz.willi@aon.at</t>
  </si>
  <si>
    <t>https://bilder.dasschnelle.at/DasSchnelle/50/5000/9894/045658/G_045658_P_906215667.adn.gif</t>
  </si>
  <si>
    <t>Christoph Koller, Tischlerei • Langenlois • Niederösterreich</t>
  </si>
  <si>
    <t>Tischlereien • Christoph Koller, Gobelsburger Strasse 21, Langenlois • Kontakt über aktuelle Telefonnummern ☎ und Adressen ⚑ mit Karte, Routing, Öffnungszeiten, Homepage, E-Mail, vCard und Firmendaten.</t>
  </si>
  <si>
    <t>Gobelsburger Strasse 21</t>
  </si>
  <si>
    <t>48.46259</t>
  </si>
  <si>
    <t>15.7234</t>
  </si>
  <si>
    <t>+436607643769</t>
  </si>
  <si>
    <t>holz@tischlereikoller.at</t>
  </si>
  <si>
    <t>https://bilder.dasschnelle.at/DasSchnelle/50/5000/9899/041494/I_041494_P_906215669_L_0038061309_1.png</t>
  </si>
  <si>
    <t>https://bilder.dasschnelle.at/DasSchnelle/50/5000/9899/041494/I_041494_P_906215669_B_0038061309_1.gal.png?height=450&amp;width=600;https://bilder.dasschnelle.at/DasSchnelle/50/5000/9899/041494/I_041494_P_906215669_B_0038061309_2.gal.png?height=600&amp;width=600;https://bilder.dasschnelle.at/DasSchnelle/50/5000/9899/041494/I_041494_P_906215669_B_0038061309_3.gal.png?height=600&amp;width=337;https://bilder.dasschnelle.at/DasSchnelle/50/5000/9899/041494/I_041494_P_906215669_B_0038061309_4.gal.png?height=600&amp;width=450</t>
  </si>
  <si>
    <t>Erd, Georg, Dr., FA für Chirurgie • Krems an der Donau • Niederösterreich</t>
  </si>
  <si>
    <t>Ärzte / Fachärzte f. Chirurgie • Erd, Georg, Dr., Ringstraße 57, Krems an der Donau • Kontakt über aktuelle Telefonnummern ☎ und Adressen ⚑ mit Karte, Routing, Öffnungszeiten, Homepage, E-Mail, vCard und Firmendaten.</t>
  </si>
  <si>
    <t>Ringstraße 57</t>
  </si>
  <si>
    <t>48.4077356</t>
  </si>
  <si>
    <t>15.5976763</t>
  </si>
  <si>
    <t>+436643129784</t>
  </si>
  <si>
    <t>georg.erd@wvfunk.at</t>
  </si>
  <si>
    <t>https://bilder.dasschnelle.at/DasSchnelle/50/5000/9899/998144/G_998144_P_906214419.adn.gif</t>
  </si>
  <si>
    <t>Dr. Georg Erd, FA für Chirurgie • Mautern • Niederösterreich</t>
  </si>
  <si>
    <t>Ärzte / Fachärzte f. Chirurgie • Dr. Georg Erd, Kirschböckstr. 3, Mautern • Kontakt über aktuelle Telefonnummern ☎ und Adressen ⚑ mit Karte, Routing, Öffnungszeiten, Homepage, E-Mail, vCard und Firmendaten.</t>
  </si>
  <si>
    <t>Kirschböckstr. 3</t>
  </si>
  <si>
    <t>Mautern</t>
  </si>
  <si>
    <t>georg.erd@gmx.at</t>
  </si>
  <si>
    <t>https://bilder.dasschnelle.at/DasSchnelle/50/5000/9899/998144/G_998144_P_906214421.adn.gif</t>
  </si>
  <si>
    <t>Krenn-Wesecky, Ursula, Dr., FA für Haut.-und Geschlechtskrankheiten • Melk • Niederösterreich</t>
  </si>
  <si>
    <t>Ärzte / Fachärzte f. Haut u. Geschlechtskrankheiten • Krenn-Wesecky, Ursula, Dr., Spielberger Straße 15, Melk • Kontakt über aktuelle Telefonnummern ☎ und Adressen ⚑ mit Karte, Routing, Öffnungszeiten, Homepage, E-Mail, vCard und Firmendaten.</t>
  </si>
  <si>
    <t>Spielberger Straße 15</t>
  </si>
  <si>
    <t>48.2258649</t>
  </si>
  <si>
    <t>15.3312056</t>
  </si>
  <si>
    <t>+43275251707;+436643083085</t>
  </si>
  <si>
    <t>studiokrenn@gmail.com</t>
  </si>
  <si>
    <t>https://bilder.dasschnelle.at/DasSchnelle/50/5000/9908/041629/G_041629_P_906214424.adn.gif</t>
  </si>
  <si>
    <t>SETEC GmbH, Elektrotechnik • Kindberg • Steiermark</t>
  </si>
  <si>
    <t>Elektrotechnik • SETEC GmbH, Grazer Straße 41, Kindberg • Kontakt über aktuelle Telefonnummern ☎ und Adressen ⚑ mit Karte, Routing, Öffnungszeiten, Homepage, E-Mail, vCard und Firmendaten.</t>
  </si>
  <si>
    <t>Grazer Straße 41</t>
  </si>
  <si>
    <t>47.4820450</t>
  </si>
  <si>
    <t>15.3905224</t>
  </si>
  <si>
    <t>+4366488228429</t>
  </si>
  <si>
    <t>s.sattler@setec-gmbh.at</t>
  </si>
  <si>
    <t>https://bilder.dasschnelle.at/DasSchnelle/50/5000/9911/061380/G_061380_P_906214561.adn.gif</t>
  </si>
  <si>
    <t>Parodontitis Krems, Zahnfleischentzündung • Krems • Niederösterreich</t>
  </si>
  <si>
    <t>Ärzte / Zahnärzte • Parodontitis Krems, Heinemannstraße 4, Krems • Kontakt über aktuelle Telefonnummern ☎ und Adressen ⚑ mit Karte, Routing, Öffnungszeiten, Homepage, E-Mail, vCard und Firmendaten.</t>
  </si>
  <si>
    <t>Heinemannstraße 4</t>
  </si>
  <si>
    <t>48.4086200</t>
  </si>
  <si>
    <t>15.5987500</t>
  </si>
  <si>
    <t>+436504881945</t>
  </si>
  <si>
    <t>ordination@parokrems.at</t>
  </si>
  <si>
    <t>https://bilder.dasschnelle.at/DasSchnelle/50/5000/9899/042057/I_042057_P_906215518_L_0038462956_1.png</t>
  </si>
  <si>
    <t>https://bilder.dasschnelle.at/DasSchnelle/50/5000/9899/042057/I_042057_P_906215518_B_0038462956_1.gal.png?height=533&amp;width=400;https://bilder.dasschnelle.at/DasSchnelle/50/5000/9899/042057/I_042057_P_906215518_B_0038462956_2.gal.png?height=480&amp;width=720;https://bilder.dasschnelle.at/DasSchnelle/50/5000/9899/042057/I_042057_P_906215518_B_0038462956_3.gal.png?height=480&amp;width=720;https://bilder.dasschnelle.at/DasSchnelle/50/5000/9899/042057/I_042057_P_906215518_B_0038462956_4.gal.png?height=480&amp;width=720</t>
  </si>
  <si>
    <t>Auto Center Krieglach • Krieglach • Steiermark</t>
  </si>
  <si>
    <t>Autohandel • Auto Center Krieglach, Grazer Straße 13, Krieglach • Kontakt über aktuelle Telefonnummern ☎ und Adressen ⚑ mit Karte, Routing, Öffnungszeiten, Homepage, E-Mail, vCard und Firmendaten.</t>
  </si>
  <si>
    <t>Grazer Straße 13</t>
  </si>
  <si>
    <t>47.5441300</t>
  </si>
  <si>
    <t>15.5604600</t>
  </si>
  <si>
    <t>+436765880561</t>
  </si>
  <si>
    <t>auto-center-krieglach@hotmail.com</t>
  </si>
  <si>
    <t>https://bilder.dasschnelle.at/DasSchnelle/50/5000/9911/044890/G_044890_P_906214682.adn.gif</t>
  </si>
  <si>
    <t>Gema Holzbau OG • Tannheim • Tirol</t>
  </si>
  <si>
    <t>Holzbau • Gema Holzbau OG, Gewerbegebiet 7, Tannheim • Kontakt über aktuelle Telefonnummern ☎ und Adressen ⚑ mit Karte, Routing, Öffnungszeiten, Homepage, E-Mail, vCard und Firmendaten.</t>
  </si>
  <si>
    <t>Gewerbegebiet 7</t>
  </si>
  <si>
    <t>6675</t>
  </si>
  <si>
    <t>Tannheim</t>
  </si>
  <si>
    <t>47.50659</t>
  </si>
  <si>
    <t>10.5009</t>
  </si>
  <si>
    <t>+43567520235</t>
  </si>
  <si>
    <t>info@holzbau-gema.at</t>
  </si>
  <si>
    <t>https://bilder.dasschnelle.at/DasSchnelle/50/5000/9921/042607/I_042607_P_906215519_L_0036266036_1.png</t>
  </si>
  <si>
    <t>https://bilder.dasschnelle.at/DasSchnelle/50/5000/9921/042607/I_042607_P_906215519_B_0036266036_1.gal.png?height=480&amp;width=720;https://bilder.dasschnelle.at/DasSchnelle/50/5000/9921/042607/I_042607_P_906215519_B_0036266036_2.gal.png?height=541&amp;width=720;https://bilder.dasschnelle.at/DasSchnelle/50/5000/9921/042607/I_042607_P_906215519_B_0036266036_3.gal.png?height=541&amp;width=720;https://bilder.dasschnelle.at/DasSchnelle/50/5000/9921/042607/I_042607_P_906215519_B_0036266036_4.gal.png?height=540&amp;width=720</t>
  </si>
  <si>
    <t>Änderungsschneiderei Brigitte • Krems • Niederösterreich</t>
  </si>
  <si>
    <t>Änderungsschneidereien • Änderungsschneiderei Brigitte, Bahnhofplatz 18, Krems • Kontakt über aktuelle Telefonnummern ☎ und Adressen ⚑ mit Karte, Routing, Öffnungszeiten, Homepage, E-Mail, vCard und Firmendaten.</t>
  </si>
  <si>
    <t>Bahnhofplatz 18</t>
  </si>
  <si>
    <t>48.4097380</t>
  </si>
  <si>
    <t>15.6051467</t>
  </si>
  <si>
    <t>+43273270660</t>
  </si>
  <si>
    <t>brigitte_jt@hotmail.com</t>
  </si>
  <si>
    <t>https://bilder.dasschnelle.at/DasSchnelle/50/5000/9899/042057/G_042057_P_906214527.adn.gif</t>
  </si>
  <si>
    <t>Siller, Rupert, Zimmerei • Kuchl • Salzburg</t>
  </si>
  <si>
    <t>Holzbau • Siller, Rupert, Georgenberg 115, Kuchl • Kontakt über aktuelle Telefonnummern ☎ und Adressen ⚑ mit Karte, Routing, Öffnungszeiten, Homepage, E-Mail, vCard und Firmendaten.</t>
  </si>
  <si>
    <t>Georgenberg 115</t>
  </si>
  <si>
    <t>47.6204082</t>
  </si>
  <si>
    <t>13.1524033</t>
  </si>
  <si>
    <t>+43624420081;+436645001336</t>
  </si>
  <si>
    <t>office@holzbau-rupertsiller.at</t>
  </si>
  <si>
    <t>https://bilder.dasschnelle.at/DasSchnelle/50/5000/9889/043593/G_043593_P_906215620.adn.gif</t>
  </si>
  <si>
    <t>Landtechnik Oberland • Arzl im Pitztal • Tirol</t>
  </si>
  <si>
    <t>Landwirtschaftliche Maschinen u. Geräte • Landtechnik Oberland, Gewerbepark Pitztal 1, Arzl im Pitztal • Kontakt über aktuelle Telefonnummern ☎ und Adressen ⚑ mit Karte, Routing, Öffnungszeiten, Homepage, E-Mail, vCard und Firmendaten.</t>
  </si>
  <si>
    <t>Gewerbepark Pitztal 1</t>
  </si>
  <si>
    <t>47.21376</t>
  </si>
  <si>
    <t>10.75439</t>
  </si>
  <si>
    <t>+43541266887</t>
  </si>
  <si>
    <t>info@staggl.at</t>
  </si>
  <si>
    <t>https://bilder.dasschnelle.at/DasSchnelle/50/5000/9894/045636/G_045636_P_906216538.adn.gif</t>
  </si>
  <si>
    <t>HAUSUMZUBAU GmbH, Baumeister • Krems • Niederösterreich</t>
  </si>
  <si>
    <t>Bauplanung, Bauunternehmen • HAUSUMZUBAU GmbH, Landersdorferstrasse 69, Krems • Kontakt über aktuelle Telefonnummern ☎ und Adressen ⚑ mit Karte, Routing, Öffnungszeiten, Homepage, E-Mail, vCard und Firmendaten.</t>
  </si>
  <si>
    <t>Landersdorferstrasse 69</t>
  </si>
  <si>
    <t>48.41736</t>
  </si>
  <si>
    <t>15.63998</t>
  </si>
  <si>
    <t>+43273283551</t>
  </si>
  <si>
    <t>office@hausumzubau.at</t>
  </si>
  <si>
    <t>https://bilder.dasschnelle.at/DasSchnelle/50/5000/9899/042057/I_042057_P_906216540_L_0038558903_1.png</t>
  </si>
  <si>
    <t>https://bilder.dasschnelle.at/DasSchnelle/50/5000/9899/042057/I_042057_P_906216540_B_0038558903_1.gal.png?height=195&amp;width=259;https://bilder.dasschnelle.at/DasSchnelle/50/5000/9899/042057/I_042057_P_906216540_B_0038558903_2.gal.png?height=195&amp;width=259;https://bilder.dasschnelle.at/DasSchnelle/50/5000/9899/042057/I_042057_P_906216540_B_0038558903_3.gal.png?height=195&amp;width=259;https://bilder.dasschnelle.at/DasSchnelle/50/5000/9899/042057/I_042057_P_906216540_B_0038558903_4.gal.png?height=162&amp;width=311</t>
  </si>
  <si>
    <t>NCL Hager &amp; Partner Wirtschafts- und Steuerberatungs GmbH • Wörgl • Tirol</t>
  </si>
  <si>
    <t>Steuerberater, Wirtschaftstreuhänder / Steuerberater • NCL Hager &amp; Partner Wirtschafts- und Steuerberatungs GmbH, Bahnhofstraße 21, Wörgl • Kontakt über aktuelle Telefonnummern ☎ und Adressen ⚑ mit Karte, Routing, Öffnungszeiten, Homepage, E-Mail, vCard und Firmendaten.</t>
  </si>
  <si>
    <t>Bahnhofstraße 21</t>
  </si>
  <si>
    <t>47.13961</t>
  </si>
  <si>
    <t>+4352555447</t>
  </si>
  <si>
    <t>office@hager-stb.at</t>
  </si>
  <si>
    <t>https://bilder.dasschnelle.at/DasSchnelle/50/5000/9894/045658/I_045658_P_906217459_L_0037625642_1.png</t>
  </si>
  <si>
    <t>https://bilder.dasschnelle.at/DasSchnelle/50/5000/9894/045658/I_045658_P_906217459_B_0037625642_1.gal.png?height=746&amp;width=720;https://bilder.dasschnelle.at/DasSchnelle/50/5000/9894/045658/I_045658_P_906217459_B_0037625642_2.gal.png?height=478&amp;width=720;https://bilder.dasschnelle.at/DasSchnelle/50/5000/9894/045658/I_045658_P_906217459_B_0037625642_3.gal.png?height=960&amp;width=720</t>
  </si>
  <si>
    <t>Hallbrucker, Christian, Dr.med., Ärzte / Fachärzte f Innere Medizin • Oetz • Tirol</t>
  </si>
  <si>
    <t>Ärzte / Fachärzte f. Innere Medizin • Hallbrucker, Christian, Dr.med., Hauptstraße 53, Oetz • Kontakt über aktuelle Telefonnummern ☎ und Adressen ⚑ mit Karte, Routing, Öffnungszeiten, Homepage, E-Mail, vCard und Firmendaten.</t>
  </si>
  <si>
    <t>47.20247</t>
  </si>
  <si>
    <t>10.89808</t>
  </si>
  <si>
    <t>+43525220244</t>
  </si>
  <si>
    <t>dr.hallbrucker@utanet.at</t>
  </si>
  <si>
    <t>https://bilder.dasschnelle.at/DasSchnelle/50/5000/9894/045649/G_045649_P_906217464.adn.gif</t>
  </si>
  <si>
    <t>e-complete, IT-Dienstleistungen • Höhnhart • Oberösterreich</t>
  </si>
  <si>
    <t>Computerfachhandel, Datenverarbeitung, EDV-Dienstleistungen • e-complete, Höhnhart 84, Höhnhart • Kontakt über aktuelle Telefonnummern ☎ und Adressen ⚑ mit Karte, Routing, Öffnungszeiten, Homepage, E-Mail, vCard und Firmendaten.</t>
  </si>
  <si>
    <t>Höhnhart 84</t>
  </si>
  <si>
    <t>48.1636293</t>
  </si>
  <si>
    <t>13.2710267</t>
  </si>
  <si>
    <t>+437755655220</t>
  </si>
  <si>
    <t>info@e-complete.at</t>
  </si>
  <si>
    <t>https://bilder.dasschnelle.at/DasSchnelle/50/5000/9872/044771/G_044771_P_906216551.adn.gif</t>
  </si>
  <si>
    <t>Neureiter Tischlerei KG • Kuchl • Salzburg</t>
  </si>
  <si>
    <t>Tischlereien • Neureiter Tischlerei KG, Georgenberg 21, Kuchl • Kontakt über aktuelle Telefonnummern ☎ und Adressen ⚑ mit Karte, Routing, Öffnungszeiten, Homepage, E-Mail, vCard und Firmendaten.</t>
  </si>
  <si>
    <t>Georgenberg 21</t>
  </si>
  <si>
    <t>47.6219700</t>
  </si>
  <si>
    <t>13.1563000</t>
  </si>
  <si>
    <t>+4362446434</t>
  </si>
  <si>
    <t>markus@tischlerei-neureiter.at</t>
  </si>
  <si>
    <t>https://bilder.dasschnelle.at/DasSchnelle/50/5000/9889/043593/G_043593_P_906216581.adn.gif</t>
  </si>
  <si>
    <t>Huber, Marcus, Waffen • Krems an der Donau • Niederösterreich</t>
  </si>
  <si>
    <t>Waffen u. Munition • Huber, Marcus, Spänglergasse 3, Krems an der Donau • Kontakt über aktuelle Telefonnummern ☎ und Adressen ⚑ mit Karte, Routing, Öffnungszeiten, Homepage, E-Mail, vCard und Firmendaten.</t>
  </si>
  <si>
    <t>Spänglergasse 3</t>
  </si>
  <si>
    <t>48.4078589</t>
  </si>
  <si>
    <t>15.6063809</t>
  </si>
  <si>
    <t>+43273282972;+43273281488;+43273282972</t>
  </si>
  <si>
    <t>waffen-huber@gmx.at</t>
  </si>
  <si>
    <t>https://bilder.dasschnelle.at/DasSchnelle/50/5000/9899/042057/G_042057_P_906217541.adn.gif</t>
  </si>
  <si>
    <t>Funeral Service GmbH, Bestattung • Hainburg an der Donau • Niederösterreich</t>
  </si>
  <si>
    <t>Bestattungsunternehmen • Funeral Service GmbH, Wienerstraße 13 /2a, Hainburg an der Donau • Kontakt über aktuelle Telefonnummern ☎ und Adressen ⚑ mit Karte, Routing, Öffnungszeiten, Homepage, E-Mail, vCard und Firmendaten.</t>
  </si>
  <si>
    <t>Wienerstraße 13 /2a</t>
  </si>
  <si>
    <t>48.1464441</t>
  </si>
  <si>
    <t>16.9400732</t>
  </si>
  <si>
    <t>+4312443352</t>
  </si>
  <si>
    <t>office@bestattung-hanser.at</t>
  </si>
  <si>
    <t>https://bilder.dasschnelle.at/DasSchnelle/50/5000/9873/041439/I_506180_P_906217544_L_0037276946_1.png</t>
  </si>
  <si>
    <t>https://bilder.dasschnelle.at/DasSchnelle/50/5000/9873/041439/I_506180_P_906217544_B_0037276946_1.gal.png?height=480&amp;width=720;https://bilder.dasschnelle.at/DasSchnelle/50/5000/9873/041439/I_506180_P_906217544_B_0037276946_2.gal.png?height=480&amp;width=720;https://bilder.dasschnelle.at/DasSchnelle/50/5000/9873/041439/I_506180_P_906217544_B_0037276946_3.gal.png?height=550&amp;width=733;https://bilder.dasschnelle.at/DasSchnelle/50/5000/9873/041439/I_506180_P_906217544_B_0037276946_4.gal.png?height=480&amp;width=720</t>
  </si>
  <si>
    <t>Funeral Service GmbH, Bestattung • Wien • Wien</t>
  </si>
  <si>
    <t>Bestattungsunternehmen • Funeral Service GmbH, Hernalser Hauptstraße 166, Wien • Kontakt über aktuelle Telefonnummern ☎ und Adressen ⚑ mit Karte, Routing, Öffnungszeiten, Homepage, E-Mail, vCard und Firmendaten.</t>
  </si>
  <si>
    <t>Hernalser Hauptstraße 166</t>
  </si>
  <si>
    <t>1170</t>
  </si>
  <si>
    <t>48.2230600</t>
  </si>
  <si>
    <t>16.3175100</t>
  </si>
  <si>
    <t>https://bilder.dasschnelle.at/DasSchnelle/50/5000/9873/041710/I_506180_P_906217547_L_0037276946_1.png</t>
  </si>
  <si>
    <t>https://bilder.dasschnelle.at/DasSchnelle/50/5000/9873/041710/I_506180_P_906217547_B_0037276946_1.gal.png?height=480&amp;width=720;https://bilder.dasschnelle.at/DasSchnelle/50/5000/9873/041710/I_506180_P_906217547_B_0037276946_2.gal.png?height=480&amp;width=720;https://bilder.dasschnelle.at/DasSchnelle/50/5000/9873/041710/I_506180_P_906217547_B_0037276946_3.gal.png?height=550&amp;width=733;https://bilder.dasschnelle.at/DasSchnelle/50/5000/9873/041710/I_506180_P_906217547_B_0037276946_4.gal.png?height=480&amp;width=720</t>
  </si>
  <si>
    <t>Bestattungsunternehmen • Funeral Service GmbH, Landstraßer Hauptstraße 146 /13, Wien • Kontakt über aktuelle Telefonnummern ☎ und Adressen ⚑ mit Karte, Routing, Öffnungszeiten, Homepage, E-Mail, vCard und Firmendaten.</t>
  </si>
  <si>
    <t>Landstraßer Hauptstraße 146 /13</t>
  </si>
  <si>
    <t>48.1919646</t>
  </si>
  <si>
    <t>16.3988674</t>
  </si>
  <si>
    <t>https://bilder.dasschnelle.at/DasSchnelle/50/5000/9873/041439/I_506180_P_906217546_L_0037276946_1.png</t>
  </si>
  <si>
    <t>https://bilder.dasschnelle.at/DasSchnelle/50/5000/9873/041439/I_506180_P_906217546_B_0037276946_1.gal.png?height=480&amp;width=720;https://bilder.dasschnelle.at/DasSchnelle/50/5000/9873/041439/I_506180_P_906217546_B_0037276946_2.gal.png?height=480&amp;width=720;https://bilder.dasschnelle.at/DasSchnelle/50/5000/9873/041439/I_506180_P_906217546_B_0037276946_3.gal.png?height=550&amp;width=733;https://bilder.dasschnelle.at/DasSchnelle/50/5000/9873/041439/I_506180_P_906217546_B_0037276946_4.gal.png?height=480&amp;width=720</t>
  </si>
  <si>
    <t>Müllner &amp; Dr. Molnar OG, FA f Zahn-, Mund- u Kieferheilkunde • Bruck • Niederösterreich</t>
  </si>
  <si>
    <t>Ärzte / Fachärzte f. Zahn-, Mund u. Kieferheilkunde • Müllner &amp; Dr. Molnar OG, Burgenlandstraße 8, Bruck • Kontakt über aktuelle Telefonnummern ☎ und Adressen ⚑ mit Karte, Routing, Öffnungszeiten, Homepage, E-Mail, vCard und Firmendaten.</t>
  </si>
  <si>
    <t>Burgenlandstraße 8</t>
  </si>
  <si>
    <t>48.0244349</t>
  </si>
  <si>
    <t>16.7794541</t>
  </si>
  <si>
    <t>+43216290998;+43216265581;+436603159290</t>
  </si>
  <si>
    <t>g.molnar@gmx.at</t>
  </si>
  <si>
    <t>https://bilder.dasschnelle.at/DasSchnelle/50/5000/9873/041702/I_041702_P_906217552_L_0036262357_1.png</t>
  </si>
  <si>
    <t>Nitschinger OG, Nitschinger Michel, Spenglerei &amp; Dachdeckerei • Zurndorf • Burgenland</t>
  </si>
  <si>
    <t>Spenglereien • Nitschinger OG, Nitschinger Michel, Lindengasse 6, Zurndorf • Kontakt über aktuelle Telefonnummern ☎ und Adressen ⚑ mit Karte, Routing, Öffnungszeiten, Homepage, E-Mail, vCard und Firmendaten.</t>
  </si>
  <si>
    <t>Lindengasse 6</t>
  </si>
  <si>
    <t>47.98542</t>
  </si>
  <si>
    <t>17.00454</t>
  </si>
  <si>
    <t>+4369912335242</t>
  </si>
  <si>
    <t>nitschinger@gmx.at</t>
  </si>
  <si>
    <t>https://bilder.dasschnelle.at/DasSchnelle/50/5000/9873/041715/I_041715_P_906217556_L_0037275457_1.png</t>
  </si>
  <si>
    <t>https://bilder.dasschnelle.at/DasSchnelle/50/5000/9873/041715/I_041715_P_906217556_B_0037275457_1.gal.png?height=372&amp;width=372;https://bilder.dasschnelle.at/DasSchnelle/50/5000/9873/041715/I_041715_P_906217556_B_0037275457_2.gal.png?height=372&amp;width=372;https://bilder.dasschnelle.at/DasSchnelle/50/5000/9873/041715/I_041715_P_906217556_B_0037275457_3.gal.png?height=372&amp;width=372;https://bilder.dasschnelle.at/DasSchnelle/50/5000/9873/041715/I_041715_P_906217556_B_0037275457_4.gal.png?height=372&amp;width=372</t>
  </si>
  <si>
    <t>Bauer, Christian, Mag., öffentl Notar • Melk • Niederösterreich</t>
  </si>
  <si>
    <t>Notare • Bauer, Christian, Mag., Keiblingerstraße 5, Melk • Kontakt über aktuelle Telefonnummern ☎ und Adressen ⚑ mit Karte, Routing, Öffnungszeiten, Homepage, E-Mail, vCard und Firmendaten.</t>
  </si>
  <si>
    <t>Keiblingerstraße 5</t>
  </si>
  <si>
    <t>48.22538</t>
  </si>
  <si>
    <t>15.33247</t>
  </si>
  <si>
    <t>+432752521000</t>
  </si>
  <si>
    <t>christian.bauer@notar.at</t>
  </si>
  <si>
    <t>https://bilder.dasschnelle.at/DasSchnelle/50/5000/9908/041629/G_041629_P_906216468.adn.gif</t>
  </si>
  <si>
    <t>Holzbau Wieser • St. Lorenzen im Mürztal</t>
  </si>
  <si>
    <t>Holzbau • Holzbau Wieser, Edelackerstraße 19, St. Lorenzen im Mürztal • Kontakt über aktuelle Telefonnummern ☎ und Adressen ⚑ mit Karte, Routing, Öffnungszeiten, Homepage, E-Mail, vCard und Firmendaten.</t>
  </si>
  <si>
    <t>Edelackerstraße 19</t>
  </si>
  <si>
    <t>St. Lorenzen im Mürztal</t>
  </si>
  <si>
    <t>47.4751384</t>
  </si>
  <si>
    <t>15.3593517</t>
  </si>
  <si>
    <t>+4369910513645</t>
  </si>
  <si>
    <t>holzbau.wieser@gmail.com</t>
  </si>
  <si>
    <t>https://bilder.dasschnelle.at/DasSchnelle/50/5000/9911/045287/I_061367_P_906216471_L_0039191160_1.png</t>
  </si>
  <si>
    <t>https://bilder.dasschnelle.at/DasSchnelle/50/5000/9911/045287/I_061367_P_906216471_B_0039191160_1.gal.png?height=530&amp;width=720;https://bilder.dasschnelle.at/DasSchnelle/50/5000/9911/045287/I_045287_P_906217671_B_0039191160_2.gal.png?height=571&amp;width=423;https://bilder.dasschnelle.at/DasSchnelle/50/5000/9911/045287/I_045287_P_906217671_B_0039191160_3.gal.png?height=574&amp;width=431;https://bilder.dasschnelle.at/DasSchnelle/50/5000/9911/045287/I_045287_P_906217671_B_0039191160_4.gal.png?height=460&amp;width=646</t>
  </si>
  <si>
    <t>Koller, Ulrike, Dr., RA • Melk • Niederösterreich</t>
  </si>
  <si>
    <t>Rechtsanwälte • Koller, Ulrike, Dr., Linzer Straße 9, Melk • Kontakt über aktuelle Telefonnummern ☎ und Adressen ⚑ mit Karte, Routing, Öffnungszeiten, Homepage, E-Mail, vCard und Firmendaten.</t>
  </si>
  <si>
    <t>48.22639</t>
  </si>
  <si>
    <t>15.32809</t>
  </si>
  <si>
    <t>+43275251501</t>
  </si>
  <si>
    <t>kanzlei@ra-koller.at</t>
  </si>
  <si>
    <t>https://bilder.dasschnelle.at/DasSchnelle/50/5000/9908/041629/I_041629_P_906218260_L_0036244187_1.png</t>
  </si>
  <si>
    <t>https://bilder.dasschnelle.at/DasSchnelle/50/5000/9908/041629/I_041629_P_906218260_B_0036244187_1.gal.png?height=450&amp;width=299;https://bilder.dasschnelle.at/DasSchnelle/50/5000/9908/041629/I_041629_P_906218260_B_0036244187_2.gal.png?height=459&amp;width=705;https://bilder.dasschnelle.at/DasSchnelle/50/5000/9908/041629/I_041629_P_906218260_B_0036244187_3.gal.png?height=374&amp;width=565;https://bilder.dasschnelle.at/DasSchnelle/50/5000/9908/041629/I_041629_P_906218260_B_0036244187_4.gal.png?height=372&amp;width=553</t>
  </si>
  <si>
    <t>Stecher, Thomas, Dr.med., Ärzte / Fachärzte f Innere Medizin • Imst • Tirol</t>
  </si>
  <si>
    <t>Ärzte / Fachärzte f. Innere Medizin • Stecher, Thomas, Dr.med., Dr.-Carl-Pfeiffenberger-Straße 24, Imst • Kontakt über aktuelle Telefonnummern ☎ und Adressen ⚑ mit Karte, Routing, Öffnungszeiten, Homepage, E-Mail, vCard und Firmendaten.</t>
  </si>
  <si>
    <t>47.237</t>
  </si>
  <si>
    <t>10.73816</t>
  </si>
  <si>
    <t>+43541266655</t>
  </si>
  <si>
    <t>dr.thstecher@medway.at</t>
  </si>
  <si>
    <t>https://bilder.dasschnelle.at/DasSchnelle/50/5000/9894/045638/G_045638_P_906219485.adn.gif</t>
  </si>
  <si>
    <t>Zangerle-Kern, Michaela, Dr.med., FA f Innere Medizin • Imst • Tirol</t>
  </si>
  <si>
    <t>Ärzte / Fachärzte f. Innere Medizin • Zangerle-Kern, Michaela, Dr.med., Dr.-Carl-Pfeiffenberger-Straße 24, Imst • Kontakt über aktuelle Telefonnummern ☎ und Adressen ⚑ mit Karte, Routing, Öffnungszeiten, Homepage, E-Mail, vCard und Firmendaten.</t>
  </si>
  <si>
    <t>mhp.zangerle@gmail.com</t>
  </si>
  <si>
    <t>https://bilder.dasschnelle.at/DasSchnelle/50/5000/9894/045638/G_045638_P_906219489.adn.gif</t>
  </si>
  <si>
    <t>Linser &amp; Linser, Rechtsanwälte • Imst • Tirol</t>
  </si>
  <si>
    <t>Rechtsanwälte • Linser &amp; Linser, Stadtplatz 3, Imst • Kontakt über aktuelle Telefonnummern ☎ und Adressen ⚑ mit Karte, Routing, Öffnungszeiten, Homepage, E-Mail, vCard und Firmendaten.</t>
  </si>
  <si>
    <t>47.2386041</t>
  </si>
  <si>
    <t>10.7428896</t>
  </si>
  <si>
    <t>+435412633220</t>
  </si>
  <si>
    <t>office@rechtsanwalt-linser.at</t>
  </si>
  <si>
    <t>https://bilder.dasschnelle.at/DasSchnelle/50/5000/9894/045638/G_045638_P_906219493.adn.gif</t>
  </si>
  <si>
    <t>Schoiswohl, Gerhard, Dr., FA f Zahn-, Mund- u Kieferheilkunde • Weiz • Steiermark</t>
  </si>
  <si>
    <t>Ärzte / Fachärzte f. Zahn-, Mund u. Kieferheilkunde • Schoiswohl, Gerhard, Dr., Hauptplatz 11, Weiz • Kontakt über aktuelle Telefonnummern ☎ und Adressen ⚑ mit Karte, Routing, Öffnungszeiten, Homepage, E-Mail, vCard und Firmendaten.</t>
  </si>
  <si>
    <t>Hauptplatz 11</t>
  </si>
  <si>
    <t>47.21757</t>
  </si>
  <si>
    <t>15.62229</t>
  </si>
  <si>
    <t>+43317241500</t>
  </si>
  <si>
    <t>ordinationdrschoiswohl@yahoo.com</t>
  </si>
  <si>
    <t>https://bilder.dasschnelle.at/DasSchnelle/50/5000/9944/061397/G_061397_P_906219498.adn.gif</t>
  </si>
  <si>
    <t>STUDIOELF KREATIVAGENTUR Ronald Fiegl • Oetz • Tirol</t>
  </si>
  <si>
    <t>Agenturen • STUDIOELF KREATIVAGENTUR Ronald Fiegl, Hauptstraße 44 A, Oetz • Kontakt über aktuelle Telefonnummern ☎ und Adressen ⚑ mit Karte, Routing, Öffnungszeiten, Homepage, E-Mail, vCard und Firmendaten.</t>
  </si>
  <si>
    <t>Hauptstraße 44 A</t>
  </si>
  <si>
    <t>47.2042923</t>
  </si>
  <si>
    <t>10.8929130</t>
  </si>
  <si>
    <t>+436641111115</t>
  </si>
  <si>
    <t>office@studioelf.at</t>
  </si>
  <si>
    <t>https://bilder.dasschnelle.at/DasSchnelle/50/5000/9894/045649/G_045649_P_906219632.adn.gif</t>
  </si>
  <si>
    <t>Ennemoser, Otmar, Dr.med., FA f Urologie • Imst • Tirol</t>
  </si>
  <si>
    <t>Ärzte / Fachärzte f. Urologie • Ennemoser, Otmar, Dr.med., Johannesplatz 6, Imst • Kontakt über aktuelle Telefonnummern ☎ und Adressen ⚑ mit Karte, Routing, Öffnungszeiten, Homepage, E-Mail, vCard und Firmendaten.</t>
  </si>
  <si>
    <t>Johannesplatz 6</t>
  </si>
  <si>
    <t>47.24239</t>
  </si>
  <si>
    <t>10.7393</t>
  </si>
  <si>
    <t>+43541262990</t>
  </si>
  <si>
    <t>ennemoser@medway.at</t>
  </si>
  <si>
    <t>https://bilder.dasschnelle.at/DasSchnelle/50/5000/9894/045638/G_045638_P_906220501.adn.gif</t>
  </si>
  <si>
    <t>Pitztal Apotheke, Apotheke • Arzl im Pitztal • Tirol</t>
  </si>
  <si>
    <t>Apotheken • Pitztal Apotheke, Dorfstraße 38, Arzl im Pitztal • Kontakt über aktuelle Telefonnummern ☎ und Adressen ⚑ mit Karte, Routing, Öffnungszeiten, Homepage, E-Mail, vCard und Firmendaten.</t>
  </si>
  <si>
    <t>Dorfstraße 38</t>
  </si>
  <si>
    <t>47.20781</t>
  </si>
  <si>
    <t>10.76128</t>
  </si>
  <si>
    <t>+43541261258</t>
  </si>
  <si>
    <t>arzl@pitztalapotheke.at</t>
  </si>
  <si>
    <t>https://bilder.dasschnelle.at/DasSchnelle/50/5000/9894/045636/G_045636_P_906220504.adn.gif</t>
  </si>
  <si>
    <t>Laurentius Apotheke, Apotheken • Imst • Tirol</t>
  </si>
  <si>
    <t>Apotheken • Laurentius Apotheke, Langgasse 78 B, Imst • Kontakt über aktuelle Telefonnummern ☎ und Adressen ⚑ mit Karte, Routing, Öffnungszeiten, Homepage, E-Mail, vCard und Firmendaten.</t>
  </si>
  <si>
    <t>Langgasse 78 B</t>
  </si>
  <si>
    <t>47.2287</t>
  </si>
  <si>
    <t>10.74472</t>
  </si>
  <si>
    <t>+43541261255</t>
  </si>
  <si>
    <t>imst@laurentiusapotheke.at</t>
  </si>
  <si>
    <t>https://bilder.dasschnelle.at/DasSchnelle/50/5000/9894/045638/G_045638_P_906220507.adn.gif</t>
  </si>
  <si>
    <t>Öffentlicher Notar Dr. Alexander Starkel &amp; Partner • Weiz • Steiermark</t>
  </si>
  <si>
    <t>Notare • Öffentlicher Notar Dr. Alexander Starkel &amp; Partner, Bismarckgasse 1, Weiz • Kontakt über aktuelle Telefonnummern ☎ und Adressen ⚑ mit Karte, Routing, Öffnungszeiten, Homepage, E-Mail, vCard und Firmendaten.</t>
  </si>
  <si>
    <t>Bismarckgasse 1</t>
  </si>
  <si>
    <t>47.21767</t>
  </si>
  <si>
    <t>15.62419</t>
  </si>
  <si>
    <t>+43317255330</t>
  </si>
  <si>
    <t>kanzlei@notariat-weiz.at</t>
  </si>
  <si>
    <t>https://bilder.dasschnelle.at/DasSchnelle/50/5000/9944/061397/G_061397_P_906220516.adn.gif</t>
  </si>
  <si>
    <t>Polesnig, Martin, Heizungstechnik • Bleiburg • Kärnten</t>
  </si>
  <si>
    <t>Heizungstechnik • Polesnig, Martin, Völkermarkter Straße 14, Bleiburg • Kontakt über aktuelle Telefonnummern ☎ und Adressen ⚑ mit Karte, Routing, Öffnungszeiten, Homepage, E-Mail, vCard und Firmendaten.</t>
  </si>
  <si>
    <t>Völkermarkter Straße 14</t>
  </si>
  <si>
    <t>46.59886</t>
  </si>
  <si>
    <t>14.79686</t>
  </si>
  <si>
    <t>+4342354129</t>
  </si>
  <si>
    <t>heizung.polesnig@aon.at</t>
  </si>
  <si>
    <t>https://bilder.dasschnelle.at/DasSchnelle/50/5000/9942/042025/G_042025_P_906220356.adn.gif</t>
  </si>
  <si>
    <t>Mikes Elektronik Shop und Service GmbH, Elektronik • Bleiburg • Kärnten</t>
  </si>
  <si>
    <t>Elektronik • Mikes Elektronik Shop und Service GmbH, Völkermarkter Straße 6, Bleiburg • Kontakt über aktuelle Telefonnummern ☎ und Adressen ⚑ mit Karte, Routing, Öffnungszeiten, Homepage, E-Mail, vCard und Firmendaten.</t>
  </si>
  <si>
    <t>Völkermarkter Straße 6</t>
  </si>
  <si>
    <t>46.59231</t>
  </si>
  <si>
    <t>14.79487</t>
  </si>
  <si>
    <t>+43423520900</t>
  </si>
  <si>
    <t>office@mikes-bleiburg.at</t>
  </si>
  <si>
    <t>https://bilder.dasschnelle.at/DasSchnelle/50/5000/9942/042025/I_042025_P_906220358_L_0035970388_1.png</t>
  </si>
  <si>
    <t>https://bilder.dasschnelle.at/DasSchnelle/50/5000/9942/042025/I_042025_P_906220358_B_0035970388_1.gal.png?height=322&amp;width=700;https://bilder.dasschnelle.at/DasSchnelle/50/5000/9942/042025/I_042025_P_906220358_B_0035970388_2.gal.png?height=319&amp;width=700</t>
  </si>
  <si>
    <t>Elektro Hollauf GmbH • Bleiburg • Kärnten</t>
  </si>
  <si>
    <t>Elektrogeräte u. -bedarf • Elektro Hollauf GmbH, 10. Oktober Platz 26, Bleiburg • Kontakt über aktuelle Telefonnummern ☎ und Adressen ⚑ mit Karte, Routing, Öffnungszeiten, Homepage, E-Mail, vCard und Firmendaten.</t>
  </si>
  <si>
    <t>10. Oktober Platz 26</t>
  </si>
  <si>
    <t>46.59046</t>
  </si>
  <si>
    <t>14.79802</t>
  </si>
  <si>
    <t>+4342352080</t>
  </si>
  <si>
    <t>office@elektro-hollauf.at</t>
  </si>
  <si>
    <t>https://bilder.dasschnelle.at/DasSchnelle/50/5000/9942/042025/G_042025_P_906220360.adn.gif</t>
  </si>
  <si>
    <t>Grünwald, Roman, Glaserei • Hallein • Salzburg</t>
  </si>
  <si>
    <t>Glasereien • Grünwald, Roman, Glaneckerweg 1, Hallein • Kontakt über aktuelle Telefonnummern ☎ und Adressen ⚑ mit Karte, Routing, Öffnungszeiten, Homepage, E-Mail, vCard und Firmendaten.</t>
  </si>
  <si>
    <t>Glaneckerweg 1</t>
  </si>
  <si>
    <t>47.70207</t>
  </si>
  <si>
    <t>13.0724</t>
  </si>
  <si>
    <t>+43624583558</t>
  </si>
  <si>
    <t>info@glas-gruenwald.at</t>
  </si>
  <si>
    <t>https://bilder.dasschnelle.at/DasSchnelle/50/5000/9889/043591/G_043591_P_906219506.adn.gif</t>
  </si>
  <si>
    <t>Liang Xu, Fang, Restaurant • Oberalm • Salzburg</t>
  </si>
  <si>
    <t>Restaurants • Liang Xu, Fang, Halleiner Landesstraße 22, Oberalm • Kontakt über aktuelle Telefonnummern ☎ und Adressen ⚑ mit Karte, Routing, Öffnungszeiten, Homepage, E-Mail, vCard und Firmendaten.</t>
  </si>
  <si>
    <t>Halleiner Landesstraße 22</t>
  </si>
  <si>
    <t>47.69554</t>
  </si>
  <si>
    <t>13.10088</t>
  </si>
  <si>
    <t>+43624576261</t>
  </si>
  <si>
    <t>0ffice@lin-xu.at</t>
  </si>
  <si>
    <t>https://bilder.dasschnelle.at/DasSchnelle/50/5000/9889/043594/G_043594_P_906219508.adn.gif</t>
  </si>
  <si>
    <t>Brunnauer, Peter, Fahrzeughandel • Adnet • Salzburg</t>
  </si>
  <si>
    <t>Autohandel • Brunnauer, Peter, Waidach 175, Adnet • Kontakt über aktuelle Telefonnummern ☎ und Adressen ⚑ mit Karte, Routing, Öffnungszeiten, Homepage, E-Mail, vCard und Firmendaten.</t>
  </si>
  <si>
    <t>Waidach 175</t>
  </si>
  <si>
    <t>47.6893058</t>
  </si>
  <si>
    <t>13.1327941</t>
  </si>
  <si>
    <t>+436643124288</t>
  </si>
  <si>
    <t>peterbrunnauer@gmx.at</t>
  </si>
  <si>
    <t>https://bilder.dasschnelle.at/DasSchnelle/50/5000/9889/043588/G_043588_P_906219510.adn.gif</t>
  </si>
  <si>
    <t>Raumausstatter Michael Martin • Werfen • Salzburg</t>
  </si>
  <si>
    <t>Raumausstatter • Raumausstatter Michael Martin, Markt 15, Werfen • Kontakt über aktuelle Telefonnummern ☎ und Adressen ⚑ mit Karte, Routing, Öffnungszeiten, Homepage, E-Mail, vCard und Firmendaten.</t>
  </si>
  <si>
    <t>Markt 15</t>
  </si>
  <si>
    <t>5450</t>
  </si>
  <si>
    <t>Werfen</t>
  </si>
  <si>
    <t>47.47812</t>
  </si>
  <si>
    <t>13.1883</t>
  </si>
  <si>
    <t>+43646852331</t>
  </si>
  <si>
    <t>office@dieraumausstatter.at</t>
  </si>
  <si>
    <t>https://bilder.dasschnelle.at/DasSchnelle/50/5000/9889/043591/G_043591_P_906219657.adn.gif</t>
  </si>
  <si>
    <t>Golob &amp; Oeser Dachsystem GmbH • Völkermarkt • Kärnten</t>
  </si>
  <si>
    <t>Dachdeckereien • Golob &amp; Oeser Dachsystem GmbH, Oschenitzen 12, Völkermarkt • Kontakt über aktuelle Telefonnummern ☎ und Adressen ⚑ mit Karte, Routing, Öffnungszeiten, Homepage, E-Mail, vCard und Firmendaten.</t>
  </si>
  <si>
    <t>Oschenitzen 12</t>
  </si>
  <si>
    <t>46.6785873</t>
  </si>
  <si>
    <t>14.6460039</t>
  </si>
  <si>
    <t>+4342322918</t>
  </si>
  <si>
    <t>+43423229184</t>
  </si>
  <si>
    <t>golobdach@aon.at</t>
  </si>
  <si>
    <t>https://bilder.dasschnelle.at/DasSchnelle/50/5000/9942/042037/I_042037_P_906221262_L_0036261695_1.png</t>
  </si>
  <si>
    <t>https://bilder.dasschnelle.at/DasSchnelle/50/5000/9942/042037/I_042037_P_906221262_B_0036261695_1.gal.png?height=450&amp;width=600;https://bilder.dasschnelle.at/DasSchnelle/50/5000/9942/042037/I_042037_P_906221262_B_0036261695_2.gal.png?height=336&amp;width=450;https://bilder.dasschnelle.at/DasSchnelle/50/5000/9942/042037/I_042037_P_906221262_B_0036261695_3.gal.png?height=450&amp;width=600;https://bilder.dasschnelle.at/DasSchnelle/50/5000/9942/042037/I_042037_P_906221262_B_0036261695_4.gal.png?height=448&amp;width=600</t>
  </si>
  <si>
    <t>Wautsche, Markus Christian, Uniqa GA, Versicherung • Eberndorf • Kärnten</t>
  </si>
  <si>
    <t>Versicherungsunternehmen • Wautsche, Markus Christian, Uniqa GA, Bleiburger Straße 3, Eberndorf • Kontakt über aktuelle Telefonnummern ☎ und Adressen ⚑ mit Karte, Routing, Öffnungszeiten, Homepage, E-Mail, vCard und Firmendaten.</t>
  </si>
  <si>
    <t>Bleiburger Straße 3</t>
  </si>
  <si>
    <t>9141</t>
  </si>
  <si>
    <t>Eberndorf</t>
  </si>
  <si>
    <t>46.5906400</t>
  </si>
  <si>
    <t>14.6394400</t>
  </si>
  <si>
    <t>+43423629198;+436643744015</t>
  </si>
  <si>
    <t>+43423629196</t>
  </si>
  <si>
    <t>markus.wautsche@uniqa.at</t>
  </si>
  <si>
    <t>https://bilder.dasschnelle.at/DasSchnelle/50/5000/9942/042027/G_042027_P_906222162.adn.gif</t>
  </si>
  <si>
    <t>Lackner, Siegfried, Installateur • Krieglach • Steiermark</t>
  </si>
  <si>
    <t>Installationsunternehmen • Lackner, Siegfried, Roseggerstraße 76, Krieglach • Kontakt über aktuelle Telefonnummern ☎ und Adressen ⚑ mit Karte, Routing, Öffnungszeiten, Homepage, E-Mail, vCard und Firmendaten.</t>
  </si>
  <si>
    <t>Roseggerstraße 76</t>
  </si>
  <si>
    <t>47.54881</t>
  </si>
  <si>
    <t>15.56581</t>
  </si>
  <si>
    <t>+43385527027</t>
  </si>
  <si>
    <t>esb-zentrum@speed.at</t>
  </si>
  <si>
    <t>https://bilder.dasschnelle.at/DasSchnelle/50/5000/9911/044890/G_044890_P_906222166.adn.gif</t>
  </si>
  <si>
    <t>Öfner, Johann Günter, Dr., FA f Hals-, Nasen- u Ohrenkrankheiten • Imst • Tirol</t>
  </si>
  <si>
    <t>Ärzte / Fachärzte f. Hals-, Nasen u. Ohrenkrankheiten • Öfner, Johann Günter, Dr., Dr.-Carl-Pfeiffenberger-Straße 24, Imst • Kontakt über aktuelle Telefonnummern ☎ und Adressen ⚑ mit Karte, Routing, Öffnungszeiten, Homepage, E-Mail, vCard und Firmendaten.</t>
  </si>
  <si>
    <t>+43541266978</t>
  </si>
  <si>
    <t>ordination@hno-dr-oefner.at</t>
  </si>
  <si>
    <t>https://bilder.dasschnelle.at/DasSchnelle/50/5000/9894/045638/I_045638_P_906221238_L_0036262386_1.png</t>
  </si>
  <si>
    <t>https://bilder.dasschnelle.at/DasSchnelle/50/5000/9894/045638/I_045638_P_906221238_B_0036262386_1.gal.png?height=343&amp;width=331;https://bilder.dasschnelle.at/DasSchnelle/50/5000/9894/045638/I_045638_P_906221238_B_0036262386_2.gal.png?height=301&amp;width=332;https://bilder.dasschnelle.at/DasSchnelle/50/5000/9894/045638/I_045638_P_906221238_B_0036262386_3.gal.png?height=299&amp;width=334</t>
  </si>
  <si>
    <t>Absenger - Dr Rathausky SteuerberatungsgesmbH • Weiz • Steiermark</t>
  </si>
  <si>
    <t>Steuerberater, Wirtschaftstreuhänder / Steuerberater • Absenger - Dr Rathausky SteuerberatungsgesmbH, Dr.-Karl-Widdmann-Straße 55, Weiz • Kontakt über aktuelle Telefonnummern ☎ und Adressen ⚑ mit Karte, Routing, Öffnungszeiten, Homepage, E-Mail, vCard und Firmendaten.</t>
  </si>
  <si>
    <t>Dr.-Karl-Widdmann-Straße 55</t>
  </si>
  <si>
    <t>47.22539</t>
  </si>
  <si>
    <t>15.62132</t>
  </si>
  <si>
    <t>+43317220610;+436641327099</t>
  </si>
  <si>
    <t>office@absenger-rathausky.at</t>
  </si>
  <si>
    <t>https://bilder.dasschnelle.at/DasSchnelle/50/5000/9944/061397/G_061397_P_906221352.adn.gif</t>
  </si>
  <si>
    <t>Schwanzer City Music, Musikgeschäft • Krems an der Donau • Niederösterreich</t>
  </si>
  <si>
    <t>Musikinstrumente u. -zubehör • Schwanzer City Music, Gewerbeparkstraße 5, Krems an der Donau • Kontakt über aktuelle Telefonnummern ☎ und Adressen ⚑ mit Karte, Routing, Öffnungszeiten, Homepage, E-Mail, vCard und Firmendaten.</t>
  </si>
  <si>
    <t>Gewerbeparkstraße 5</t>
  </si>
  <si>
    <t>48.4100952</t>
  </si>
  <si>
    <t>15.6045091</t>
  </si>
  <si>
    <t>+43273270859</t>
  </si>
  <si>
    <t>krems@citymusic.at</t>
  </si>
  <si>
    <t>https://bilder.dasschnelle.at/DasSchnelle/50/5000/9899/042057/G_042057_P_906221357.adn.gif</t>
  </si>
  <si>
    <t>Elekto Grosz, Elektrotechnik • Neusiedl am See • Burgenland</t>
  </si>
  <si>
    <t>Elektrotechnik • Elekto Grosz, Bahnstraße 20, Neusiedl am See • Kontakt über aktuelle Telefonnummern ☎ und Adressen ⚑ mit Karte, Routing, Öffnungszeiten, Homepage, E-Mail, vCard und Firmendaten.</t>
  </si>
  <si>
    <t>Bahnstraße 20</t>
  </si>
  <si>
    <t>47.9561941</t>
  </si>
  <si>
    <t>16.8256490</t>
  </si>
  <si>
    <t>+436763659202</t>
  </si>
  <si>
    <t>office@elektro-grosz.at</t>
  </si>
  <si>
    <t>https://bilder.dasschnelle.at/DasSchnelle/50/5000/9873/041704/G_041704_P_906221360.adn.gif</t>
  </si>
  <si>
    <t>Holzbau Zobl GmbH, Zimmermeister • Tannheim • Tirol</t>
  </si>
  <si>
    <t>Zimmereien • Holzbau Zobl GmbH, Gewerbegebiet 9, Tannheim • Kontakt über aktuelle Telefonnummern ☎ und Adressen ⚑ mit Karte, Routing, Öffnungszeiten, Homepage, E-Mail, vCard und Firmendaten.</t>
  </si>
  <si>
    <t>Gewerbegebiet 9</t>
  </si>
  <si>
    <t>47.50602</t>
  </si>
  <si>
    <t>10.50206</t>
  </si>
  <si>
    <t>+4356756011</t>
  </si>
  <si>
    <t>+4356756127</t>
  </si>
  <si>
    <t>info@holzbau-zobl.at</t>
  </si>
  <si>
    <t>https://bilder.dasschnelle.at/DasSchnelle/50/5000/9921/042607/G_042607_P_906222177.adn.gif</t>
  </si>
  <si>
    <t>Edelweiß Apotheke Oetz • Oetz • Tirol</t>
  </si>
  <si>
    <t>Apotheken • Edelweiß Apotheke Oetz, Hauptstr. 50, Oetz • Kontakt über aktuelle Telefonnummern ☎ und Adressen ⚑ mit Karte, Routing, Öffnungszeiten, Homepage, E-Mail, vCard und Firmendaten.</t>
  </si>
  <si>
    <t>Hauptstr. 50</t>
  </si>
  <si>
    <t>47.20409</t>
  </si>
  <si>
    <t>10.89408</t>
  </si>
  <si>
    <t>+43525220142</t>
  </si>
  <si>
    <t>office@edelweiss-apotheke-oetz.at</t>
  </si>
  <si>
    <t>https://bilder.dasschnelle.at/DasSchnelle/50/5000/9894/045649/G_045649_P_906222046.adn.gif</t>
  </si>
  <si>
    <t>Walch-Steinhauser, B., Dr. • Imst • Tirol</t>
  </si>
  <si>
    <t>Ärzte / Fachärzte f. Zahn-, Mund u. Kieferheilkunde • Walch-Steinhauser, B., Dr., Dr.-Carl-Pfeiffenberger-Straße 16, Imst • Kontakt über aktuelle Telefonnummern ☎ und Adressen ⚑ mit Karte, Routing, Öffnungszeiten, Homepage, E-Mail, vCard und Firmendaten.</t>
  </si>
  <si>
    <t>Dr.-Carl-Pfeiffenberger-Straße 16</t>
  </si>
  <si>
    <t>47.23785</t>
  </si>
  <si>
    <t>10.73817</t>
  </si>
  <si>
    <t>+43541262615</t>
  </si>
  <si>
    <t>https://bilder.dasschnelle.at/DasSchnelle/50/5000/9894/045638/G_045638_P_906222179.adn.gif</t>
  </si>
  <si>
    <t>Steinhauser, Thomas, Dr., FA f Zahn-, Mund- u Kieferheilkunde • Imst • Tirol</t>
  </si>
  <si>
    <t>Ärzte / Fachärzte f. Zahn-, Mund u. Kieferheilkunde • Steinhauser, Thomas, Dr., Dr.-Carl-Pfeiffenberger-Straße 16, Imst • Kontakt über aktuelle Telefonnummern ☎ und Adressen ⚑ mit Karte, Routing, Öffnungszeiten, Homepage, E-Mail, vCard und Firmendaten.</t>
  </si>
  <si>
    <t>+4354126261515</t>
  </si>
  <si>
    <t>https://bilder.dasschnelle.at/DasSchnelle/50/5000/9894/045638/G_045638_P_906222186.adn.gif</t>
  </si>
  <si>
    <t>Santigli, Elisabeth, DDr., FA f Zahn-, Mund- u Kieferheilkunde • Gleisdorf • Steiermark</t>
  </si>
  <si>
    <t>Ärzte / Fachärzte f. Zahn-, Mund u. Kieferheilkunde • Santigli, Elisabeth, DDr., Hauptplatz 10 /2, Gleisdorf • Kontakt über aktuelle Telefonnummern ☎ und Adressen ⚑ mit Karte, Routing, Öffnungszeiten, Homepage, E-Mail, vCard und Firmendaten.</t>
  </si>
  <si>
    <t>Hauptplatz 10 /2</t>
  </si>
  <si>
    <t>47.1053192</t>
  </si>
  <si>
    <t>15.7106662</t>
  </si>
  <si>
    <t>+43311236800</t>
  </si>
  <si>
    <t>+4331123680020</t>
  </si>
  <si>
    <t>santigli@santigli.eu</t>
  </si>
  <si>
    <t>https://bilder.dasschnelle.at/DasSchnelle/50/5000/9944/061361/G_061361_P_906222192.adn.gif</t>
  </si>
  <si>
    <t>Wallinger, Robert, Gasthaus Pointwirt • Scheffau am Tennengebirge • Salzburg</t>
  </si>
  <si>
    <t>Gastgewerbe - Gasthöfe • Wallinger, Robert, Gasthaus Pointwirt, Scheffau am Tennengebirge • Kontakt über aktuelle Telefonnummern ☎ und Adressen ⚑ mit Karte, Routing, Öffnungszeiten, Homepage, E-Mail, vCard und Firmendaten.</t>
  </si>
  <si>
    <t>Scheffau am Tennengebirge</t>
  </si>
  <si>
    <t>47.5898304</t>
  </si>
  <si>
    <t>13.2112603</t>
  </si>
  <si>
    <t>+4362448449</t>
  </si>
  <si>
    <t>info@pointwirt.at</t>
  </si>
  <si>
    <t>https://bilder.dasschnelle.at/DasSchnelle/50/5000/9889/043598/G_043598_P_906221332.adn.gif</t>
  </si>
  <si>
    <t>Schwanzer Installationen GmbH, Installationen • Mautern • Niederösterreich</t>
  </si>
  <si>
    <t>Heizungen • Schwanzer Installationen GmbH, Sankt Pöltner Straße 30, Mautern • Kontakt über aktuelle Telefonnummern ☎ und Adressen ⚑ mit Karte, Routing, Öffnungszeiten, Homepage, E-Mail, vCard und Firmendaten.</t>
  </si>
  <si>
    <t>Sankt Pöltner Straße 30</t>
  </si>
  <si>
    <t>48.39243</t>
  </si>
  <si>
    <t>15.58</t>
  </si>
  <si>
    <t>+432732829450</t>
  </si>
  <si>
    <t>office@schwanzer-installationen.at</t>
  </si>
  <si>
    <t>https://bilder.dasschnelle.at/DasSchnelle/50/5000/9899/041501/G_041501_P_906222206.adn.gif</t>
  </si>
  <si>
    <t>Pircher GesmbH, Druckerei • Ötztal-Bahnhof • Tirol</t>
  </si>
  <si>
    <t>Druckereien • Pircher GesmbH, Olympstraße 3, Ötztal-Bahnhof • Kontakt über aktuelle Telefonnummern ☎ und Adressen ⚑ mit Karte, Routing, Öffnungszeiten, Homepage, E-Mail, vCard und Firmendaten.</t>
  </si>
  <si>
    <t>Olympstraße 3</t>
  </si>
  <si>
    <t>47.23627</t>
  </si>
  <si>
    <t>10.86398</t>
  </si>
  <si>
    <t>+43526689660</t>
  </si>
  <si>
    <t>info@pircherdruck.at</t>
  </si>
  <si>
    <t>https://bilder.dasschnelle.at/DasSchnelle/50/5000/9894/506343/G_506343_P_906222783.adn.gif</t>
  </si>
  <si>
    <t>Schönleitner, Klaus, Natursteine u -platten • Kuchl • Salzburg</t>
  </si>
  <si>
    <t>Natursteine u. -platten • Schönleitner, Klaus, Garnei 143, Kuchl • Kontakt über aktuelle Telefonnummern ☎ und Adressen ⚑ mit Karte, Routing, Öffnungszeiten, Homepage, E-Mail, vCard und Firmendaten.</t>
  </si>
  <si>
    <t>Garnei 143</t>
  </si>
  <si>
    <t>47.6482349</t>
  </si>
  <si>
    <t>13.1335309</t>
  </si>
  <si>
    <t>+436643045461;+436643045461</t>
  </si>
  <si>
    <t>steinmetz.schoenleitner@gmx.at</t>
  </si>
  <si>
    <t>https://bilder.dasschnelle.at/DasSchnelle/50/5000/9889/043593/G_043593_P_906222788.adn.gif</t>
  </si>
  <si>
    <t>Malerei und Fassaden GmbH • Steyr • Oberösterreich</t>
  </si>
  <si>
    <t>Fassaden, Malereibetriebe • Malerei und Fassaden GmbH, Ennser Straße 68, Steyr • Kontakt über aktuelle Telefonnummern ☎ und Adressen ⚑ mit Karte, Routing, Öffnungszeiten, Homepage, E-Mail, vCard und Firmendaten.</t>
  </si>
  <si>
    <t>Ennser Straße 68</t>
  </si>
  <si>
    <t>48.07355</t>
  </si>
  <si>
    <t>14.42455</t>
  </si>
  <si>
    <t>+43725273021</t>
  </si>
  <si>
    <t>office@malerei-fassaden.at</t>
  </si>
  <si>
    <t>https://bilder.dasschnelle.at/DasSchnelle/50/5000/9878/044546/G_044546_P_906222808.adn.gif</t>
  </si>
  <si>
    <t>Kreil, Roland, Dr., FA f Zahn-, Mund- u Kieferheilkunde • Bad Goisern am Hallstättersee • Oberösterreich</t>
  </si>
  <si>
    <t>Ärzte / Fachärzte f. Zahn-, Mund u. Kieferheilkunde • Kreil, Roland, Dr., Au 95, Bad Goisern am Hallstättersee • Kontakt über aktuelle Telefonnummern ☎ und Adressen ⚑ mit Karte, Routing, Öffnungszeiten, Homepage, E-Mail, vCard und Firmendaten.</t>
  </si>
  <si>
    <t>Au 95</t>
  </si>
  <si>
    <t>47.6145346</t>
  </si>
  <si>
    <t>13.6316624</t>
  </si>
  <si>
    <t>+4361357744</t>
  </si>
  <si>
    <t>kreil.roland@medway.at</t>
  </si>
  <si>
    <t>https://bilder.dasschnelle.at/DasSchnelle/50/5000/9868/041789/G_041789_P_906223793.adn.gif</t>
  </si>
  <si>
    <t>Pahs, Walter, Mag.pharm. • Hainburg an der Donau • Niederösterreich</t>
  </si>
  <si>
    <t>Apotheken • Pahs, Walter, Mag.pharm., Hauptplatz 17, Hainburg an der Donau • Kontakt über aktuelle Telefonnummern ☎ und Adressen ⚑ mit Karte, Routing, Öffnungszeiten, Homepage, E-Mail, vCard und Firmendaten.</t>
  </si>
  <si>
    <t>48.14806</t>
  </si>
  <si>
    <t>16.94061</t>
  </si>
  <si>
    <t>+43216562634</t>
  </si>
  <si>
    <t>office@apotheke-hainburg.at</t>
  </si>
  <si>
    <t>https://bilder.dasschnelle.at/DasSchnelle/50/5000/9873/041439/G_041439_P_906223797.adn.gif</t>
  </si>
  <si>
    <t>Rhomberg Dr. Steuerberatungs-GmbH, Wirtschaftstreuhänder / Steuerberater • Reutte • Tirol</t>
  </si>
  <si>
    <t>Wirtschaftstreuhänder / Steuerberater • Rhomberg Dr. Steuerberatungs-GmbH, Ehrenbergstraße 27, Reutte • Kontakt über aktuelle Telefonnummern ☎ und Adressen ⚑ mit Karte, Routing, Öffnungszeiten, Homepage, E-Mail, vCard und Firmendaten.</t>
  </si>
  <si>
    <t>Ehrenbergstraße 27</t>
  </si>
  <si>
    <t>47.48062</t>
  </si>
  <si>
    <t>10.72165</t>
  </si>
  <si>
    <t>+43567262521</t>
  </si>
  <si>
    <t>office@rhomberg-stb.at</t>
  </si>
  <si>
    <t>https://bilder.dasschnelle.at/DasSchnelle/50/5000/9921/042603/I_042603_P_906224787_L_0036266175_1.png</t>
  </si>
  <si>
    <t>https://bilder.dasschnelle.at/DasSchnelle/50/5000/9921/042603/I_042603_P_906224787_B_0036266175_1.gal.png?height=288&amp;width=435;https://bilder.dasschnelle.at/DasSchnelle/50/5000/9921/042603/I_042603_P_906224787_B_0036266175_2.gal.png?height=290&amp;width=435;https://bilder.dasschnelle.at/DasSchnelle/50/5000/9921/042603/I_042603_P_906224787_B_0036266175_3.gal.png?height=290&amp;width=437;https://bilder.dasschnelle.at/DasSchnelle/50/5000/9921/042603/I_042603_P_906224787_B_0036266175_4.gal.png?height=287&amp;width=436;https://bilder.dasschnelle.at/DasSchnelle/50/5000/9921/042603/G_042603_P_906224787.adn.gif</t>
  </si>
  <si>
    <t>Mukaddam, Mohamed Riad, Dr.med.dent., FA f Zahn-, Mund- u Kieferheilkunde • Kittsee • Burgenland</t>
  </si>
  <si>
    <t>Ärzte / Fachärzte f. Zahn-, Mund u. Kieferheilkunde • Mukaddam, Mohamed Riad, Dr.med.dent., Hauptplatz 8, Kittsee • Kontakt über aktuelle Telefonnummern ☎ und Adressen ⚑ mit Karte, Routing, Öffnungszeiten, Homepage, E-Mail, vCard und Firmendaten.</t>
  </si>
  <si>
    <t>48.093</t>
  </si>
  <si>
    <t>17.0643</t>
  </si>
  <si>
    <t>+43214323220</t>
  </si>
  <si>
    <t>ordination@dr-mukaddam.at</t>
  </si>
  <si>
    <t>https://bilder.dasschnelle.at/DasSchnelle/50/5000/9873/041702/G_041702_P_906224788.adn.gif</t>
  </si>
  <si>
    <t>Peham, Franz, Tischlerei • Ybbs an der Donau • Niederösterreich</t>
  </si>
  <si>
    <t>Tischlereien • Peham, Franz, Feldmüllerstraße 4, Ybbs an der Donau • Kontakt über aktuelle Telefonnummern ☎ und Adressen ⚑ mit Karte, Routing, Öffnungszeiten, Homepage, E-Mail, vCard und Firmendaten.</t>
  </si>
  <si>
    <t>Feldmüllerstraße 4</t>
  </si>
  <si>
    <t>48.1733189</t>
  </si>
  <si>
    <t>15.0784259</t>
  </si>
  <si>
    <t>+43741252663</t>
  </si>
  <si>
    <t>tischlerei-peham@gmx.at</t>
  </si>
  <si>
    <t>https://bilder.dasschnelle.at/DasSchnelle/50/5000/9908/041645/G_041645_P_906224877.adn.gif</t>
  </si>
  <si>
    <t>Malerei Buchegger • Golling an der Salzach • Salzburg</t>
  </si>
  <si>
    <t>Malereibetriebe • Malerei Buchegger, Hildebrandweg 83, Golling an der Salzach • Kontakt über aktuelle Telefonnummern ☎ und Adressen ⚑ mit Karte, Routing, Öffnungszeiten, Homepage, E-Mail, vCard und Firmendaten.</t>
  </si>
  <si>
    <t>Hildebrandweg 83</t>
  </si>
  <si>
    <t>47.59402</t>
  </si>
  <si>
    <t>13.17032</t>
  </si>
  <si>
    <t>+436649117499</t>
  </si>
  <si>
    <t>malerei-buchegger@sbg.at</t>
  </si>
  <si>
    <t>https://bilder.dasschnelle.at/DasSchnelle/50/5000/9889/043590/G_043590_P_906224880.adn.gif</t>
  </si>
  <si>
    <t>Stöger Albert KG, Zentralheizungs-u Wasserleitungsinst • Ybbs an der Donau • Niederösterreich</t>
  </si>
  <si>
    <t>Installationsunternehmen • Stöger Albert KG, Reiteringer Straße 2, Ybbs an der Donau • Kontakt über aktuelle Telefonnummern ☎ und Adressen ⚑ mit Karte, Routing, Öffnungszeiten, Homepage, E-Mail, vCard und Firmendaten.</t>
  </si>
  <si>
    <t>Reiteringer Straße 2</t>
  </si>
  <si>
    <t>48.1770166</t>
  </si>
  <si>
    <t>15.0807606</t>
  </si>
  <si>
    <t>+437412526020</t>
  </si>
  <si>
    <t>+43741252231</t>
  </si>
  <si>
    <t>albert.stoeger@aon.at</t>
  </si>
  <si>
    <t>https://bilder.dasschnelle.at/DasSchnelle/50/5000/9908/041645/G_041645_P_906224912.adn.gif</t>
  </si>
  <si>
    <t>HAIRLICH, Friseur • Melk • Niederösterreich</t>
  </si>
  <si>
    <t>Friseure • HAIRLICH, Wiener Straße 4, Melk • Kontakt über aktuelle Telefonnummern ☎ und Adressen ⚑ mit Karte, Routing, Öffnungszeiten, Homepage, E-Mail, vCard und Firmendaten.</t>
  </si>
  <si>
    <t>Wiener Straße 4</t>
  </si>
  <si>
    <t>48.2270600</t>
  </si>
  <si>
    <t>15.3331900</t>
  </si>
  <si>
    <t>+436509854339</t>
  </si>
  <si>
    <t>sabineschwaiger6@gmail.com</t>
  </si>
  <si>
    <t>https://bilder.dasschnelle.at/DasSchnelle/50/5000/9908/041629/G_041629_P_906224294.adn.gif</t>
  </si>
  <si>
    <t>Riha-Opetnik, Susanne, Dr.med.univ., FA f Zahn-, Mund- u Kieferheilkunde • Bleiburg • Kärnten</t>
  </si>
  <si>
    <t>Ärzte / Fachärzte f. Zahn-, Mund u. Kieferheilkunde • Riha-Opetnik, Susanne, Dr.med.univ., Bahnhofstraße 6, Bleiburg • Kontakt über aktuelle Telefonnummern ☎ und Adressen ⚑ mit Karte, Routing, Öffnungszeiten, Homepage, E-Mail, vCard und Firmendaten.</t>
  </si>
  <si>
    <t>Bahnhofstraße 6</t>
  </si>
  <si>
    <t>46.58814</t>
  </si>
  <si>
    <t>14.79896</t>
  </si>
  <si>
    <t>+43423544144</t>
  </si>
  <si>
    <t>dr.rihaopetnik@gmail.com</t>
  </si>
  <si>
    <t>https://bilder.dasschnelle.at/DasSchnelle/50/5000/9942/042025/G_042025_P_906225614.adn.gif</t>
  </si>
  <si>
    <t>Tierklinik Würflach • Willendorf • Niederösterreich</t>
  </si>
  <si>
    <t>Tierkliniken • Tierklinik Würflach, Am Johannesbach 52, Willendorf • Kontakt über aktuelle Telefonnummern ☎ und Adressen ⚑ mit Karte, Routing, Öffnungszeiten, Homepage, E-Mail, vCard und Firmendaten.</t>
  </si>
  <si>
    <t>Am Johannesbach 52</t>
  </si>
  <si>
    <t>47.7765600</t>
  </si>
  <si>
    <t>16.0554649</t>
  </si>
  <si>
    <t>+436642138809</t>
  </si>
  <si>
    <t>office@tierklinik-wuerflach.at</t>
  </si>
  <si>
    <t>https://bilder.dasschnelle.at/DasSchnelle/50/5000/9913/041844/G_041844_P_906225616.adn.gif</t>
  </si>
  <si>
    <t>Wogrin Werner GmbH, Dienstleistungsservice • Sankt Peter • Steiermark</t>
  </si>
  <si>
    <t>Reinigungsbetriebe, sonstige, Sonstige Dienstleistungen, Dienstleistungen • Wogrin Werner GmbH, Bierbaum 134, Sankt Peter • Kontakt über aktuelle Telefonnummern ☎ und Adressen ⚑ mit Karte, Routing, Öffnungszeiten, Homepage, E-Mail, vCard und Firmendaten.</t>
  </si>
  <si>
    <t>Bierbaum 134</t>
  </si>
  <si>
    <t>46.8308400</t>
  </si>
  <si>
    <t>15.7949200</t>
  </si>
  <si>
    <t>+4334772107;+43347729070;+436643448450</t>
  </si>
  <si>
    <t>info@wogrin.at</t>
  </si>
  <si>
    <t>https://bilder.dasschnelle.at/DasSchnelle/50/5000/9920/061419/G_061419_P_906225622.adn.gif</t>
  </si>
  <si>
    <t>Zacharias, Josef, Autohaus • Mureck • Steiermark</t>
  </si>
  <si>
    <t>Autoreparaturen • Zacharias, Josef, Gosdorf 201, Mureck • Kontakt über aktuelle Telefonnummern ☎ und Adressen ⚑ mit Karte, Routing, Öffnungszeiten, Homepage, E-Mail, vCard und Firmendaten.</t>
  </si>
  <si>
    <t>Gosdorf 201</t>
  </si>
  <si>
    <t>46.7269560</t>
  </si>
  <si>
    <t>15.7958843</t>
  </si>
  <si>
    <t>+4334723446</t>
  </si>
  <si>
    <t>citroen.zacharis@utanet.at</t>
  </si>
  <si>
    <t>https://bilder.dasschnelle.at/DasSchnelle/50/5000/9920/061439/G_061439_P_906225726.adn.gif</t>
  </si>
  <si>
    <t>Franz Fischer KG, LM Technik &amp; Handel • Straden • Steiermark</t>
  </si>
  <si>
    <t>Metallbe- und -verarbeitung, Landtechnik • Franz Fischer KG, Nägelsdorf 22, Straden • Kontakt über aktuelle Telefonnummern ☎ und Adressen ⚑ mit Karte, Routing, Öffnungszeiten, Homepage, E-Mail, vCard und Firmendaten.</t>
  </si>
  <si>
    <t>Nägelsdorf 22</t>
  </si>
  <si>
    <t>46.7949352</t>
  </si>
  <si>
    <t>15.8431853</t>
  </si>
  <si>
    <t>+4334737522</t>
  </si>
  <si>
    <t>office@franzfischer.at</t>
  </si>
  <si>
    <t>https://bilder.dasschnelle.at/DasSchnelle/50/5000/9920/061440/I_061440_P_906225730_L_0036891891_1.png</t>
  </si>
  <si>
    <t>https://bilder.dasschnelle.at/DasSchnelle/50/5000/9920/061440/I_061440_P_906225730_B_0036891891_1.gal.png?height=480&amp;width=720;https://bilder.dasschnelle.at/DasSchnelle/50/5000/9920/061440/I_061440_P_906225730_B_0036891891_2.gal.png?height=313&amp;width=720;https://bilder.dasschnelle.at/DasSchnelle/50/5000/9920/061440/I_061440_P_906225730_B_0036891891_3.gal.png?height=313&amp;width=720;https://bilder.dasschnelle.at/DasSchnelle/50/5000/9920/061440/I_061440_P_906225730_B_0036891891_4.gal.png?height=313&amp;width=720;https://bilder.dasschnelle.at/DasSchnelle/50/5000/9920/061440/G_061440_P_906225730.adn.gif</t>
  </si>
  <si>
    <t>Marbler, Gerhard, Installationen • Laasen • Steiermark</t>
  </si>
  <si>
    <t>Installationsunternehmen • Marbler, Gerhard, Laasen • Kontakt über aktuelle Telefonnummern ☎ und Adressen ⚑ mit Karte, Routing, Öffnungszeiten, Homepage, E-Mail, vCard und Firmendaten.</t>
  </si>
  <si>
    <t>8355</t>
  </si>
  <si>
    <t>Laasen</t>
  </si>
  <si>
    <t>46.7719693</t>
  </si>
  <si>
    <t>15.9184012</t>
  </si>
  <si>
    <t>+436641122735</t>
  </si>
  <si>
    <t>office@installationen-marbler.at</t>
  </si>
  <si>
    <t>https://bilder.dasschnelle.at/DasSchnelle/50/5000/9920/045348/G_045348_P_906226551.adn.gif</t>
  </si>
  <si>
    <t>Feischl, Martina, Mag.med.vet., Tierärztin • Magdalenaberg • Oberösterreich</t>
  </si>
  <si>
    <t>Tierärzte • Feischl, Martina, Mag.med.vet., Magdalenaberg • Kontakt über aktuelle Telefonnummern ☎ und Adressen ⚑ mit Karte, Routing, Öffnungszeiten, Homepage, E-Mail, vCard und Firmendaten.</t>
  </si>
  <si>
    <t>Magdalenaberg</t>
  </si>
  <si>
    <t>47.9371910</t>
  </si>
  <si>
    <t>14.0477862</t>
  </si>
  <si>
    <t>+4375868611</t>
  </si>
  <si>
    <t>martina.feischl@aon.at</t>
  </si>
  <si>
    <t>https://bilder.dasschnelle.at/DasSchnelle/50/5000/9917/046089/G_046089_P_906227488.adn.gif</t>
  </si>
  <si>
    <t>Zitt, Robert, Küchenstudio • Reutte • Tirol</t>
  </si>
  <si>
    <t>Küchenstudios • Zitt, Robert, Lindenstraße 12, Reutte • Kontakt über aktuelle Telefonnummern ☎ und Adressen ⚑ mit Karte, Routing, Öffnungszeiten, Homepage, E-Mail, vCard und Firmendaten.</t>
  </si>
  <si>
    <t>Lindenstraße 12</t>
  </si>
  <si>
    <t>47.48846</t>
  </si>
  <si>
    <t>10.7154</t>
  </si>
  <si>
    <t>+43567265783</t>
  </si>
  <si>
    <t>kuechenstudiozitt@tnr.at</t>
  </si>
  <si>
    <t>https://bilder.dasschnelle.at/DasSchnelle/50/5000/9921/042603/I_042603_P_906225597_L_0036266247_1.png</t>
  </si>
  <si>
    <t>https://bilder.dasschnelle.at/DasSchnelle/50/5000/9921/042603/I_042603_P_906225597_B_0036266247_1.gal.png?height=375&amp;width=600;https://bilder.dasschnelle.at/DasSchnelle/50/5000/9921/042603/I_042603_P_906225597_B_0036266247_2.gal.png?height=356&amp;width=600;https://bilder.dasschnelle.at/DasSchnelle/50/5000/9921/042603/I_042603_P_906225597_B_0036266247_3.gal.png?height=383&amp;width=600;https://bilder.dasschnelle.at/DasSchnelle/50/5000/9921/042603/I_042603_P_906225597_B_0036266247_4.gal.png?height=383&amp;width=600</t>
  </si>
  <si>
    <t>Zehentleitner, Clemens, Mag., Rechtsanwalt • Bad Aussee • Steiermark</t>
  </si>
  <si>
    <t>Rechtsanwälte • Zehentleitner, Clemens, Mag., Bahnhofstraße 103, Bad Aussee • Kontakt über aktuelle Telefonnummern ☎ und Adressen ⚑ mit Karte, Routing, Öffnungszeiten, Homepage, E-Mail, vCard und Firmendaten.</t>
  </si>
  <si>
    <t>Bahnhofstraße 103</t>
  </si>
  <si>
    <t>47.60879</t>
  </si>
  <si>
    <t>13.78321</t>
  </si>
  <si>
    <t>+43362253224</t>
  </si>
  <si>
    <t>office@ra-zehentleitner.at</t>
  </si>
  <si>
    <t>https://bilder.dasschnelle.at/DasSchnelle/50/5000/9868/044351/G_044351_P_906225598.adn.gif</t>
  </si>
  <si>
    <t>Zehetleitner, Gerda, Dr., FA f Frauenheilkunde u Geburtshilfe • Weiz • Steiermark</t>
  </si>
  <si>
    <t>Fachärzte für Frauenheilkunde und Geburtshilfe, Ärzte / Fachärzte f. Frauenheilkunde u. Geburtshilfe • Zehetleitner, Gerda, Dr., Hans-Sutter-Gasse 3, Weiz • Kontakt über aktuelle Telefonnummern ☎ und Adressen ⚑ mit Karte, Routing, Öffnungszeiten, Homepage, E-Mail, vCard und Firmendaten.</t>
  </si>
  <si>
    <t>+433172386323</t>
  </si>
  <si>
    <t>ordination@frauenaerztin-zehetleitner.at</t>
  </si>
  <si>
    <t>https://bilder.dasschnelle.at/DasSchnelle/50/5000/9944/061397/G_061397_P_906225702.adn.gif</t>
  </si>
  <si>
    <t>Weiss, Kurt, Ing., EDV • Haiming • Tirol</t>
  </si>
  <si>
    <t>EDV-Dienstleistungen • Weiss, Kurt, Ing., Gartenweg 3, Haiming • Kontakt über aktuelle Telefonnummern ☎ und Adressen ⚑ mit Karte, Routing, Öffnungszeiten, Homepage, E-Mail, vCard und Firmendaten.</t>
  </si>
  <si>
    <t>Gartenweg 3</t>
  </si>
  <si>
    <t>6425</t>
  </si>
  <si>
    <t>Haiming</t>
  </si>
  <si>
    <t>47.25056</t>
  </si>
  <si>
    <t>10.88356</t>
  </si>
  <si>
    <t>+43676842558810</t>
  </si>
  <si>
    <t>info@kwnet.at</t>
  </si>
  <si>
    <t>https://bilder.dasschnelle.at/DasSchnelle/50/5000/9894/045637/I_045637_P_906225705_L_0036244075_1.png</t>
  </si>
  <si>
    <t>https://bilder.dasschnelle.at/DasSchnelle/50/5000/9894/045637/G_045637_P_906225705.adn.gif</t>
  </si>
  <si>
    <t>Hoscher, Sebastian, Dr., Zahnarzt • Bad Ischl • Oberösterreich</t>
  </si>
  <si>
    <t>Ärzte / Zahnärzte • Hoscher, Sebastian, Dr., Kurhausstraße 3, Bad Ischl • Kontakt über aktuelle Telefonnummern ☎ und Adressen ⚑ mit Karte, Routing, Öffnungszeiten, Homepage, E-Mail, vCard und Firmendaten.</t>
  </si>
  <si>
    <t>Kurhausstraße 3</t>
  </si>
  <si>
    <t>47.70996</t>
  </si>
  <si>
    <t>13.61822</t>
  </si>
  <si>
    <t>+43613222901</t>
  </si>
  <si>
    <t>drhoscher@justsmile.at</t>
  </si>
  <si>
    <t>https://bilder.dasschnelle.at/DasSchnelle/50/5000/9868/041790/G_041790_P_906226499.adn.gif</t>
  </si>
  <si>
    <t>Pfleger, Johann Christian, Dr., Tierarztpraxis • Reutte • Tirol</t>
  </si>
  <si>
    <t>Tierärzte • Pfleger, Johann Christian, Dr., Kög 5, Reutte • Kontakt über aktuelle Telefonnummern ☎ und Adressen ⚑ mit Karte, Routing, Öffnungszeiten, Homepage, E-Mail, vCard und Firmendaten.</t>
  </si>
  <si>
    <t>Kög 5</t>
  </si>
  <si>
    <t>47.48424</t>
  </si>
  <si>
    <t>10.71991</t>
  </si>
  <si>
    <t>+43567265566</t>
  </si>
  <si>
    <t>info@tierarztpraxis-reutte.at</t>
  </si>
  <si>
    <t>https://bilder.dasschnelle.at/DasSchnelle/50/5000/9921/042603/G_042603_P_906226578.adn.gif</t>
  </si>
  <si>
    <t>Wielander, Hans-Peter, Dr.med., FA f Frauenheilkunde u Geburtshilfe • Bad Ischl • Oberösterreich</t>
  </si>
  <si>
    <t>Ärzte / Fachärzte f. Frauenheilkunde u. Geburtshilfe • Wielander, Hans-Peter, Dr.med., Götzstraße 5, Bad Ischl • Kontakt über aktuelle Telefonnummern ☎ und Adressen ⚑ mit Karte, Routing, Öffnungszeiten, Homepage, E-Mail, vCard und Firmendaten.</t>
  </si>
  <si>
    <t>Götzstraße 5</t>
  </si>
  <si>
    <t>47.71429</t>
  </si>
  <si>
    <t>13.62406</t>
  </si>
  <si>
    <t>+436132226880</t>
  </si>
  <si>
    <t>wielander.gyn@medway.at</t>
  </si>
  <si>
    <t>https://bilder.dasschnelle.at/DasSchnelle/50/5000/9868/041790/G_041790_P_906227508.adn.gif</t>
  </si>
  <si>
    <t>Freunschlag, Anton, Dr.med.univ., FA f Neurologie • Altaussee • Steiermark</t>
  </si>
  <si>
    <t>Neurologie • Freunschlag, Anton, Dr.med.univ., Puchen 251, Altaussee • Kontakt über aktuelle Telefonnummern ☎ und Adressen ⚑ mit Karte, Routing, Öffnungszeiten, Homepage, E-Mail, vCard und Firmendaten.</t>
  </si>
  <si>
    <t>Puchen 251</t>
  </si>
  <si>
    <t>47.63505</t>
  </si>
  <si>
    <t>13.76156</t>
  </si>
  <si>
    <t>+43362221300</t>
  </si>
  <si>
    <t>empfang@drfreunschlag.at</t>
  </si>
  <si>
    <t>https://bilder.dasschnelle.at/DasSchnelle/50/5000/9868/041790/G_041790_P_906227509.adn.gif</t>
  </si>
  <si>
    <t>Fenster &amp; Türenstudio Bruckner, Fenster • Mönchhof • Burgenland</t>
  </si>
  <si>
    <t>Fenster u. Türen • Fenster &amp; Türenstudio Bruckner, Betriebsgebiet Nord 2 A, Mönchhof • Kontakt über aktuelle Telefonnummern ☎ und Adressen ⚑ mit Karte, Routing, Öffnungszeiten, Homepage, E-Mail, vCard und Firmendaten.</t>
  </si>
  <si>
    <t>Betriebsgebiet Nord 2 A</t>
  </si>
  <si>
    <t>47.8883</t>
  </si>
  <si>
    <t>16.95393</t>
  </si>
  <si>
    <t>+43217380226</t>
  </si>
  <si>
    <t>fenster@leyrer.co.at</t>
  </si>
  <si>
    <t>https://bilder.dasschnelle.at/DasSchnelle/50/5000/9873/041703/I_041703_P_906225673_L_0036262243_1.png</t>
  </si>
  <si>
    <t>https://bilder.dasschnelle.at/DasSchnelle/50/5000/9873/041703/I_041703_P_906225673_B_0036262243_1.gal.png?height=450&amp;width=600;https://bilder.dasschnelle.at/DasSchnelle/50/5000/9873/041703/I_041703_P_906225673_B_0036262243_2.gal.png?height=450&amp;width=600;https://bilder.dasschnelle.at/DasSchnelle/50/5000/9873/041703/I_041703_P_906225673_B_0036262243_3.gal.png?height=450&amp;width=600;https://bilder.dasschnelle.at/DasSchnelle/50/5000/9873/041703/I_041703_P_906225673_B_0036262243_4.gal.png?height=450&amp;width=600</t>
  </si>
  <si>
    <t>Firma Hintersteiner, Fenster-Türen-Garagentore • Münichreith am Ostrong • Niederösterreich</t>
  </si>
  <si>
    <t>Fenster u. Türen • Firma Hintersteiner, Kehrbach 25, Münichreith am Ostrong • Kontakt über aktuelle Telefonnummern ☎ und Adressen ⚑ mit Karte, Routing, Öffnungszeiten, Homepage, E-Mail, vCard und Firmendaten.</t>
  </si>
  <si>
    <t>Kehrbach 25</t>
  </si>
  <si>
    <t>48.2786438</t>
  </si>
  <si>
    <t>15.1258491</t>
  </si>
  <si>
    <t>+4374136836</t>
  </si>
  <si>
    <t>info@hintersteiner-fenster.at</t>
  </si>
  <si>
    <t>https://bilder.dasschnelle.at/DasSchnelle/50/5000/9908/041630/G_041630_P_906225675.adn.gif</t>
  </si>
  <si>
    <t>Züger, Georg, Sägewerk • Kuchl • Salzburg</t>
  </si>
  <si>
    <t>Säge- u. Hobelwerke • Züger, Georg, Weißenbach 14, Kuchl • Kontakt über aktuelle Telefonnummern ☎ und Adressen ⚑ mit Karte, Routing, Öffnungszeiten, Homepage, E-Mail, vCard und Firmendaten.</t>
  </si>
  <si>
    <t>Weißenbach 14</t>
  </si>
  <si>
    <t>47.6140527</t>
  </si>
  <si>
    <t>13.1426341</t>
  </si>
  <si>
    <t>+43624463930</t>
  </si>
  <si>
    <t>saegewerk.zueger@sbg.at</t>
  </si>
  <si>
    <t>https://bilder.dasschnelle.at/DasSchnelle/50/5000/9889/043593/G_043593_P_906225753.adn.gif</t>
  </si>
  <si>
    <t>Larcher Steinmetz GmbH • Tarrenz • Tirol</t>
  </si>
  <si>
    <t>Steinmetzbetriebe • Larcher Steinmetz GmbH, Dollinger-Lager 14, Tarrenz • Kontakt über aktuelle Telefonnummern ☎ und Adressen ⚑ mit Karte, Routing, Öffnungszeiten, Homepage, E-Mail, vCard und Firmendaten.</t>
  </si>
  <si>
    <t>Dollinger-Lager 14</t>
  </si>
  <si>
    <t>6464</t>
  </si>
  <si>
    <t>Tarrenz</t>
  </si>
  <si>
    <t>47.27596</t>
  </si>
  <si>
    <t>10.79272</t>
  </si>
  <si>
    <t>+43541264623</t>
  </si>
  <si>
    <t>+43541266068</t>
  </si>
  <si>
    <t>fidelius@eunet.at</t>
  </si>
  <si>
    <t>https://bilder.dasschnelle.at/DasSchnelle/50/5000/9894/045657/I_045657_P_906226420_L_0036253271_1.png</t>
  </si>
  <si>
    <t>https://bilder.dasschnelle.at/DasSchnelle/50/5000/9894/045657/I_045657_P_906226420_B_0036253271_1.gal.png?height=224&amp;width=600;https://bilder.dasschnelle.at/DasSchnelle/50/5000/9894/045657/I_045657_P_906226420_B_0036253271_2.gal.png?height=224&amp;width=600;https://bilder.dasschnelle.at/DasSchnelle/50/5000/9894/045657/I_045657_P_906226420_B_0036253271_3.gal.png?height=224&amp;width=600;https://bilder.dasschnelle.at/DasSchnelle/50/5000/9894/045657/I_045657_P_906226420_B_0036253271_4.gal.png?height=384&amp;width=1024</t>
  </si>
  <si>
    <t>Harry´s Malerei • Abtenau • Salzburg</t>
  </si>
  <si>
    <t>Malereibetriebe • Harry´s Malerei, Schorn 40, Abtenau • Kontakt über aktuelle Telefonnummern ☎ und Adressen ⚑ mit Karte, Routing, Öffnungszeiten, Homepage, E-Mail, vCard und Firmendaten.</t>
  </si>
  <si>
    <t>Schorn 40</t>
  </si>
  <si>
    <t>47.5748634</t>
  </si>
  <si>
    <t>13.3844624</t>
  </si>
  <si>
    <t>+4362433284</t>
  </si>
  <si>
    <t>harrys.malerei@aon.at</t>
  </si>
  <si>
    <t>https://bilder.dasschnelle.at/DasSchnelle/50/5000/9889/043587/G_043587_P_906225776.adn.gif</t>
  </si>
  <si>
    <t>Ziegler Manfred GmbH, Transporte u, Baggerungen • Stadl-Hausruck • Oberösterreich</t>
  </si>
  <si>
    <t>Bauunternehmen, Transportunternehmen • Ziegler Manfred GmbH, Schilcherberg 3 A, Stadl-Hausruck • Kontakt über aktuelle Telefonnummern ☎ und Adressen ⚑ mit Karte, Routing, Öffnungszeiten, Homepage, E-Mail, vCard und Firmendaten.</t>
  </si>
  <si>
    <t>Schilcherberg 3 A</t>
  </si>
  <si>
    <t>Stadl-Hausruck</t>
  </si>
  <si>
    <t>48.0835800</t>
  </si>
  <si>
    <t>13.8553700</t>
  </si>
  <si>
    <t>+43724528524</t>
  </si>
  <si>
    <t>office@ziegler-transporte.at</t>
  </si>
  <si>
    <t>https://bilder.dasschnelle.at/DasSchnelle/50/5000/9902/043581/G_043581_P_906228808.adn.gif</t>
  </si>
  <si>
    <t>Autohaus Purkowitzer GesmbH • Völkermarkt • Kärnten</t>
  </si>
  <si>
    <t>Autohandel • Autohaus Purkowitzer GesmbH, Jauntalweg 2, Völkermarkt • Kontakt über aktuelle Telefonnummern ☎ und Adressen ⚑ mit Karte, Routing, Öffnungszeiten, Homepage, E-Mail, vCard und Firmendaten.</t>
  </si>
  <si>
    <t>Jauntalweg 2</t>
  </si>
  <si>
    <t>46.6583600</t>
  </si>
  <si>
    <t>14.6308000</t>
  </si>
  <si>
    <t>+4342322519</t>
  </si>
  <si>
    <t>+434232251910</t>
  </si>
  <si>
    <t>katrin@purkowitzer.skoda.co.at</t>
  </si>
  <si>
    <t>https://bilder.dasschnelle.at/DasSchnelle/50/5000/9942/042037/G_042037_P_906228819.adn.gif</t>
  </si>
  <si>
    <t>Potzinger, Erich, Bauunternehmung • Klöchberg • Steiermark</t>
  </si>
  <si>
    <t>Bauunternehmen • Potzinger, Erich, Klöchberg • Kontakt über aktuelle Telefonnummern ☎ und Adressen ⚑ mit Karte, Routing, Öffnungszeiten, Homepage, E-Mail, vCard und Firmendaten.</t>
  </si>
  <si>
    <t>8493</t>
  </si>
  <si>
    <t>Klöchberg</t>
  </si>
  <si>
    <t>46.7603200</t>
  </si>
  <si>
    <t>15.9481000</t>
  </si>
  <si>
    <t>+4334757465;+436641652043</t>
  </si>
  <si>
    <t>potzinger.erich@aon.at</t>
  </si>
  <si>
    <t>https://bilder.dasschnelle.at/DasSchnelle/50/5000/9920/045146/G_045146_P_906228926.adn.gif</t>
  </si>
  <si>
    <t>Wallner, Franz, Sanitär-Heizung • Unterpurkla • Steiermark</t>
  </si>
  <si>
    <t>Heizungen • Wallner, Franz, Unterpurkla 108, Unterpurkla • Kontakt über aktuelle Telefonnummern ☎ und Adressen ⚑ mit Karte, Routing, Öffnungszeiten, Homepage, E-Mail, vCard und Firmendaten.</t>
  </si>
  <si>
    <t>Unterpurkla 108</t>
  </si>
  <si>
    <t>46.7305759</t>
  </si>
  <si>
    <t>15.8971600</t>
  </si>
  <si>
    <t>+4334752783</t>
  </si>
  <si>
    <t>office@wallner.work</t>
  </si>
  <si>
    <t>https://bilder.dasschnelle.at/DasSchnelle/50/5000/9920/045144/I_045144_P_906228929_L_0036891926_1.png</t>
  </si>
  <si>
    <t>https://bilder.dasschnelle.at/DasSchnelle/50/5000/9920/045144/I_045144_P_906228929_B_0036891926_1.gal.png?height=540&amp;width=720;https://bilder.dasschnelle.at/DasSchnelle/50/5000/9920/045144/I_045144_P_906228929_B_0036891926_2.gal.png?height=540&amp;width=720;https://bilder.dasschnelle.at/DasSchnelle/50/5000/9920/045144/I_045144_P_906228929_B_0036891926_3.gal.png?height=405&amp;width=720;https://bilder.dasschnelle.at/DasSchnelle/50/5000/9920/045144/I_045144_P_906228929_B_0036891926_4.gal.png?height=540&amp;width=720;https://bilder.dasschnelle.at/DasSchnelle/50/5000/9920/045144/G_045144_P_906228929.adn.gif</t>
  </si>
  <si>
    <t>Krauthackl, Franz, Bau- u Möbeltischler • Tieschen • Steiermark</t>
  </si>
  <si>
    <t>Tischlereien • Krauthackl, Franz, Pichla bei Radkersburg 10, Tieschen • Kontakt über aktuelle Telefonnummern ☎ und Adressen ⚑ mit Karte, Routing, Öffnungszeiten, Homepage, E-Mail, vCard und Firmendaten.</t>
  </si>
  <si>
    <t>Pichla bei Radkersburg 10</t>
  </si>
  <si>
    <t>Tieschen</t>
  </si>
  <si>
    <t>46.7912540</t>
  </si>
  <si>
    <t>15.9556263</t>
  </si>
  <si>
    <t>+4334752258;+436642417749</t>
  </si>
  <si>
    <t>office@tischlerei-krauthackl.at</t>
  </si>
  <si>
    <t>https://bilder.dasschnelle.at/DasSchnelle/50/5000/9920/045348/G_045348_P_906228930.adn.gif</t>
  </si>
  <si>
    <t>Miller, Robert, Dr., Zahnarzt • Bad Goisern • Oberösterreich</t>
  </si>
  <si>
    <t>Ärzte / Fachärzte f. Zahn-, Mund u. Kieferheilkunde • Miller, Robert, Dr., Obere Marktstraße 17, Bad Goisern • Kontakt über aktuelle Telefonnummern ☎ und Adressen ⚑ mit Karte, Routing, Öffnungszeiten, Homepage, E-Mail, vCard und Firmendaten.</t>
  </si>
  <si>
    <t>Obere Marktstraße 17</t>
  </si>
  <si>
    <t>47.6386</t>
  </si>
  <si>
    <t>13.6183</t>
  </si>
  <si>
    <t>+4361356311</t>
  </si>
  <si>
    <t>info@zahnarzt-goisern.at</t>
  </si>
  <si>
    <t>https://bilder.dasschnelle.at/DasSchnelle/50/5000/9868/041789/G_041789_P_906228695.adn.gif</t>
  </si>
  <si>
    <t>Lechner Peter GmbH, flüssige- u feste Brennstoffe • Reutte • Tirol</t>
  </si>
  <si>
    <t>Brennstoffhandel • Lechner Peter GmbH, Ehrenbergstraße 7, Reutte • Kontakt über aktuelle Telefonnummern ☎ und Adressen ⚑ mit Karte, Routing, Öffnungszeiten, Homepage, E-Mail, vCard und Firmendaten.</t>
  </si>
  <si>
    <t>Ehrenbergstraße 7</t>
  </si>
  <si>
    <t>47.48327</t>
  </si>
  <si>
    <t>10.72116</t>
  </si>
  <si>
    <t>+435672624500</t>
  </si>
  <si>
    <t>+4356726245016</t>
  </si>
  <si>
    <t>info@kohlen-lechner.at</t>
  </si>
  <si>
    <t>https://bilder.dasschnelle.at/DasSchnelle/50/5000/9921/042603/G_042603_P_906228699.adn.gif</t>
  </si>
  <si>
    <t>Netolitzky, Felix, OA Dr.med., FA f. Augenheilk. u. Optometrie • Bad Ischl • Oberösterreich</t>
  </si>
  <si>
    <t>Ärzte / Fachärzte f. Augenheilkunde u. Optometrie • Netolitzky, Felix, OA Dr.med., Salzburger Straße 8 /5, Bad Ischl • Kontakt über aktuelle Telefonnummern ☎ und Adressen ⚑ mit Karte, Routing, Öffnungszeiten, Homepage, E-Mail, vCard und Firmendaten.</t>
  </si>
  <si>
    <t>Salzburger Straße 8 /5</t>
  </si>
  <si>
    <t>47.71353</t>
  </si>
  <si>
    <t>13.61935</t>
  </si>
  <si>
    <t>+4366473243110</t>
  </si>
  <si>
    <t>office@augenarzt-badischl.at</t>
  </si>
  <si>
    <t>https://bilder.dasschnelle.at/DasSchnelle/50/5000/9868/041790/G_041790_P_906228902.adn.gif</t>
  </si>
  <si>
    <t>Putz, Hermann, Geometer • Bad Ischl • Oberösterreich</t>
  </si>
  <si>
    <t>Geometer • Putz, Hermann, Technoparkstraße 3, Bad Ischl • Kontakt über aktuelle Telefonnummern ☎ und Adressen ⚑ mit Karte, Routing, Öffnungszeiten, Homepage, E-Mail, vCard und Firmendaten.</t>
  </si>
  <si>
    <t>Technoparkstraße 3</t>
  </si>
  <si>
    <t>47.70187</t>
  </si>
  <si>
    <t>13.62498</t>
  </si>
  <si>
    <t>+43613230403</t>
  </si>
  <si>
    <t>office@geometer-putz.at</t>
  </si>
  <si>
    <t>https://bilder.dasschnelle.at/DasSchnelle/50/5000/9868/041790/G_041790_P_906228906.adn.gif</t>
  </si>
  <si>
    <t>Költringer, Brigitte, Mag., Psychotherapie • Strobl • Salzburg</t>
  </si>
  <si>
    <t>Psychotherapie • Költringer, Brigitte, Mag., Eisenstraße 6, Strobl • Kontakt über aktuelle Telefonnummern ☎ und Adressen ⚑ mit Karte, Routing, Öffnungszeiten, Homepage, E-Mail, vCard und Firmendaten.</t>
  </si>
  <si>
    <t>Eisenstraße 6</t>
  </si>
  <si>
    <t>47.7161698</t>
  </si>
  <si>
    <t>13.4815598</t>
  </si>
  <si>
    <t>+436769725107</t>
  </si>
  <si>
    <t>praxis@psychotherapie-koeltringer.at</t>
  </si>
  <si>
    <t>Tober - Bierbaumer GmbH, Autohaus • Marbach • Niederösterreich</t>
  </si>
  <si>
    <t>Autohandel • Tober - Bierbaumer GmbH, Donaustraße 87, Marbach • Kontakt über aktuelle Telefonnummern ☎ und Adressen ⚑ mit Karte, Routing, Öffnungszeiten, Homepage, E-Mail, vCard und Firmendaten.</t>
  </si>
  <si>
    <t>Donaustraße 87</t>
  </si>
  <si>
    <t>3671</t>
  </si>
  <si>
    <t>Marbach</t>
  </si>
  <si>
    <t>48.21789</t>
  </si>
  <si>
    <t>15.17429</t>
  </si>
  <si>
    <t>+4374134040;+436642338219</t>
  </si>
  <si>
    <t>tober.bierbaumer@autoundmehr.at</t>
  </si>
  <si>
    <t>https://bilder.dasschnelle.at/DasSchnelle/50/5000/9908/041627/G_041627_P_906228919.adn.gif</t>
  </si>
  <si>
    <t>Malex Fassaden • Ruprechtshofen • Niederösterreich</t>
  </si>
  <si>
    <t>Fassaden • Malex Fassaden, Ockert 8, Ruprechtshofen • Kontakt über aktuelle Telefonnummern ☎ und Adressen ⚑ mit Karte, Routing, Öffnungszeiten, Homepage, E-Mail, vCard und Firmendaten.</t>
  </si>
  <si>
    <t>Ockert 8</t>
  </si>
  <si>
    <t>48.1089593</t>
  </si>
  <si>
    <t>15.2267304</t>
  </si>
  <si>
    <t>+436766604338</t>
  </si>
  <si>
    <t>office@malex-fassaden.at</t>
  </si>
  <si>
    <t>https://bilder.dasschnelle.at/DasSchnelle/50/5000/9908/041638/G_041638_P_906228922.adn.gif</t>
  </si>
  <si>
    <t>Fahrngruber, Elisabeth, Papier- u Schreibwaren • Mank • Niederösterreich</t>
  </si>
  <si>
    <t>Papier- u. Schreibwaren • Fahrngruber, Elisabeth, Schulstraße 16, Mank • Kontakt über aktuelle Telefonnummern ☎ und Adressen ⚑ mit Karte, Routing, Öffnungszeiten, Homepage, E-Mail, vCard und Firmendaten.</t>
  </si>
  <si>
    <t>Schulstraße 16</t>
  </si>
  <si>
    <t>48.10985</t>
  </si>
  <si>
    <t>15.34098</t>
  </si>
  <si>
    <t>+4327552339</t>
  </si>
  <si>
    <t>persoenlich@eliis.at</t>
  </si>
  <si>
    <t>https://bilder.dasschnelle.at/DasSchnelle/50/5000/9908/041626/G_041626_P_906228791.adn.gif</t>
  </si>
  <si>
    <t>Kerschner Wohndesign GmbH, Möbel • Hörsdorf • Niederösterreich</t>
  </si>
  <si>
    <t>Möbelhandel • Kerschner Wohndesign GmbH, Hörsdorf • Kontakt über aktuelle Telefonnummern ☎ und Adressen ⚑ mit Karte, Routing, Öffnungszeiten, Homepage, E-Mail, vCard und Firmendaten.</t>
  </si>
  <si>
    <t>Hörsdorf</t>
  </si>
  <si>
    <t>48.1178695</t>
  </si>
  <si>
    <t>15.3295234</t>
  </si>
  <si>
    <t>+4327558833</t>
  </si>
  <si>
    <t>+4327558811</t>
  </si>
  <si>
    <t>mank@kerschner-wohndesign.at</t>
  </si>
  <si>
    <t>https://bilder.dasschnelle.at/DasSchnelle/50/5000/9908/041626/G_041626_P_906228795.adn.gif</t>
  </si>
  <si>
    <t>Viechtbauer, Johann, Raumausstattung • Lambach • Oberösterreich</t>
  </si>
  <si>
    <t>Bauunternehmen, Raumausstatter • Viechtbauer, Johann, Bahnhofstraße 22, Lambach • Kontakt über aktuelle Telefonnummern ☎ und Adressen ⚑ mit Karte, Routing, Öffnungszeiten, Homepage, E-Mail, vCard und Firmendaten.</t>
  </si>
  <si>
    <t>48.09038</t>
  </si>
  <si>
    <t>13.88396</t>
  </si>
  <si>
    <t>+437245322940;+436643242377</t>
  </si>
  <si>
    <t>j.viechtbauer@aon.at</t>
  </si>
  <si>
    <t>https://bilder.dasschnelle.at/DasSchnelle/50/5000/9902/043572/G_043572_P_906228957.adn.gif</t>
  </si>
  <si>
    <t>Heidl, Alexander, Forstservice • Gunskirchen • Oberösterreich</t>
  </si>
  <si>
    <t>Holz, Forstservice • Heidl, Alexander, Fernreith 20, Gunskirchen • Kontakt über aktuelle Telefonnummern ☎ und Adressen ⚑ mit Karte, Routing, Öffnungszeiten, Homepage, E-Mail, vCard und Firmendaten.</t>
  </si>
  <si>
    <t>Fernreith 20</t>
  </si>
  <si>
    <t>48.1736300</t>
  </si>
  <si>
    <t>13.9478100</t>
  </si>
  <si>
    <t>+436649298284</t>
  </si>
  <si>
    <t>alex@holzhof-heidl.at</t>
  </si>
  <si>
    <t>https://bilder.dasschnelle.at/DasSchnelle/50/5000/9915/043569/I_043569_P_906228968_L_0038576144_1.png</t>
  </si>
  <si>
    <t>https://bilder.dasschnelle.at/DasSchnelle/50/5000/9915/043569/I_043569_P_906228968_B_0038576144_1.gal.png?height=286&amp;width=720;https://bilder.dasschnelle.at/DasSchnelle/50/5000/9915/043569/I_043569_P_906228968_B_0038576144_2.gal.png?height=480&amp;width=720;https://bilder.dasschnelle.at/DasSchnelle/50/5000/9915/043569/I_043569_P_906228968_B_0038576144_3.gal.png?height=540&amp;width=720;https://bilder.dasschnelle.at/DasSchnelle/50/5000/9915/043569/I_043569_P_906228968_B_0038576144_4.gal.png?height=405&amp;width=720</t>
  </si>
  <si>
    <t>Weisshaupt Folientechnik GmbH, Folientechnik • Pichl bei Wels • Oberösterreich</t>
  </si>
  <si>
    <t>Folien • Weisshaupt Folientechnik GmbH, Holzhäuser 9, Pichl bei Wels • Kontakt über aktuelle Telefonnummern ☎ und Adressen ⚑ mit Karte, Routing, Öffnungszeiten, Homepage, E-Mail, vCard und Firmendaten.</t>
  </si>
  <si>
    <t>Holzhäuser 9</t>
  </si>
  <si>
    <t>4632</t>
  </si>
  <si>
    <t>Pichl bei Wels</t>
  </si>
  <si>
    <t>48.1683141</t>
  </si>
  <si>
    <t>13.8945868</t>
  </si>
  <si>
    <t>+434536645434755</t>
  </si>
  <si>
    <t>robert@weisshaupt.at</t>
  </si>
  <si>
    <t>https://bilder.dasschnelle.at/DasSchnelle/50/5000/9915/043577/G_043577_P_906228970.adn.gif</t>
  </si>
  <si>
    <t>Pumberger, Josef, Friseur • Gunskirchen • Oberösterreich</t>
  </si>
  <si>
    <t>Friseure • Pumberger, Josef, Bahnhofstraße 3, Gunskirchen • Kontakt über aktuelle Telefonnummern ☎ und Adressen ⚑ mit Karte, Routing, Öffnungszeiten, Homepage, E-Mail, vCard und Firmendaten.</t>
  </si>
  <si>
    <t>48.13411</t>
  </si>
  <si>
    <t>13.94345</t>
  </si>
  <si>
    <t>+4372467132</t>
  </si>
  <si>
    <t>j.pumberger@gmail.com</t>
  </si>
  <si>
    <t>https://bilder.dasschnelle.at/DasSchnelle/50/5000/9915/043569/G_043569_P_906228971.adn.gif</t>
  </si>
  <si>
    <t>Grohsmann, Christian, Dr.med., FA f Augenheilkunde • Bad Ischl • Oberösterreich</t>
  </si>
  <si>
    <t>Ärzte / Fachärzte f. Augenheilkunde u. Optometrie • Grohsmann, Christian, Dr.med., Wiesingerstraße 16, Bad Ischl • Kontakt über aktuelle Telefonnummern ☎ und Adressen ⚑ mit Karte, Routing, Öffnungszeiten, Homepage, E-Mail, vCard und Firmendaten.</t>
  </si>
  <si>
    <t>Wiesingerstraße 16</t>
  </si>
  <si>
    <t>47.71238</t>
  </si>
  <si>
    <t>+436132280030</t>
  </si>
  <si>
    <t>christian.grohsmann@gmx.at</t>
  </si>
  <si>
    <t>https://bilder.dasschnelle.at/DasSchnelle/50/5000/9868/041790/G_041790_P_906229847.adn.gif</t>
  </si>
  <si>
    <t>Plass, Barbara, Mag., Marienapotheke • Bad Ischl • Oberösterreich</t>
  </si>
  <si>
    <t>Apotheken, Kosmetik • Plass, Barbara, Mag., Salzburger Straße 90, Bad Ischl • Kontakt über aktuelle Telefonnummern ☎ und Adressen ⚑ mit Karte, Routing, Öffnungszeiten, Homepage, E-Mail, vCard und Firmendaten.</t>
  </si>
  <si>
    <t>Salzburger Straße 90</t>
  </si>
  <si>
    <t>+43613226929</t>
  </si>
  <si>
    <t>apo@marien-apotheke.co.at</t>
  </si>
  <si>
    <t>https://bilder.dasschnelle.at/DasSchnelle/50/5000/9868/041790/I_041790_P_906229849_L_0036250597_1.png</t>
  </si>
  <si>
    <t>https://bilder.dasschnelle.at/DasSchnelle/50/5000/9868/041790/I_041790_P_906229849_B_0036250597_1.gal.png?height=510&amp;width=600;https://bilder.dasschnelle.at/DasSchnelle/50/5000/9868/041790/I_041790_P_906229849_B_0036250597_2.gal.png?height=315&amp;width=600;https://bilder.dasschnelle.at/DasSchnelle/50/5000/9868/041790/I_041790_P_906229849_B_0036250597_3.gal.png?height=600&amp;width=502;https://bilder.dasschnelle.at/DasSchnelle/50/5000/9868/041790/I_041790_P_906229849_B_0036250597_4.gal.png?height=518&amp;width=720</t>
  </si>
  <si>
    <t>Zöllner, Kai, Dr., FA f Zahn-, Mund- u Kieferheilkunde • Elbigenalp • Tirol</t>
  </si>
  <si>
    <t>Ärzte / Fachärzte f. Zahn-, Mund u. Kieferheilkunde • Zöllner, Kai, Dr., Dorf 55, Elbigenalp • Kontakt über aktuelle Telefonnummern ☎ und Adressen ⚑ mit Karte, Routing, Öffnungszeiten, Homepage, E-Mail, vCard und Firmendaten.</t>
  </si>
  <si>
    <t>Dorf 55</t>
  </si>
  <si>
    <t>+43563453341</t>
  </si>
  <si>
    <t>praxis@dr-zoellner.de</t>
  </si>
  <si>
    <t>https://bilder.dasschnelle.at/DasSchnelle/50/5000/9921/044844/G_044844_P_906229851.adn.gif</t>
  </si>
  <si>
    <t>Kremser Fiaker  • Rohrendorf • Niederösterreich</t>
  </si>
  <si>
    <t>Fiaker • Kremser Fiaker, Neuweidlingerstrasse 46, Rohrendorf • Kontakt über aktuelle Telefonnummern ☎ und Adressen ⚑ mit Karte, Routing, Öffnungszeiten, Homepage, E-Mail, vCard und Firmendaten.</t>
  </si>
  <si>
    <t>Neuweidlingerstrasse 46</t>
  </si>
  <si>
    <t>3495</t>
  </si>
  <si>
    <t>Rohrendorf</t>
  </si>
  <si>
    <t>48.4143534</t>
  </si>
  <si>
    <t>15.6685275</t>
  </si>
  <si>
    <t>+436767836060</t>
  </si>
  <si>
    <t>office@fiaker-krems.at</t>
  </si>
  <si>
    <t>Frager, Karl Siegfrid, Dachdeckerei • Völkermarkt • Kärnten</t>
  </si>
  <si>
    <t>Dachdeckereien • Frager, Karl Siegfrid, St.Peter-Zeckrestraße 40, Völkermarkt • Kontakt über aktuelle Telefonnummern ☎ und Adressen ⚑ mit Karte, Routing, Öffnungszeiten, Homepage, E-Mail, vCard und Firmendaten.</t>
  </si>
  <si>
    <t>St.Peter-Zeckrestraße 40</t>
  </si>
  <si>
    <t>46.65885</t>
  </si>
  <si>
    <t>14.69359</t>
  </si>
  <si>
    <t>+43423251531;+4366473126252</t>
  </si>
  <si>
    <t>office@fragerdach.at</t>
  </si>
  <si>
    <t>https://bilder.dasschnelle.at/DasSchnelle/50/5000/9942/042037/I_042037_P_906229859_L_0035969630_1.png</t>
  </si>
  <si>
    <t>https://bilder.dasschnelle.at/DasSchnelle/50/5000/9942/042037/I_042037_P_906229859_B_0035969630_1.gal.png?height=398&amp;width=600;https://bilder.dasschnelle.at/DasSchnelle/50/5000/9942/042037/I_042037_P_906229859_B_0035969630_2.gal.png?height=398&amp;width=600;https://bilder.dasschnelle.at/DasSchnelle/50/5000/9942/042037/I_042037_P_906229859_B_0035969630_3.gal.png?height=398&amp;width=600;https://bilder.dasschnelle.at/DasSchnelle/50/5000/9942/042037/I_042037_P_906229859_B_0035969630_4.gal.png?height=450&amp;width=600</t>
  </si>
  <si>
    <t>Kropp, Erwin, Sägewerk • Ruden • Kärnten</t>
  </si>
  <si>
    <t>Säge- u. Hobelwerke • Kropp, Erwin, Dobrowa 29, Ruden • Kontakt über aktuelle Telefonnummern ☎ und Adressen ⚑ mit Karte, Routing, Öffnungszeiten, Homepage, E-Mail, vCard und Firmendaten.</t>
  </si>
  <si>
    <t>Dobrowa 29</t>
  </si>
  <si>
    <t>9113</t>
  </si>
  <si>
    <t>Ruden</t>
  </si>
  <si>
    <t>46.6522589</t>
  </si>
  <si>
    <t>14.7696181</t>
  </si>
  <si>
    <t>+434234251;+436643228480</t>
  </si>
  <si>
    <t>saegewerk.kropp@utanet.at</t>
  </si>
  <si>
    <t>https://bilder.dasschnelle.at/DasSchnelle/50/5000/9942/042034/G_042034_P_906229864.adn.gif</t>
  </si>
  <si>
    <t>Riepl, Christian, Schlosserei • Völkermarkt • Kärnten</t>
  </si>
  <si>
    <t>Schlossereien • Riepl, Christian, Krenobitsch 1, Völkermarkt • Kontakt über aktuelle Telefonnummern ☎ und Adressen ⚑ mit Karte, Routing, Öffnungszeiten, Homepage, E-Mail, vCard und Firmendaten.</t>
  </si>
  <si>
    <t>Krenobitsch 1</t>
  </si>
  <si>
    <t>46.6603472</t>
  </si>
  <si>
    <t>14.5812537</t>
  </si>
  <si>
    <t>+436644704793</t>
  </si>
  <si>
    <t>hydraulik-riepl@a1.net</t>
  </si>
  <si>
    <t>https://bilder.dasschnelle.at/DasSchnelle/50/5000/9942/042037/I_042037_P_906229867_L_0036420966_1.png</t>
  </si>
  <si>
    <t>https://bilder.dasschnelle.at/DasSchnelle/50/5000/9942/042037/I_042037_P_906229867_B_0036420966_1.gal.png?height=393&amp;width=600;https://bilder.dasschnelle.at/DasSchnelle/50/5000/9942/042037/I_042037_P_906229867_B_0036420966_2.gal.png?height=393&amp;width=600;https://bilder.dasschnelle.at/DasSchnelle/50/5000/9942/042037/I_042037_P_906229867_B_0036420966_3.gal.png?height=393&amp;width=600;https://bilder.dasschnelle.at/DasSchnelle/50/5000/9942/042037/I_042037_P_906229867_B_0036420966_4.gal.png?height=479&amp;width=720;https://bilder.dasschnelle.at/DasSchnelle/50/5000/9942/042037/G_042037_P_906229867.adn.gif</t>
  </si>
  <si>
    <t>Konrad F. GmbH, Maler • Weitersfeld an der Mur • Steiermark</t>
  </si>
  <si>
    <t>Malereibetriebe • Konrad F. GmbH, Weitersfeld an der Mur 157, Weitersfeld an der Mur • Kontakt über aktuelle Telefonnummern ☎ und Adressen ⚑ mit Karte, Routing, Öffnungszeiten, Homepage, E-Mail, vCard und Firmendaten.</t>
  </si>
  <si>
    <t>Weitersfeld an der Mur 157</t>
  </si>
  <si>
    <t>8473</t>
  </si>
  <si>
    <t>Weitersfeld an der Mur</t>
  </si>
  <si>
    <t>46.7276868</t>
  </si>
  <si>
    <t>15.6236052</t>
  </si>
  <si>
    <t>+4334722167</t>
  </si>
  <si>
    <t>office@malerkonrad.at</t>
  </si>
  <si>
    <t>https://bilder.dasschnelle.at/DasSchnelle/50/5000/9920/061439/G_061439_P_906229869.adn.gif</t>
  </si>
  <si>
    <t>Holzbau Pamper GmbH, Holzbau • Bad Radkersburg • Steiermark</t>
  </si>
  <si>
    <t>Holzbau • Holzbau Pamper GmbH, Pridahof 28, Bad Radkersburg • Kontakt über aktuelle Telefonnummern ☎ und Adressen ⚑ mit Karte, Routing, Öffnungszeiten, Homepage, E-Mail, vCard und Firmendaten.</t>
  </si>
  <si>
    <t>Pridahof 28</t>
  </si>
  <si>
    <t>46.7200226</t>
  </si>
  <si>
    <t>15.9803721</t>
  </si>
  <si>
    <t>+436641964845</t>
  </si>
  <si>
    <t>holzbau.pamper@aon.at</t>
  </si>
  <si>
    <t>https://bilder.dasschnelle.at/DasSchnelle/50/5000/9920/061432/G_061432_P_906229871.adn.gif</t>
  </si>
  <si>
    <t>Praßl, Franz, Autohandel • Mureck • Steiermark</t>
  </si>
  <si>
    <t>Autohandel, Spenglereien • Praßl, Franz, Eichfelder Straße 22, Mureck • Kontakt über aktuelle Telefonnummern ☎ und Adressen ⚑ mit Karte, Routing, Öffnungszeiten, Homepage, E-Mail, vCard und Firmendaten.</t>
  </si>
  <si>
    <t>Eichfelder Straße 22</t>
  </si>
  <si>
    <t>46.71239</t>
  </si>
  <si>
    <t>15.76912</t>
  </si>
  <si>
    <t>+43347224000</t>
  </si>
  <si>
    <t>autohaus-opel.prassl@aon.at</t>
  </si>
  <si>
    <t>https://bilder.dasschnelle.at/DasSchnelle/50/5000/9920/061439/G_061439_P_906229873.adn.gif</t>
  </si>
  <si>
    <t>Somweber, Dr. Dental Management GmbH, FA f Zahn-, Mund-u Kieferheilkunde • Höfen • Tirol</t>
  </si>
  <si>
    <t>Ärzte / Fachärzte f. Zahn-, Mund u. Kieferheilkunde • Somweber, Dr. Dental Management GmbH, Gewerbegebiet 2, Höfen • Kontakt über aktuelle Telefonnummern ☎ und Adressen ⚑ mit Karte, Routing, Öffnungszeiten, Homepage, E-Mail, vCard und Firmendaten.</t>
  </si>
  <si>
    <t>Gewerbegebiet 2</t>
  </si>
  <si>
    <t>47.46504</t>
  </si>
  <si>
    <t>10.68085</t>
  </si>
  <si>
    <t>+43567264763</t>
  </si>
  <si>
    <t>info@somweber.cc</t>
  </si>
  <si>
    <t>https://bilder.dasschnelle.at/DasSchnelle/50/5000/9921/042591/G_042591_P_906231008.adn.gif</t>
  </si>
  <si>
    <t>Pilz-Hohenegg, Agnes, Physiotherapeutin • Ehrwald • Tirol</t>
  </si>
  <si>
    <t>Physiotherapie • Pilz-Hohenegg, Agnes, Große Gasse 42, Ehrwald • Kontakt über aktuelle Telefonnummern ☎ und Adressen ⚑ mit Karte, Routing, Öffnungszeiten, Homepage, E-Mail, vCard und Firmendaten.</t>
  </si>
  <si>
    <t>Große Gasse 42</t>
  </si>
  <si>
    <t>47.40879</t>
  </si>
  <si>
    <t>10.91845</t>
  </si>
  <si>
    <t>+436766272905</t>
  </si>
  <si>
    <t>agnes.pilz-hohenegg@gmx.at</t>
  </si>
  <si>
    <t>https://bilder.dasschnelle.at/DasSchnelle/50/5000/9921/044843/G_044843_P_906230643.adn.gif</t>
  </si>
  <si>
    <t>JM Wohndesign • Wildermieming • Tirol</t>
  </si>
  <si>
    <t>Wohndesign • JM Wohndesign, Gewerbegebiet 4, Wildermieming • Kontakt über aktuelle Telefonnummern ☎ und Adressen ⚑ mit Karte, Routing, Öffnungszeiten, Homepage, E-Mail, vCard und Firmendaten.</t>
  </si>
  <si>
    <t>Gewerbegebiet 4</t>
  </si>
  <si>
    <t>6413</t>
  </si>
  <si>
    <t>Wildermieming</t>
  </si>
  <si>
    <t>47.3125218</t>
  </si>
  <si>
    <t>11.0076638</t>
  </si>
  <si>
    <t>+4352646224</t>
  </si>
  <si>
    <t>info@jm-wohndesign.com</t>
  </si>
  <si>
    <t>https://bilder.dasschnelle.at/DasSchnelle/50/5000/9894/045930/G_045930_P_906230645.adn.gif</t>
  </si>
  <si>
    <t>Elbe, Gerald, Fliesen • Globasnitz • Kärnten</t>
  </si>
  <si>
    <t>Fliesenfachhandel • Elbe, Gerald, Wackendorf 59, Globasnitz • Kontakt über aktuelle Telefonnummern ☎ und Adressen ⚑ mit Karte, Routing, Öffnungszeiten, Homepage, E-Mail, vCard und Firmendaten.</t>
  </si>
  <si>
    <t>Wackendorf 59</t>
  </si>
  <si>
    <t>9142</t>
  </si>
  <si>
    <t>Globasnitz</t>
  </si>
  <si>
    <t>46.5559340</t>
  </si>
  <si>
    <t>14.7220016</t>
  </si>
  <si>
    <t>+436644570464</t>
  </si>
  <si>
    <t>geraldelbe@gmx.at</t>
  </si>
  <si>
    <t>https://bilder.dasschnelle.at/DasSchnelle/50/5000/9942/042031/I_042031_P_906230668_L_0035969739_1.png</t>
  </si>
  <si>
    <t>https://bilder.dasschnelle.at/DasSchnelle/50/5000/9942/042031/I_042031_P_906230668_B_0035969739_1.gal.png?height=432&amp;width=768;https://bilder.dasschnelle.at/DasSchnelle/50/5000/9942/042031/I_042031_P_906230668_B_0035969739_2.gal.png?height=768&amp;width=768;https://bilder.dasschnelle.at/DasSchnelle/50/5000/9942/042031/I_042031_P_906230668_B_0035969739_3.gal.png?height=768&amp;width=768;https://bilder.dasschnelle.at/DasSchnelle/50/5000/9942/042031/I_042031_P_906230668_B_0035969739_4.gal.png?height=405&amp;width=720</t>
  </si>
  <si>
    <t>Gregoric, Markus, Umwelttechnik • Globasnitz • Kärnten</t>
  </si>
  <si>
    <t>Umwelttechnik • Gregoric, Markus, Kleindorf 63, Globasnitz • Kontakt über aktuelle Telefonnummern ☎ und Adressen ⚑ mit Karte, Routing, Öffnungszeiten, Homepage, E-Mail, vCard und Firmendaten.</t>
  </si>
  <si>
    <t>Kleindorf 63</t>
  </si>
  <si>
    <t>46.5651123</t>
  </si>
  <si>
    <t>14.7060320</t>
  </si>
  <si>
    <t>+434230638</t>
  </si>
  <si>
    <t>gregoric@solarmark.at</t>
  </si>
  <si>
    <t>https://bilder.dasschnelle.at/DasSchnelle/50/5000/9942/042031/I_042031_P_906230670_L_0036421194_1.png</t>
  </si>
  <si>
    <t>https://bilder.dasschnelle.at/DasSchnelle/50/5000/9942/042031/I_042031_P_906230670_B_0036421194_1.gal.png?height=392&amp;width=700;https://bilder.dasschnelle.at/DasSchnelle/50/5000/9942/042031/I_042031_P_906230670_B_0036421194_2.gal.png?height=523&amp;width=700</t>
  </si>
  <si>
    <t>JK Dach GmbH &amp; Co KG • St. Kanzian am Klopeiner See • Kärnten</t>
  </si>
  <si>
    <t>Dachdeckereien, Spenglereien • JK Dach GmbH &amp; Co KG, Littermooser Weg 22, St. Kanzian am Klopeiner See • Kontakt über aktuelle Telefonnummern ☎ und Adressen ⚑ mit Karte, Routing, Öffnungszeiten, Homepage, E-Mail, vCard und Firmendaten.</t>
  </si>
  <si>
    <t>Littermooser Weg 22</t>
  </si>
  <si>
    <t>46.61003</t>
  </si>
  <si>
    <t>14.54443</t>
  </si>
  <si>
    <t>+4342393130</t>
  </si>
  <si>
    <t>+434239313016</t>
  </si>
  <si>
    <t>office@jkdach.com</t>
  </si>
  <si>
    <t>https://bilder.dasschnelle.at/DasSchnelle/50/5000/9942/042035/G_042035_P_906230674.adn.gif</t>
  </si>
  <si>
    <t>Potzinger-Neubauer Gartenbau • Halbenrain • Steiermark</t>
  </si>
  <si>
    <t>Garten- u. Landschaftsgestaltung • Potzinger-Neubauer Gartenbau, Halbenrain 43, Halbenrain • Kontakt über aktuelle Telefonnummern ☎ und Adressen ⚑ mit Karte, Routing, Öffnungszeiten, Homepage, E-Mail, vCard und Firmendaten.</t>
  </si>
  <si>
    <t>Halbenrain 43</t>
  </si>
  <si>
    <t>8492</t>
  </si>
  <si>
    <t>Halbenrain</t>
  </si>
  <si>
    <t>46.7150362</t>
  </si>
  <si>
    <t>15.9492346</t>
  </si>
  <si>
    <t>+43347624250</t>
  </si>
  <si>
    <t>+43347624253</t>
  </si>
  <si>
    <t>potzinger-neubauer@gmx.at</t>
  </si>
  <si>
    <t>https://bilder.dasschnelle.at/DasSchnelle/50/5000/9920/045144/I_045144_P_906231005_L_0035994468_1.png</t>
  </si>
  <si>
    <t>https://bilder.dasschnelle.at/DasSchnelle/50/5000/9920/045144/I_045144_P_906231005_B_0035994468_1.gal.png?height=720&amp;width=540;https://bilder.dasschnelle.at/DasSchnelle/50/5000/9920/045144/I_045144_P_906231005_B_0035994468_2.gal.png?height=540&amp;width=720;https://bilder.dasschnelle.at/DasSchnelle/50/5000/9920/045144/I_045144_P_906231005_B_0035994468_3.gal.png?height=479&amp;width=720;https://bilder.dasschnelle.at/DasSchnelle/50/5000/9920/045144/I_045144_P_906231005_B_0035994468_4.gal.png?height=720&amp;width=540</t>
  </si>
  <si>
    <t>Trummer GmbH, Bauunternehmung • Bad Radkersburg • Steiermark</t>
  </si>
  <si>
    <t>Bauunternehmen • Trummer GmbH, Pridahof 16, Bad Radkersburg • Kontakt über aktuelle Telefonnummern ☎ und Adressen ⚑ mit Karte, Routing, Öffnungszeiten, Homepage, E-Mail, vCard und Firmendaten.</t>
  </si>
  <si>
    <t>Pridahof 16</t>
  </si>
  <si>
    <t>46.7164887</t>
  </si>
  <si>
    <t>15.9800980</t>
  </si>
  <si>
    <t>+4334762131</t>
  </si>
  <si>
    <t>trummerbaugmbh@aon.at</t>
  </si>
  <si>
    <t>https://bilder.dasschnelle.at/DasSchnelle/50/5000/9920/061432/G_061432_P_906230677.adn.gif</t>
  </si>
  <si>
    <t>Steinhuber-Kals, Brigitte, Mag., Rechtsanwältin • Bad Ischl • Oberösterreich</t>
  </si>
  <si>
    <t>Rechtsanwälte • Steinhuber-Kals, Brigitte, Mag., Kaltenbachstraße 4, Bad Ischl • Kontakt über aktuelle Telefonnummern ☎ und Adressen ⚑ mit Karte, Routing, Öffnungszeiten, Homepage, E-Mail, vCard und Firmendaten.</t>
  </si>
  <si>
    <t>Kaltenbachstraße 4</t>
  </si>
  <si>
    <t>47.70971</t>
  </si>
  <si>
    <t>13.61819</t>
  </si>
  <si>
    <t>+436132226790</t>
  </si>
  <si>
    <t>office@st-k.at</t>
  </si>
  <si>
    <t>https://bilder.dasschnelle.at/DasSchnelle/50/5000/9868/041790/G_041790_P_906232600.adn.gif</t>
  </si>
  <si>
    <t>Pfefferkorn, Peter, Dipl.PT, Physiotherapie • Grän • Tirol</t>
  </si>
  <si>
    <t>Physiotherapie • Pfefferkorn, Peter, Dipl.PT, Am Kohlbichl 2, Grän • Kontakt über aktuelle Telefonnummern ☎ und Adressen ⚑ mit Karte, Routing, Öffnungszeiten, Homepage, E-Mail, vCard und Firmendaten.</t>
  </si>
  <si>
    <t>Am Kohlbichl 2</t>
  </si>
  <si>
    <t>6673</t>
  </si>
  <si>
    <t>Grän</t>
  </si>
  <si>
    <t>47.49857</t>
  </si>
  <si>
    <t>10.55394</t>
  </si>
  <si>
    <t>+436766011789</t>
  </si>
  <si>
    <t>peter@pfefferkorn.tirol</t>
  </si>
  <si>
    <t>https://bilder.dasschnelle.at/DasSchnelle/50/5000/9921/044847/G_044847_P_906232677.adn.gif</t>
  </si>
  <si>
    <t>May, Bettina, Dr.med.vet, Tierarzt • Sommerein • Niederösterreich</t>
  </si>
  <si>
    <t>Tierärzte • May, Bettina, Dr.med.vet, Markt 10, Sommerein • Kontakt über aktuelle Telefonnummern ☎ und Adressen ⚑ mit Karte, Routing, Öffnungszeiten, Homepage, E-Mail, vCard und Firmendaten.</t>
  </si>
  <si>
    <t>Markt 10</t>
  </si>
  <si>
    <t>2453</t>
  </si>
  <si>
    <t>Sommerein</t>
  </si>
  <si>
    <t>47.98216</t>
  </si>
  <si>
    <t>16.6545</t>
  </si>
  <si>
    <t>+436765403312</t>
  </si>
  <si>
    <t>tierarzt.may@gmx.at</t>
  </si>
  <si>
    <t>https://bilder.dasschnelle.at/DasSchnelle/50/5000/9873/041449/G_041449_P_906232679.adn.gif</t>
  </si>
  <si>
    <t>Elektro Lafer GmbH, Elektrotechnik • Mureck • Steiermark</t>
  </si>
  <si>
    <t>Elektrotechnik • Elektro Lafer GmbH, Grazer Straße 8, Mureck • Kontakt über aktuelle Telefonnummern ☎ und Adressen ⚑ mit Karte, Routing, Öffnungszeiten, Homepage, E-Mail, vCard und Firmendaten.</t>
  </si>
  <si>
    <t>Grazer Straße 8</t>
  </si>
  <si>
    <t>46.70791</t>
  </si>
  <si>
    <t>15.77081</t>
  </si>
  <si>
    <t>+43347221420;+4334722525</t>
  </si>
  <si>
    <t>office@elektro-lafer.at</t>
  </si>
  <si>
    <t>https://bilder.dasschnelle.at/DasSchnelle/50/5000/9920/061439/I_061439_P_906233523_L_0035971037_1.png</t>
  </si>
  <si>
    <t>https://bilder.dasschnelle.at/DasSchnelle/50/5000/9920/061439/I_061439_P_906233523_B_0035971037_1.gal.png?height=233&amp;width=500;https://bilder.dasschnelle.at/DasSchnelle/50/5000/9920/061439/G_061439_P_906233523.adn.gif</t>
  </si>
  <si>
    <t>Erich Steiner Bilanzbuchhalter GmbH, Steuerberatung • Ehrwald • Tirol</t>
  </si>
  <si>
    <t>Buchhaltungs- u. Wirtschaftsbüros • Erich Steiner Bilanzbuchhalter GmbH, Im Tal 12, Ehrwald • Kontakt über aktuelle Telefonnummern ☎ und Adressen ⚑ mit Karte, Routing, Öffnungszeiten, Homepage, E-Mail, vCard und Firmendaten.</t>
  </si>
  <si>
    <t>Im Tal 12</t>
  </si>
  <si>
    <t>47.396</t>
  </si>
  <si>
    <t>10.91632</t>
  </si>
  <si>
    <t>+4356732616</t>
  </si>
  <si>
    <t>office@e-steiner.at</t>
  </si>
  <si>
    <t>https://bilder.dasschnelle.at/DasSchnelle/50/5000/9921/044843/I_044843_P_906233704_L_0036266038_1.png</t>
  </si>
  <si>
    <t>https://bilder.dasschnelle.at/DasSchnelle/50/5000/9921/044843/G_044843_P_906233704.adn.gif</t>
  </si>
  <si>
    <t>Grassegger GmbH, Immobilien • Micheldorf • Oberösterreich</t>
  </si>
  <si>
    <t>Immobilien • Grassegger GmbH, Bader-Moser-Straße 17, Micheldorf • Kontakt über aktuelle Telefonnummern ☎ und Adressen ⚑ mit Karte, Routing, Öffnungszeiten, Homepage, E-Mail, vCard und Firmendaten.</t>
  </si>
  <si>
    <t>Bader-Moser-Straße 17</t>
  </si>
  <si>
    <t>47.8755367</t>
  </si>
  <si>
    <t>14.1309301</t>
  </si>
  <si>
    <t>+43758261267</t>
  </si>
  <si>
    <t>office@remax-kirchdorf.at</t>
  </si>
  <si>
    <t>https://bilder.dasschnelle.at/DasSchnelle/50/5000/9895/046085/I_046085_P_906233710_L_0036253236_1.png</t>
  </si>
  <si>
    <t>https://bilder.dasschnelle.at/DasSchnelle/50/5000/9895/046085/I_046085_P_906233710_B_0036253236_1.gal.png?height=320&amp;width=320;https://bilder.dasschnelle.at/DasSchnelle/50/5000/9895/046085/I_046085_P_906233710_B_0036253236_2.gal.png?height=512&amp;width=768;https://bilder.dasschnelle.at/DasSchnelle/50/5000/9895/046085/I_046085_P_906233710_B_0036253236_3.gal.png?height=400&amp;width=600;https://bilder.dasschnelle.at/DasSchnelle/50/5000/9895/046085/I_046085_P_906233710_B_0036253236_4.gal.png?height=378&amp;width=1000</t>
  </si>
  <si>
    <t>Hathaler, Gabriele, Mag., Notar • Traun • Oberösterreich</t>
  </si>
  <si>
    <t>Notare • Hathaler, Gabriele, Mag., Linzerstraße 12 2, Traun • Kontakt über aktuelle Telefonnummern ☎ und Adressen ⚑ mit Karte, Routing, Öffnungszeiten, Homepage, E-Mail, vCard und Firmendaten.</t>
  </si>
  <si>
    <t>Linzerstraße 12 2</t>
  </si>
  <si>
    <t>48.22182</t>
  </si>
  <si>
    <t>14.23906</t>
  </si>
  <si>
    <t>+437229720780</t>
  </si>
  <si>
    <t>+4372297207820</t>
  </si>
  <si>
    <t>office@notarintraun.com</t>
  </si>
  <si>
    <t>https://bilder.dasschnelle.at/DasSchnelle/50/5000/9937/046120/G_046120_P_906233714.adn.gif</t>
  </si>
  <si>
    <t>Monger, Stefan, Gärtnerei • Seekirchen am Wallersee • Salzburg</t>
  </si>
  <si>
    <t>Gärtnereien • Monger, Stefan, Wallerseestraße 89, Seekirchen am Wallersee • Kontakt über aktuelle Telefonnummern ☎ und Adressen ⚑ mit Karte, Routing, Öffnungszeiten, Homepage, E-Mail, vCard und Firmendaten.</t>
  </si>
  <si>
    <t>Wallerseestraße 89</t>
  </si>
  <si>
    <t>47.8998602</t>
  </si>
  <si>
    <t>13.1285327</t>
  </si>
  <si>
    <t>+4362126532</t>
  </si>
  <si>
    <t>office@gaertnerei-monger.at</t>
  </si>
  <si>
    <t>https://bilder.dasschnelle.at/DasSchnelle/50/5000/9931/043333/G_043333_P_906233753.adn.gif</t>
  </si>
  <si>
    <t>Liebl Robert, Dachdeckerei GesmbH • Seekirchen am Wallersee • Salzburg</t>
  </si>
  <si>
    <t>Dachdeckereien, Spenglereien • Liebl Robert, Dachdeckerei GesmbH, Augergasse 3, Seekirchen am Wallersee • Kontakt über aktuelle Telefonnummern ☎ und Adressen ⚑ mit Karte, Routing, Öffnungszeiten, Homepage, E-Mail, vCard und Firmendaten.</t>
  </si>
  <si>
    <t>Augergasse 3</t>
  </si>
  <si>
    <t>47.89882</t>
  </si>
  <si>
    <t>13.12268</t>
  </si>
  <si>
    <t>+4362122333</t>
  </si>
  <si>
    <t>+43621230023</t>
  </si>
  <si>
    <t>office@liebl-dach.at</t>
  </si>
  <si>
    <t>https://bilder.dasschnelle.at/DasSchnelle/50/5000/9931/043333/I_043333_P_906233754_L_0036266185_1.png</t>
  </si>
  <si>
    <t>https://bilder.dasschnelle.at/DasSchnelle/50/5000/9931/043333/I_043333_P_906233754_B_0036266185_1.gal.png?height=540&amp;width=720;https://bilder.dasschnelle.at/DasSchnelle/50/5000/9931/043333/I_043333_P_906233754_B_0036266185_2.gal.png?height=540&amp;width=720;https://bilder.dasschnelle.at/DasSchnelle/50/5000/9931/043333/I_043333_P_906233754_B_0036266185_3.gal.png?height=540&amp;width=720;https://bilder.dasschnelle.at/DasSchnelle/50/5000/9931/043333/I_043333_P_906233754_B_0036266185_4.gal.png?height=540&amp;width=720</t>
  </si>
  <si>
    <t>Hus Electronic &amp; Service e. U., Elektronik • Völkermarkt • Kärnten</t>
  </si>
  <si>
    <t>Elektronik • Hus Electronic &amp; Service e. U., Hauptplatz 9, Völkermarkt • Kontakt über aktuelle Telefonnummern ☎ und Adressen ⚑ mit Karte, Routing, Öffnungszeiten, Homepage, E-Mail, vCard und Firmendaten.</t>
  </si>
  <si>
    <t>Hauptplatz 9</t>
  </si>
  <si>
    <t>46.66226</t>
  </si>
  <si>
    <t>14.63314</t>
  </si>
  <si>
    <t>+436641122000</t>
  </si>
  <si>
    <t>office@ep-hus.at</t>
  </si>
  <si>
    <t>https://bilder.dasschnelle.at/DasSchnelle/50/5000/9942/042037/G_042037_P_906232622.adn.gif</t>
  </si>
  <si>
    <t>Spätauf, Roland, Malereibetrieb • Bad Radkersburg • Steiermark</t>
  </si>
  <si>
    <t>Pflege- u. Altenheime • Spätauf, Roland, Murgasse 14, Bad Radkersburg • Kontakt über aktuelle Telefonnummern ☎ und Adressen ⚑ mit Karte, Routing, Öffnungszeiten, Homepage, E-Mail, vCard und Firmendaten.</t>
  </si>
  <si>
    <t>Murgasse 14</t>
  </si>
  <si>
    <t>46.69842</t>
  </si>
  <si>
    <t>15.99843</t>
  </si>
  <si>
    <t>+436642845088</t>
  </si>
  <si>
    <t>roland@malerbetrieb-spaetauf.at</t>
  </si>
  <si>
    <t>https://bilder.dasschnelle.at/DasSchnelle/50/5000/9920/061432/I_061432_P_906232701_L_0037078621_1.png</t>
  </si>
  <si>
    <t>https://bilder.dasschnelle.at/DasSchnelle/50/5000/9920/061432/I_061432_P_906232701_B_0037078621_1.gal.png?height=540&amp;width=720;https://bilder.dasschnelle.at/DasSchnelle/50/5000/9920/061432/I_061432_P_906232701_B_0037078621_2.gal.png?height=540&amp;width=720;https://bilder.dasschnelle.at/DasSchnelle/50/5000/9920/061432/I_061432_P_906232701_B_0037078621_3.gal.png?height=540&amp;width=720;https://bilder.dasschnelle.at/DasSchnelle/50/5000/9920/061432/I_061432_P_906232701_B_0037078621_4.gal.png?height=540&amp;width=720</t>
  </si>
  <si>
    <t>Horwath &amp; Bodenlenz Elektrotechnik, Sanitär, Bäder, Heizung GesmbH • Deutsch Goritz • Steiermark</t>
  </si>
  <si>
    <t>Elektrotechnik • Horwath &amp; Bodenlenz Elektrotechnik, Sanitär, Bäder, Heizung GesmbH, Deutsch Goritz 113, Deutsch Goritz • Kontakt über aktuelle Telefonnummern ☎ und Adressen ⚑ mit Karte, Routing, Öffnungszeiten, Homepage, E-Mail, vCard und Firmendaten.</t>
  </si>
  <si>
    <t>Deutsch Goritz 113</t>
  </si>
  <si>
    <t>8483</t>
  </si>
  <si>
    <t>Deutsch Goritz</t>
  </si>
  <si>
    <t>46.7554554</t>
  </si>
  <si>
    <t>15.8285181</t>
  </si>
  <si>
    <t>+4334747364</t>
  </si>
  <si>
    <t>marianne@horwathbodenlenz.at</t>
  </si>
  <si>
    <t>https://bilder.dasschnelle.at/DasSchnelle/50/5000/9920/061441/G_061441_P_906232702.adn.gif</t>
  </si>
  <si>
    <t>Elektro Langer GmbH • Henndorf am Wallersee • Salzburg</t>
  </si>
  <si>
    <t>Elektrogeräte u. -bedarf • Elektro Langer GmbH, Hauptstraße 11, Henndorf am Wallersee • Kontakt über aktuelle Telefonnummern ☎ und Adressen ⚑ mit Karte, Routing, Öffnungszeiten, Homepage, E-Mail, vCard und Firmendaten.</t>
  </si>
  <si>
    <t>Hauptstraße 11</t>
  </si>
  <si>
    <t>5302</t>
  </si>
  <si>
    <t>Henndorf am Wallersee</t>
  </si>
  <si>
    <t>47.8958704</t>
  </si>
  <si>
    <t>13.1828145</t>
  </si>
  <si>
    <t>+4362146608</t>
  </si>
  <si>
    <t>info@elektro-langer.at</t>
  </si>
  <si>
    <t>https://bilder.dasschnelle.at/DasSchnelle/50/5000/9931/043313/G_043313_P_906233429.adn.gif</t>
  </si>
  <si>
    <t>Frahammer, Josef, Gärtnerei • Köstendorf • Salzburg</t>
  </si>
  <si>
    <t>Gärtnereien • Frahammer, Josef, Tannham 11, Köstendorf • Kontakt über aktuelle Telefonnummern ☎ und Adressen ⚑ mit Karte, Routing, Öffnungszeiten, Homepage, E-Mail, vCard und Firmendaten.</t>
  </si>
  <si>
    <t>Tannham 11</t>
  </si>
  <si>
    <t>47.9698770</t>
  </si>
  <si>
    <t>13.2068022</t>
  </si>
  <si>
    <t>+4362165894</t>
  </si>
  <si>
    <t>gaertnerei-framammer@gmx.at</t>
  </si>
  <si>
    <t>https://bilder.dasschnelle.at/DasSchnelle/50/5000/9935/043316/G_043316_P_906233431.adn.gif</t>
  </si>
  <si>
    <t>Kriegner, Hubert, Tischlerei • Lambach • Oberösterreich</t>
  </si>
  <si>
    <t>Tischlereien • Kriegner, Hubert, Siedlungsstraße 1, Lambach • Kontakt über aktuelle Telefonnummern ☎ und Adressen ⚑ mit Karte, Routing, Öffnungszeiten, Homepage, E-Mail, vCard und Firmendaten.</t>
  </si>
  <si>
    <t>Siedlungsstraße 1</t>
  </si>
  <si>
    <t>48.0959000</t>
  </si>
  <si>
    <t>13.8663400</t>
  </si>
  <si>
    <t>+43724528327</t>
  </si>
  <si>
    <t>hubertkriegner@aon.at</t>
  </si>
  <si>
    <t>https://bilder.dasschnelle.at/DasSchnelle/50/5000/9902/043572/G_043572_P_906233432.adn.gif</t>
  </si>
  <si>
    <t>Glantschnig Trans GmbH, Holztransporte • Völkermarkt • Kärnten</t>
  </si>
  <si>
    <t>Transportunternehmen • Glantschnig Trans GmbH, Martin Hosp-Straße 19, Völkermarkt • Kontakt über aktuelle Telefonnummern ☎ und Adressen ⚑ mit Karte, Routing, Öffnungszeiten, Homepage, E-Mail, vCard und Firmendaten.</t>
  </si>
  <si>
    <t>Martin Hosp-Straße 19</t>
  </si>
  <si>
    <t>46.66856</t>
  </si>
  <si>
    <t>14.61675</t>
  </si>
  <si>
    <t>+43423237044;+436641417128;+436641615955;+436644110726</t>
  </si>
  <si>
    <t>+43423237046</t>
  </si>
  <si>
    <t>glantschnig.trans@aon.at</t>
  </si>
  <si>
    <t>https://bilder.dasschnelle.at/DasSchnelle/50/5000/9942/042037/G_042037_P_906233444.adn.gif</t>
  </si>
  <si>
    <t>Zweimüller Hans u. Paula, Mosterei • Seekirchen • Salzburg</t>
  </si>
  <si>
    <t>Mostereien • Zweimüller Hans u. Paula, Zaisberg 4, Seekirchen • Kontakt über aktuelle Telefonnummern ☎ und Adressen ⚑ mit Karte, Routing, Öffnungszeiten, Homepage, E-Mail, vCard und Firmendaten.</t>
  </si>
  <si>
    <t>Zaisberg 4</t>
  </si>
  <si>
    <t>Seekirchen</t>
  </si>
  <si>
    <t>47.9163514</t>
  </si>
  <si>
    <t>13.1146800</t>
  </si>
  <si>
    <t>+4362127590</t>
  </si>
  <si>
    <t>moaster-loaster@aon.at</t>
  </si>
  <si>
    <t>https://bilder.dasschnelle.at/DasSchnelle/50/5000/9931/043333/G_043333_P_906232660.adn.gif</t>
  </si>
  <si>
    <t>Strasser, Rupert, Auto • Mattsee • Salzburg</t>
  </si>
  <si>
    <t>Autohandel • Strasser, Rupert, Salzburger Straße 46, Mattsee • Kontakt über aktuelle Telefonnummern ☎ und Adressen ⚑ mit Karte, Routing, Öffnungszeiten, Homepage, E-Mail, vCard und Firmendaten.</t>
  </si>
  <si>
    <t>Salzburger Straße 46</t>
  </si>
  <si>
    <t>47.96573</t>
  </si>
  <si>
    <t>13.09992</t>
  </si>
  <si>
    <t>+4362176590</t>
  </si>
  <si>
    <t>+4362175418</t>
  </si>
  <si>
    <t>office@auto-strasser.at</t>
  </si>
  <si>
    <t>https://bilder.dasschnelle.at/DasSchnelle/50/5000/9931/043319/G_043319_P_906232664.adn.gif</t>
  </si>
  <si>
    <t>SWS-Thiel Sonnenschutz Wetterschutz Sichtschutz • Seekirchen am Wallersee • Salzburg</t>
  </si>
  <si>
    <t>Sonnen u. Insektenschutz • SWS-Thiel Sonnenschutz Wetterschutz Sichtschutz, Gewerbestraße 6, Seekirchen am Wallersee • Kontakt über aktuelle Telefonnummern ☎ und Adressen ⚑ mit Karte, Routing, Öffnungszeiten, Homepage, E-Mail, vCard und Firmendaten.</t>
  </si>
  <si>
    <t>47.8873578</t>
  </si>
  <si>
    <t>13.1201866</t>
  </si>
  <si>
    <t>+4362127718</t>
  </si>
  <si>
    <t>+4362127459</t>
  </si>
  <si>
    <t>info@sws-thiel.at</t>
  </si>
  <si>
    <t>https://bilder.dasschnelle.at/DasSchnelle/50/5000/9931/043333/I_043333_P_906233594_L_0036738929_1.png</t>
  </si>
  <si>
    <t>https://bilder.dasschnelle.at/DasSchnelle/50/5000/9931/043333/I_043333_P_906233594_B_0036738929_1.gal.png?height=385&amp;width=600;https://bilder.dasschnelle.at/DasSchnelle/50/5000/9931/043333/I_043333_P_906233594_B_0036738929_2.gal.png?height=398&amp;width=600;https://bilder.dasschnelle.at/DasSchnelle/50/5000/9931/043333/I_043333_P_906233594_B_0036738929_3.gal.png?height=398&amp;width=600;https://bilder.dasschnelle.at/DasSchnelle/50/5000/9931/043333/I_043333_P_906233594_B_0036738929_4.gal.png?height=523&amp;width=720;https://bilder.dasschnelle.at/DasSchnelle/50/5000/9931/043333/G_043333_P_906233594.adn.gif</t>
  </si>
  <si>
    <t>Bauunternehmen Doll GmbH • Seekirchen am Wallersee • Salzburg</t>
  </si>
  <si>
    <t>Architekten • Bauunternehmen Doll GmbH, Mathias-Bayrhammer-Straße 9, Seekirchen am Wallersee • Kontakt über aktuelle Telefonnummern ☎ und Adressen ⚑ mit Karte, Routing, Öffnungszeiten, Homepage, E-Mail, vCard und Firmendaten.</t>
  </si>
  <si>
    <t>Mathias-Bayrhammer-Straße 9</t>
  </si>
  <si>
    <t>47.8922278</t>
  </si>
  <si>
    <t>13.1242570</t>
  </si>
  <si>
    <t>+43621263110</t>
  </si>
  <si>
    <t>office@dollbau.at</t>
  </si>
  <si>
    <t>https://bilder.dasschnelle.at/DasSchnelle/50/5000/9931/043333/I_043333_P_906233726_L_0036627192_1.png</t>
  </si>
  <si>
    <t>https://bilder.dasschnelle.at/DasSchnelle/50/5000/9931/043333/I_043333_P_906233726_B_0036627192_1.gal.png?height=479&amp;width=720;https://bilder.dasschnelle.at/DasSchnelle/50/5000/9931/043333/I_043333_P_906233726_B_0036627192_2.gal.png?height=479&amp;width=720;https://bilder.dasschnelle.at/DasSchnelle/50/5000/9931/043333/I_043333_P_906233726_B_0036627192_3.gal.png?height=480&amp;width=640;https://bilder.dasschnelle.at/DasSchnelle/50/5000/9931/043333/G_043333_P_906233726.adn.gif</t>
  </si>
  <si>
    <t>Haider, Wolfgang, Elektroinstallation • Seekirchen • Salzburg</t>
  </si>
  <si>
    <t>Elektroinstallationsunternehmen • Haider, Wolfgang, Postgasse 2, Seekirchen • Kontakt über aktuelle Telefonnummern ☎ und Adressen ⚑ mit Karte, Routing, Öffnungszeiten, Homepage, E-Mail, vCard und Firmendaten.</t>
  </si>
  <si>
    <t>+43621222140</t>
  </si>
  <si>
    <t>office@elektro-haider.com</t>
  </si>
  <si>
    <t>https://bilder.dasschnelle.at/DasSchnelle/50/5000/9931/043333/G_043333_P_906233732.adn.gif</t>
  </si>
  <si>
    <t>Hausbacher, Michael, Schlosserei • Seekirchen am Wallersee • Salzburg</t>
  </si>
  <si>
    <t>Schlossereien • Hausbacher, Michael, Gezing 18(Gezing), Seekirchen am Wallersee • Kontakt über aktuelle Telefonnummern ☎ und Adressen ⚑ mit Karte, Routing, Öffnungszeiten, Homepage, E-Mail, vCard und Firmendaten.</t>
  </si>
  <si>
    <t>Gezing 18(Gezing)</t>
  </si>
  <si>
    <t>47.91557</t>
  </si>
  <si>
    <t>13.1347</t>
  </si>
  <si>
    <t>+43621275170;+43621275171</t>
  </si>
  <si>
    <t>+43621275174</t>
  </si>
  <si>
    <t>schlosserei@hausbacher.at</t>
  </si>
  <si>
    <t>https://bilder.dasschnelle.at/DasSchnelle/50/5000/9931/043333/G_043333_P_906233739.adn.gif</t>
  </si>
  <si>
    <t>Plattner, Robert, Holzhandwerk • Schleedorf • Salzburg</t>
  </si>
  <si>
    <t>Tischlereien • Plattner, Robert, Munten 50, Schleedorf • Kontakt über aktuelle Telefonnummern ☎ und Adressen ⚑ mit Karte, Routing, Öffnungszeiten, Homepage, E-Mail, vCard und Firmendaten.</t>
  </si>
  <si>
    <t>Munten 50</t>
  </si>
  <si>
    <t>5205</t>
  </si>
  <si>
    <t>Schleedorf</t>
  </si>
  <si>
    <t>47.95797</t>
  </si>
  <si>
    <t>13.14676</t>
  </si>
  <si>
    <t>+43621620549</t>
  </si>
  <si>
    <t>holzhandwerk-plattner@gmx.at</t>
  </si>
  <si>
    <t>https://bilder.dasschnelle.at/DasSchnelle/50/5000/9931/043327/G_043327_P_906233744.adn.gif</t>
  </si>
  <si>
    <t>Elektro J. Müller GmbH &amp; Co KG, Elektrounternehmen • Mattsee • Salzburg</t>
  </si>
  <si>
    <t>Elektrounternehmen • Elektro J. Müller GmbH &amp; Co KG, Passauer Straße 8, Mattsee • Kontakt über aktuelle Telefonnummern ☎ und Adressen ⚑ mit Karte, Routing, Öffnungszeiten, Homepage, E-Mail, vCard und Firmendaten.</t>
  </si>
  <si>
    <t>Passauer Straße 8</t>
  </si>
  <si>
    <t>47.97124</t>
  </si>
  <si>
    <t>13.10434</t>
  </si>
  <si>
    <t>+4362175283</t>
  </si>
  <si>
    <t>+43621720233</t>
  </si>
  <si>
    <t>elektro-mueller@aon.at</t>
  </si>
  <si>
    <t>https://bilder.dasschnelle.at/DasSchnelle/50/5000/9931/043319/I_043319_P_906233749_L_0035970888_1.png</t>
  </si>
  <si>
    <t>https://bilder.dasschnelle.at/DasSchnelle/50/5000/9931/043319/I_043319_P_906233749_B_0035970888_1.gal.png?height=194&amp;width=259;https://bilder.dasschnelle.at/DasSchnelle/50/5000/9931/043319/I_043319_P_906233749_B_0035970888_2.gal.png?height=194&amp;width=259;https://bilder.dasschnelle.at/DasSchnelle/50/5000/9931/043319/I_043319_P_906233749_B_0035970888_3.gal.png?height=194&amp;width=259;https://bilder.dasschnelle.at/DasSchnelle/50/5000/9931/043319/I_043319_P_906233749_B_0035970888_4.gal.png?height=194&amp;width=259</t>
  </si>
  <si>
    <t>Grabner, Jochen, Schlosserei, Schlüsseldienst • Mattsee • Salzburg</t>
  </si>
  <si>
    <t>Schlossereien • Grabner, Jochen, Salzburger Straße 40, Mattsee • Kontakt über aktuelle Telefonnummern ☎ und Adressen ⚑ mit Karte, Routing, Öffnungszeiten, Homepage, E-Mail, vCard und Firmendaten.</t>
  </si>
  <si>
    <t>Salzburger Straße 40</t>
  </si>
  <si>
    <t>47.96629</t>
  </si>
  <si>
    <t>13.10092</t>
  </si>
  <si>
    <t>+4362175383</t>
  </si>
  <si>
    <t>+436217538322</t>
  </si>
  <si>
    <t>schlosserei.grabner@sbg.at</t>
  </si>
  <si>
    <t>https://bilder.dasschnelle.at/DasSchnelle/50/5000/9931/043319/G_043319_P_906232821.adn.gif</t>
  </si>
  <si>
    <t>Pötzl, Wolfgang, Dr.med., FA f. Frauenheilkunde u. Geburtshilfe • Traun • Oberösterreich</t>
  </si>
  <si>
    <t>Ärzte / Fachärzte f. Frauenheilkunde u. Geburtshilfe • Pötzl, Wolfgang, Dr.med., Kremstalstraße 20, Traun • Kontakt über aktuelle Telefonnummern ☎ und Adressen ⚑ mit Karte, Routing, Öffnungszeiten, Homepage, E-Mail, vCard und Firmendaten.</t>
  </si>
  <si>
    <t>Kremstalstraße 20</t>
  </si>
  <si>
    <t>48.22026</t>
  </si>
  <si>
    <t>14.23817</t>
  </si>
  <si>
    <t>+43722975277</t>
  </si>
  <si>
    <t>https://bilder.dasschnelle.at/DasSchnelle/50/5000/9937/046120/G_046120_P_906234486.adn.gif</t>
  </si>
  <si>
    <t>Neurauter, Seraphin, Raumausstatter • Längenfeld • Tirol</t>
  </si>
  <si>
    <t>Raumausstatter • Neurauter, Seraphin, Dorferau 367, Längenfeld • Kontakt über aktuelle Telefonnummern ☎ und Adressen ⚑ mit Karte, Routing, Öffnungszeiten, Homepage, E-Mail, vCard und Firmendaten.</t>
  </si>
  <si>
    <t>Dorferau 367</t>
  </si>
  <si>
    <t>47.09248</t>
  </si>
  <si>
    <t>10.95041</t>
  </si>
  <si>
    <t>+43525364856;+436765028078</t>
  </si>
  <si>
    <t>office@wohndesign-sera.at</t>
  </si>
  <si>
    <t>https://bilder.dasschnelle.at/DasSchnelle/50/5000/9894/045643/G_045643_P_906234490.adn.gif</t>
  </si>
  <si>
    <t>Kral, Alexander, Gärtnerei • Henndorf am Wallersee • Salzburg</t>
  </si>
  <si>
    <t>Gärtnereien • Kral, Alexander, Hof 47, Henndorf am Wallersee • Kontakt über aktuelle Telefonnummern ☎ und Adressen ⚑ mit Karte, Routing, Öffnungszeiten, Homepage, E-Mail, vCard und Firmendaten.</t>
  </si>
  <si>
    <t>Hof 47</t>
  </si>
  <si>
    <t>47.8908079</t>
  </si>
  <si>
    <t>13.2007757</t>
  </si>
  <si>
    <t>+4362146572</t>
  </si>
  <si>
    <t>info@gaertnerei-kral.at</t>
  </si>
  <si>
    <t>https://bilder.dasschnelle.at/DasSchnelle/50/5000/9931/043313/G_043313_P_906234493.adn.gif</t>
  </si>
  <si>
    <t>Haus- u Anlagentechnik GmbH • Berndorf bei Salzburg • Salzburg</t>
  </si>
  <si>
    <t>Anlagenbau u. -technik • Haus- u Anlagentechnik GmbH, Aigen 1, Berndorf bei Salzburg • Kontakt über aktuelle Telefonnummern ☎ und Adressen ⚑ mit Karte, Routing, Öffnungszeiten, Homepage, E-Mail, vCard und Firmendaten.</t>
  </si>
  <si>
    <t>Aigen 1</t>
  </si>
  <si>
    <t>47.9884</t>
  </si>
  <si>
    <t>13.06835</t>
  </si>
  <si>
    <t>+4362178703</t>
  </si>
  <si>
    <t>office@installateur-mieser.at</t>
  </si>
  <si>
    <t>https://bilder.dasschnelle.at/DasSchnelle/50/5000/9931/043603/I_043603_P_906234495_L_0036263822_1.png</t>
  </si>
  <si>
    <t>https://bilder.dasschnelle.at/DasSchnelle/50/5000/9931/043603/I_043603_P_906234495_B_0036263822_1.gal.png?height=308&amp;width=500;https://bilder.dasschnelle.at/DasSchnelle/50/5000/9931/043603/I_043603_P_906234495_B_0036263822_2.gal.png?height=336&amp;width=500;https://bilder.dasschnelle.at/DasSchnelle/50/5000/9931/043603/I_043603_P_906234495_B_0036263822_3.gal.png?height=327&amp;width=500</t>
  </si>
  <si>
    <t>Meister, Andreas, Transportunternehmen • Schleedorf • Salzburg</t>
  </si>
  <si>
    <t>Transportunternehmen • Meister, Andreas, Lengried 6, Schleedorf • Kontakt über aktuelle Telefonnummern ☎ und Adressen ⚑ mit Karte, Routing, Öffnungszeiten, Homepage, E-Mail, vCard und Firmendaten.</t>
  </si>
  <si>
    <t>Lengried 6</t>
  </si>
  <si>
    <t>47.95757</t>
  </si>
  <si>
    <t>13.16015</t>
  </si>
  <si>
    <t>+4362164821</t>
  </si>
  <si>
    <t>hauserbauer.trans@aon.at</t>
  </si>
  <si>
    <t>https://bilder.dasschnelle.at/DasSchnelle/50/5000/9931/043327/G_043327_P_906234497.adn.gif</t>
  </si>
  <si>
    <t>hm-bau gmbh, Bau • Perwang am Grabensee • Oberösterreich</t>
  </si>
  <si>
    <t>Bauunternehmen • hm-bau gmbh, Rudersberg 5, Perwang am Grabensee • Kontakt über aktuelle Telefonnummern ☎ und Adressen ⚑ mit Karte, Routing, Öffnungszeiten, Homepage, E-Mail, vCard und Firmendaten.</t>
  </si>
  <si>
    <t>Rudersberg 5</t>
  </si>
  <si>
    <t>5166</t>
  </si>
  <si>
    <t>Perwang am Grabensee</t>
  </si>
  <si>
    <t>48.0253389</t>
  </si>
  <si>
    <t>13.0593693</t>
  </si>
  <si>
    <t>+43627478014</t>
  </si>
  <si>
    <t>manfred@hmbau.info</t>
  </si>
  <si>
    <t>https://bilder.dasschnelle.at/DasSchnelle/50/5000/9931/044786/I_044786_P_906234499_L_0037075218_1.png</t>
  </si>
  <si>
    <t>https://bilder.dasschnelle.at/DasSchnelle/50/5000/9931/044786/I_044786_P_906234499_B_0037075218_1.gal.png?height=533&amp;width=800;https://bilder.dasschnelle.at/DasSchnelle/50/5000/9931/044786/I_044786_P_906234499_B_0037075218_2.gal.png?height=600&amp;width=800;https://bilder.dasschnelle.at/DasSchnelle/50/5000/9931/044786/I_044786_P_906234499_B_0037075218_3.gal.png?height=533&amp;width=800</t>
  </si>
  <si>
    <t>Pötzelsberger, Friedrich, Elektrotechnik • Obertrum • Salzburg</t>
  </si>
  <si>
    <t>Elektrotechnik • Pötzelsberger, Friedrich, Kirchstättstraße 25, Obertrum • Kontakt über aktuelle Telefonnummern ☎ und Adressen ⚑ mit Karte, Routing, Öffnungszeiten, Homepage, E-Mail, vCard und Firmendaten.</t>
  </si>
  <si>
    <t>Kirchstättstraße 25</t>
  </si>
  <si>
    <t>47.9368853</t>
  </si>
  <si>
    <t>13.0701653</t>
  </si>
  <si>
    <t>+4362197240</t>
  </si>
  <si>
    <t>eep@poetzlsberger.com</t>
  </si>
  <si>
    <t>https://bilder.dasschnelle.at/DasSchnelle/50/5000/9931/043323/G_043323_P_906234501.adn.gif</t>
  </si>
  <si>
    <t>Armin Struckl Glasbau • Klagenfurt</t>
  </si>
  <si>
    <t>Glasereien • Armin Struckl Glasbau, Völkermarkter Straße 286, Klagenfurt • Kontakt über aktuelle Telefonnummern ☎ und Adressen ⚑ mit Karte, Routing, Öffnungszeiten, Homepage, E-Mail, vCard und Firmendaten.</t>
  </si>
  <si>
    <t>Völkermarkter Straße 286</t>
  </si>
  <si>
    <t>9020</t>
  </si>
  <si>
    <t>Klagenfurt</t>
  </si>
  <si>
    <t>46.6292453</t>
  </si>
  <si>
    <t>14.3606692</t>
  </si>
  <si>
    <t>+43423634233</t>
  </si>
  <si>
    <t>glas.struckl@net4you.at</t>
  </si>
  <si>
    <t>https://bilder.dasschnelle.at/DasSchnelle/50/5000/9942/042027/G_042027_P_906234508.adn.gif</t>
  </si>
  <si>
    <t>Reichard, Martin, Versicherungsagentur • Mureck • Steiermark</t>
  </si>
  <si>
    <t>Versicherungsagentur • Reichard, Martin, Bahnhofstraße 2, Mureck • Kontakt über aktuelle Telefonnummern ☎ und Adressen ⚑ mit Karte, Routing, Öffnungszeiten, Homepage, E-Mail, vCard und Firmendaten.</t>
  </si>
  <si>
    <t>46.7078400</t>
  </si>
  <si>
    <t>15.7715800</t>
  </si>
  <si>
    <t>+43347230394</t>
  </si>
  <si>
    <t>martin.reichard@uniqa.at</t>
  </si>
  <si>
    <t>https://bilder.dasschnelle.at/DasSchnelle/50/5000/9920/061439/G_061439_P_906234510.adn.gif</t>
  </si>
  <si>
    <t>Sommer, Matthias, Merkur Versicherung • Bad Radkersburg • Steiermark</t>
  </si>
  <si>
    <t>Versicherungsunternehmen • Sommer, Matthias, Langgasse 41, Bad Radkersburg • Kontakt über aktuelle Telefonnummern ☎ und Adressen ⚑ mit Karte, Routing, Öffnungszeiten, Homepage, E-Mail, vCard und Firmendaten.</t>
  </si>
  <si>
    <t>Langgasse 41</t>
  </si>
  <si>
    <t>46.6888</t>
  </si>
  <si>
    <t>15.98644</t>
  </si>
  <si>
    <t>+436644146127</t>
  </si>
  <si>
    <t>matthias.sommer@merkur.at</t>
  </si>
  <si>
    <t>https://bilder.dasschnelle.at/DasSchnelle/50/5000/9920/061432/I_061432_P_906234512_L_0036891793_1.png</t>
  </si>
  <si>
    <t>https://bilder.dasschnelle.at/DasSchnelle/50/5000/9920/061432/I_061432_P_906234512_B_0036891793_1.gal.png?height=720&amp;width=560;https://bilder.dasschnelle.at/DasSchnelle/50/5000/9920/061432/I_061432_P_906234512_B_0036891793_2.gal.png?height=700&amp;width=600</t>
  </si>
  <si>
    <t>Doris Elisabeth Engel, Kosmetik • Bad Radkersburg • Steiermark</t>
  </si>
  <si>
    <t>Kosmetik u. Fußpflege • Doris Elisabeth Engel, Theatergasse 1, Bad Radkersburg • Kontakt über aktuelle Telefonnummern ☎ und Adressen ⚑ mit Karte, Routing, Öffnungszeiten, Homepage, E-Mail, vCard und Firmendaten.</t>
  </si>
  <si>
    <t>Theatergasse 1</t>
  </si>
  <si>
    <t>46.6876</t>
  </si>
  <si>
    <t>15.98923</t>
  </si>
  <si>
    <t>+436641122761</t>
  </si>
  <si>
    <t>vulcanobeauty@gmx.com</t>
  </si>
  <si>
    <t>https://bilder.dasschnelle.at/DasSchnelle/50/5000/9920/061432/G_061432_P_906234513.adn.gif</t>
  </si>
  <si>
    <t>Woeber, Patrick, Ing., Transporte • Tannheim • Tirol</t>
  </si>
  <si>
    <t>Transportunternehmen • Woeber, Patrick, Ing., Vilsalpseestraße 14, Tannheim • Kontakt über aktuelle Telefonnummern ☎ und Adressen ⚑ mit Karte, Routing, Öffnungszeiten, Homepage, E-Mail, vCard und Firmendaten.</t>
  </si>
  <si>
    <t>Vilsalpseestraße 14</t>
  </si>
  <si>
    <t>47.49821</t>
  </si>
  <si>
    <t>10.51936</t>
  </si>
  <si>
    <t>+4356756493</t>
  </si>
  <si>
    <t>transporte.woeber@ymail.com</t>
  </si>
  <si>
    <t>https://bilder.dasschnelle.at/DasSchnelle/50/5000/9921/042607/G_042607_P_906234515.adn.gif</t>
  </si>
  <si>
    <t>Waldhör, Kurt, Dr., Rechtsanwalt • Bad Ischl • Oberösterreich</t>
  </si>
  <si>
    <t>Rechtsanwälte • Waldhör, Kurt, Dr., Schulgasse 9, Bad Ischl • Kontakt über aktuelle Telefonnummern ☎ und Adressen ⚑ mit Karte, Routing, Öffnungszeiten, Homepage, E-Mail, vCard und Firmendaten.</t>
  </si>
  <si>
    <t>Schulgasse 9</t>
  </si>
  <si>
    <t>47.71228</t>
  </si>
  <si>
    <t>13.62163</t>
  </si>
  <si>
    <t>+43613230400</t>
  </si>
  <si>
    <t>office@waldhoer.at</t>
  </si>
  <si>
    <t>https://bilder.dasschnelle.at/DasSchnelle/50/5000/9868/041790/G_041790_P_906235144.adn.gif</t>
  </si>
  <si>
    <t>Schennach, Claudia, Mag., Psychologin • Reutte • Tirol</t>
  </si>
  <si>
    <t>Psychologie, Psychotherapie • Schennach, Claudia, Mag., Claudiastraße 7, Reutte • Kontakt über aktuelle Telefonnummern ☎ und Adressen ⚑ mit Karte, Routing, Öffnungszeiten, Homepage, E-Mail, vCard und Firmendaten.</t>
  </si>
  <si>
    <t>Claudiastraße 7</t>
  </si>
  <si>
    <t>47.48645</t>
  </si>
  <si>
    <t>10.72233</t>
  </si>
  <si>
    <t>+436764840396</t>
  </si>
  <si>
    <t>cm.schennach@cnh.at</t>
  </si>
  <si>
    <t>https://bilder.dasschnelle.at/DasSchnelle/50/5000/9921/042603/G_042603_P_906235148.adn.gif</t>
  </si>
  <si>
    <t>Dobler, Walter, Dr., Notariat Eferding • Eferding • Oberösterreich</t>
  </si>
  <si>
    <t>Notare • Dobler, Walter, Dr., Bäckergasse 2, Eferding • Kontakt über aktuelle Telefonnummern ☎ und Adressen ⚑ mit Karte, Routing, Öffnungszeiten, Homepage, E-Mail, vCard und Firmendaten.</t>
  </si>
  <si>
    <t>Bäckergasse 2</t>
  </si>
  <si>
    <t>48.3084100</t>
  </si>
  <si>
    <t>14.0240200</t>
  </si>
  <si>
    <t>+4372722271</t>
  </si>
  <si>
    <t>office@notariat-eferding.at</t>
  </si>
  <si>
    <t>https://bilder.dasschnelle.at/DasSchnelle/50/5000/9876/044805/I_044805_P_906235125_L_0036253900_1.png</t>
  </si>
  <si>
    <t>https://bilder.dasschnelle.at/DasSchnelle/50/5000/9876/044805/I_044805_P_906235125_B_0036253900_1.gal.png?height=400&amp;width=600;https://bilder.dasschnelle.at/DasSchnelle/50/5000/9876/044805/I_044805_P_906235125_B_0036253900_2.gal.png?height=400&amp;width=600;https://bilder.dasschnelle.at/DasSchnelle/50/5000/9876/044805/I_044805_P_906235125_B_0036253900_3.gal.png?height=399&amp;width=600;https://bilder.dasschnelle.at/DasSchnelle/50/5000/9876/044805/I_044805_P_906235125_B_0036253900_4.gal.png?height=399&amp;width=600</t>
  </si>
  <si>
    <t>Pirkl-Gamper Barbara, Dr., Schwaiger-Moosbrugger Elke, Dr., Frauenarztpraxis • Fieberbrunn • Tirol</t>
  </si>
  <si>
    <t>Ärzte / Fachärzte f. Frauenheilkunde u. Geburtshilfe • Pirkl-Gamper Barbara, Dr., Schwaiger-Moosbrugger Elke, Dr., Rosenegg 60, Fieberbrunn • Kontakt über aktuelle Telefonnummern ☎ und Adressen ⚑ mit Karte, Routing, Öffnungszeiten, Homepage, E-Mail, vCard und Firmendaten.</t>
  </si>
  <si>
    <t>Rosenegg 60</t>
  </si>
  <si>
    <t>6391</t>
  </si>
  <si>
    <t>Fieberbrunn</t>
  </si>
  <si>
    <t>47.48708</t>
  </si>
  <si>
    <t>12.53094</t>
  </si>
  <si>
    <t>+43535457070</t>
  </si>
  <si>
    <t>praxis-rosenegg@gmx.at</t>
  </si>
  <si>
    <t>https://bilder.dasschnelle.at/DasSchnelle/50/5000/9896/046127/G_046127_P_906235149.adn.gif</t>
  </si>
  <si>
    <t>Eder, Johannes, Segelmacherei • Mattsee • Salzburg</t>
  </si>
  <si>
    <t>Segelmacherei • Eder, Johannes, Salzburger Straße 12, Mattsee • Kontakt über aktuelle Telefonnummern ☎ und Adressen ⚑ mit Karte, Routing, Öffnungszeiten, Homepage, E-Mail, vCard und Firmendaten.</t>
  </si>
  <si>
    <t>Salzburger Straße 12</t>
  </si>
  <si>
    <t>47.96882</t>
  </si>
  <si>
    <t>13.10353</t>
  </si>
  <si>
    <t>+4362175484;+436505484001</t>
  </si>
  <si>
    <t>johannes@edersails.at</t>
  </si>
  <si>
    <t>https://bilder.dasschnelle.at/DasSchnelle/50/5000/9931/043319/G_043319_P_906235228.adn.gif</t>
  </si>
  <si>
    <t>Thonhofer, Gerald, Alteisen • Eugendorf • Salzburg</t>
  </si>
  <si>
    <t>Alteisen u. Altmetalle • Thonhofer, Gerald, Nordstraße 10, Eugendorf • Kontakt über aktuelle Telefonnummern ☎ und Adressen ⚑ mit Karte, Routing, Öffnungszeiten, Homepage, E-Mail, vCard und Firmendaten.</t>
  </si>
  <si>
    <t>Nordstraße 10</t>
  </si>
  <si>
    <t>47.87043</t>
  </si>
  <si>
    <t>13.12598</t>
  </si>
  <si>
    <t>+4362257836</t>
  </si>
  <si>
    <t>g.thonhofer@sbg.at</t>
  </si>
  <si>
    <t>https://bilder.dasschnelle.at/DasSchnelle/50/5000/9931/043306/I_043306_P_906235231_L_0036262168_1.png</t>
  </si>
  <si>
    <t>https://bilder.dasschnelle.at/DasSchnelle/50/5000/9931/043306/I_043306_P_906235231_B_0036262168_1.gal.png?height=436&amp;width=600;https://bilder.dasschnelle.at/DasSchnelle/50/5000/9931/043306/I_043306_P_906235231_B_0036262168_2.gal.png?height=385&amp;width=577;https://bilder.dasschnelle.at/DasSchnelle/50/5000/9931/043306/I_043306_P_906235231_B_0036262168_3.gal.png?height=383&amp;width=577;https://bilder.dasschnelle.at/DasSchnelle/50/5000/9931/043306/I_043306_P_906235231_B_0036262168_4.gal.png?height=325&amp;width=577</t>
  </si>
  <si>
    <t>Enzi, Markus • Deutschlandsberg • Steiermark</t>
  </si>
  <si>
    <t>Malereibetriebe • Enzi, Markus, Wolfgangiweg 29, Deutschlandsberg • Kontakt über aktuelle Telefonnummern ☎ und Adressen ⚑ mit Karte, Routing, Öffnungszeiten, Homepage, E-Mail, vCard und Firmendaten.</t>
  </si>
  <si>
    <t>Wolfgangiweg 29</t>
  </si>
  <si>
    <t>46.80015</t>
  </si>
  <si>
    <t>15.20729</t>
  </si>
  <si>
    <t>+43346226872;+436645257093</t>
  </si>
  <si>
    <t>malerenzi@aon.at</t>
  </si>
  <si>
    <t>https://bilder.dasschnelle.at/DasSchnelle/50/5000/9875/061379/G_061379_P_906235065.adn.gif</t>
  </si>
  <si>
    <t>Malerei Mowa • Völkermarkt • Kärnten</t>
  </si>
  <si>
    <t>Malereibetriebe • Malerei Mowa, Gurtschitschach 21, Völkermarkt • Kontakt über aktuelle Telefonnummern ☎ und Adressen ⚑ mit Karte, Routing, Öffnungszeiten, Homepage, E-Mail, vCard und Firmendaten.</t>
  </si>
  <si>
    <t>Gurtschitschach 21</t>
  </si>
  <si>
    <t>46.6378500</t>
  </si>
  <si>
    <t>14.6735300</t>
  </si>
  <si>
    <t>+436645026240</t>
  </si>
  <si>
    <t>mowa@aon.at</t>
  </si>
  <si>
    <t>https://bilder.dasschnelle.at/DasSchnelle/50/5000/9942/042037/G_042037_P_906235071.adn.gif</t>
  </si>
  <si>
    <t>Metallbau Schuschou • Kühnsdorf • Kärnten</t>
  </si>
  <si>
    <t>Metallbau • Metallbau Schuschou, Humtschach 41, Kühnsdorf • Kontakt über aktuelle Telefonnummern ☎ und Adressen ⚑ mit Karte, Routing, Öffnungszeiten, Homepage, E-Mail, vCard und Firmendaten.</t>
  </si>
  <si>
    <t>Humtschach 41</t>
  </si>
  <si>
    <t>46.6285695</t>
  </si>
  <si>
    <t>14.7138511</t>
  </si>
  <si>
    <t>+436641636321</t>
  </si>
  <si>
    <t>metall@mb-s.at</t>
  </si>
  <si>
    <t>https://bilder.dasschnelle.at/DasSchnelle/50/5000/9942/042027/I_042027_P_906235073_L_0038338891_1.png</t>
  </si>
  <si>
    <t>https://bilder.dasschnelle.at/DasSchnelle/50/5000/9942/042027/G_042027_P_906235073.adn.gif</t>
  </si>
  <si>
    <t>Spätauf, Josef, Pflegeheim • Bad Radkersburg • Steiermark</t>
  </si>
  <si>
    <t>Pflege- u. Altenheime • Spätauf, Josef, Zeltingerstraße 8, Bad Radkersburg • Kontakt über aktuelle Telefonnummern ☎ und Adressen ⚑ mit Karte, Routing, Öffnungszeiten, Homepage, E-Mail, vCard und Firmendaten.</t>
  </si>
  <si>
    <t>Zeltingerstraße 8</t>
  </si>
  <si>
    <t>+433476410310;+436645409227;+436642845088</t>
  </si>
  <si>
    <t>office@seniorenheimelisabeth.at</t>
  </si>
  <si>
    <t>https://bilder.dasschnelle.at/DasSchnelle/50/5000/9920/061432/I_061432_P_906235074_L_0035970073_1.png</t>
  </si>
  <si>
    <t>https://bilder.dasschnelle.at/DasSchnelle/50/5000/9920/061432/I_061432_P_906235074_B_0035970073_1.gal.png?height=720&amp;width=720;https://bilder.dasschnelle.at/DasSchnelle/50/5000/9920/061432/I_061432_P_906235074_B_0035970073_2.gal.png?height=400&amp;width=600;https://bilder.dasschnelle.at/DasSchnelle/50/5000/9920/061432/I_061432_P_906235074_B_0035970073_3.gal.png?height=450&amp;width=600;https://bilder.dasschnelle.at/DasSchnelle/50/5000/9920/061432/I_061432_P_906235074_B_0035970073_4.gal.png?height=479&amp;width=720;https://bilder.dasschnelle.at/DasSchnelle/50/5000/9920/061432/G_061432_P_906235074.adn.gif</t>
  </si>
  <si>
    <t>Rasen Schmitzberger, Steinmauern, Gärten • Ehrwald • Tirol</t>
  </si>
  <si>
    <t>Garten- u. Landschaftsgestaltung • Rasen Schmitzberger, Kirchplatz 7 /2, Ehrwald • Kontakt über aktuelle Telefonnummern ☎ und Adressen ⚑ mit Karte, Routing, Öffnungszeiten, Homepage, E-Mail, vCard und Firmendaten.</t>
  </si>
  <si>
    <t>Kirchplatz 7 /2</t>
  </si>
  <si>
    <t>47.3983066</t>
  </si>
  <si>
    <t>10.9198434</t>
  </si>
  <si>
    <t>+4369917246520</t>
  </si>
  <si>
    <t>info@rasen-schmitzberger.at</t>
  </si>
  <si>
    <t>https://bilder.dasschnelle.at/DasSchnelle/50/5000/9921/044843/G_044843_P_906235203.adn.gif</t>
  </si>
  <si>
    <t>Belgin Coiffeurs, Hair &amp; Cosmetic • Ehrwald • Tirol</t>
  </si>
  <si>
    <t>Friseure • Belgin Coiffeurs, Müllerhofweg am Römerplatz 7, Ehrwald • Kontakt über aktuelle Telefonnummern ☎ und Adressen ⚑ mit Karte, Routing, Öffnungszeiten, Homepage, E-Mail, vCard und Firmendaten.</t>
  </si>
  <si>
    <t>Müllerhofweg am Römerplatz 7</t>
  </si>
  <si>
    <t>47.39993</t>
  </si>
  <si>
    <t>10.92068</t>
  </si>
  <si>
    <t>+4356733214</t>
  </si>
  <si>
    <t>info@belgin-coiffeurs.at</t>
  </si>
  <si>
    <t>https://bilder.dasschnelle.at/DasSchnelle/50/5000/9921/044843/G_044843_P_906235205.adn.gif</t>
  </si>
  <si>
    <t>Plunger-Hamminger, Elisabeth, Dr., Kinderärztin • Braunau am Inn • Oberösterreich</t>
  </si>
  <si>
    <t>Ärzte / Fachärzte f. Kinder u. Jugendheilkunde • Plunger-Hamminger, Elisabeth, Dr., Stadtplatz 6, Braunau am Inn • Kontakt über aktuelle Telefonnummern ☎ und Adressen ⚑ mit Karte, Routing, Öffnungszeiten, Homepage, E-Mail, vCard und Firmendaten.</t>
  </si>
  <si>
    <t>48.2592629</t>
  </si>
  <si>
    <t>13.0345698</t>
  </si>
  <si>
    <t>+43772262557</t>
  </si>
  <si>
    <t>ordination@kinderaerztin-braunau.at</t>
  </si>
  <si>
    <t>https://bilder.dasschnelle.at/DasSchnelle/50/5000/9872/044551/I_044551_P_906235997_L_0036738196_1.png</t>
  </si>
  <si>
    <t>https://bilder.dasschnelle.at/DasSchnelle/50/5000/9872/044551/I_044551_P_906235997_B_0036738196_1.gal.png?height=400&amp;width=600;https://bilder.dasschnelle.at/DasSchnelle/50/5000/9872/044551/I_044551_P_906235997_B_0036738196_2.gal.png?height=480&amp;width=720;https://bilder.dasschnelle.at/DasSchnelle/50/5000/9872/044551/I_044551_P_906235997_B_0036738196_3.gal.png?height=480&amp;width=720;https://bilder.dasschnelle.at/DasSchnelle/50/5000/9872/044551/I_044551_P_906235997_B_0036738196_4.gal.png?height=400&amp;width=600</t>
  </si>
  <si>
    <t>Bergmann, Fritz, Dr.med.dent., Zahnarzt • Ach • Oberösterreich</t>
  </si>
  <si>
    <t>Ärzte / Fachärzte f. Zahn-, Mund u. Kieferheilkunde, Ärzte / Zahnärzte • Bergmann, Fritz, Dr.med.dent., Ach 7, Ach • Kontakt über aktuelle Telefonnummern ☎ und Adressen ⚑ mit Karte, Routing, Öffnungszeiten, Homepage, E-Mail, vCard und Firmendaten.</t>
  </si>
  <si>
    <t>Ach 7</t>
  </si>
  <si>
    <t>5122</t>
  </si>
  <si>
    <t>Ach</t>
  </si>
  <si>
    <t>48.1553609</t>
  </si>
  <si>
    <t>12.8335996</t>
  </si>
  <si>
    <t>+43772734534</t>
  </si>
  <si>
    <t>zahnarzt@implantate-dr-bergmann.de</t>
  </si>
  <si>
    <t>https://bilder.dasschnelle.at/DasSchnelle/50/5000/9872/044770/G_044770_P_906236001.adn.gif</t>
  </si>
  <si>
    <t>Elbe, Markus, Fliesenverlegung • Globasnitz • Kärnten</t>
  </si>
  <si>
    <t>Fliesen u. Plattenverlegungen • Elbe, Markus, Globasnitz 36, Globasnitz • Kontakt über aktuelle Telefonnummern ☎ und Adressen ⚑ mit Karte, Routing, Öffnungszeiten, Homepage, E-Mail, vCard und Firmendaten.</t>
  </si>
  <si>
    <t>Globasnitz 36</t>
  </si>
  <si>
    <t>46.5444819</t>
  </si>
  <si>
    <t>14.7062561</t>
  </si>
  <si>
    <t>+436641869283</t>
  </si>
  <si>
    <t>markus.elbe@gmx.at</t>
  </si>
  <si>
    <t>https://bilder.dasschnelle.at/DasSchnelle/50/5000/9942/042031/G_042031_P_906236003.adn.gif</t>
  </si>
  <si>
    <t>Haigerer, Sieglinde, Friseur • Seekirchen am Wallersee • Salzburg</t>
  </si>
  <si>
    <t>Friseure • Haigerer, Sieglinde, Mathias-Bayrhammer-Straße 18, Seekirchen am Wallersee • Kontakt über aktuelle Telefonnummern ☎ und Adressen ⚑ mit Karte, Routing, Öffnungszeiten, Homepage, E-Mail, vCard und Firmendaten.</t>
  </si>
  <si>
    <t>Mathias-Bayrhammer-Straße 18</t>
  </si>
  <si>
    <t>47.8927300</t>
  </si>
  <si>
    <t>13.1238300</t>
  </si>
  <si>
    <t>+4362126241</t>
  </si>
  <si>
    <t>salon.sieglinde@gmail.com</t>
  </si>
  <si>
    <t>https://bilder.dasschnelle.at/DasSchnelle/50/5000/9931/043333/G_043333_P_906238772.adn.gif</t>
  </si>
  <si>
    <t>Redmann, Franz, Angelzentrum • Bruck an der Leitha • Niederösterreich</t>
  </si>
  <si>
    <t>Angelgeräte u. Zubehör • Redmann, Franz, Lagerstraße 8 -10/20, Bruck an der Leitha • Kontakt über aktuelle Telefonnummern ☎ und Adressen ⚑ mit Karte, Routing, Öffnungszeiten, Homepage, E-Mail, vCard und Firmendaten.</t>
  </si>
  <si>
    <t>Lagerstraße 8 -10/20</t>
  </si>
  <si>
    <t>48.0181936</t>
  </si>
  <si>
    <t>16.7779835</t>
  </si>
  <si>
    <t>+43216264985</t>
  </si>
  <si>
    <t>office@angelzentrum.at</t>
  </si>
  <si>
    <t>https://bilder.dasschnelle.at/DasSchnelle/50/5000/9873/041605/G_041605_P_906239004.adn.gif</t>
  </si>
  <si>
    <t>Drack, Jutta, Mag. • Grünau im Almtal • Oberösterreich</t>
  </si>
  <si>
    <t>Tierärzte • Drack, Jutta, Mag., Redlmühle 6, Grünau im Almtal • Kontakt über aktuelle Telefonnummern ☎ und Adressen ⚑ mit Karte, Routing, Öffnungszeiten, Homepage, E-Mail, vCard und Firmendaten.</t>
  </si>
  <si>
    <t>Redlmühle 6</t>
  </si>
  <si>
    <t>47.8672855</t>
  </si>
  <si>
    <t>13.9433415</t>
  </si>
  <si>
    <t>+43761682082</t>
  </si>
  <si>
    <t>tierarzt@almtal.at</t>
  </si>
  <si>
    <t>https://bilder.dasschnelle.at/DasSchnelle/50/5000/9917/046089/G_046089_P_906239008.adn.gif</t>
  </si>
  <si>
    <t>Tscherteu, Robert, Erdbewegung • Gallizien • Kärnten</t>
  </si>
  <si>
    <t>Erdbau, Transportunternehmen • Tscherteu, Robert, Gallizien • Kontakt über aktuelle Telefonnummern ☎ und Adressen ⚑ mit Karte, Routing, Öffnungszeiten, Homepage, E-Mail, vCard und Firmendaten.</t>
  </si>
  <si>
    <t>9132</t>
  </si>
  <si>
    <t>Gallizien</t>
  </si>
  <si>
    <t>46.5543895</t>
  </si>
  <si>
    <t>14.5084757</t>
  </si>
  <si>
    <t>+4342212086;+436649846766;+436641629581</t>
  </si>
  <si>
    <t>tscherteutrans@speed.at</t>
  </si>
  <si>
    <t>https://bilder.dasschnelle.at/DasSchnelle/50/5000/9942/042030/I_042030_P_906238664_B_0036421321_1.gal.png?height=375&amp;width=500;https://bilder.dasschnelle.at/DasSchnelle/50/5000/9942/042030/I_042030_P_906238664_B_0036421321_2.gal.png?height=525&amp;width=700;https://bilder.dasschnelle.at/DasSchnelle/50/5000/9942/042030/I_042030_P_906238664_B_0036421321_3.gal.png?height=525&amp;width=700;https://bilder.dasschnelle.at/DasSchnelle/50/5000/9942/042030/I_042030_P_906238664_B_0036421321_4.gal.png?height=525&amp;width=700</t>
  </si>
  <si>
    <t>Maschinenring Grenzland, Maschinenverleih • Halbenrain • Steiermark</t>
  </si>
  <si>
    <t>Sonstige Dienstleistungen, Baumaschinenverleih • Maschinenring Grenzland, Halbenrain 52, Halbenrain • Kontakt über aktuelle Telefonnummern ☎ und Adressen ⚑ mit Karte, Routing, Öffnungszeiten, Homepage, E-Mail, vCard und Firmendaten.</t>
  </si>
  <si>
    <t>Halbenrain 52</t>
  </si>
  <si>
    <t>46.7216804</t>
  </si>
  <si>
    <t>15.9472072</t>
  </si>
  <si>
    <t>+43347629899</t>
  </si>
  <si>
    <t>grenzland@maschinenring.at</t>
  </si>
  <si>
    <t>https://bilder.dasschnelle.at/DasSchnelle/50/5000/9920/045144/G_045144_P_906238668.adn.gif</t>
  </si>
  <si>
    <t>Schelch, Sieglinde, Hafnermeisterin • Straden • Steiermark</t>
  </si>
  <si>
    <t>Heizungen • Schelch, Sieglinde, Waasen am Berg 21, Straden • Kontakt über aktuelle Telefonnummern ☎ und Adressen ⚑ mit Karte, Routing, Öffnungszeiten, Homepage, E-Mail, vCard und Firmendaten.</t>
  </si>
  <si>
    <t>Waasen am Berg 21</t>
  </si>
  <si>
    <t>46.8232409</t>
  </si>
  <si>
    <t>15.8371786</t>
  </si>
  <si>
    <t>+4334737052</t>
  </si>
  <si>
    <t>hafnermeisterin@gmx.at</t>
  </si>
  <si>
    <t>https://bilder.dasschnelle.at/DasSchnelle/50/5000/9920/061440/G_061440_P_906238670.adn.gif</t>
  </si>
  <si>
    <t>Ordinationsgemeinschaft Dr. Schmidt &amp; Dr. John OG, Innere Medizin • Braunau am Inn • Oberösterreich</t>
  </si>
  <si>
    <t>Ärzte / Fachärzte f. Innere Medizin • Ordinationsgemeinschaft Dr. Schmidt &amp; Dr. John OG, Stadtplatz 35, Braunau am Inn • Kontakt über aktuelle Telefonnummern ☎ und Adressen ⚑ mit Karte, Routing, Öffnungszeiten, Homepage, E-Mail, vCard und Firmendaten.</t>
  </si>
  <si>
    <t>Stadtplatz 35</t>
  </si>
  <si>
    <t>48.2575767</t>
  </si>
  <si>
    <t>13.0353618</t>
  </si>
  <si>
    <t>+43772268644</t>
  </si>
  <si>
    <t>office@internisten-braunau.at</t>
  </si>
  <si>
    <t>https://bilder.dasschnelle.at/DasSchnelle/50/5000/9872/044551/G_044551_P_906238958.adn.gif</t>
  </si>
  <si>
    <t>Stockinger, Herbert, Dr.med., FA f. Frauenheilk. u. Geburtsh. • Bad Ischl • Oberösterreich</t>
  </si>
  <si>
    <t>Ärzte / Fachärzte f. Frauenheilkunde u. Geburtshilfe • Stockinger, Herbert, Dr.med., Pfarrgasse 4, Bad Ischl • Kontakt über aktuelle Telefonnummern ☎ und Adressen ⚑ mit Karte, Routing, Öffnungszeiten, Homepage, E-Mail, vCard und Firmendaten.</t>
  </si>
  <si>
    <t>Pfarrgasse 4</t>
  </si>
  <si>
    <t>47.71082</t>
  </si>
  <si>
    <t>13.62209</t>
  </si>
  <si>
    <t>+436132231550</t>
  </si>
  <si>
    <t>https://bilder.dasschnelle.at/DasSchnelle/50/5000/9868/041790/G_041790_P_906238961.adn.gif</t>
  </si>
  <si>
    <t>Fuchs Hans Installationen GmbH • Jochberg • Tirol</t>
  </si>
  <si>
    <t>Installationsunternehmen • Fuchs Hans Installationen GmbH, Kitzbüheler Straße 11 B, Jochberg • Kontakt über aktuelle Telefonnummern ☎ und Adressen ⚑ mit Karte, Routing, Öffnungszeiten, Homepage, E-Mail, vCard und Firmendaten.</t>
  </si>
  <si>
    <t>Kitzbüheler Straße 11 B</t>
  </si>
  <si>
    <t>47.391</t>
  </si>
  <si>
    <t>12.42434</t>
  </si>
  <si>
    <t>+43535520060</t>
  </si>
  <si>
    <t>+43535520062</t>
  </si>
  <si>
    <t>info@installationen-fuchs.tirol</t>
  </si>
  <si>
    <t>https://bilder.dasschnelle.at/DasSchnelle/50/5000/9896/046132/G_046132_P_906238966.adn.gif</t>
  </si>
  <si>
    <t>Berauer GmbH, Autoreparatur • St. Johann in Tirol • Tirol</t>
  </si>
  <si>
    <t>Autoreparaturen • Berauer GmbH, Salzburgerstraße 35, St. Johann in Tirol • Kontakt über aktuelle Telefonnummern ☎ und Adressen ⚑ mit Karte, Routing, Öffnungszeiten, Homepage, E-Mail, vCard und Firmendaten.</t>
  </si>
  <si>
    <t>Salzburgerstraße 35</t>
  </si>
  <si>
    <t>47.5314376</t>
  </si>
  <si>
    <t>12.4345858</t>
  </si>
  <si>
    <t>+43535264735</t>
  </si>
  <si>
    <t>office@berauergmbh.at</t>
  </si>
  <si>
    <t>https://bilder.dasschnelle.at/DasSchnelle/50/5000/9896/046140/G_046140_P_906238971.adn.gif</t>
  </si>
  <si>
    <t>Saurwein, Florian, Glaserei • Imst • Tirol</t>
  </si>
  <si>
    <t>Glas u. Service • Saurwein, Florian, Thomas-Walch-Straße 4, Imst • Kontakt über aktuelle Telefonnummern ☎ und Adressen ⚑ mit Karte, Routing, Öffnungszeiten, Homepage, E-Mail, vCard und Firmendaten.</t>
  </si>
  <si>
    <t>Thomas-Walch-Straße 4</t>
  </si>
  <si>
    <t>47.2456</t>
  </si>
  <si>
    <t>10.74096</t>
  </si>
  <si>
    <t>+43541262570;+43541265491</t>
  </si>
  <si>
    <t>info@wk-glas.at</t>
  </si>
  <si>
    <t>https://bilder.dasschnelle.at/DasSchnelle/50/5000/9894/045638/G_045638_P_906239027.adn.gif</t>
  </si>
  <si>
    <t>Lüzlbauer, Martin, Optiker • Seekirchen am Wallersee • Salzburg</t>
  </si>
  <si>
    <t>Optik • Lüzlbauer, Martin, Hauptstraße 4, Seekirchen am Wallersee • Kontakt über aktuelle Telefonnummern ☎ und Adressen ⚑ mit Karte, Routing, Öffnungszeiten, Homepage, E-Mail, vCard und Firmendaten.</t>
  </si>
  <si>
    <t>+4362124360</t>
  </si>
  <si>
    <t>optik.luezlbauer@speed.at</t>
  </si>
  <si>
    <t>https://bilder.dasschnelle.at/DasSchnelle/50/5000/9931/043333/G_043333_P_906239031.adn.gif</t>
  </si>
  <si>
    <t>BASIS Frauenservice und Familienberatung in Außerfern • Reutte • Tirol</t>
  </si>
  <si>
    <t>Beratungsstellen • BASIS Frauenservice und Familienberatung in Außerfern, Planseestr. 6, Reutte • Kontakt über aktuelle Telefonnummern ☎ und Adressen ⚑ mit Karte, Routing, Öffnungszeiten, Homepage, E-Mail, vCard und Firmendaten.</t>
  </si>
  <si>
    <t>Planseestr. 6</t>
  </si>
  <si>
    <t>47.49025</t>
  </si>
  <si>
    <t>10.72009</t>
  </si>
  <si>
    <t>+43567272604</t>
  </si>
  <si>
    <t>office@basis-beratung.net</t>
  </si>
  <si>
    <t>https://bilder.dasschnelle.at/DasSchnelle/50/5000/9921/042603/I_042603_P_906240401_L_0036891900_1.png</t>
  </si>
  <si>
    <t>Pichler, Christian, Dr. • Reutte • Tirol</t>
  </si>
  <si>
    <t>Rechtsanwälte • Pichler, Christian, Dr., Untermarkt 16, Reutte • Kontakt über aktuelle Telefonnummern ☎ und Adressen ⚑ mit Karte, Routing, Öffnungszeiten, Homepage, E-Mail, vCard und Firmendaten.</t>
  </si>
  <si>
    <t>Untermarkt 16</t>
  </si>
  <si>
    <t>47.49052</t>
  </si>
  <si>
    <t>10.71789</t>
  </si>
  <si>
    <t>+43567263694</t>
  </si>
  <si>
    <t>rechtsanwalt@pichler-reutte.at</t>
  </si>
  <si>
    <t>https://bilder.dasschnelle.at/DasSchnelle/50/5000/9921/042603/G_042603_P_906240403.adn.gif</t>
  </si>
  <si>
    <t>Puntigam, Franz, Ölmühle &amp; Erdbewegung • Deutsch Goritz • Steiermark</t>
  </si>
  <si>
    <t>Erdarbeiten, Säge- u. Hobelwerke • Puntigam, Franz, Salsach 28, Deutsch Goritz • Kontakt über aktuelle Telefonnummern ☎ und Adressen ⚑ mit Karte, Routing, Öffnungszeiten, Homepage, E-Mail, vCard und Firmendaten.</t>
  </si>
  <si>
    <t>Salsach 28</t>
  </si>
  <si>
    <t>46.7418219</t>
  </si>
  <si>
    <t>15.8427333</t>
  </si>
  <si>
    <t>+4334748243;+436641138288</t>
  </si>
  <si>
    <t>office@franz-puntigam.at</t>
  </si>
  <si>
    <t>https://bilder.dasschnelle.at/DasSchnelle/50/5000/9920/061441/G_061441_P_906240407.adn.gif</t>
  </si>
  <si>
    <t>Geppert, Nina, Mag.med.vet, Tierarzt • Reutte • Tirol</t>
  </si>
  <si>
    <t>Tierärzte • Geppert, Nina, Mag.med.vet, Lina-Thyll-Straße 12, Reutte • Kontakt über aktuelle Telefonnummern ☎ und Adressen ⚑ mit Karte, Routing, Öffnungszeiten, Homepage, E-Mail, vCard und Firmendaten.</t>
  </si>
  <si>
    <t>Lina-Thyll-Straße 12</t>
  </si>
  <si>
    <t>47.48176</t>
  </si>
  <si>
    <t>10.71413</t>
  </si>
  <si>
    <t>+436767775009</t>
  </si>
  <si>
    <t>tierarzt.geppert@gmx.at</t>
  </si>
  <si>
    <t>https://bilder.dasschnelle.at/DasSchnelle/50/5000/9921/042603/I_042603_P_906240410_B_0036266131_1.gal.png?height=449&amp;width=600;https://bilder.dasschnelle.at/DasSchnelle/50/5000/9921/042603/I_042603_P_906240410_B_0036266131_2.gal.png?height=259&amp;width=194;https://bilder.dasschnelle.at/DasSchnelle/50/5000/9921/042603/I_042603_P_906240410_B_0036266131_3.gal.png?height=310&amp;width=466;https://bilder.dasschnelle.at/DasSchnelle/50/5000/9921/042603/I_042603_P_906240410_B_0036266131_4.gal.png?height=679&amp;width=637</t>
  </si>
  <si>
    <t>Fick, Peter, Dr.med., Lungenfacharzt • St. Johann • Tirol</t>
  </si>
  <si>
    <t>Ärzte / Fachärzte f. Lungenkrankheiten • Fick, Peter, Dr.med., Speckbacherstraße 15 /1, St. Johann • Kontakt über aktuelle Telefonnummern ☎ und Adressen ⚑ mit Karte, Routing, Öffnungszeiten, Homepage, E-Mail, vCard und Firmendaten.</t>
  </si>
  <si>
    <t>Speckbacherstraße 15 /1</t>
  </si>
  <si>
    <t>47.5212132</t>
  </si>
  <si>
    <t>12.4273367</t>
  </si>
  <si>
    <t>+435352618200</t>
  </si>
  <si>
    <t>+4353526182013</t>
  </si>
  <si>
    <t>dr.fick@aon.at</t>
  </si>
  <si>
    <t>https://bilder.dasschnelle.at/DasSchnelle/50/5000/9896/046140/G_046140_P_906240418.adn.gif</t>
  </si>
  <si>
    <t>Schmid, Elisabeth, Naturkosmetik • Windischgarsten • Oberösterreich</t>
  </si>
  <si>
    <t>Kosmetik • Schmid, Elisabeth, Hauptstraße 11, Windischgarsten • Kontakt über aktuelle Telefonnummern ☎ und Adressen ⚑ mit Karte, Routing, Öffnungszeiten, Homepage, E-Mail, vCard und Firmendaten.</t>
  </si>
  <si>
    <t>47.7219900</t>
  </si>
  <si>
    <t>14.3284700</t>
  </si>
  <si>
    <t>+43756260440;+436643449400</t>
  </si>
  <si>
    <t>kontakt@naturundmehr.at</t>
  </si>
  <si>
    <t>https://bilder.dasschnelle.at/DasSchnelle/50/5000/9947/046100/G_046100_P_906240423.adn.gif</t>
  </si>
  <si>
    <t>Rieser, Sigrid, Wohnstudio • Windischgarsten • Oberösterreich</t>
  </si>
  <si>
    <t>Möbelhandel • Rieser, Sigrid, Hauptstraße 29, Windischgarsten • Kontakt über aktuelle Telefonnummern ☎ und Adressen ⚑ mit Karte, Routing, Öffnungszeiten, Homepage, E-Mail, vCard und Firmendaten.</t>
  </si>
  <si>
    <t>Hauptstraße 29</t>
  </si>
  <si>
    <t>47.72206</t>
  </si>
  <si>
    <t>14.32574</t>
  </si>
  <si>
    <t>+436506740854</t>
  </si>
  <si>
    <t>office@wohnstudio-rieser.at</t>
  </si>
  <si>
    <t>https://bilder.dasschnelle.at/DasSchnelle/50/5000/9947/046100/G_046100_P_906240426.adn.gif</t>
  </si>
  <si>
    <t>Perner, Adolf, Bestattungsunternehmen • Windischgarsten • Oberösterreich</t>
  </si>
  <si>
    <t>Bestattungsunternehmen • Perner, Adolf, Bühelstraße 1, Windischgarsten • Kontakt über aktuelle Telefonnummern ☎ und Adressen ⚑ mit Karte, Routing, Öffnungszeiten, Homepage, E-Mail, vCard und Firmendaten.</t>
  </si>
  <si>
    <t>Bühelstraße 1</t>
  </si>
  <si>
    <t>47.71929</t>
  </si>
  <si>
    <t>14.31429</t>
  </si>
  <si>
    <t>+4375628610;+436644432057</t>
  </si>
  <si>
    <t>https://bilder.dasschnelle.at/DasSchnelle/50/5000/9947/046100/G_046100_P_906240430.adn.gif</t>
  </si>
  <si>
    <t>Gössweiner, Josef, Baumeister • Spital am Pyhrn • Oberösterreich</t>
  </si>
  <si>
    <t>Baumeister • Gössweiner, Josef, Alpenhof 1, Spital am Pyhrn • Kontakt über aktuelle Telefonnummern ☎ und Adressen ⚑ mit Karte, Routing, Öffnungszeiten, Homepage, E-Mail, vCard und Firmendaten.</t>
  </si>
  <si>
    <t>Alpenhof 1</t>
  </si>
  <si>
    <t>47.65491</t>
  </si>
  <si>
    <t>14.33611</t>
  </si>
  <si>
    <t>+43756321805</t>
  </si>
  <si>
    <t>meisterbau@pptv.at</t>
  </si>
  <si>
    <t>https://bilder.dasschnelle.at/DasSchnelle/50/5000/9947/046095/G_046095_P_906240433.adn.gif</t>
  </si>
  <si>
    <t>SWOBODA-HEIZUNG-SANITÄR-PLANUNG eU • Oetz • Tirol</t>
  </si>
  <si>
    <t>Installationsunternehmen, Sanitäranlagen u. -einrichtungen • SWOBODA-HEIZUNG-SANITÄR-PLANUNG eU, Oberdorfgasse 3, Oetz • Kontakt über aktuelle Telefonnummern ☎ und Adressen ⚑ mit Karte, Routing, Öffnungszeiten, Homepage, E-Mail, vCard und Firmendaten.</t>
  </si>
  <si>
    <t>Oberdorfgasse 3</t>
  </si>
  <si>
    <t>47.20363</t>
  </si>
  <si>
    <t>10.89833</t>
  </si>
  <si>
    <t>+4352526681;+436641735302;+436643222747;+436643866905;+4369910155788;+4369912803200;+4369919616681</t>
  </si>
  <si>
    <t>swoboda-install@aon.at</t>
  </si>
  <si>
    <t>https://bilder.dasschnelle.at/DasSchnelle/50/5000/9894/045649/G_045649_P_906240447.adn.gif</t>
  </si>
  <si>
    <t>Kuess GesmbH, Bauunternehmen • Griffen • Kärnten</t>
  </si>
  <si>
    <t>Bauunternehmen • Kuess GesmbH, Bambergerweg 10, Griffen • Kontakt über aktuelle Telefonnummern ☎ und Adressen ⚑ mit Karte, Routing, Öffnungszeiten, Homepage, E-Mail, vCard und Firmendaten.</t>
  </si>
  <si>
    <t>Bambergerweg 10</t>
  </si>
  <si>
    <t>46.7</t>
  </si>
  <si>
    <t>14.72652</t>
  </si>
  <si>
    <t>+4342332969</t>
  </si>
  <si>
    <t>kuess.baugesmbh@aon.at</t>
  </si>
  <si>
    <t>https://bilder.dasschnelle.at/DasSchnelle/50/5000/9942/042032/G_042032_P_906241142.adn.gif</t>
  </si>
  <si>
    <t>Scheidle, D., Dr.med., FÄ f. Zahn-, Mund- u. Kieferheilk. • Reutte • Tirol</t>
  </si>
  <si>
    <t>Ärzte / Fachärzte f. Zahn-, Mund u. Kieferheilkunde • Scheidle, D., Dr.med., Lindenstraße 25, Reutte • Kontakt über aktuelle Telefonnummern ☎ und Adressen ⚑ mit Karte, Routing, Öffnungszeiten, Homepage, E-Mail, vCard und Firmendaten.</t>
  </si>
  <si>
    <t>Lindenstraße 25</t>
  </si>
  <si>
    <t>47.48785</t>
  </si>
  <si>
    <t>10.71312</t>
  </si>
  <si>
    <t>+43567264004</t>
  </si>
  <si>
    <t>info@dr-scheidle.at</t>
  </si>
  <si>
    <t>https://bilder.dasschnelle.at/DasSchnelle/50/5000/9921/042603/G_042603_P_906241143.adn.gif</t>
  </si>
  <si>
    <t>Jaudl, Harald, Dr.med.univ., Zahnarzt • Kirchdorf in Tirol • Tirol</t>
  </si>
  <si>
    <t>Ärzte / Zahnärzte • Jaudl, Harald, Dr.med.univ., Dorfplatz 15, Kirchdorf in Tirol • Kontakt über aktuelle Telefonnummern ☎ und Adressen ⚑ mit Karte, Routing, Öffnungszeiten, Homepage, E-Mail, vCard und Firmendaten.</t>
  </si>
  <si>
    <t>Dorfplatz 15</t>
  </si>
  <si>
    <t>6382</t>
  </si>
  <si>
    <t>Kirchdorf in Tirol</t>
  </si>
  <si>
    <t>47.5576933</t>
  </si>
  <si>
    <t>12.4477083</t>
  </si>
  <si>
    <t>+43535265868</t>
  </si>
  <si>
    <t>dr.jaudl@medway.at</t>
  </si>
  <si>
    <t>https://bilder.dasschnelle.at/DasSchnelle/50/5000/9896/046134/G_046134_P_906241145.adn.gif</t>
  </si>
  <si>
    <t>Steinmetz Neumayr • Oberndorf in Tirol • Tirol</t>
  </si>
  <si>
    <t>Steinmetzbetriebe • Steinmetz Neumayr, Josef-Hager-Straße 3, Oberndorf in Tirol • Kontakt über aktuelle Telefonnummern ☎ und Adressen ⚑ mit Karte, Routing, Öffnungszeiten, Homepage, E-Mail, vCard und Firmendaten.</t>
  </si>
  <si>
    <t>Josef-Hager-Straße 3</t>
  </si>
  <si>
    <t>6372</t>
  </si>
  <si>
    <t>Oberndorf in Tirol</t>
  </si>
  <si>
    <t>12.39198</t>
  </si>
  <si>
    <t>+43535267233;+4369911492259</t>
  </si>
  <si>
    <t>+435352672334</t>
  </si>
  <si>
    <t>spezialist@steinmetz.tirol</t>
  </si>
  <si>
    <t>https://bilder.dasschnelle.at/DasSchnelle/50/5000/9896/046137/G_046137_P_906241146.adn.gif</t>
  </si>
  <si>
    <t>Prokop, Ludwig, Dr., FA f Psychiatrie u Neurologie • Reutte • Tirol</t>
  </si>
  <si>
    <t>Ärzte / Fachärzte f. Neurologie u. Psychiatrie • Prokop, Ludwig, Dr., Mühler Straße 13, Reutte • Kontakt über aktuelle Telefonnummern ☎ und Adressen ⚑ mit Karte, Routing, Öffnungszeiten, Homepage, E-Mail, vCard und Firmendaten.</t>
  </si>
  <si>
    <t>Mühler Straße 13</t>
  </si>
  <si>
    <t>47.49132</t>
  </si>
  <si>
    <t>10.72082</t>
  </si>
  <si>
    <t>+435672721460</t>
  </si>
  <si>
    <t>l.prokop@medway.at</t>
  </si>
  <si>
    <t>https://bilder.dasschnelle.at/DasSchnelle/50/5000/9921/042603/I_042603_P_906242077_L_0036263827_1.png</t>
  </si>
  <si>
    <t>https://bilder.dasschnelle.at/DasSchnelle/50/5000/9921/042603/I_042603_P_906242077_B_0036263827_1.gal.png?height=171&amp;width=600;https://bilder.dasschnelle.at/DasSchnelle/50/5000/9921/042603/I_042603_P_906242077_B_0036263827_2.gal.png?height=395&amp;width=600;https://bilder.dasschnelle.at/DasSchnelle/50/5000/9921/042603/I_042603_P_906242077_B_0036263827_3.gal.png?height=400&amp;width=600</t>
  </si>
  <si>
    <t>Capellari Haustechnik GesmbH &amp; Co KG • Kitzbühel • Tirol</t>
  </si>
  <si>
    <t>Haustechnik • Capellari Haustechnik GesmbH &amp; Co KG, Ehrenbachgasse 5, Kitzbühel • Kontakt über aktuelle Telefonnummern ☎ und Adressen ⚑ mit Karte, Routing, Öffnungszeiten, Homepage, E-Mail, vCard und Firmendaten.</t>
  </si>
  <si>
    <t>Ehrenbachgasse 5</t>
  </si>
  <si>
    <t>47.44366</t>
  </si>
  <si>
    <t>12.39562</t>
  </si>
  <si>
    <t>+435356642560;+436641021152</t>
  </si>
  <si>
    <t>+43535671764</t>
  </si>
  <si>
    <t>office@capellari.at</t>
  </si>
  <si>
    <t>https://bilder.dasschnelle.at/DasSchnelle/50/5000/9896/046135/G_046135_P_906242083.adn.gif</t>
  </si>
  <si>
    <t>FH Installationen GmbH • Perwang am Grabensee • Oberösterreich</t>
  </si>
  <si>
    <t>Installationsunternehmen • FH Installationen GmbH, Gumperding 21, Perwang am Grabensee • Kontakt über aktuelle Telefonnummern ☎ und Adressen ⚑ mit Karte, Routing, Öffnungszeiten, Homepage, E-Mail, vCard und Firmendaten.</t>
  </si>
  <si>
    <t>Gumperding 21</t>
  </si>
  <si>
    <t>48.0307937</t>
  </si>
  <si>
    <t>13.0619389</t>
  </si>
  <si>
    <t>+43627420403</t>
  </si>
  <si>
    <t>info@fh-installationen.at</t>
  </si>
  <si>
    <t>https://bilder.dasschnelle.at/DasSchnelle/50/5000/9931/044786/G_044786_P_906240388.adn.gif</t>
  </si>
  <si>
    <t>Trockenbau Leymüller GmbH • Mattsee • Salzburg</t>
  </si>
  <si>
    <t>Trockenausbau • Trockenbau Leymüller GmbH, Mundenham 78, Mattsee • Kontakt über aktuelle Telefonnummern ☎ und Adressen ⚑ mit Karte, Routing, Öffnungszeiten, Homepage, E-Mail, vCard und Firmendaten.</t>
  </si>
  <si>
    <t>Mundenham 78</t>
  </si>
  <si>
    <t>48.0093267</t>
  </si>
  <si>
    <t>13.1251437</t>
  </si>
  <si>
    <t>+436642031555</t>
  </si>
  <si>
    <t>office@trockenbau-leymueller.at</t>
  </si>
  <si>
    <t>https://bilder.dasschnelle.at/DasSchnelle/50/5000/9935/043329/I_043329_P_906240390_L_0036891789_1.png</t>
  </si>
  <si>
    <t>https://bilder.dasschnelle.at/DasSchnelle/50/5000/9935/043329/I_043329_P_906240390_B_0036891789_1.gal.png?height=600&amp;width=600;https://bilder.dasschnelle.at/DasSchnelle/50/5000/9935/043329/I_043329_P_906240390_B_0036891789_2.gal.png?height=600&amp;width=600;https://bilder.dasschnelle.at/DasSchnelle/50/5000/9935/043329/I_043329_P_906240390_B_0036891789_3.gal.png?height=600&amp;width=600;https://bilder.dasschnelle.at/DasSchnelle/50/5000/9935/043329/I_043329_P_906240390_B_0036891789_4.gal.png?height=600&amp;width=600</t>
  </si>
  <si>
    <t>Kornprobst Bosch Service Ges.mb.H. &amp; Co KG, Autoelektrik u -ersatzteile • Straßwalchen • Salzburg</t>
  </si>
  <si>
    <t>Autoelektrik u. -ersatzteile • Kornprobst Bosch Service Ges.mb.H. &amp; Co KG, Salzburgerstraße 29, Straßwalchen • Kontakt über aktuelle Telefonnummern ☎ und Adressen ⚑ mit Karte, Routing, Öffnungszeiten, Homepage, E-Mail, vCard und Firmendaten.</t>
  </si>
  <si>
    <t>Salzburgerstraße 29</t>
  </si>
  <si>
    <t>47.97213</t>
  </si>
  <si>
    <t>13.25098</t>
  </si>
  <si>
    <t>+43621560730</t>
  </si>
  <si>
    <t>office.kfz@kornprobst.at</t>
  </si>
  <si>
    <t>https://bilder.dasschnelle.at/DasSchnelle/50/5000/9935/043329/I_043329_P_906240392_L_0036420717_1.png</t>
  </si>
  <si>
    <t>https://bilder.dasschnelle.at/DasSchnelle/50/5000/9935/043329/I_043329_P_906240392_B_0036420717_1.gal.png?height=285&amp;width=360;https://bilder.dasschnelle.at/DasSchnelle/50/5000/9935/043329/I_043329_P_906240392_B_0036420717_2.gal.png?height=159&amp;width=254;https://bilder.dasschnelle.at/DasSchnelle/50/5000/9935/043329/I_043329_P_906240392_B_0036420717_3.gal.png?height=159&amp;width=254;https://bilder.dasschnelle.at/DasSchnelle/50/5000/9935/043329/I_043329_P_906240392_B_0036420717_4.gal.png?height=159&amp;width=254</t>
  </si>
  <si>
    <t>BRE Installationen Buchner-Raidel-Enzinger GesmbH, Installationsunternehmen • Straßwalchen • Salzburg</t>
  </si>
  <si>
    <t>Installationsunternehmen • BRE Installationen Buchner-Raidel-Enzinger GesmbH, Mondseerstraße 1, Straßwalchen • Kontakt über aktuelle Telefonnummern ☎ und Adressen ⚑ mit Karte, Routing, Öffnungszeiten, Homepage, E-Mail, vCard und Firmendaten.</t>
  </si>
  <si>
    <t>Mondseerstraße 1</t>
  </si>
  <si>
    <t>47.97708</t>
  </si>
  <si>
    <t>13.25359</t>
  </si>
  <si>
    <t>+43621582150</t>
  </si>
  <si>
    <t>office@bre.at</t>
  </si>
  <si>
    <t>https://bilder.dasschnelle.at/DasSchnelle/50/5000/9935/043329/I_043329_P_906240394_L_0036421050_1.png</t>
  </si>
  <si>
    <t>https://bilder.dasschnelle.at/DasSchnelle/50/5000/9935/043329/I_043329_P_906240394_B_0036421050_1.gal.png?height=450&amp;width=600;https://bilder.dasschnelle.at/DasSchnelle/50/5000/9935/043329/I_043329_P_906240394_B_0036421050_2.gal.png?height=450&amp;width=600;https://bilder.dasschnelle.at/DasSchnelle/50/5000/9935/043329/I_043329_P_906240394_B_0036421050_3.gal.png?height=450&amp;width=600;https://bilder.dasschnelle.at/DasSchnelle/50/5000/9935/043329/I_043329_P_906240394_B_0036421050_4.gal.png?height=450&amp;width=600</t>
  </si>
  <si>
    <t>AUTOHAUS SCHREMS GmbH • Straßwalchen • Salzburg</t>
  </si>
  <si>
    <t>Autoreparaturen, Kfz-Werkstätte • AUTOHAUS SCHREMS GmbH, Pfenninglanden 8, Straßwalchen • Kontakt über aktuelle Telefonnummern ☎ und Adressen ⚑ mit Karte, Routing, Öffnungszeiten, Homepage, E-Mail, vCard und Firmendaten.</t>
  </si>
  <si>
    <t>Pfenninglanden 8</t>
  </si>
  <si>
    <t>47.9892997</t>
  </si>
  <si>
    <t>13.2870622</t>
  </si>
  <si>
    <t>+43621584160;+436649204747</t>
  </si>
  <si>
    <t>office@schrems.cc</t>
  </si>
  <si>
    <t>https://bilder.dasschnelle.at/DasSchnelle/50/5000/9935/043329/I_043329_P_906240398_L_0036263811_1.png</t>
  </si>
  <si>
    <t>https://bilder.dasschnelle.at/DasSchnelle/50/5000/9935/043329/I_043329_P_906240398_B_0036263811_1.gal.png?height=568&amp;width=720;https://bilder.dasschnelle.at/DasSchnelle/50/5000/9935/043329/I_043329_P_906240398_B_0036263811_2.gal.png?height=293&amp;width=720;https://bilder.dasschnelle.at/DasSchnelle/50/5000/9935/043329/I_043329_P_906240398_B_0036263811_3.gal.png?height=293&amp;width=720</t>
  </si>
  <si>
    <t>Söllinger GesmbH, Hobel- u Sägewerk • Straßwalchen • Salzburg</t>
  </si>
  <si>
    <t>Säge- u. Hobelwerke • Söllinger GesmbH, Staudenweg 37, Straßwalchen • Kontakt über aktuelle Telefonnummern ☎ und Adressen ⚑ mit Karte, Routing, Öffnungszeiten, Homepage, E-Mail, vCard und Firmendaten.</t>
  </si>
  <si>
    <t>Staudenweg 37</t>
  </si>
  <si>
    <t>47.97513</t>
  </si>
  <si>
    <t>13.26599</t>
  </si>
  <si>
    <t>+43621582280;+43621580123</t>
  </si>
  <si>
    <t>saegewerk.soellinger@aon.at</t>
  </si>
  <si>
    <t>https://bilder.dasschnelle.at/DasSchnelle/50/5000/9935/043329/G_043329_P_906240478.adn.gif</t>
  </si>
  <si>
    <t>Estherm Wasser- u Brandschadensanierung GesmbH • Neumarkt am Wallersee • Salzburg</t>
  </si>
  <si>
    <t>Brandschadensanierung • Estherm Wasser- u Brandschadensanierung GesmbH, Pfongauer Straße 75, Neumarkt am Wallersee • Kontakt über aktuelle Telefonnummern ☎ und Adressen ⚑ mit Karte, Routing, Öffnungszeiten, Homepage, E-Mail, vCard und Firmendaten.</t>
  </si>
  <si>
    <t>Pfongauer Straße 75</t>
  </si>
  <si>
    <t>47.95383</t>
  </si>
  <si>
    <t>13.24739</t>
  </si>
  <si>
    <t>+43621651750</t>
  </si>
  <si>
    <t>office@estherm.at</t>
  </si>
  <si>
    <t>https://bilder.dasschnelle.at/DasSchnelle/50/5000/9935/043320/G_043320_P_906240481.adn.gif</t>
  </si>
  <si>
    <t>Prader Farben GesmbH. • St. Johann • Tirol</t>
  </si>
  <si>
    <t>Bodenverlegung, Farben u. Lacke • Prader Farben GesmbH., Innsbrucker Straße 16, St. Johann • Kontakt über aktuelle Telefonnummern ☎ und Adressen ⚑ mit Karte, Routing, Öffnungszeiten, Homepage, E-Mail, vCard und Firmendaten.</t>
  </si>
  <si>
    <t>Innsbrucker Straße 16</t>
  </si>
  <si>
    <t>47.5240032</t>
  </si>
  <si>
    <t>12.4171451</t>
  </si>
  <si>
    <t>+43535262676</t>
  </si>
  <si>
    <t>farben.prader@aon.at</t>
  </si>
  <si>
    <t>https://bilder.dasschnelle.at/DasSchnelle/50/5000/9896/046140/G_046140_P_906241224.adn.gif</t>
  </si>
  <si>
    <t>Egger Bau- u Kunstschlosserei GmbH &amp; Co KG • Kitzbühel • Tirol</t>
  </si>
  <si>
    <t>Kunstschlossereien • Egger Bau- u Kunstschlosserei GmbH &amp; Co KG, Jochberger Straße 145, Kitzbühel • Kontakt über aktuelle Telefonnummern ☎ und Adressen ⚑ mit Karte, Routing, Öffnungszeiten, Homepage, E-Mail, vCard und Firmendaten.</t>
  </si>
  <si>
    <t>Jochberger Straße 145</t>
  </si>
  <si>
    <t>47.43186</t>
  </si>
  <si>
    <t>12.40846</t>
  </si>
  <si>
    <t>+43535663312</t>
  </si>
  <si>
    <t>schlosserei.egger@kitz.net</t>
  </si>
  <si>
    <t>https://bilder.dasschnelle.at/DasSchnelle/50/5000/9896/046135/G_046135_P_906241327.adn.gif</t>
  </si>
  <si>
    <t>Aigner, Gerhard, Optik • Windischgarsten • Oberösterreich</t>
  </si>
  <si>
    <t>Optik • Aigner, Gerhard, Hauptstraße 33 A, Windischgarsten • Kontakt über aktuelle Telefonnummern ☎ und Adressen ⚑ mit Karte, Routing, Öffnungszeiten, Homepage, E-Mail, vCard und Firmendaten.</t>
  </si>
  <si>
    <t>Hauptstraße 33 A</t>
  </si>
  <si>
    <t>47.7220951</t>
  </si>
  <si>
    <t>14.3259201</t>
  </si>
  <si>
    <t>+43756255190</t>
  </si>
  <si>
    <t>aigner-optik@a1.net</t>
  </si>
  <si>
    <t>https://bilder.dasschnelle.at/DasSchnelle/50/5000/9947/046100/G_046100_P_906241330.adn.gif</t>
  </si>
  <si>
    <t>Zemsauer e.U., Autohaus • Roßleithen • Oberösterreich</t>
  </si>
  <si>
    <t>Autohandel • Zemsauer e.U., Schweizersberg 150, Roßleithen • Kontakt über aktuelle Telefonnummern ☎ und Adressen ⚑ mit Karte, Routing, Öffnungszeiten, Homepage, E-Mail, vCard und Firmendaten.</t>
  </si>
  <si>
    <t>Schweizersberg 150</t>
  </si>
  <si>
    <t>47.7113412</t>
  </si>
  <si>
    <t>14.2903653</t>
  </si>
  <si>
    <t>+43756275090</t>
  </si>
  <si>
    <t>office@renault-online.at</t>
  </si>
  <si>
    <t>https://bilder.dasschnelle.at/DasSchnelle/50/5000/9947/046092/G_046092_P_906241332.adn.gif</t>
  </si>
  <si>
    <t>Auto B. Frischmann GmbH • Umhausen • Tirol</t>
  </si>
  <si>
    <t>Autohandel • Auto B. Frischmann GmbH, Farchat 2, Umhausen • Kontakt über aktuelle Telefonnummern ☎ und Adressen ⚑ mit Karte, Routing, Öffnungszeiten, Homepage, E-Mail, vCard und Firmendaten.</t>
  </si>
  <si>
    <t>Farchat 2</t>
  </si>
  <si>
    <t>47.14537</t>
  </si>
  <si>
    <t>+43525552440</t>
  </si>
  <si>
    <t>info@auto-abf.com</t>
  </si>
  <si>
    <t>https://bilder.dasschnelle.at/DasSchnelle/50/5000/9894/045658/G_045658_P_906241335.adn.gif</t>
  </si>
  <si>
    <t>Dr. Theresa Kapral MSc, Zahnarzt • 3500 • Niederösterreich</t>
  </si>
  <si>
    <t>Ärzte / Fachärzte f. Zahn-, Mund u. Kieferheilkunde • Dr. Theresa Kapral MSc, Johann Nalepkagasse 2/2/, 3500 • Kontakt über aktuelle Telefonnummern ☎ und Adressen ⚑ mit Karte, Routing, Öffnungszeiten, Homepage, E-Mail, vCard und Firmendaten.</t>
  </si>
  <si>
    <t>Johann Nalepkagasse 2/2/</t>
  </si>
  <si>
    <t>48.4133647</t>
  </si>
  <si>
    <t>15.6057168</t>
  </si>
  <si>
    <t>+43273283447</t>
  </si>
  <si>
    <t>dr.kapral@medway.at</t>
  </si>
  <si>
    <t>https://bilder.dasschnelle.at/DasSchnelle/50/5000/9899/042057/G_042057_P_906241336.adn.gif</t>
  </si>
  <si>
    <t>Denk, Hans Peter, Installationen • Straßwalchen • Salzburg</t>
  </si>
  <si>
    <t>Installationsunternehmen • Denk, Hans Peter, Aigelsbrunn 33, Straßwalchen • Kontakt über aktuelle Telefonnummern ☎ und Adressen ⚑ mit Karte, Routing, Öffnungszeiten, Homepage, E-Mail, vCard und Firmendaten.</t>
  </si>
  <si>
    <t>Aigelsbrunn 33</t>
  </si>
  <si>
    <t>47.9903841</t>
  </si>
  <si>
    <t>13.3068907</t>
  </si>
  <si>
    <t>+436644283900;+436644240569;+436644283900</t>
  </si>
  <si>
    <t>office@denk-installationen.at</t>
  </si>
  <si>
    <t>https://bilder.dasschnelle.at/DasSchnelle/50/5000/9935/043329/I_043329_P_906241379_L_0035994066_1.png</t>
  </si>
  <si>
    <t>https://bilder.dasschnelle.at/DasSchnelle/50/5000/9935/043329/I_043329_P_906241379_B_0035994066_1.gal.png?height=536&amp;width=803;https://bilder.dasschnelle.at/DasSchnelle/50/5000/9935/043329/I_043329_P_906241379_B_0035994066_2.gal.png?height=479&amp;width=720;https://bilder.dasschnelle.at/DasSchnelle/50/5000/9935/043329/I_043329_P_906241379_B_0035994066_3.gal.png?height=545&amp;width=720;https://bilder.dasschnelle.at/DasSchnelle/50/5000/9935/043329/I_043329_P_906241379_B_0035994066_4.gal.png?height=701&amp;width=570</t>
  </si>
  <si>
    <t>KFZ - TAFI • Wiener Neustadt • Niederösterreich</t>
  </si>
  <si>
    <t>Autowerkstätten, Autohäuser • KFZ - TAFI, Hardlgasse 1, Wiener Neustadt • Kontakt über aktuelle Telefonnummern ☎ und Adressen ⚑ mit Karte, Routing, Öffnungszeiten, Homepage, E-Mail, vCard und Firmendaten.</t>
  </si>
  <si>
    <t>Hardlgasse 1</t>
  </si>
  <si>
    <t>47.8003809</t>
  </si>
  <si>
    <t>16.2311705</t>
  </si>
  <si>
    <t>+43262222549</t>
  </si>
  <si>
    <t>info@kfz-tafi.at</t>
  </si>
  <si>
    <t>https://bilder.dasschnelle.at/DasSchnelle/50/5000/9946/042060/G_042060_P_906242052.adn.gif</t>
  </si>
  <si>
    <t>Ing. Daniel Dinhopl GmbH, Gas - Wasser - Heizung • Wiener Neustadt • Niederösterreich</t>
  </si>
  <si>
    <t>Heizung u. Sanitär • Ing. Daniel Dinhopl GmbH, Plankengasse 6, Wiener Neustadt • Kontakt über aktuelle Telefonnummern ☎ und Adressen ⚑ mit Karte, Routing, Öffnungszeiten, Homepage, E-Mail, vCard und Firmendaten.</t>
  </si>
  <si>
    <t>Plankengasse 6</t>
  </si>
  <si>
    <t>47.8161392</t>
  </si>
  <si>
    <t>16.2504583</t>
  </si>
  <si>
    <t>+432622233930</t>
  </si>
  <si>
    <t>office@dinhopl.at</t>
  </si>
  <si>
    <t>https://bilder.dasschnelle.at/DasSchnelle/50/5000/9946/042060/G_042060_P_906242054.adn.gif</t>
  </si>
  <si>
    <t>Pölzleitner, Michael, Holzbau Koasa • Straßwalchen • Salzburg</t>
  </si>
  <si>
    <t>Holzbau • Pölzleitner, Michael, Kaiserpointweg 6 A, Straßwalchen • Kontakt über aktuelle Telefonnummern ☎ und Adressen ⚑ mit Karte, Routing, Öffnungszeiten, Homepage, E-Mail, vCard und Firmendaten.</t>
  </si>
  <si>
    <t>Kaiserpointweg 6 A</t>
  </si>
  <si>
    <t>47.97426</t>
  </si>
  <si>
    <t>13.26889</t>
  </si>
  <si>
    <t>+436648943308</t>
  </si>
  <si>
    <t>office@holzbau-koasa.at</t>
  </si>
  <si>
    <t>https://bilder.dasschnelle.at/DasSchnelle/50/5000/9935/043329/I_043329_P_906242056_L_0036420945_1.png</t>
  </si>
  <si>
    <t>https://bilder.dasschnelle.at/DasSchnelle/50/5000/9935/043329/I_043329_P_906242056_B_0036420945_1.gal.png?height=450&amp;width=600;https://bilder.dasschnelle.at/DasSchnelle/50/5000/9935/043329/I_043329_P_906242056_B_0036420945_2.gal.png?height=667&amp;width=888;https://bilder.dasschnelle.at/DasSchnelle/50/5000/9935/043329/I_043329_P_906242056_B_0036420945_3.gal.png?height=600&amp;width=798</t>
  </si>
  <si>
    <t>Kern, Reinhard, Dr., Notar • Völkermarkt • Kärnten</t>
  </si>
  <si>
    <t>Notare • Kern, Reinhard, Dr., Hauptplatz 17, Völkermarkt • Kontakt über aktuelle Telefonnummern ☎ und Adressen ⚑ mit Karte, Routing, Öffnungszeiten, Homepage, E-Mail, vCard und Firmendaten.</t>
  </si>
  <si>
    <t>46.65851</t>
  </si>
  <si>
    <t>14.63355</t>
  </si>
  <si>
    <t>+4342322237</t>
  </si>
  <si>
    <t>office@notar-kern.at</t>
  </si>
  <si>
    <t>https://bilder.dasschnelle.at/DasSchnelle/50/5000/9942/042037/G_042037_P_906240313.adn.gif</t>
  </si>
  <si>
    <t>Gebrüder Vietz OG, Tischlerei • Friedburg • Oberösterreich</t>
  </si>
  <si>
    <t>Tischlereien • Gebrüder Vietz OG, Mittererb 26, Friedburg • Kontakt über aktuelle Telefonnummern ☎ und Adressen ⚑ mit Karte, Routing, Öffnungszeiten, Homepage, E-Mail, vCard und Firmendaten.</t>
  </si>
  <si>
    <t>Mittererb 26</t>
  </si>
  <si>
    <t>48.0169825</t>
  </si>
  <si>
    <t>13.2628734</t>
  </si>
  <si>
    <t>+4377462311</t>
  </si>
  <si>
    <t>+43774623114</t>
  </si>
  <si>
    <t>office@tischlerei-vietz.at</t>
  </si>
  <si>
    <t>https://bilder.dasschnelle.at/DasSchnelle/50/5000/9935/044774/G_044774_P_906241241.adn.gif</t>
  </si>
  <si>
    <t>BSE Betonbohr- und Sägedienst GmbH, Betonbohrungen • Obertrum am See • Salzburg</t>
  </si>
  <si>
    <t>Betonbohr- u. -schneidedienst • BSE Betonbohr- und Sägedienst GmbH, Köllern 3, Obertrum am See • Kontakt über aktuelle Telefonnummern ☎ und Adressen ⚑ mit Karte, Routing, Öffnungszeiten, Homepage, E-Mail, vCard und Firmendaten.</t>
  </si>
  <si>
    <t>Köllern 3</t>
  </si>
  <si>
    <t>47.9210465</t>
  </si>
  <si>
    <t>13.0794886</t>
  </si>
  <si>
    <t>+436504003052</t>
  </si>
  <si>
    <t>office@bseder.at</t>
  </si>
  <si>
    <t>https://bilder.dasschnelle.at/DasSchnelle/50/5000/9931/043323/I_043323_P_906241244_L_0036261534_1.png</t>
  </si>
  <si>
    <t>https://bilder.dasschnelle.at/DasSchnelle/50/5000/9931/043323/I_043323_P_906241244_B_0036261534_1.gal.png?height=273&amp;width=410;https://bilder.dasschnelle.at/DasSchnelle/50/5000/9931/043323/I_043323_P_906241244_B_0036261534_2.gal.png?height=194&amp;width=259;https://bilder.dasschnelle.at/DasSchnelle/50/5000/9931/043323/I_043323_P_906241244_B_0036261534_3.gal.png?height=538&amp;width=720;https://bilder.dasschnelle.at/DasSchnelle/50/5000/9931/043323/I_043323_P_906241244_B_0036261534_4.gal.png?height=527&amp;width=720</t>
  </si>
  <si>
    <t>Wutschka GesmbH, Sanitätshaus • St. Pölten • Niederösterreich</t>
  </si>
  <si>
    <t>Orthopädietechnik, Sanitätshäuser • Wutschka GesmbH, Kremser Landstraße 21, St. Pölten • Kontakt über aktuelle Telefonnummern ☎ und Adressen ⚑ mit Karte, Routing, Öffnungszeiten, Homepage, E-Mail, vCard und Firmendaten.</t>
  </si>
  <si>
    <t>Kremser Landstraße 21</t>
  </si>
  <si>
    <t>48.2114675</t>
  </si>
  <si>
    <t>15.6250186</t>
  </si>
  <si>
    <t>+4327423656560</t>
  </si>
  <si>
    <t>office@wutschka.at</t>
  </si>
  <si>
    <t>https://bilder.dasschnelle.at/DasSchnelle/50/5000/9908/041635/G_041635_P_906241246.adn.gif</t>
  </si>
  <si>
    <t>Apotheke Lebensfreude Mag. Groh KG • Pöchlarn • Niederösterreich</t>
  </si>
  <si>
    <t>Apotheken • Apotheke Lebensfreude Mag. Groh KG, Manker Straße 48, Pöchlarn • Kontakt über aktuelle Telefonnummern ☎ und Adressen ⚑ mit Karte, Routing, Öffnungszeiten, Homepage, E-Mail, vCard und Firmendaten.</t>
  </si>
  <si>
    <t>Manker Straße 48</t>
  </si>
  <si>
    <t>48.20687</t>
  </si>
  <si>
    <t>15.21561</t>
  </si>
  <si>
    <t>+43275720591</t>
  </si>
  <si>
    <t>office@apotheke-lebensfreude.at</t>
  </si>
  <si>
    <t>https://bilder.dasschnelle.at/DasSchnelle/50/5000/9908/041635/G_041635_P_906241356.adn.gif</t>
  </si>
  <si>
    <t>MA-CH Haustechnik GmbH • Griffen • Kärnten</t>
  </si>
  <si>
    <t>Installationsunternehmen • MA-CH Haustechnik GmbH, Alte Hauptstraße 28, Griffen • Kontakt über aktuelle Telefonnummern ☎ und Adressen ⚑ mit Karte, Routing, Öffnungszeiten, Homepage, E-Mail, vCard und Firmendaten.</t>
  </si>
  <si>
    <t>Alte Hauptstraße 28</t>
  </si>
  <si>
    <t>46.70676</t>
  </si>
  <si>
    <t>14.73201</t>
  </si>
  <si>
    <t>+4342332184</t>
  </si>
  <si>
    <t>+43423321844</t>
  </si>
  <si>
    <t>office@mach-gmbh.at</t>
  </si>
  <si>
    <t>https://bilder.dasschnelle.at/DasSchnelle/50/5000/9942/042032/G_042032_P_906241373.adn.gif</t>
  </si>
  <si>
    <t>RWS INNOVATIVE SANIERUNGSSYSTEME GMBH, Sanierung • Hallein • Salzburg</t>
  </si>
  <si>
    <t>Bauunternehmen • RWS INNOVATIVE SANIERUNGSSYSTEME GMBH, Kalkofenweg 9, Hallein • Kontakt über aktuelle Telefonnummern ☎ und Adressen ⚑ mit Karte, Routing, Öffnungszeiten, Homepage, E-Mail, vCard und Firmendaten.</t>
  </si>
  <si>
    <t>Kalkofenweg 9</t>
  </si>
  <si>
    <t>47.67119</t>
  </si>
  <si>
    <t>13.10889</t>
  </si>
  <si>
    <t>+43624581560</t>
  </si>
  <si>
    <t>office@rws-hallein.at</t>
  </si>
  <si>
    <t>https://bilder.dasschnelle.at/DasSchnelle/50/5000/9889/043591/G_043591_P_906241986.adn.gif</t>
  </si>
  <si>
    <t>Leithner, Christian, Dr.med., FA f Zahn-, Mund- u Kieferheilkunde • Windischgarsten • Oberösterreich</t>
  </si>
  <si>
    <t>Ärzte / Fachärzte f. Zahn-, Mund u. Kieferheilkunde • Leithner, Christian, Dr.med., Wehrstraße 3, Windischgarsten • Kontakt über aktuelle Telefonnummern ☎ und Adressen ⚑ mit Karte, Routing, Öffnungszeiten, Homepage, E-Mail, vCard und Firmendaten.</t>
  </si>
  <si>
    <t>+4375625242</t>
  </si>
  <si>
    <t>e.leithner@gmx.at</t>
  </si>
  <si>
    <t>https://bilder.dasschnelle.at/DasSchnelle/50/5000/9947/046100/G_046100_P_906241989.adn.gif</t>
  </si>
  <si>
    <t>Filzwieser's Berggasthaus GmbH SB-Rest Friedrichhütte, Gsth • Spital am Semmering • Steiermark</t>
  </si>
  <si>
    <t>Gastgewerbe - Gasthöfe • Filzwieser's Berggasthaus GmbH SB-Rest Friedrichhütte, Stuhleck 2, Spital am Semmering • Kontakt über aktuelle Telefonnummern ☎ und Adressen ⚑ mit Karte, Routing, Öffnungszeiten, Homepage, E-Mail, vCard und Firmendaten.</t>
  </si>
  <si>
    <t>Stuhleck 2</t>
  </si>
  <si>
    <t>47.6148224</t>
  </si>
  <si>
    <t>15.7509040</t>
  </si>
  <si>
    <t>+433853358</t>
  </si>
  <si>
    <t>info@friedrichhuette.at</t>
  </si>
  <si>
    <t>https://bilder.dasschnelle.at/DasSchnelle/50/5000/9911/045101/I_045101_P_906241991_L_0036256126_1.png</t>
  </si>
  <si>
    <t>https://bilder.dasschnelle.at/DasSchnelle/50/5000/9911/045101/I_045101_P_906241991_B_0036256126_1.gal.png?height=208&amp;width=600;https://bilder.dasschnelle.at/DasSchnelle/50/5000/9911/045101/I_045101_P_906241991_B_0036256126_2.gal.png?height=799&amp;width=1200;https://bilder.dasschnelle.at/DasSchnelle/50/5000/9911/045101/I_045101_P_906241991_B_0036256126_3.gal.png?height=199&amp;width=600;https://bilder.dasschnelle.at/DasSchnelle/50/5000/9911/045101/I_045101_P_906241991_B_0036256126_4.gal.png?height=479&amp;width=720</t>
  </si>
  <si>
    <t>Lienbacher Rupert Haustechnik • Abtenau • Salzburg</t>
  </si>
  <si>
    <t>Haustechnik • Lienbacher Rupert Haustechnik, Markt 137, Abtenau • Kontakt über aktuelle Telefonnummern ☎ und Adressen ⚑ mit Karte, Routing, Öffnungszeiten, Homepage, E-Mail, vCard und Firmendaten.</t>
  </si>
  <si>
    <t>Markt 137</t>
  </si>
  <si>
    <t>47.56641</t>
  </si>
  <si>
    <t>13.34458</t>
  </si>
  <si>
    <t>+4362433802</t>
  </si>
  <si>
    <t>haust.lienbacher@aon.at</t>
  </si>
  <si>
    <t>https://bilder.dasschnelle.at/DasSchnelle/50/5000/9889/043587/G_043587_P_906240578.adn.gif</t>
  </si>
  <si>
    <t>Priv. Doz. Dr. Alexander Heschl, Zahnarzt • Bad Ischl • Oberösterreich</t>
  </si>
  <si>
    <t>Ärzte / Fachärzte f. Zahn-, Mund u. Kieferheilkunde • Priv. Doz. Dr. Alexander Heschl, Kaiser-Franz-Josef-Straße 2, Bad Ischl • Kontakt über aktuelle Telefonnummern ☎ und Adressen ⚑ mit Karte, Routing, Öffnungszeiten, Homepage, E-Mail, vCard und Firmendaten.</t>
  </si>
  <si>
    <t>Kaiser-Franz-Josef-Straße 2</t>
  </si>
  <si>
    <t>47.71213</t>
  </si>
  <si>
    <t>13.62403</t>
  </si>
  <si>
    <t>+43613224526</t>
  </si>
  <si>
    <t>https://bilder.dasschnelle.at/DasSchnelle/50/5000/9868/041790/G_041790_P_906242103.adn.gif</t>
  </si>
  <si>
    <t>Härting, Johannes, Dr., Tierarzt • Reutte • Tirol</t>
  </si>
  <si>
    <t>Tierärzte • Härting, Johannes, Dr., Augasse 9, Reutte • Kontakt über aktuelle Telefonnummern ☎ und Adressen ⚑ mit Karte, Routing, Öffnungszeiten, Homepage, E-Mail, vCard und Firmendaten.</t>
  </si>
  <si>
    <t>Augasse 9</t>
  </si>
  <si>
    <t>47.4945790</t>
  </si>
  <si>
    <t>10.7175166</t>
  </si>
  <si>
    <t>+436766006009</t>
  </si>
  <si>
    <t>hannes@haustierarzt.at</t>
  </si>
  <si>
    <t>https://bilder.dasschnelle.at/DasSchnelle/50/5000/9921/042603/I_042603_P_906243446_B_0036261711_1.gal.png?height=284&amp;width=397;https://bilder.dasschnelle.at/DasSchnelle/50/5000/9921/042603/I_042603_P_906243446_B_0036261711_2.gal.png?height=545&amp;width=817;https://bilder.dasschnelle.at/DasSchnelle/50/5000/9921/042603/I_042603_P_906243446_B_0036261711_3.gal.png?height=299&amp;width=449;https://bilder.dasschnelle.at/DasSchnelle/50/5000/9921/042603/I_042603_P_906243446_B_0036261711_4.gal.png?height=265&amp;width=397</t>
  </si>
  <si>
    <t>Ziehesberger, Peter, Elektronik • Neuhofen an der Krems • Oberösterreich</t>
  </si>
  <si>
    <t>Elektronik • Ziehesberger, Peter, Mühlnerfeldstraße 9, Neuhofen an der Krems • Kontakt über aktuelle Telefonnummern ☎ und Adressen ⚑ mit Karte, Routing, Öffnungszeiten, Homepage, E-Mail, vCard und Firmendaten.</t>
  </si>
  <si>
    <t>Mühlnerfeldstraße 9</t>
  </si>
  <si>
    <t>48.13395</t>
  </si>
  <si>
    <t>14.22512</t>
  </si>
  <si>
    <t>+43722721021</t>
  </si>
  <si>
    <t>office@ziehesberger.at</t>
  </si>
  <si>
    <t>https://bilder.dasschnelle.at/DasSchnelle/50/5000/9912/046113/G_046113_P_906243448.adn.gif</t>
  </si>
  <si>
    <t>Kitzbüheler Wirtschaftstreuhandgesellschaft Dkfm. Dr. Karl Koller KG, Wirtschaftstreuhänder / Steuerberater • Kitzbühel • Tirol</t>
  </si>
  <si>
    <t>Steuerberater, Wirtschaftstreuhänder / Steuerberater • Kitzbüheler Wirtschaftstreuhandgesellschaft Dkfm. Dr. Karl Koller KG, Josef-Pirchl-Straße 18, Kitzbühel • Kontakt über aktuelle Telefonnummern ☎ und Adressen ⚑ mit Karte, Routing, Öffnungszeiten, Homepage, E-Mail, vCard und Firmendaten.</t>
  </si>
  <si>
    <t>Josef-Pirchl-Straße 18</t>
  </si>
  <si>
    <t>47.4494049</t>
  </si>
  <si>
    <t>12.3904904</t>
  </si>
  <si>
    <t>+4353566996</t>
  </si>
  <si>
    <t>office@koller-kitzbuehel.com</t>
  </si>
  <si>
    <t>https://bilder.dasschnelle.at/DasSchnelle/50/5000/9896/046135/I_046135_P_906243512_L_0036262280_1.png</t>
  </si>
  <si>
    <t>https://bilder.dasschnelle.at/DasSchnelle/50/5000/9896/046135/I_046135_P_906243512_B_0036262280_1.gal.png?height=400&amp;width=600;https://bilder.dasschnelle.at/DasSchnelle/50/5000/9896/046135/I_046135_P_906243512_B_0036262280_2.gal.png?height=480&amp;width=599;https://bilder.dasschnelle.at/DasSchnelle/50/5000/9896/046135/I_046135_P_906243512_B_0036262280_3.gal.png?height=400&amp;width=600;https://bilder.dasschnelle.at/DasSchnelle/50/5000/9896/046135/I_046135_P_906243512_B_0036262280_4.gal.png?height=166&amp;width=267</t>
  </si>
  <si>
    <t>Autohaus Windischgarsten VW-Servicebetrieb • Windischgarsten • Oberösterreich</t>
  </si>
  <si>
    <t>Autohandel • Autohaus Windischgarsten VW-Servicebetrieb, Linzer Straße 36, Windischgarsten • Kontakt über aktuelle Telefonnummern ☎ und Adressen ⚑ mit Karte, Routing, Öffnungszeiten, Homepage, E-Mail, vCard und Firmendaten.</t>
  </si>
  <si>
    <t>Linzer Straße 36</t>
  </si>
  <si>
    <t>47.722512</t>
  </si>
  <si>
    <t>14.325525</t>
  </si>
  <si>
    <t>+4375625290</t>
  </si>
  <si>
    <t>office@autohaus-windischgarsten.at</t>
  </si>
  <si>
    <t>https://bilder.dasschnelle.at/DasSchnelle/50/5000/9947/046100/G_046100_P_906244274.adn.gif</t>
  </si>
  <si>
    <t>Raiffeisenbank Weißkirchen regGenmbH, Banken u Sparkassen • Allhaming • Oberösterreich</t>
  </si>
  <si>
    <t>Banken • Raiffeisenbank Weißkirchen regGenmbH, Allhaming • Kontakt über aktuelle Telefonnummern ☎ und Adressen ⚑ mit Karte, Routing, Öffnungszeiten, Homepage, E-Mail, vCard und Firmendaten.</t>
  </si>
  <si>
    <t>4511</t>
  </si>
  <si>
    <t>Allhaming</t>
  </si>
  <si>
    <t>48.1526934</t>
  </si>
  <si>
    <t>14.1720896</t>
  </si>
  <si>
    <t>+4372277171</t>
  </si>
  <si>
    <t>rb-weisskirchen@raiffeisen.ooe.at</t>
  </si>
  <si>
    <t>https://bilder.dasschnelle.at/DasSchnelle/50/5000/9912/046101/G_046101_P_906244351.adn.gif</t>
  </si>
  <si>
    <t>Walkner Eduard &amp; Co KEG, Steinmetzbetrieb • Hallein • Salzburg</t>
  </si>
  <si>
    <t>Steinmetzbetriebe • Walkner Eduard &amp; Co KEG, Hammerstraße 4, Hallein • Kontakt über aktuelle Telefonnummern ☎ und Adressen ⚑ mit Karte, Routing, Öffnungszeiten, Homepage, E-Mail, vCard und Firmendaten.</t>
  </si>
  <si>
    <t>Hammerstraße 4</t>
  </si>
  <si>
    <t>47.68841</t>
  </si>
  <si>
    <t>13.10023</t>
  </si>
  <si>
    <t>+43624580320</t>
  </si>
  <si>
    <t>kontakt@steinmetz-walkner.at</t>
  </si>
  <si>
    <t>https://bilder.dasschnelle.at/DasSchnelle/50/5000/9889/043591/G_043591_P_906243529.adn.gif</t>
  </si>
  <si>
    <t>Dundler, Robert, Schutzfolien • Ybbs an der Donau • Niederösterreich</t>
  </si>
  <si>
    <t>Folien, Werbeunternehmen • Dundler, Robert, Krautäckerstraße 14, Ybbs an der Donau • Kontakt über aktuelle Telefonnummern ☎ und Adressen ⚑ mit Karte, Routing, Öffnungszeiten, Homepage, E-Mail, vCard und Firmendaten.</t>
  </si>
  <si>
    <t>Krautäckerstraße 14</t>
  </si>
  <si>
    <t>48.16741</t>
  </si>
  <si>
    <t>15.06886</t>
  </si>
  <si>
    <t>+4369912750570</t>
  </si>
  <si>
    <t>verklebungen-dundler@gmx.at</t>
  </si>
  <si>
    <t>https://bilder.dasschnelle.at/DasSchnelle/50/5000/9908/041645/I_041645_P_906244287_L_0036256218_1.png</t>
  </si>
  <si>
    <t>https://bilder.dasschnelle.at/DasSchnelle/50/5000/9908/041645/I_041645_P_906244287_B_0036256218_1.gal.png?height=388&amp;width=600;https://bilder.dasschnelle.at/DasSchnelle/50/5000/9908/041645/I_041645_P_906244287_B_0036256218_2.gal.png?height=506&amp;width=600;https://bilder.dasschnelle.at/DasSchnelle/50/5000/9908/041645/I_041645_P_906244287_B_0036256218_3.gal.png?height=559&amp;width=600</t>
  </si>
  <si>
    <t>DICKETMÜLLER EMIL GesmbH, Gas-Wasser-Heizung • Windischgarsten • Oberösterreich</t>
  </si>
  <si>
    <t>Installationsunternehmen • DICKETMÜLLER EMIL GesmbH, Dambachstraße 14, Windischgarsten • Kontakt über aktuelle Telefonnummern ☎ und Adressen ⚑ mit Karte, Routing, Öffnungszeiten, Homepage, E-Mail, vCard und Firmendaten.</t>
  </si>
  <si>
    <t>Dambachstraße 14</t>
  </si>
  <si>
    <t>47.72174</t>
  </si>
  <si>
    <t>14.32029</t>
  </si>
  <si>
    <t>+4375625320;+436642327632</t>
  </si>
  <si>
    <t>info@dicketmueller.at</t>
  </si>
  <si>
    <t>https://bilder.dasschnelle.at/DasSchnelle/50/5000/9947/046100/I_046100_P_906243392_L_0036256248_1.png</t>
  </si>
  <si>
    <t>https://bilder.dasschnelle.at/DasSchnelle/50/5000/9947/046100/I_046100_P_906243392_B_0036256248_1.gal.png?height=397&amp;width=600;https://bilder.dasschnelle.at/DasSchnelle/50/5000/9947/046100/I_046100_P_906243392_B_0036256248_2.gal.png?height=397&amp;width=600;https://bilder.dasschnelle.at/DasSchnelle/50/5000/9947/046100/I_046100_P_906243392_B_0036256248_3.gal.png?height=397&amp;width=600</t>
  </si>
  <si>
    <t>Greil &amp; Doleschal GesmbH, Dachdeckerei, Spenglerei u Baustoffe • Wiener Neustadt • Niederösterreich</t>
  </si>
  <si>
    <t>Baustoffhandel, Dachdeckereien • Greil &amp; Doleschal GesmbH, Bräunlichgasse 4, Wiener Neustadt • Kontakt über aktuelle Telefonnummern ☎ und Adressen ⚑ mit Karte, Routing, Öffnungszeiten, Homepage, E-Mail, vCard und Firmendaten.</t>
  </si>
  <si>
    <t>Bräunlichgasse 4</t>
  </si>
  <si>
    <t>47.80822</t>
  </si>
  <si>
    <t>16.23395</t>
  </si>
  <si>
    <t>+432622224320;+43262227562</t>
  </si>
  <si>
    <t>office@greil-doleschal.com</t>
  </si>
  <si>
    <t>https://bilder.dasschnelle.at/DasSchnelle/50/5000/9946/042060/G_042060_P_906243397.adn.gif</t>
  </si>
  <si>
    <t>Flachgauer Baumservice • Henndorf am Wallersee • Salzburg</t>
  </si>
  <si>
    <t>Baumpflege • Flachgauer Baumservice, Hauptstraße 32, Henndorf am Wallersee • Kontakt über aktuelle Telefonnummern ☎ und Adressen ⚑ mit Karte, Routing, Öffnungszeiten, Homepage, E-Mail, vCard und Firmendaten.</t>
  </si>
  <si>
    <t>Hauptstraße 32</t>
  </si>
  <si>
    <t>47.8970281</t>
  </si>
  <si>
    <t>13.1858614</t>
  </si>
  <si>
    <t>+436648157024</t>
  </si>
  <si>
    <t>josef.holzleitner@sbg.at</t>
  </si>
  <si>
    <t>Zimmerei Johann Frauenschuh GmbH • Neumarkt am Wallersee • Salzburg</t>
  </si>
  <si>
    <t>Zimmereien • Zimmerei Johann Frauenschuh GmbH, Irrsbergstraße 7, Neumarkt am Wallersee • Kontakt über aktuelle Telefonnummern ☎ und Adressen ⚑ mit Karte, Routing, Öffnungszeiten, Homepage, E-Mail, vCard und Firmendaten.</t>
  </si>
  <si>
    <t>Irrsbergstraße 7</t>
  </si>
  <si>
    <t>47.95253</t>
  </si>
  <si>
    <t>13.24684</t>
  </si>
  <si>
    <t>+4362165096</t>
  </si>
  <si>
    <t>zimmerei-frauenschuh@sbg.at</t>
  </si>
  <si>
    <t>https://bilder.dasschnelle.at/DasSchnelle/50/5000/9935/043320/G_043320_P_906243557.adn.gif</t>
  </si>
  <si>
    <t>Stöger Robert GmbH, Transporte • Roßleithen • Oberösterreich</t>
  </si>
  <si>
    <t>Baggerungen u. Transporte, Bauunternehmen, Transportunternehmen • Stöger Robert GmbH, Rading 142, Roßleithen • Kontakt über aktuelle Telefonnummern ☎ und Adressen ⚑ mit Karte, Routing, Öffnungszeiten, Homepage, E-Mail, vCard und Firmendaten.</t>
  </si>
  <si>
    <t>Rading 142</t>
  </si>
  <si>
    <t>47.7338188</t>
  </si>
  <si>
    <t>14.2960714</t>
  </si>
  <si>
    <t>+4375628070</t>
  </si>
  <si>
    <t>office@stoeger-transporte.at</t>
  </si>
  <si>
    <t>https://bilder.dasschnelle.at/DasSchnelle/50/5000/9947/046092/G_046092_P_906243711.adn.gif</t>
  </si>
  <si>
    <t>Führer Bernhard GmbH, Fenster und Türen • Oberhofen am Irrsee • Oberösterreich</t>
  </si>
  <si>
    <t>Fenster u. Türen • Führer Bernhard GmbH, Gewerbegebiet-Salzweg 14, Oberhofen am Irrsee • Kontakt über aktuelle Telefonnummern ☎ und Adressen ⚑ mit Karte, Routing, Öffnungszeiten, Homepage, E-Mail, vCard und Firmendaten.</t>
  </si>
  <si>
    <t>Gewerbegebiet-Salzweg 14</t>
  </si>
  <si>
    <t>4894</t>
  </si>
  <si>
    <t>Oberhofen am Irrsee</t>
  </si>
  <si>
    <t>47.9593800</t>
  </si>
  <si>
    <t>13.3062800</t>
  </si>
  <si>
    <t>+43621320041;+436648549880</t>
  </si>
  <si>
    <t>office@fuehrer-fenster.at</t>
  </si>
  <si>
    <t>https://bilder.dasschnelle.at/DasSchnelle/50/5000/9935/043085/I_043085_P_906244342_L_0035974259_1.png</t>
  </si>
  <si>
    <t>https://bilder.dasschnelle.at/DasSchnelle/50/5000/9935/043085/I_043085_P_906244342_B_0035974259_1.gal.png?height=361&amp;width=720;https://bilder.dasschnelle.at/DasSchnelle/50/5000/9935/043085/I_043085_P_906244342_B_0035974259_2.gal.png?height=338&amp;width=720;https://bilder.dasschnelle.at/DasSchnelle/50/5000/9935/043085/I_043085_P_906244342_B_0035974259_3.gal.png?height=720&amp;width=720;https://bilder.dasschnelle.at/DasSchnelle/50/5000/9935/043085/I_043085_P_906244342_B_0035974259_4.gal.png?height=519&amp;width=640</t>
  </si>
  <si>
    <t>Handlechner, Karin, Gasthof • Seekirchen am Wallersee • Salzburg</t>
  </si>
  <si>
    <t>Gastgewerbe - Gasthöfe • Handlechner, Karin, Hauptstraße 54, Seekirchen am Wallersee • Kontakt über aktuelle Telefonnummern ☎ und Adressen ⚑ mit Karte, Routing, Öffnungszeiten, Homepage, E-Mail, vCard und Firmendaten.</t>
  </si>
  <si>
    <t>47.8969547</t>
  </si>
  <si>
    <t>13.1227899</t>
  </si>
  <si>
    <t>+4362122203</t>
  </si>
  <si>
    <t>hirschenwirt-seekirchen@direkt.at</t>
  </si>
  <si>
    <t>https://bilder.dasschnelle.at/DasSchnelle/50/5000/9931/043333/G_043333_P_906244346.adn.gif</t>
  </si>
  <si>
    <t>Ramel, Leopold, Raumausstatter • St. Leonhard • Niederösterreich</t>
  </si>
  <si>
    <t>Raumausstatter, Tapezierer • Ramel, Leopold, Wieselburger Straße 4, St. Leonhard • Kontakt über aktuelle Telefonnummern ☎ und Adressen ⚑ mit Karte, Routing, Öffnungszeiten, Homepage, E-Mail, vCard und Firmendaten.</t>
  </si>
  <si>
    <t>Wieselburger Straße 4</t>
  </si>
  <si>
    <t>48.1420049</t>
  </si>
  <si>
    <t>15.2827268</t>
  </si>
  <si>
    <t>+4327568555</t>
  </si>
  <si>
    <t>raumausstattung@ramel.at</t>
  </si>
  <si>
    <t>https://bilder.dasschnelle.at/DasSchnelle/50/5000/9908/041639/G_041639_P_906244381.adn.gif</t>
  </si>
  <si>
    <t>Gasthof Pock • Straden • Steiermark</t>
  </si>
  <si>
    <t>Gastgewerbe - Gasthöfe • Gasthof Pock, Hof bei Straden 34, Straden • Kontakt über aktuelle Telefonnummern ☎ und Adressen ⚑ mit Karte, Routing, Öffnungszeiten, Homepage, E-Mail, vCard und Firmendaten.</t>
  </si>
  <si>
    <t>https://bilder.dasschnelle.at/DasSchnelle/50/5000/9920/061440/G_061440_P_906243617.adn.gif</t>
  </si>
  <si>
    <t>Ratt, Dorothea, Mag.pharm., Apotheke Mauerkirchen • Mauerkirchen • Oberösterreich</t>
  </si>
  <si>
    <t>Apotheken • Ratt, Dorothea, Mag.pharm., Obermarkt 28, Mauerkirchen • Kontakt über aktuelle Telefonnummern ☎ und Adressen ⚑ mit Karte, Routing, Öffnungszeiten, Homepage, E-Mail, vCard und Firmendaten.</t>
  </si>
  <si>
    <t>Obermarkt 28</t>
  </si>
  <si>
    <t>48.19027</t>
  </si>
  <si>
    <t>13.13489</t>
  </si>
  <si>
    <t>+4377242880</t>
  </si>
  <si>
    <t>https://bilder.dasschnelle.at/DasSchnelle/50/5000/9872/044778/G_044778_P_906244971.adn.gif</t>
  </si>
  <si>
    <t>Taxi - Busreisen Eckerstorfer e.U., Taxi • Windischgarsten • Oberösterreich</t>
  </si>
  <si>
    <t>Taxi • Taxi - Busreisen Eckerstorfer e.U., Schulstraße 10, Windischgarsten • Kontakt über aktuelle Telefonnummern ☎ und Adressen ⚑ mit Karte, Routing, Öffnungszeiten, Homepage, E-Mail, vCard und Firmendaten.</t>
  </si>
  <si>
    <t>Schulstraße 10</t>
  </si>
  <si>
    <t>47.72166</t>
  </si>
  <si>
    <t>14.32731</t>
  </si>
  <si>
    <t>+4375625330;+436642206083;+436642860531;+436649164200</t>
  </si>
  <si>
    <t>+4375627790</t>
  </si>
  <si>
    <t>office@eckerstorfer.at</t>
  </si>
  <si>
    <t>https://bilder.dasschnelle.at/DasSchnelle/50/5000/9947/046100/G_046100_P_906244979.adn.gif</t>
  </si>
  <si>
    <t>Blumen Rath, Floristik • Neunkirchen • Niederösterreich</t>
  </si>
  <si>
    <t>Floristik • Blumen Rath, Peischingerstraße 38, Neunkirchen • Kontakt über aktuelle Telefonnummern ☎ und Adressen ⚑ mit Karte, Routing, Öffnungszeiten, Homepage, E-Mail, vCard und Firmendaten.</t>
  </si>
  <si>
    <t>Peischingerstraße 38</t>
  </si>
  <si>
    <t>47.72532</t>
  </si>
  <si>
    <t>16.0919</t>
  </si>
  <si>
    <t>+43263562726</t>
  </si>
  <si>
    <t>branka.leitner@blumen-rath.at</t>
  </si>
  <si>
    <t>https://bilder.dasschnelle.at/DasSchnelle/50/5000/9913/041844/G_041844_P_906244985.adn.gif</t>
  </si>
  <si>
    <t>Prenner Gartendesign • Melk • Niederösterreich</t>
  </si>
  <si>
    <t>Garten- u. Landschaftsgestaltung • Prenner Gartendesign, Sandweg 6, Melk • Kontakt über aktuelle Telefonnummern ☎ und Adressen ⚑ mit Karte, Routing, Öffnungszeiten, Homepage, E-Mail, vCard und Firmendaten.</t>
  </si>
  <si>
    <t>Sandweg 6</t>
  </si>
  <si>
    <t>48.22109</t>
  </si>
  <si>
    <t>15.35291</t>
  </si>
  <si>
    <t>+43676844792401</t>
  </si>
  <si>
    <t>+4327525365420</t>
  </si>
  <si>
    <t>office@gartendesign-prenner.at</t>
  </si>
  <si>
    <t>https://bilder.dasschnelle.at/DasSchnelle/50/5000/9908/041629/I_041629_P_906244987_L_0036252693_1.png</t>
  </si>
  <si>
    <t>https://bilder.dasschnelle.at/DasSchnelle/50/5000/9908/041629/I_041629_P_906244987_B_0036252693_1.gal.png?height=354&amp;width=488;https://bilder.dasschnelle.at/DasSchnelle/50/5000/9908/041629/I_041629_P_906244987_B_0036252693_2.gal.png?height=538&amp;width=720;https://bilder.dasschnelle.at/DasSchnelle/50/5000/9908/041629/I_041629_P_906244987_B_0036252693_3.gal.png?height=570&amp;width=720;https://bilder.dasschnelle.at/DasSchnelle/50/5000/9908/041629/I_041629_P_906244987_B_0036252693_4.gal.png?height=449&amp;width=720</t>
  </si>
  <si>
    <t>Herk, Jakob, Dr., Arzt f Allgemeinmedizin • Völkermarkt • Kärnten</t>
  </si>
  <si>
    <t>Ärzte / f Allgemeinmedizin • Herk, Jakob, Dr., Hauptplatz 11 A, Völkermarkt • Kontakt über aktuelle Telefonnummern ☎ und Adressen ⚑ mit Karte, Routing, Öffnungszeiten, Homepage, E-Mail, vCard und Firmendaten.</t>
  </si>
  <si>
    <t>Hauptplatz 11 A</t>
  </si>
  <si>
    <t>46.65922</t>
  </si>
  <si>
    <t>14.63428</t>
  </si>
  <si>
    <t>+4342323511</t>
  </si>
  <si>
    <t>herk.margit@gmx.at</t>
  </si>
  <si>
    <t>https://bilder.dasschnelle.at/DasSchnelle/50/5000/9942/042037/G_042037_P_906244991.adn.gif</t>
  </si>
  <si>
    <t>Schütz-Durits, Johannes, Gärtnerei • Bad Radkersburg • Steiermark</t>
  </si>
  <si>
    <t>Gärtnereien • Schütz-Durits, Johannes, Halbenrainerstraße 6 -8, Bad Radkersburg • Kontakt über aktuelle Telefonnummern ☎ und Adressen ⚑ mit Karte, Routing, Öffnungszeiten, Homepage, E-Mail, vCard und Firmendaten.</t>
  </si>
  <si>
    <t>Halbenrainerstraße 6 -8</t>
  </si>
  <si>
    <t>46.69098</t>
  </si>
  <si>
    <t>15.98486</t>
  </si>
  <si>
    <t>+4334762166</t>
  </si>
  <si>
    <t>hannes.durits@a1.net</t>
  </si>
  <si>
    <t>https://bilder.dasschnelle.at/DasSchnelle/50/5000/9920/061432/G_061432_P_906244999.adn.gif</t>
  </si>
  <si>
    <t>Glaser, Christian, Malerei • Roßleithen • Oberösterreich</t>
  </si>
  <si>
    <t>Malereibetriebe • Glaser, Christian, Pichl 40, Roßleithen • Kontakt über aktuelle Telefonnummern ☎ und Adressen ⚑ mit Karte, Routing, Öffnungszeiten, Homepage, E-Mail, vCard und Firmendaten.</t>
  </si>
  <si>
    <t>Pichl 40</t>
  </si>
  <si>
    <t>47.72226</t>
  </si>
  <si>
    <t>14.30844</t>
  </si>
  <si>
    <t>+436642808377</t>
  </si>
  <si>
    <t>malerei.glaser@pptv.at</t>
  </si>
  <si>
    <t>Kniewasser, Siegfried, Ing., Bmstr, Planungsbüro • Windischgarsten • Oberösterreich</t>
  </si>
  <si>
    <t>Baumeister, Ingenieurbüros • Kniewasser, Siegfried, Ing., Edlbach 157, Windischgarsten • Kontakt über aktuelle Telefonnummern ☎ und Adressen ⚑ mit Karte, Routing, Öffnungszeiten, Homepage, E-Mail, vCard und Firmendaten.</t>
  </si>
  <si>
    <t>Edlbach 157</t>
  </si>
  <si>
    <t>47.7147509</t>
  </si>
  <si>
    <t>14.3374353</t>
  </si>
  <si>
    <t>+436641122550</t>
  </si>
  <si>
    <t>bm.kniewasser@aon.at</t>
  </si>
  <si>
    <t>https://bilder.dasschnelle.at/DasSchnelle/50/5000/9947/046078/G_046078_P_906247143.adn.gif</t>
  </si>
  <si>
    <t>Metzgerei Schnegg • Imsterberg • Tirol</t>
  </si>
  <si>
    <t>Metzgereien • Metzgerei Schnegg, Au 11, Imsterberg • Kontakt über aktuelle Telefonnummern ☎ und Adressen ⚑ mit Karte, Routing, Öffnungszeiten, Homepage, E-Mail, vCard und Firmendaten.</t>
  </si>
  <si>
    <t>Au 11</t>
  </si>
  <si>
    <t>6492</t>
  </si>
  <si>
    <t>Imsterberg</t>
  </si>
  <si>
    <t>47.2107700</t>
  </si>
  <si>
    <t>10.7114700</t>
  </si>
  <si>
    <t>+436508500170</t>
  </si>
  <si>
    <t>metzgereischnegg@gmail.com</t>
  </si>
  <si>
    <t>https://bilder.dasschnelle.at/DasSchnelle/50/5000/9894/045639/G_045639_P_906247601.adn.gif</t>
  </si>
  <si>
    <t>Elektroinstallationen Armin Antl • Langenlois • Niederösterreich</t>
  </si>
  <si>
    <t>Elektroinstallationen • Elektroinstallationen Armin Antl, Kamptalstrasse 29, Langenlois • Kontakt über aktuelle Telefonnummern ☎ und Adressen ⚑ mit Karte, Routing, Öffnungszeiten, Homepage, E-Mail, vCard und Firmendaten.</t>
  </si>
  <si>
    <t>Kamptalstrasse 29</t>
  </si>
  <si>
    <t>48.4788300</t>
  </si>
  <si>
    <t>15.6735200</t>
  </si>
  <si>
    <t>+436643917182</t>
  </si>
  <si>
    <t>office@elektro-antl.at</t>
  </si>
  <si>
    <t>https://bilder.dasschnelle.at/DasSchnelle/50/5000/9899/041497/G_041497_P_906247144.adn.gif</t>
  </si>
  <si>
    <t>Pieber, Johann, Haustechnik • Texing • Niederösterreich</t>
  </si>
  <si>
    <t>Haustechnik • Pieber, Johann, Altendorf 13, Texing • Kontakt über aktuelle Telefonnummern ☎ und Adressen ⚑ mit Karte, Routing, Öffnungszeiten, Homepage, E-Mail, vCard und Firmendaten.</t>
  </si>
  <si>
    <t>Altendorf 13</t>
  </si>
  <si>
    <t>48.0567468</t>
  </si>
  <si>
    <t>15.3099626</t>
  </si>
  <si>
    <t>+4366475042225</t>
  </si>
  <si>
    <t>jpieber@aon.at</t>
  </si>
  <si>
    <t>https://bilder.dasschnelle.at/DasSchnelle/50/5000/9908/041647/G_041647_P_906247146.adn.gif</t>
  </si>
  <si>
    <t>Greul, Roland, Landwirtschaftliche Maschinen • Texing • Niederösterreich</t>
  </si>
  <si>
    <t>Landwirtschaftliche Maschinen u. Geräte • Greul, Roland, Texing • Kontakt über aktuelle Telefonnummern ☎ und Adressen ⚑ mit Karte, Routing, Öffnungszeiten, Homepage, E-Mail, vCard und Firmendaten.</t>
  </si>
  <si>
    <t>48.0496556</t>
  </si>
  <si>
    <t>15.3252478</t>
  </si>
  <si>
    <t>+4327557272</t>
  </si>
  <si>
    <t>+4327557477</t>
  </si>
  <si>
    <t>info@kfz-greul.at</t>
  </si>
  <si>
    <t>https://bilder.dasschnelle.at/DasSchnelle/50/5000/9908/041647/G_041647_P_906247149.adn.gif</t>
  </si>
  <si>
    <t>Achatz, Alfred, Werbeschriften • Tainach • Kärnten</t>
  </si>
  <si>
    <t>Werbeunternehmen • Achatz, Alfred, Dr.J.Kucher-Weg 15, Tainach • Kontakt über aktuelle Telefonnummern ☎ und Adressen ⚑ mit Karte, Routing, Öffnungszeiten, Homepage, E-Mail, vCard und Firmendaten.</t>
  </si>
  <si>
    <t>Dr.J.Kucher-Weg 15</t>
  </si>
  <si>
    <t>9121</t>
  </si>
  <si>
    <t>Tainach</t>
  </si>
  <si>
    <t>46.63205</t>
  </si>
  <si>
    <t>14.53186</t>
  </si>
  <si>
    <t>+43423920122;+436766042088</t>
  </si>
  <si>
    <t>achatz@ws-achatz.at</t>
  </si>
  <si>
    <t>https://bilder.dasschnelle.at/DasSchnelle/50/5000/9942/042037/G_042037_P_906247506.adn.gif</t>
  </si>
  <si>
    <t>Miklau, Hans Jakob, Fliesencenter • Völkermarkt • Kärnten</t>
  </si>
  <si>
    <t>Fliesenfachhandel • Miklau, Hans Jakob, Sankt Ruprechter Straße 5, Völkermarkt • Kontakt über aktuelle Telefonnummern ☎ und Adressen ⚑ mit Karte, Routing, Öffnungszeiten, Homepage, E-Mail, vCard und Firmendaten.</t>
  </si>
  <si>
    <t>Sankt Ruprechter Straße 5</t>
  </si>
  <si>
    <t>46.66361</t>
  </si>
  <si>
    <t>14.6243</t>
  </si>
  <si>
    <t>+436641601086;+4366473068840;+4366473068841;+4366473068842</t>
  </si>
  <si>
    <t>+43423237497</t>
  </si>
  <si>
    <t>fliesen.miklau@aon.at</t>
  </si>
  <si>
    <t>https://bilder.dasschnelle.at/DasSchnelle/50/5000/9942/042037/G_042037_P_906247517.adn.gif</t>
  </si>
  <si>
    <t>Cziglar GmbH, Bäder • Fliesen • Heizung • Bad Radkersburg • Steiermark</t>
  </si>
  <si>
    <t>Installationsunternehmen • Cziglar GmbH, Oberlaafelderstraße 14, Bad Radkersburg • Kontakt über aktuelle Telefonnummern ☎ und Adressen ⚑ mit Karte, Routing, Öffnungszeiten, Homepage, E-Mail, vCard und Firmendaten.</t>
  </si>
  <si>
    <t>Oberlaafelderstraße 14</t>
  </si>
  <si>
    <t>46.69559</t>
  </si>
  <si>
    <t>15.99688</t>
  </si>
  <si>
    <t>+4334762828;+436641449335;+436645211797</t>
  </si>
  <si>
    <t>+4334763558</t>
  </si>
  <si>
    <t>info@cziglar.at</t>
  </si>
  <si>
    <t>https://bilder.dasschnelle.at/DasSchnelle/50/5000/9920/061432/G_061432_P_906247529.adn.gif</t>
  </si>
  <si>
    <t>Schennach, Florian, Haustechnik • Ehrwald • Tirol</t>
  </si>
  <si>
    <t>Haustechnik • Schennach, Florian, Reinhard Spielmann-Straße 17, Ehrwald • Kontakt über aktuelle Telefonnummern ☎ und Adressen ⚑ mit Karte, Routing, Öffnungszeiten, Homepage, E-Mail, vCard und Firmendaten.</t>
  </si>
  <si>
    <t>Reinhard Spielmann-Straße 17</t>
  </si>
  <si>
    <t>47.40005</t>
  </si>
  <si>
    <t>10.92167</t>
  </si>
  <si>
    <t>+4356732123;+436642250417;+436644191836</t>
  </si>
  <si>
    <t>htschennach@speed.at</t>
  </si>
  <si>
    <t>https://bilder.dasschnelle.at/DasSchnelle/50/5000/9921/044843/G_044843_P_906247538.adn.gif</t>
  </si>
  <si>
    <t>Wolfinger, Klaus, Spenglerei • Neuhofen an der Krems • Oberösterreich</t>
  </si>
  <si>
    <t>Dachdeckereien, Spenglereien • Wolfinger, Klaus, Birnenweg 9, Neuhofen an der Krems • Kontakt über aktuelle Telefonnummern ☎ und Adressen ⚑ mit Karte, Routing, Öffnungszeiten, Homepage, E-Mail, vCard und Firmendaten.</t>
  </si>
  <si>
    <t>Birnenweg 9</t>
  </si>
  <si>
    <t>48.12945</t>
  </si>
  <si>
    <t>14.21441</t>
  </si>
  <si>
    <t>+4372275291</t>
  </si>
  <si>
    <t>k.wolfinger@aon.at</t>
  </si>
  <si>
    <t>https://bilder.dasschnelle.at/DasSchnelle/50/5000/9912/046113/G_046113_P_906247542.adn.gif</t>
  </si>
  <si>
    <t>Büro Kiss &amp; Partner Ziviltechniker GmbH • Reutte • Tirol</t>
  </si>
  <si>
    <t>Ziviltechniker • Büro Kiss &amp; Partner Ziviltechniker GmbH, Lärchenweg 7, Reutte • Kontakt über aktuelle Telefonnummern ☎ und Adressen ⚑ mit Karte, Routing, Öffnungszeiten, Homepage, E-Mail, vCard und Firmendaten.</t>
  </si>
  <si>
    <t>Lärchenweg 7</t>
  </si>
  <si>
    <t>47.48299</t>
  </si>
  <si>
    <t>10.7412</t>
  </si>
  <si>
    <t>+43567263831</t>
  </si>
  <si>
    <t>office@ib-kiss.at</t>
  </si>
  <si>
    <t>https://bilder.dasschnelle.at/DasSchnelle/50/5000/9921/042603/G_042603_P_906248084.adn.gif</t>
  </si>
  <si>
    <t>Zenkl, Günther, Tischlerei • Glantschach • Kärnten</t>
  </si>
  <si>
    <t>Tischlereien • Zenkl, Günther, Glantschach • Kontakt über aktuelle Telefonnummern ☎ und Adressen ⚑ mit Karte, Routing, Öffnungszeiten, Homepage, E-Mail, vCard und Firmendaten.</t>
  </si>
  <si>
    <t>Glantschach</t>
  </si>
  <si>
    <t>46.5445492</t>
  </si>
  <si>
    <t>14.5369733</t>
  </si>
  <si>
    <t>+4342212794</t>
  </si>
  <si>
    <t>office@zenkl.co.at</t>
  </si>
  <si>
    <t>https://bilder.dasschnelle.at/DasSchnelle/50/5000/9942/042030/G_042030_P_906248083.adn.gif</t>
  </si>
  <si>
    <t>Csar, Christa, Zahntechnik • Reutte • Tirol</t>
  </si>
  <si>
    <t>Zahntechnische Laboratorien • Csar, Christa, Untermarkt 5, Reutte • Kontakt über aktuelle Telefonnummern ☎ und Adressen ⚑ mit Karte, Routing, Öffnungszeiten, Homepage, E-Mail, vCard und Firmendaten.</t>
  </si>
  <si>
    <t>Untermarkt 5</t>
  </si>
  <si>
    <t>47.48949</t>
  </si>
  <si>
    <t>10.71744</t>
  </si>
  <si>
    <t>+43567264974</t>
  </si>
  <si>
    <t>info@zahnwerk-reutte.at</t>
  </si>
  <si>
    <t>https://bilder.dasschnelle.at/DasSchnelle/50/5000/9921/042603/G_042603_P_906248086.adn.gif</t>
  </si>
  <si>
    <t>Knez, Rene, Fliesen • Bad Eisenkappel • Kärnten</t>
  </si>
  <si>
    <t>Fliesenfachhandel • Knez, Rene, Leppen 13, Bad Eisenkappel • Kontakt über aktuelle Telefonnummern ☎ und Adressen ⚑ mit Karte, Routing, Öffnungszeiten, Homepage, E-Mail, vCard und Firmendaten.</t>
  </si>
  <si>
    <t>Leppen 13</t>
  </si>
  <si>
    <t>9135</t>
  </si>
  <si>
    <t>Bad Eisenkappel</t>
  </si>
  <si>
    <t>46.4869543</t>
  </si>
  <si>
    <t>14.6375733</t>
  </si>
  <si>
    <t>+436642318319</t>
  </si>
  <si>
    <t>office@wohnkeramik-knez.at</t>
  </si>
  <si>
    <t>https://bilder.dasschnelle.at/DasSchnelle/50/5000/9942/042028/G_042028_P_906248088.adn.gif</t>
  </si>
  <si>
    <t>Gerda Habicher, Logopädien &amp; Energetikerin • Ehenbichl • Tirol</t>
  </si>
  <si>
    <t>Logopädie • Gerda Habicher, Oberried 51, Ehenbichl • Kontakt über aktuelle Telefonnummern ☎ und Adressen ⚑ mit Karte, Routing, Öffnungszeiten, Homepage, E-Mail, vCard und Firmendaten.</t>
  </si>
  <si>
    <t>Oberried 51</t>
  </si>
  <si>
    <t>Ehenbichl</t>
  </si>
  <si>
    <t>47.46909</t>
  </si>
  <si>
    <t>10.6973</t>
  </si>
  <si>
    <t>+43567271735</t>
  </si>
  <si>
    <t>logozige@aon.at</t>
  </si>
  <si>
    <t>https://bilder.dasschnelle.at/DasSchnelle/50/5000/9921/044842/G_044842_P_906247621.adn.gif</t>
  </si>
  <si>
    <t>Gerber Peter Wirtschaftstreuhand u Steuerberatung GmbH, Wirtschaftstreuhänder / Steuerberater • Reutte • Tirol</t>
  </si>
  <si>
    <t>Wirtschaftstreuhänder / Steuerberater • Gerber Peter Wirtschaftstreuhand u Steuerberatung GmbH, Schulstraße 20, Reutte • Kontakt über aktuelle Telefonnummern ☎ und Adressen ⚑ mit Karte, Routing, Öffnungszeiten, Homepage, E-Mail, vCard und Firmendaten.</t>
  </si>
  <si>
    <t>Schulstraße 20</t>
  </si>
  <si>
    <t>47.48722</t>
  </si>
  <si>
    <t>10.7219</t>
  </si>
  <si>
    <t>+43567266161;+4366473863420;+4366473862959</t>
  </si>
  <si>
    <t>+4356726616166</t>
  </si>
  <si>
    <t>info@wt-gerber.at</t>
  </si>
  <si>
    <t>https://bilder.dasschnelle.at/DasSchnelle/50/5000/9921/042603/G_042603_P_906248097.adn.gif</t>
  </si>
  <si>
    <t>Pölzl, Christian, Bauernladen • Reutte • Tirol</t>
  </si>
  <si>
    <t>Biologische Produkte • Pölzl, Christian, Untermarkt 9, Reutte • Kontakt über aktuelle Telefonnummern ☎ und Adressen ⚑ mit Karte, Routing, Öffnungszeiten, Homepage, E-Mail, vCard und Firmendaten.</t>
  </si>
  <si>
    <t>Untermarkt 9</t>
  </si>
  <si>
    <t>47.48959</t>
  </si>
  <si>
    <t>10.71613</t>
  </si>
  <si>
    <t>+43567265134</t>
  </si>
  <si>
    <t>ausserferner.bauernladen@gmail.com</t>
  </si>
  <si>
    <t>https://bilder.dasschnelle.at/DasSchnelle/50/5000/9921/042603/G_042603_P_906248093.adn.gif</t>
  </si>
  <si>
    <t>Mitterbauer, Christine, KFZ • Neuhofen an der Krems • Oberösterreich</t>
  </si>
  <si>
    <t>Autohandel • Mitterbauer, Christine, Lining 16, Neuhofen an der Krems • Kontakt über aktuelle Telefonnummern ☎ und Adressen ⚑ mit Karte, Routing, Öffnungszeiten, Homepage, E-Mail, vCard und Firmendaten.</t>
  </si>
  <si>
    <t>Lining 16</t>
  </si>
  <si>
    <t>48.13947</t>
  </si>
  <si>
    <t>14.25563</t>
  </si>
  <si>
    <t>+4372276612</t>
  </si>
  <si>
    <t>strasserkfz@gmx.at</t>
  </si>
  <si>
    <t>https://bilder.dasschnelle.at/DasSchnelle/50/5000/9912/046113/G_046113_P_906248257.adn.gif</t>
  </si>
  <si>
    <t>Keuschnigg, Manuela, Mielecenter • St. Johann in Tirol • Tirol</t>
  </si>
  <si>
    <t>Elektrotechnik • Keuschnigg, Manuela, Hinterkaiserweg 1, St. Johann in Tirol • Kontakt über aktuelle Telefonnummern ☎ und Adressen ⚑ mit Karte, Routing, Öffnungszeiten, Homepage, E-Mail, vCard und Firmendaten.</t>
  </si>
  <si>
    <t>Hinterkaiserweg 1</t>
  </si>
  <si>
    <t>47.5235677</t>
  </si>
  <si>
    <t>12.4214924</t>
  </si>
  <si>
    <t>+43535264962</t>
  </si>
  <si>
    <t>keuschnigg@mielecener.at</t>
  </si>
  <si>
    <t>https://bilder.dasschnelle.at/DasSchnelle/50/5000/9896/046140/G_046140_P_906248259.adn.gif</t>
  </si>
  <si>
    <t>Daxauer Andreas Sanitärinstallationen GesmbH • St. Johann in Tirol • Tirol</t>
  </si>
  <si>
    <t>Heizungen • Daxauer Andreas Sanitärinstallationen GesmbH, Winkl-Schattseite 2 F, St. Johann in Tirol • Kontakt über aktuelle Telefonnummern ☎ und Adressen ⚑ mit Karte, Routing, Öffnungszeiten, Homepage, E-Mail, vCard und Firmendaten.</t>
  </si>
  <si>
    <t>Winkl-Schattseite 2 F</t>
  </si>
  <si>
    <t>47.5158213</t>
  </si>
  <si>
    <t>12.4497308</t>
  </si>
  <si>
    <t>+43535263525</t>
  </si>
  <si>
    <t>info@daxauer.com</t>
  </si>
  <si>
    <t>https://bilder.dasschnelle.at/DasSchnelle/50/5000/9896/046140/I_046140_P_906248261_L_0035971002_1.png</t>
  </si>
  <si>
    <t>https://bilder.dasschnelle.at/DasSchnelle/50/5000/9896/046140/I_046140_P_906248261_B_0035971002_1.gal.png?height=399&amp;width=600;https://bilder.dasschnelle.at/DasSchnelle/50/5000/9896/046140/I_046140_P_906248261_B_0035971002_2.gal.png?height=580&amp;width=435;https://bilder.dasschnelle.at/DasSchnelle/50/5000/9896/046140/I_046140_P_906248261_B_0035971002_3.gal.png?height=399&amp;width=600;https://bilder.dasschnelle.at/DasSchnelle/50/5000/9896/046140/I_046140_P_906248261_B_0035971002_4.gal.png?height=600&amp;width=400</t>
  </si>
  <si>
    <t>Mobile Pferdepraxis, Tierärzte • Kirchdorf • Tirol</t>
  </si>
  <si>
    <t>Tierärzte • Mobile Pferdepraxis, Further Weg 8e, Kirchdorf • Kontakt über aktuelle Telefonnummern ☎ und Adressen ⚑ mit Karte, Routing, Öffnungszeiten, Homepage, E-Mail, vCard und Firmendaten.</t>
  </si>
  <si>
    <t>Further Weg 8e</t>
  </si>
  <si>
    <t>Kirchdorf</t>
  </si>
  <si>
    <t>47.5443206</t>
  </si>
  <si>
    <t>12.4479044</t>
  </si>
  <si>
    <t>+436648206464</t>
  </si>
  <si>
    <t>info@pferdetierarzt-tirol.at</t>
  </si>
  <si>
    <t>https://bilder.dasschnelle.at/DasSchnelle/50/5000/9896/046134/G_046134_P_906248262.adn.gif</t>
  </si>
  <si>
    <t>Krisch, Hannes Othmar, Autozubehör • St. Johann in Tirol • Tirol</t>
  </si>
  <si>
    <t>Reifenhandel • Krisch, Hannes Othmar, Salzburgerstraße 19, St. Johann in Tirol • Kontakt über aktuelle Telefonnummern ☎ und Adressen ⚑ mit Karte, Routing, Öffnungszeiten, Homepage, E-Mail, vCard und Firmendaten.</t>
  </si>
  <si>
    <t>47.5262016</t>
  </si>
  <si>
    <t>12.4235957</t>
  </si>
  <si>
    <t>+43535262759</t>
  </si>
  <si>
    <t>reifencenter-krisch@aon.at</t>
  </si>
  <si>
    <t>https://bilder.dasschnelle.at/DasSchnelle/50/5000/9896/046140/G_046140_P_906248263.adn.gif</t>
  </si>
  <si>
    <t>Jeitler, Anton, Elektrogeräte • Neunkirchen • Niederösterreich</t>
  </si>
  <si>
    <t>Elektrogeräte/Reparatur • Jeitler, Anton, Wienerstraße 14, Neunkirchen • Kontakt über aktuelle Telefonnummern ☎ und Adressen ⚑ mit Karte, Routing, Öffnungszeiten, Homepage, E-Mail, vCard und Firmendaten.</t>
  </si>
  <si>
    <t>Wienerstraße 14</t>
  </si>
  <si>
    <t>47.72261</t>
  </si>
  <si>
    <t>16.08129</t>
  </si>
  <si>
    <t>+43263590109</t>
  </si>
  <si>
    <t>info@redzacjeitler.at</t>
  </si>
  <si>
    <t>https://bilder.dasschnelle.at/DasSchnelle/50/5000/9913/041844/I_041844_P_906248102_L_0036261560_1.png</t>
  </si>
  <si>
    <t>https://bilder.dasschnelle.at/DasSchnelle/50/5000/9913/041844/G_041844_P_906248102.adn.gif</t>
  </si>
  <si>
    <t>Lugstein, Florian, Elektro • Straßwalchen • Salzburg</t>
  </si>
  <si>
    <t>Elektrotechnik • Lugstein, Florian, Stefan-Fadinger-Straße 3 a, Straßwalchen • Kontakt über aktuelle Telefonnummern ☎ und Adressen ⚑ mit Karte, Routing, Öffnungszeiten, Homepage, E-Mail, vCard und Firmendaten.</t>
  </si>
  <si>
    <t>Stefan-Fadinger-Straße 3 a</t>
  </si>
  <si>
    <t>47.98253</t>
  </si>
  <si>
    <t>13.25675</t>
  </si>
  <si>
    <t>+436648910826</t>
  </si>
  <si>
    <t>office@elektrolugstein.at</t>
  </si>
  <si>
    <t>https://bilder.dasschnelle.at/DasSchnelle/50/5000/9935/043329/I_043329_P_906248106_L_0036891836_1.png</t>
  </si>
  <si>
    <t>https://bilder.dasschnelle.at/DasSchnelle/50/5000/9935/043329/I_043329_P_906248106_B_0036891836_1.gal.png?height=183&amp;width=275;https://bilder.dasschnelle.at/DasSchnelle/50/5000/9935/043329/I_043329_P_906248106_B_0036891836_2.gal.png?height=183&amp;width=275;https://bilder.dasschnelle.at/DasSchnelle/50/5000/9935/043329/I_043329_P_906248106_B_0036891836_3.gal.png?height=600&amp;width=400;https://bilder.dasschnelle.at/DasSchnelle/50/5000/9935/043329/I_043329_P_906248106_B_0036891836_4.gal.png?height=479&amp;width=720</t>
  </si>
  <si>
    <t>Foidl Josef GesmbH &amp; Co KG, Holzbau • Fieberbrunn • Tirol</t>
  </si>
  <si>
    <t>Holzbau • Foidl Josef GesmbH &amp; Co KG, Rosenegg 36, Fieberbrunn • Kontakt über aktuelle Telefonnummern ☎ und Adressen ⚑ mit Karte, Routing, Öffnungszeiten, Homepage, E-Mail, vCard und Firmendaten.</t>
  </si>
  <si>
    <t>Rosenegg 36</t>
  </si>
  <si>
    <t>47.48789</t>
  </si>
  <si>
    <t>12.52889</t>
  </si>
  <si>
    <t>+43535456225;+436641857276</t>
  </si>
  <si>
    <t>+4353545622530</t>
  </si>
  <si>
    <t>office@holzbau-foidl.at</t>
  </si>
  <si>
    <t>https://bilder.dasschnelle.at/DasSchnelle/50/5000/9896/046127/I_046127_P_906248227_L_0036261816_1.png</t>
  </si>
  <si>
    <t>https://bilder.dasschnelle.at/DasSchnelle/50/5000/9896/046127/I_046127_P_906248227_B_0036261816_1.gal.png?height=449&amp;width=600;https://bilder.dasschnelle.at/DasSchnelle/50/5000/9896/046127/I_046127_P_906248227_B_0036261816_2.gal.png?height=182&amp;width=295;https://bilder.dasschnelle.at/DasSchnelle/50/5000/9896/046127/I_046127_P_906248227_B_0036261816_3.gal.png?height=198&amp;width=295;https://bilder.dasschnelle.at/DasSchnelle/50/5000/9896/046127/I_046127_P_906248227_B_0036261816_4.gal.png?height=221&amp;width=295</t>
  </si>
  <si>
    <t>Planungsbüro Wieser GmbH, Sanitäranlagen • St. Johann in Tirol • Tirol</t>
  </si>
  <si>
    <t>Sanitäranlagen u. -einrichtungen • Planungsbüro Wieser GmbH, Salzburgerstraße 22 B G/7, St. Johann in Tirol • Kontakt über aktuelle Telefonnummern ☎ und Adressen ⚑ mit Karte, Routing, Öffnungszeiten, Homepage, E-Mail, vCard und Firmendaten.</t>
  </si>
  <si>
    <t>Salzburgerstraße 22 B G/7</t>
  </si>
  <si>
    <t>47.5285468</t>
  </si>
  <si>
    <t>12.4269463</t>
  </si>
  <si>
    <t>+43535262970</t>
  </si>
  <si>
    <t>+43535265405</t>
  </si>
  <si>
    <t>hls-wieser@aon.at</t>
  </si>
  <si>
    <t>https://bilder.dasschnelle.at/DasSchnelle/50/5000/9896/046140/I_046140_P_906248233_L_0036261727_1.png</t>
  </si>
  <si>
    <t>https://bilder.dasschnelle.at/DasSchnelle/50/5000/9896/046140/I_046140_P_906248233_B_0036261727_1.gal.png?height=372&amp;width=600;https://bilder.dasschnelle.at/DasSchnelle/50/5000/9896/046140/I_046140_P_906248233_B_0036261727_2.gal.png?height=372&amp;width=600;https://bilder.dasschnelle.at/DasSchnelle/50/5000/9896/046140/I_046140_P_906248233_B_0036261727_3.gal.png?height=372&amp;width=600;https://bilder.dasschnelle.at/DasSchnelle/50/5000/9896/046140/I_046140_P_906248233_B_0036261727_4.gal.png?height=355&amp;width=600</t>
  </si>
  <si>
    <t>Rußner, Hans, KFZ Fachbetrieb Spenglerei Spenglerei • Roßleithen • Oberösterreich</t>
  </si>
  <si>
    <t>Kfz-Werkstätte, Spenglereien • Rußner, Hans, Pichl 24, Roßleithen • Kontakt über aktuelle Telefonnummern ☎ und Adressen ⚑ mit Karte, Routing, Öffnungszeiten, Homepage, E-Mail, vCard und Firmendaten.</t>
  </si>
  <si>
    <t>Pichl 24</t>
  </si>
  <si>
    <t>47.72318</t>
  </si>
  <si>
    <t>14.30787</t>
  </si>
  <si>
    <t>+43756253630</t>
  </si>
  <si>
    <t>hans@russner.at</t>
  </si>
  <si>
    <t>https://bilder.dasschnelle.at/DasSchnelle/50/5000/9947/046092/G_046092_P_906248238.adn.gif</t>
  </si>
  <si>
    <t>Haslmayr, Andreas, Jimmys Box, KFZ Werkstätte • Rosenau am Hengstpaß • Oberösterreich</t>
  </si>
  <si>
    <t>Autohandel • Haslmayr, Andreas, Jimmys Box, Rosenau 36, Rosenau am Hengstpaß • Kontakt über aktuelle Telefonnummern ☎ und Adressen ⚑ mit Karte, Routing, Öffnungszeiten, Homepage, E-Mail, vCard und Firmendaten.</t>
  </si>
  <si>
    <t>Rosenau 36</t>
  </si>
  <si>
    <t>4581</t>
  </si>
  <si>
    <t>Rosenau am Hengstpaß</t>
  </si>
  <si>
    <t>47.7133063</t>
  </si>
  <si>
    <t>14.3916871</t>
  </si>
  <si>
    <t>+43756622724</t>
  </si>
  <si>
    <t>office@jimmysbox.at</t>
  </si>
  <si>
    <t>https://bilder.dasschnelle.at/DasSchnelle/50/5000/9947/046091/G_046091_P_906248240.adn.gif</t>
  </si>
  <si>
    <t>Dallinger, Birgit, Dr.med., FA Frauenheilkunde u Geburtshilfe • Polling im Innkreis • Oberösterreich</t>
  </si>
  <si>
    <t>Ärzte / Fachärzte f. Frauenheilkunde u. Geburtshilfe • Dallinger, Birgit, Dr.med., Unionstraße 11, Polling im Innkreis • Kontakt über aktuelle Telefonnummern ☎ und Adressen ⚑ mit Karte, Routing, Öffnungszeiten, Homepage, E-Mail, vCard und Firmendaten.</t>
  </si>
  <si>
    <t>Unionstraße 11</t>
  </si>
  <si>
    <t>48.23056</t>
  </si>
  <si>
    <t>13.2876</t>
  </si>
  <si>
    <t>+43772343302</t>
  </si>
  <si>
    <t>https://bilder.dasschnelle.at/DasSchnelle/50/5000/9872/044789/G_044789_P_906249119.adn.gif</t>
  </si>
  <si>
    <t>Holzbau Oberleitner GmbH • Waidring • Tirol</t>
  </si>
  <si>
    <t>Holzbau • Holzbau Oberleitner GmbH, Unterwasser 73, Waidring • Kontakt über aktuelle Telefonnummern ☎ und Adressen ⚑ mit Karte, Routing, Öffnungszeiten, Homepage, E-Mail, vCard und Firmendaten.</t>
  </si>
  <si>
    <t>Unterwasser 73</t>
  </si>
  <si>
    <t>47.58466</t>
  </si>
  <si>
    <t>12.59179</t>
  </si>
  <si>
    <t>+43535356060</t>
  </si>
  <si>
    <t>holzbau@oberleitner.info</t>
  </si>
  <si>
    <t>https://bilder.dasschnelle.at/DasSchnelle/50/5000/9896/046143/G_046143_P_906248910.adn.gif</t>
  </si>
  <si>
    <t>Hausverwaltung Jöchl KG • St. Johann in Tirol • Tirol</t>
  </si>
  <si>
    <t>Immobilien • Hausverwaltung Jöchl KG, Schießstandgasse 25, St. Johann in Tirol • Kontakt über aktuelle Telefonnummern ☎ und Adressen ⚑ mit Karte, Routing, Öffnungszeiten, Homepage, E-Mail, vCard und Firmendaten.</t>
  </si>
  <si>
    <t>Schießstandgasse 25</t>
  </si>
  <si>
    <t>47.5188357</t>
  </si>
  <si>
    <t>12.4253116</t>
  </si>
  <si>
    <t>+43535266311</t>
  </si>
  <si>
    <t>hausverwaltung@joechl.at</t>
  </si>
  <si>
    <t>https://bilder.dasschnelle.at/DasSchnelle/50/5000/9896/046140/G_046140_P_906248912.adn.gif</t>
  </si>
  <si>
    <t>Bauer, Reinhard, Fahrzeughandel • Dambach • Oberösterreich</t>
  </si>
  <si>
    <t>Autohandel • Bauer, Reinhard, /1, Dambach • Kontakt über aktuelle Telefonnummern ☎ und Adressen ⚑ mit Karte, Routing, Öffnungszeiten, Homepage, E-Mail, vCard und Firmendaten.</t>
  </si>
  <si>
    <t>/1</t>
  </si>
  <si>
    <t>Dambach</t>
  </si>
  <si>
    <t>48.1486144</t>
  </si>
  <si>
    <t>14.2185434</t>
  </si>
  <si>
    <t>+436645967192</t>
  </si>
  <si>
    <t>kfz-bauer@gmx.net</t>
  </si>
  <si>
    <t>https://bilder.dasschnelle.at/DasSchnelle/50/5000/9912/046113/G_046113_P_906249709.adn.gif</t>
  </si>
  <si>
    <t>Kleintierpraxis Erlach GbR • Simbach</t>
  </si>
  <si>
    <t>Tierärzte • Kleintierpraxis Erlach GbR, Passauer Str. 88, Simbach • Kontakt über aktuelle Telefonnummern ☎ und Adressen ⚑ mit Karte, Routing, Öffnungszeiten, Homepage, E-Mail, vCard und Firmendaten.</t>
  </si>
  <si>
    <t>Passauer Str. 88</t>
  </si>
  <si>
    <t>84359</t>
  </si>
  <si>
    <t>Simbach</t>
  </si>
  <si>
    <t>48.2723200</t>
  </si>
  <si>
    <t>13.0407201</t>
  </si>
  <si>
    <t>+434985716723</t>
  </si>
  <si>
    <t>kleintierpraxis-erlach@t-online.de</t>
  </si>
  <si>
    <t>https://bilder.dasschnelle.at/DasSchnelle/50/5000/9872/506176/I_506176_P_906249707_L_0039683191_1.png</t>
  </si>
  <si>
    <t>https://bilder.dasschnelle.at/DasSchnelle/50/5000/9872/506176/I_506176_P_906249707_B_0039683191_1.gal.png?height=677&amp;width=720</t>
  </si>
  <si>
    <t>Leitner, Hermann, Fliesen • Sankt Johann in Tirol • Tirol</t>
  </si>
  <si>
    <t>Fliesenfachhandel • Leitner, Hermann, Winkl-Schattseite 16 B, Sankt Johann in Tirol • Kontakt über aktuelle Telefonnummern ☎ und Adressen ⚑ mit Karte, Routing, Öffnungszeiten, Homepage, E-Mail, vCard und Firmendaten.</t>
  </si>
  <si>
    <t>Winkl-Schattseite 16 B</t>
  </si>
  <si>
    <t>Sankt Johann in Tirol</t>
  </si>
  <si>
    <t>47.5132600</t>
  </si>
  <si>
    <t>12.4554000</t>
  </si>
  <si>
    <t>+43535261548</t>
  </si>
  <si>
    <t>info@fliesen-leitner.at</t>
  </si>
  <si>
    <t>https://bilder.dasschnelle.at/DasSchnelle/50/5000/9896/046140/G_046140_P_906249711.adn.gif</t>
  </si>
  <si>
    <t>Grander Schupf- Berggasthaus, Gastro • St. Johann in Tirol • Tirol</t>
  </si>
  <si>
    <t>Gastronomiebetriebe • Grander Schupf- Berggasthaus, Eichenhof 6, St. Johann in Tirol • Kontakt über aktuelle Telefonnummern ☎ und Adressen ⚑ mit Karte, Routing, Öffnungszeiten, Homepage, E-Mail, vCard und Firmendaten.</t>
  </si>
  <si>
    <t>Eichenhof 6</t>
  </si>
  <si>
    <t>+43535263925</t>
  </si>
  <si>
    <t>info@granderschupf.at</t>
  </si>
  <si>
    <t>https://bilder.dasschnelle.at/DasSchnelle/50/5000/9896/046140/G_046140_P_906249713.adn.gif</t>
  </si>
  <si>
    <t>Hochreiter, Manuel, Tischlerei • Windischgarsten • Oberösterreich</t>
  </si>
  <si>
    <t>Tischlereien • Hochreiter, Manuel, Bahnhofstraße 12, Windischgarsten • Kontakt über aktuelle Telefonnummern ☎ und Adressen ⚑ mit Karte, Routing, Öffnungszeiten, Homepage, E-Mail, vCard und Firmendaten.</t>
  </si>
  <si>
    <t>47.7189</t>
  </si>
  <si>
    <t>14.32792</t>
  </si>
  <si>
    <t>+4375625217;+436645122199</t>
  </si>
  <si>
    <t>hochreiter@apanet.at</t>
  </si>
  <si>
    <t>https://bilder.dasschnelle.at/DasSchnelle/50/5000/9947/046100/G_046100_P_906249716.adn.gif</t>
  </si>
  <si>
    <t>Sorger, Karoline, Friseur • St. Kanzian am Klopeiner See • Kärnten</t>
  </si>
  <si>
    <t>Friseure • Sorger, Karoline, Klopeiner Straße 9, St. Kanzian am Klopeiner See • Kontakt über aktuelle Telefonnummern ☎ und Adressen ⚑ mit Karte, Routing, Öffnungszeiten, Homepage, E-Mail, vCard und Firmendaten.</t>
  </si>
  <si>
    <t>Klopeiner Straße 9</t>
  </si>
  <si>
    <t>46.6136</t>
  </si>
  <si>
    <t>14.5761</t>
  </si>
  <si>
    <t>+436649624600</t>
  </si>
  <si>
    <t>karoline.sorger10@gmail.com</t>
  </si>
  <si>
    <t>https://bilder.dasschnelle.at/DasSchnelle/50/5000/9942/042035/G_042035_P_906248955.adn.gif</t>
  </si>
  <si>
    <t>SIM Service Installationen Malle KG Gerhard Malle Heizung u. Alternativenergie • Eberndorf • Kärnten</t>
  </si>
  <si>
    <t>Installationen • SIM Service Installationen Malle KG Gerhard Malle Heizung u. Alternativenergie, Gablerner Straße 56, Eberndorf • Kontakt über aktuelle Telefonnummern ☎ und Adressen ⚑ mit Karte, Routing, Öffnungszeiten, Homepage, E-Mail, vCard und Firmendaten.</t>
  </si>
  <si>
    <t>Gablerner Straße 56</t>
  </si>
  <si>
    <t>46.5878206</t>
  </si>
  <si>
    <t>14.6561117</t>
  </si>
  <si>
    <t>+436641585393</t>
  </si>
  <si>
    <t>sim.malle@speed.at</t>
  </si>
  <si>
    <t>https://bilder.dasschnelle.at/DasSchnelle/50/5000/9942/042027/G_042027_P_906248957.adn.gif</t>
  </si>
  <si>
    <t>Raiffeisen Realitäten GmbH, Immobilien • Völkermarkt • Kärnten</t>
  </si>
  <si>
    <t>Immobilienmakler • Raiffeisen Realitäten GmbH, Hauptplatz 12, Völkermarkt • Kontakt über aktuelle Telefonnummern ☎ und Adressen ⚑ mit Karte, Routing, Öffnungszeiten, Homepage, E-Mail, vCard und Firmendaten.</t>
  </si>
  <si>
    <t>Hauptplatz 12</t>
  </si>
  <si>
    <t>14.63429</t>
  </si>
  <si>
    <t>+43423237329;+436642824286</t>
  </si>
  <si>
    <t>+4342323732965</t>
  </si>
  <si>
    <t>alfred.roessler@rbgk.raiffeisen.at</t>
  </si>
  <si>
    <t>https://bilder.dasschnelle.at/DasSchnelle/50/5000/9942/042037/I_042037_P_906249685_L_0036420862_1.png</t>
  </si>
  <si>
    <t>https://bilder.dasschnelle.at/DasSchnelle/50/5000/9942/042037/I_042037_P_906249685_B_0036420862_1.gal.png?height=403&amp;width=720;https://bilder.dasschnelle.at/DasSchnelle/50/5000/9942/042037/I_042037_P_906249685_B_0036420862_2.gal.png?height=403&amp;width=720;https://bilder.dasschnelle.at/DasSchnelle/50/5000/9942/042037/I_042037_P_906249685_B_0036420862_3.gal.png?height=276&amp;width=720;https://bilder.dasschnelle.at/DasSchnelle/50/5000/9942/042037/I_042037_P_906249685_B_0036420862_4.gal.png?height=432&amp;width=720</t>
  </si>
  <si>
    <t>Schwarz, Benedict, Optiker • St. Johann in Tirol • Tirol</t>
  </si>
  <si>
    <t>Optiker, Optik • Schwarz, Benedict, Poststraße 2, St. Johann in Tirol • Kontakt über aktuelle Telefonnummern ☎ und Adressen ⚑ mit Karte, Routing, Öffnungszeiten, Homepage, E-Mail, vCard und Firmendaten.</t>
  </si>
  <si>
    <t>Poststraße 2</t>
  </si>
  <si>
    <t>47.5218503</t>
  </si>
  <si>
    <t>12.4272075</t>
  </si>
  <si>
    <t>+43535263944</t>
  </si>
  <si>
    <t>office@optik-schwarz.info</t>
  </si>
  <si>
    <t>https://bilder.dasschnelle.at/DasSchnelle/50/5000/9896/046140/G_046140_P_906248990.adn.gif</t>
  </si>
  <si>
    <t>Popp, Karl, Dachdeckerei • Roßleithen • Oberösterreich</t>
  </si>
  <si>
    <t>Dachdeckereien, Spenglereien • Popp, Karl, Walchegg 49, Roßleithen • Kontakt über aktuelle Telefonnummern ☎ und Adressen ⚑ mit Karte, Routing, Öffnungszeiten, Homepage, E-Mail, vCard und Firmendaten.</t>
  </si>
  <si>
    <t>Walchegg 49</t>
  </si>
  <si>
    <t>47.7035108</t>
  </si>
  <si>
    <t>14.2713562</t>
  </si>
  <si>
    <t>+4375628051</t>
  </si>
  <si>
    <t>popp-dach@vpn.at</t>
  </si>
  <si>
    <t>https://bilder.dasschnelle.at/DasSchnelle/50/5000/9947/046092/I_046092_P_906248993_L_0036421085_1.png</t>
  </si>
  <si>
    <t>https://bilder.dasschnelle.at/DasSchnelle/50/5000/9947/046092/I_046092_P_906248993_B_0036421085_1.gal.png?height=150&amp;width=150;https://bilder.dasschnelle.at/DasSchnelle/50/5000/9947/046092/I_046092_P_906248993_B_0036421085_2.gal.png?height=150&amp;width=150;https://bilder.dasschnelle.at/DasSchnelle/50/5000/9947/046092/I_046092_P_906248993_B_0036421085_3.gal.png?height=150&amp;width=150;https://bilder.dasschnelle.at/DasSchnelle/50/5000/9947/046092/I_046092_P_906248993_B_0036421085_4.gal.png?height=150&amp;width=150</t>
  </si>
  <si>
    <t>DAN Küchen Krems • Krems • Niederösterreich</t>
  </si>
  <si>
    <t>Küchenstudios • DAN Küchen Krems, Wachaustrasse 42-4 B04-48 B04, Krems • Kontakt über aktuelle Telefonnummern ☎ und Adressen ⚑ mit Karte, Routing, Öffnungszeiten, Homepage, E-Mail, vCard und Firmendaten.</t>
  </si>
  <si>
    <t>Wachaustrasse 42-4 B04-48 B04</t>
  </si>
  <si>
    <t>48.4128000</t>
  </si>
  <si>
    <t>15.6112600</t>
  </si>
  <si>
    <t>+43273278483;+436764057440</t>
  </si>
  <si>
    <t>braeuhofer@dankuechen-krems.at</t>
  </si>
  <si>
    <t>https://bilder.dasschnelle.at/DasSchnelle/50/5000/9899/042057/I_042057_P_906249102_L_0039666901_1.png</t>
  </si>
  <si>
    <t>https://bilder.dasschnelle.at/DasSchnelle/50/5000/9899/042057/I_042057_P_906249102_B_0039666901_1.gal.png?height=480&amp;width=640;https://bilder.dasschnelle.at/DasSchnelle/50/5000/9899/042057/I_042057_P_906249102_B_0039666901_2.gal.png?height=540&amp;width=720;https://bilder.dasschnelle.at/DasSchnelle/50/5000/9899/042057/I_042057_P_906249102_B_0039666901_3.gal.png?height=540&amp;width=720;https://bilder.dasschnelle.at/DasSchnelle/50/5000/9899/042057/I_042057_P_906249102_B_0039666901_4.gal.png?height=540&amp;width=720</t>
  </si>
  <si>
    <t>F&amp;M Zechner Sonnenschutz OG, Sonnenschutzanlagen u Abdichtungen • Wertheim • Salzburg</t>
  </si>
  <si>
    <t>Sonnenschutzanlagen • F&amp;M Zechner Sonnenschutz OG, Wertheim • Kontakt über aktuelle Telefonnummern ☎ und Adressen ⚑ mit Karte, Routing, Öffnungszeiten, Homepage, E-Mail, vCard und Firmendaten.</t>
  </si>
  <si>
    <t>Wertheim</t>
  </si>
  <si>
    <t>47.9337114</t>
  </si>
  <si>
    <t>13.2400954</t>
  </si>
  <si>
    <t>+4362165734</t>
  </si>
  <si>
    <t>0ffice@zechner-sonnenschutz.at</t>
  </si>
  <si>
    <t>https://bilder.dasschnelle.at/DasSchnelle/50/5000/9935/043320/I_043320_P_906248995_L_0037075155_1.png</t>
  </si>
  <si>
    <t>https://bilder.dasschnelle.at/DasSchnelle/50/5000/9935/043320/I_043320_P_906248995_B_0037075155_1.gal.png?height=200&amp;width=590;https://bilder.dasschnelle.at/DasSchnelle/50/5000/9935/043320/I_043320_P_906248995_B_0037075155_2.gal.png?height=200&amp;width=590;https://bilder.dasschnelle.at/DasSchnelle/50/5000/9935/043320/I_043320_P_906248995_B_0037075155_3.gal.png?height=200&amp;width=590;https://bilder.dasschnelle.at/DasSchnelle/50/5000/9935/043320/I_043320_P_906248995_B_0037075155_4.gal.png?height=200&amp;width=590</t>
  </si>
  <si>
    <t>Dürnberger Elektrotechnik GmbH • Seeham • Salzburg</t>
  </si>
  <si>
    <t>Elektrotechnik • Dürnberger Elektrotechnik GmbH, Gewerbestraße 1, Seeham • Kontakt über aktuelle Telefonnummern ☎ und Adressen ⚑ mit Karte, Routing, Öffnungszeiten, Homepage, E-Mail, vCard und Firmendaten.</t>
  </si>
  <si>
    <t>47.96497</t>
  </si>
  <si>
    <t>13.0719</t>
  </si>
  <si>
    <t>+43621750090</t>
  </si>
  <si>
    <t>+4362175009020</t>
  </si>
  <si>
    <t>office@duernberger.cc</t>
  </si>
  <si>
    <t>https://bilder.dasschnelle.at/DasSchnelle/50/5000/9931/043328/I_043328_P_906248999_L_0037075175_1.png</t>
  </si>
  <si>
    <t>https://bilder.dasschnelle.at/DasSchnelle/50/5000/9931/043328/I_043328_P_906248999_B_0037075175_1.gal.png?height=142&amp;width=500;https://bilder.dasschnelle.at/DasSchnelle/50/5000/9931/043328/I_043328_P_906248999_B_0037075175_2.gal.png?height=214&amp;width=500;https://bilder.dasschnelle.at/DasSchnelle/50/5000/9931/043328/I_043328_P_906248999_B_0037075175_3.gal.png?height=225&amp;width=300</t>
  </si>
  <si>
    <t>Falbesonder, Martin, Holzbau • Nassereith • Tirol</t>
  </si>
  <si>
    <t>Holzbau • Falbesonder, Martin, Brunnwald 404, Nassereith • Kontakt über aktuelle Telefonnummern ☎ und Adressen ⚑ mit Karte, Routing, Öffnungszeiten, Homepage, E-Mail, vCard und Firmendaten.</t>
  </si>
  <si>
    <t>Brunnwald 404</t>
  </si>
  <si>
    <t>6465</t>
  </si>
  <si>
    <t>Nassereith</t>
  </si>
  <si>
    <t>47.31737</t>
  </si>
  <si>
    <t>10.82942</t>
  </si>
  <si>
    <t>+4352655112</t>
  </si>
  <si>
    <t>holzbau.falbesoner@aon.at</t>
  </si>
  <si>
    <t>https://bilder.dasschnelle.at/DasSchnelle/50/5000/9894/045647/I_045647_P_906249783_L_0036253869_1.png</t>
  </si>
  <si>
    <t>https://bilder.dasschnelle.at/DasSchnelle/50/5000/9894/045647/I_045647_P_906249783_B_0036253869_1.gal.png?height=394&amp;width=595;https://bilder.dasschnelle.at/DasSchnelle/50/5000/9894/045647/I_045647_P_906249783_B_0036253869_2.gal.png?height=394&amp;width=595;https://bilder.dasschnelle.at/DasSchnelle/50/5000/9894/045647/I_045647_P_906249783_B_0036253869_3.gal.png?height=394&amp;width=595;https://bilder.dasschnelle.at/DasSchnelle/50/5000/9894/045647/I_045647_P_906249783_B_0036253869_4.gal.png?height=394&amp;width=595</t>
  </si>
  <si>
    <t>Rausch KG, Spenglerei • Neumarkt am Wallersee • Salzburg</t>
  </si>
  <si>
    <t>Spenglereien • Rausch KG, Pfongau West 1 A, Neumarkt am Wallersee • Kontakt über aktuelle Telefonnummern ☎ und Adressen ⚑ mit Karte, Routing, Öffnungszeiten, Homepage, E-Mail, vCard und Firmendaten.</t>
  </si>
  <si>
    <t>Pfongau West 1 A</t>
  </si>
  <si>
    <t>47.95109</t>
  </si>
  <si>
    <t>13.22209</t>
  </si>
  <si>
    <t>+43621620929</t>
  </si>
  <si>
    <t>hari@rausch-dach.at</t>
  </si>
  <si>
    <t>https://bilder.dasschnelle.at/DasSchnelle/50/5000/9935/043320/G_043320_P_906249785.adn.gif</t>
  </si>
  <si>
    <t>Hemetsberger, Johann, Bestattung • Köstendorf • Salzburg</t>
  </si>
  <si>
    <t>Tischlereien • Hemetsberger, Johann, Untere Dorfstraße 9, Köstendorf • Kontakt über aktuelle Telefonnummern ☎ und Adressen ⚑ mit Karte, Routing, Öffnungszeiten, Homepage, E-Mail, vCard und Firmendaten.</t>
  </si>
  <si>
    <t>Untere Dorfstraße 9</t>
  </si>
  <si>
    <t>47.957</t>
  </si>
  <si>
    <t>13.20018</t>
  </si>
  <si>
    <t>+4362166509</t>
  </si>
  <si>
    <t>kontakt@tischlerei-hemetsberger.at</t>
  </si>
  <si>
    <t>https://bilder.dasschnelle.at/DasSchnelle/50/5000/9931/043333/G_043333_P_906249787.adn.gif</t>
  </si>
  <si>
    <t>Bezirksseniorenzentrum Eggelsberg • Eggelsberg • Oberösterreich</t>
  </si>
  <si>
    <t>Seniorenheime • Bezirksseniorenzentrum Eggelsberg, Weidenweg 1, Eggelsberg • Kontakt über aktuelle Telefonnummern ☎ und Adressen ⚑ mit Karte, Routing, Öffnungszeiten, Homepage, E-Mail, vCard und Firmendaten.</t>
  </si>
  <si>
    <t>Weidenweg 1</t>
  </si>
  <si>
    <t>48.0822560</t>
  </si>
  <si>
    <t>12.9938651</t>
  </si>
  <si>
    <t>+437748327770</t>
  </si>
  <si>
    <t>sh-eggelsberg.post@shvbr.at</t>
  </si>
  <si>
    <t>https://bilder.dasschnelle.at/DasSchnelle/50/5000/9872/044553/G_044553_P_906251208.adn.gif</t>
  </si>
  <si>
    <t>Puntigam GmbH, Baumaschinen • Deutsch Goritz • Steiermark</t>
  </si>
  <si>
    <t>Baumaschinen u. -geräte • Puntigam GmbH, Salsach 28, Deutsch Goritz • Kontakt über aktuelle Telefonnummern ☎ und Adressen ⚑ mit Karte, Routing, Öffnungszeiten, Homepage, E-Mail, vCard und Firmendaten.</t>
  </si>
  <si>
    <t>+43347470517</t>
  </si>
  <si>
    <t>office@baumaschinen-puntigam.at</t>
  </si>
  <si>
    <t>https://bilder.dasschnelle.at/DasSchnelle/50/5000/9920/061441/I_061441_P_906251209_L_0037379762_1.png</t>
  </si>
  <si>
    <t>https://bilder.dasschnelle.at/DasSchnelle/50/5000/9920/061441/I_061441_P_906251209_B_0037379762_1.gal.png?height=225&amp;width=720;https://bilder.dasschnelle.at/DasSchnelle/50/5000/9920/061441/I_061441_P_906251209_B_0037379762_2.gal.png?height=225&amp;width=720;https://bilder.dasschnelle.at/DasSchnelle/50/5000/9920/061441/I_061441_P_906251209_B_0037379762_3.gal.png?height=225&amp;width=720;https://bilder.dasschnelle.at/DasSchnelle/50/5000/9920/061441/I_061441_P_906251209_B_0037379762_4.gal.png?height=225&amp;width=720</t>
  </si>
  <si>
    <t>Abri, Samad, Dr.med., FA f Augenheilkunde • Eferding • Oberösterreich</t>
  </si>
  <si>
    <t>Ärzte / Fachärzte f. Augenheilkunde u. Optometrie • Abri, Samad, Dr.med., Oberer Graben 5, Eferding • Kontakt über aktuelle Telefonnummern ☎ und Adressen ⚑ mit Karte, Routing, Öffnungszeiten, Homepage, E-Mail, vCard und Firmendaten.</t>
  </si>
  <si>
    <t>Oberer Graben 5</t>
  </si>
  <si>
    <t>48.3094</t>
  </si>
  <si>
    <t>14.01994</t>
  </si>
  <si>
    <t>+43727270707</t>
  </si>
  <si>
    <t>praxis@augenarzt-abri.at</t>
  </si>
  <si>
    <t>https://bilder.dasschnelle.at/DasSchnelle/50/5000/9876/044805/G_044805_P_906251213.adn.gif</t>
  </si>
  <si>
    <t>Gapp, Elisabeth, Ing., Installationen • Stanzach • Tirol</t>
  </si>
  <si>
    <t>Installationsunternehmen • Gapp, Elisabeth, Ing., Lend 1, Stanzach • Kontakt über aktuelle Telefonnummern ☎ und Adressen ⚑ mit Karte, Routing, Öffnungszeiten, Homepage, E-Mail, vCard und Firmendaten.</t>
  </si>
  <si>
    <t>Lend 1</t>
  </si>
  <si>
    <t>6642</t>
  </si>
  <si>
    <t>Stanzach</t>
  </si>
  <si>
    <t>47.3820053</t>
  </si>
  <si>
    <t>10.5931543</t>
  </si>
  <si>
    <t>+4356322140</t>
  </si>
  <si>
    <t>+4356322144</t>
  </si>
  <si>
    <t>info@gapp.tirol</t>
  </si>
  <si>
    <t>https://bilder.dasschnelle.at/DasSchnelle/50/5000/9921/042605/G_042605_P_906251217.adn.gif</t>
  </si>
  <si>
    <t>Wäger &amp; Hechl  • Brixen im Thale • Tirol</t>
  </si>
  <si>
    <t>Fliesenfachhandel • Wäger &amp; Hechl, Brixentalerstrasse 1, Brixen im Thale • Kontakt über aktuelle Telefonnummern ☎ und Adressen ⚑ mit Karte, Routing, Öffnungszeiten, Homepage, E-Mail, vCard und Firmendaten.</t>
  </si>
  <si>
    <t>Brixentalerstrasse 1</t>
  </si>
  <si>
    <t>6364</t>
  </si>
  <si>
    <t>Brixen im Thale</t>
  </si>
  <si>
    <t>47.44917</t>
  </si>
  <si>
    <t>12.32512</t>
  </si>
  <si>
    <t>+436645102254</t>
  </si>
  <si>
    <t>j.lang@waeger.at</t>
  </si>
  <si>
    <t>https://bilder.dasschnelle.at/DasSchnelle/50/5000/9896/046133/G_046133_P_906251445.adn.gif</t>
  </si>
  <si>
    <t>Gugglberger, Thomas, Tischlerei • Ellmau • Tirol</t>
  </si>
  <si>
    <t>Tischlereien • Gugglberger, Thomas, Föhrenwald 66, Ellmau • Kontakt über aktuelle Telefonnummern ☎ und Adressen ⚑ mit Karte, Routing, Öffnungszeiten, Homepage, E-Mail, vCard und Firmendaten.</t>
  </si>
  <si>
    <t>Föhrenwald 66</t>
  </si>
  <si>
    <t>6352</t>
  </si>
  <si>
    <t>Ellmau</t>
  </si>
  <si>
    <t>47.52586</t>
  </si>
  <si>
    <t>12.296</t>
  </si>
  <si>
    <t>+436645108245</t>
  </si>
  <si>
    <t>mail@tischlereigugglberger.at</t>
  </si>
  <si>
    <t>https://bilder.dasschnelle.at/DasSchnelle/50/5000/9896/046152/G_046152_P_906251220.adn.gif</t>
  </si>
  <si>
    <t>Kitzbüheler Bestattung WV GmbH • Kitzbühel • Tirol</t>
  </si>
  <si>
    <t>Bestattungsunternehmen • Kitzbüheler Bestattung WV GmbH, Jochberger Straße 62, Kitzbühel • Kontakt über aktuelle Telefonnummern ☎ und Adressen ⚑ mit Karte, Routing, Öffnungszeiten, Homepage, E-Mail, vCard und Firmendaten.</t>
  </si>
  <si>
    <t>Jochberger Straße 62</t>
  </si>
  <si>
    <t>47.43888</t>
  </si>
  <si>
    <t>12.4</t>
  </si>
  <si>
    <t>+43535664247;+436643554760;+436644520014</t>
  </si>
  <si>
    <t>+43535672914</t>
  </si>
  <si>
    <t>kitzbuehel@trauerhilfe.at</t>
  </si>
  <si>
    <t>https://bilder.dasschnelle.at/DasSchnelle/50/5000/9896/046135/I_046135_P_906251402_L_0036261756_1.png</t>
  </si>
  <si>
    <t>https://bilder.dasschnelle.at/DasSchnelle/50/5000/9896/046135/I_046135_P_906251402_B_0036261756_1.gal.png?height=225&amp;width=360;https://bilder.dasschnelle.at/DasSchnelle/50/5000/9896/046135/I_046135_P_906251402_B_0036261756_2.gal.png?height=225&amp;width=360;https://bilder.dasschnelle.at/DasSchnelle/50/5000/9896/046135/I_046135_P_906251402_B_0036261756_3.gal.png?height=225&amp;width=360</t>
  </si>
  <si>
    <t>Resch Schlosserei GmbH • Jochberg • Tirol</t>
  </si>
  <si>
    <t>Schlossereien • Resch Schlosserei GmbH, Kitzbüheler Straße 28, Jochberg • Kontakt über aktuelle Telefonnummern ☎ und Adressen ⚑ mit Karte, Routing, Öffnungszeiten, Homepage, E-Mail, vCard und Firmendaten.</t>
  </si>
  <si>
    <t>Kitzbüheler Straße 28</t>
  </si>
  <si>
    <t>47.39323</t>
  </si>
  <si>
    <t>12.42425</t>
  </si>
  <si>
    <t>+4353555550;+436644225776;+436644236119</t>
  </si>
  <si>
    <t>+4353555959</t>
  </si>
  <si>
    <t>schlossereiresch@torauf-torzu-resch.at</t>
  </si>
  <si>
    <t>https://bilder.dasschnelle.at/DasSchnelle/50/5000/9896/046132/G_046132_P_906251413.adn.gif</t>
  </si>
  <si>
    <t>Bruckschlögl GesmbH, Kfz-Werkst • Reiterndorf • Oberösterreich</t>
  </si>
  <si>
    <t>Autohandel, Autoreparaturen • Bruckschlögl GesmbH, Rosenkranzgasse 3, Reiterndorf • Kontakt über aktuelle Telefonnummern ☎ und Adressen ⚑ mit Karte, Routing, Öffnungszeiten, Homepage, E-Mail, vCard und Firmendaten.</t>
  </si>
  <si>
    <t>Rosenkranzgasse 3</t>
  </si>
  <si>
    <t>Reiterndorf</t>
  </si>
  <si>
    <t>47.7041</t>
  </si>
  <si>
    <t>13.6288</t>
  </si>
  <si>
    <t>+43613225566</t>
  </si>
  <si>
    <t>office@bruckschloegl.co.at</t>
  </si>
  <si>
    <t>https://bilder.dasschnelle.at/DasSchnelle/50/5000/9868/041790/G_041790_P_906251930.adn.gif</t>
  </si>
  <si>
    <t>Fink, Rainer, Dr.med., FA für Radiologie • Braunau am Inn • Oberösterreich</t>
  </si>
  <si>
    <t>Radiologie • Fink, Rainer, Dr.med., Stadtplatz 6, Braunau am Inn • Kontakt über aktuelle Telefonnummern ☎ und Adressen ⚑ mit Karte, Routing, Öffnungszeiten, Homepage, E-Mail, vCard und Firmendaten.</t>
  </si>
  <si>
    <t>+43772265959</t>
  </si>
  <si>
    <t>praxis@euer-durchleucht.at</t>
  </si>
  <si>
    <t>https://bilder.dasschnelle.at/DasSchnelle/50/5000/9872/044551/G_044551_P_906251932.adn.gif</t>
  </si>
  <si>
    <t>ACTIVA Linortner-Unterberger OG, Versicherungsmakler • Bad Ischl • Oberösterreich</t>
  </si>
  <si>
    <t>Versicherungsmakler • ACTIVA Linortner-Unterberger OG, Salzburger Straße 8Kaiserkrone, Bad Ischl • Kontakt über aktuelle Telefonnummern ☎ und Adressen ⚑ mit Karte, Routing, Öffnungszeiten, Homepage, E-Mail, vCard und Firmendaten.</t>
  </si>
  <si>
    <t>Salzburger Straße 8Kaiserkrone</t>
  </si>
  <si>
    <t>+43613222811</t>
  </si>
  <si>
    <t>+4361322281120</t>
  </si>
  <si>
    <t>office@activa-web.at</t>
  </si>
  <si>
    <t>https://bilder.dasschnelle.at/DasSchnelle/50/5000/9868/041790/G_041790_P_906251939.adn.gif</t>
  </si>
  <si>
    <t>Taubinger, Thomas, Mag., Steuerberatung • Eferding • Oberösterreich</t>
  </si>
  <si>
    <t>Steuerberater, Wirtschaftstreuhänder / Steuerberater • Taubinger, Thomas, Mag., Oberer Graben 7, Eferding • Kontakt über aktuelle Telefonnummern ☎ und Adressen ⚑ mit Karte, Routing, Öffnungszeiten, Homepage, E-Mail, vCard und Firmendaten.</t>
  </si>
  <si>
    <t>Oberer Graben 7</t>
  </si>
  <si>
    <t>48.30998</t>
  </si>
  <si>
    <t>14.02001</t>
  </si>
  <si>
    <t>+43727224650</t>
  </si>
  <si>
    <t>office@taubinger.info</t>
  </si>
  <si>
    <t>https://bilder.dasschnelle.at/DasSchnelle/50/5000/9876/044805/I_044805_P_906251935_L_0036252624_1.png</t>
  </si>
  <si>
    <t>WINKLER PFLASTERBAU • Lochen am See • Oberösterreich</t>
  </si>
  <si>
    <t>Pflaster u. Pflasterungen • WINKLER PFLASTERBAU, Scherschham 34, Lochen am See • Kontakt über aktuelle Telefonnummern ☎ und Adressen ⚑ mit Karte, Routing, Öffnungszeiten, Homepage, E-Mail, vCard und Firmendaten.</t>
  </si>
  <si>
    <t>Scherschham 34</t>
  </si>
  <si>
    <t>5221</t>
  </si>
  <si>
    <t>Lochen am See</t>
  </si>
  <si>
    <t>48.0216370</t>
  </si>
  <si>
    <t>13.1765878</t>
  </si>
  <si>
    <t>+436502654101</t>
  </si>
  <si>
    <t>manuelwinkler33@gmail.com</t>
  </si>
  <si>
    <t>https://bilder.dasschnelle.at/DasSchnelle/50/5000/9872/044775/I_044775_P_906251942_L_0036262479_1.png</t>
  </si>
  <si>
    <t>https://bilder.dasschnelle.at/DasSchnelle/50/5000/9872/044775/I_044775_P_906251942_B_0036262479_1.gal.png?height=450&amp;width=600;https://bilder.dasschnelle.at/DasSchnelle/50/5000/9872/044775/I_044775_P_906251942_B_0036262479_2.gal.png?height=450&amp;width=600;https://bilder.dasschnelle.at/DasSchnelle/50/5000/9872/044775/I_044775_P_906251942_B_0036262479_3.gal.png?height=374&amp;width=600</t>
  </si>
  <si>
    <t>Schuh Ski Sportartikelhandel und Sportmarketingservice GesmbH • Bad Ischl • Oberösterreich</t>
  </si>
  <si>
    <t>Sportartikel u. -geräte • Schuh Ski Sportartikelhandel und Sportmarketingservice GesmbH, Salzburger Straße 92, Bad Ischl • Kontakt über aktuelle Telefonnummern ☎ und Adressen ⚑ mit Karte, Routing, Öffnungszeiten, Homepage, E-Mail, vCard und Firmendaten.</t>
  </si>
  <si>
    <t>Salzburger Straße 92</t>
  </si>
  <si>
    <t>47.71853</t>
  </si>
  <si>
    <t>13.58668</t>
  </si>
  <si>
    <t>+43613221483</t>
  </si>
  <si>
    <t>office@schuhski.at</t>
  </si>
  <si>
    <t>https://bilder.dasschnelle.at/DasSchnelle/50/5000/9868/041790/I_041790_P_906251944_L_0036420864_1.png</t>
  </si>
  <si>
    <t>https://bilder.dasschnelle.at/DasSchnelle/50/5000/9868/041790/I_041790_P_906251944_B_0036420864_1.gal.png?height=400&amp;width=600;https://bilder.dasschnelle.at/DasSchnelle/50/5000/9868/041790/I_041790_P_906251944_B_0036420864_2.gal.png?height=400&amp;width=600</t>
  </si>
  <si>
    <t>Schwaiger, Matthias, Spenglerei • Kirchberg in Tirol • Tirol</t>
  </si>
  <si>
    <t>Spenglereien • Schwaiger, Matthias, Spenglergasse 6, Kirchberg in Tirol • Kontakt über aktuelle Telefonnummern ☎ und Adressen ⚑ mit Karte, Routing, Öffnungszeiten, Homepage, E-Mail, vCard und Firmendaten.</t>
  </si>
  <si>
    <t>Spenglergasse 6</t>
  </si>
  <si>
    <t>47.44706</t>
  </si>
  <si>
    <t>12.31257</t>
  </si>
  <si>
    <t>+4353572361;+436643410546</t>
  </si>
  <si>
    <t>m.schwaiger@dach-glas.at</t>
  </si>
  <si>
    <t>https://bilder.dasschnelle.at/DasSchnelle/50/5000/9896/046133/G_046133_P_906251948.adn.gif</t>
  </si>
  <si>
    <t>Ahammer, Peter, Autoersatzteile • Bad Ischl • Oberösterreich</t>
  </si>
  <si>
    <t>Autoersatzteile u. -zubehör • Ahammer, Peter, Salzburger Straße 81, Bad Ischl • Kontakt über aktuelle Telefonnummern ☎ und Adressen ⚑ mit Karte, Routing, Öffnungszeiten, Homepage, E-Mail, vCard und Firmendaten.</t>
  </si>
  <si>
    <t>Salzburger Straße 81</t>
  </si>
  <si>
    <t>47.71737</t>
  </si>
  <si>
    <t>13.5984</t>
  </si>
  <si>
    <t>+43613225451</t>
  </si>
  <si>
    <t>office@exmanco.at</t>
  </si>
  <si>
    <t>https://bilder.dasschnelle.at/DasSchnelle/50/5000/9868/041790/G_041790_P_906252081.adn.gif</t>
  </si>
  <si>
    <t>Exenberger Elektro-Technik GmbH • Kitzbühel • Tirol</t>
  </si>
  <si>
    <t>Elektrotechnik • Exenberger Elektro-Technik GmbH, Jochberger Straße 129, Kitzbühel • Kontakt über aktuelle Telefonnummern ☎ und Adressen ⚑ mit Karte, Routing, Öffnungszeiten, Homepage, E-Mail, vCard und Firmendaten.</t>
  </si>
  <si>
    <t>Jochberger Straße 129</t>
  </si>
  <si>
    <t>47.43405</t>
  </si>
  <si>
    <t>12.40712</t>
  </si>
  <si>
    <t>+43535667444;+43535673399</t>
  </si>
  <si>
    <t>office@kitz-elektro.at</t>
  </si>
  <si>
    <t>https://bilder.dasschnelle.at/DasSchnelle/50/5000/9896/046135/G_046135_P_906252078.adn.gif</t>
  </si>
  <si>
    <t>Sonnleitner, Karl jun., Taxi • Spital am Pyhrn • Oberösterreich</t>
  </si>
  <si>
    <t>Autobusunternehmen, Krankentransporte / Krankenbeförderung, Taxi • Sonnleitner, Karl jun., Austraße 11, Spital am Pyhrn • Kontakt über aktuelle Telefonnummern ☎ und Adressen ⚑ mit Karte, Routing, Öffnungszeiten, Homepage, E-Mail, vCard und Firmendaten.</t>
  </si>
  <si>
    <t>Austraße 11</t>
  </si>
  <si>
    <t>47.7281796</t>
  </si>
  <si>
    <t>14.2952638</t>
  </si>
  <si>
    <t>+436645222800</t>
  </si>
  <si>
    <t>k.sonnleitnertaxi@a1.net</t>
  </si>
  <si>
    <t>https://bilder.dasschnelle.at/DasSchnelle/50/5000/9947/046095/G_046095_P_906252088.adn.gif</t>
  </si>
  <si>
    <t>Zweirad Erwin Unterberger, Zweirad • Bad Ischl • Oberösterreich</t>
  </si>
  <si>
    <t>Zweiräder • Zweirad Erwin Unterberger, Salzburger Straße 54, Bad Ischl • Kontakt über aktuelle Telefonnummern ☎ und Adressen ⚑ mit Karte, Routing, Öffnungszeiten, Homepage, E-Mail, vCard und Firmendaten.</t>
  </si>
  <si>
    <t>Salzburger Straße 54</t>
  </si>
  <si>
    <t>47.71917</t>
  </si>
  <si>
    <t>13.60802</t>
  </si>
  <si>
    <t>+43613225547</t>
  </si>
  <si>
    <t>+43613222406</t>
  </si>
  <si>
    <t>info@2rad.cc</t>
  </si>
  <si>
    <t>https://bilder.dasschnelle.at/DasSchnelle/50/5000/9868/041790/G_041790_P_906252085.adn.gif</t>
  </si>
  <si>
    <t>Auto Wiener Fahrzeughandel GmbH &amp; Co KG • Sulzbach • Oberösterreich</t>
  </si>
  <si>
    <t>Autohandel, Autoreparaturen • Auto Wiener Fahrzeughandel GmbH &amp; Co KG, Sulzbacherstraße 76, Sulzbach • Kontakt über aktuelle Telefonnummern ☎ und Adressen ⚑ mit Karte, Routing, Öffnungszeiten, Homepage, E-Mail, vCard und Firmendaten.</t>
  </si>
  <si>
    <t>Sulzbacherstraße 76</t>
  </si>
  <si>
    <t>Sulzbach</t>
  </si>
  <si>
    <t>47.69084</t>
  </si>
  <si>
    <t>13.62224</t>
  </si>
  <si>
    <t>+43613226993</t>
  </si>
  <si>
    <t>+4361322699315</t>
  </si>
  <si>
    <t>m.wiener@autowiener.at</t>
  </si>
  <si>
    <t>https://bilder.dasschnelle.at/DasSchnelle/50/5000/9868/041790/G_041790_P_906252092.adn.gif</t>
  </si>
  <si>
    <t>EHZ Elektrotechnik • Mitterstoder • Oberösterreich</t>
  </si>
  <si>
    <t>Elektrotechnik • EHZ Elektrotechnik, Mitterstoder • Kontakt über aktuelle Telefonnummern ☎ und Adressen ⚑ mit Karte, Routing, Öffnungszeiten, Homepage, E-Mail, vCard und Firmendaten.</t>
  </si>
  <si>
    <t>4573</t>
  </si>
  <si>
    <t>Mitterstoder</t>
  </si>
  <si>
    <t>47.7038916</t>
  </si>
  <si>
    <t>14.1695729</t>
  </si>
  <si>
    <t>+436645210495</t>
  </si>
  <si>
    <t>office.ehz@aon.at</t>
  </si>
  <si>
    <t>https://bilder.dasschnelle.at/DasSchnelle/50/5000/9947/046080/G_046080_P_906252095.adn.gif</t>
  </si>
  <si>
    <t>Elektro Gruber GmbH • Neumarkt am Wallersee • Salzburg</t>
  </si>
  <si>
    <t>Elektroinstallationsunternehmen • Elektro Gruber GmbH, Bahnhofstraße 13, Neumarkt am Wallersee • Kontakt über aktuelle Telefonnummern ☎ und Adressen ⚑ mit Karte, Routing, Öffnungszeiten, Homepage, E-Mail, vCard und Firmendaten.</t>
  </si>
  <si>
    <t>Bahnhofstraße 13</t>
  </si>
  <si>
    <t>+4362168098</t>
  </si>
  <si>
    <t>elektrogruber@aon.at</t>
  </si>
  <si>
    <t>https://bilder.dasschnelle.at/DasSchnelle/50/5000/9935/043320/I_043320_P_906251305_L_0036031601_1.png</t>
  </si>
  <si>
    <t>https://bilder.dasschnelle.at/DasSchnelle/50/5000/9935/043320/I_043320_P_906251305_B_0036031601_1.gal.png?height=354&amp;width=700;https://bilder.dasschnelle.at/DasSchnelle/50/5000/9935/043320/I_043320_P_906251305_B_0036031601_2.gal.png?height=944&amp;width=700;https://bilder.dasschnelle.at/DasSchnelle/50/5000/9935/043320/I_043320_P_906251305_B_0036031601_3.gal.png?height=949&amp;width=700</t>
  </si>
  <si>
    <t>HOGO Bau-und Dämmstoffe • Bad Eisenkappel • Kärnten</t>
  </si>
  <si>
    <t>Baustoffhandel • HOGO Bau-und Dämmstoffe, Leppen 35, Bad Eisenkappel • Kontakt über aktuelle Telefonnummern ☎ und Adressen ⚑ mit Karte, Routing, Öffnungszeiten, Homepage, E-Mail, vCard und Firmendaten.</t>
  </si>
  <si>
    <t>Leppen 35</t>
  </si>
  <si>
    <t>46.4876357</t>
  </si>
  <si>
    <t>14.6581356</t>
  </si>
  <si>
    <t>+436508220386</t>
  </si>
  <si>
    <t>g.osojnik@utanet.at</t>
  </si>
  <si>
    <t>https://bilder.dasschnelle.at/DasSchnelle/50/5000/9942/042028/G_042028_P_906251307.adn.gif</t>
  </si>
  <si>
    <t>Burkhardt, Oliver, Cafe Reinhart • Eberndorf • Kärnten</t>
  </si>
  <si>
    <t>Cafés • Burkhardt, Oliver, Cafe Reinhart, Kreuzberglweg 1, Eberndorf • Kontakt über aktuelle Telefonnummern ☎ und Adressen ⚑ mit Karte, Routing, Öffnungszeiten, Homepage, E-Mail, vCard und Firmendaten.</t>
  </si>
  <si>
    <t>Kreuzberglweg 1</t>
  </si>
  <si>
    <t>46.59082</t>
  </si>
  <si>
    <t>14.6424</t>
  </si>
  <si>
    <t>+4342362140</t>
  </si>
  <si>
    <t>oliver.burkhardt@gmx.at</t>
  </si>
  <si>
    <t>https://bilder.dasschnelle.at/DasSchnelle/50/5000/9942/042027/G_042027_P_906251912.adn.gif</t>
  </si>
  <si>
    <t>Orthopädietechnik, Orthopädische Bedarfsartikel • Bad Ischl • Oberösterreich</t>
  </si>
  <si>
    <t>Orthopädische Bedarfsartikel • Orthopädietechnik, Dr.-Mayer-Straße 1, Bad Ischl • Kontakt über aktuelle Telefonnummern ☎ und Adressen ⚑ mit Karte, Routing, Öffnungszeiten, Homepage, E-Mail, vCard und Firmendaten.</t>
  </si>
  <si>
    <t>Dr.-Mayer-Straße 1</t>
  </si>
  <si>
    <t>47.707195</t>
  </si>
  <si>
    <t>13.6244749</t>
  </si>
  <si>
    <t>+43613224897</t>
  </si>
  <si>
    <t>ortopaedie.bernd@aon.at</t>
  </si>
  <si>
    <t>https://bilder.dasschnelle.at/DasSchnelle/50/5000/9868/041790/G_041790_P_906251914.adn.gif</t>
  </si>
  <si>
    <t>Anlanger, Reinhold, Bestattungsunternehmen • Bad Ischl • Oberösterreich</t>
  </si>
  <si>
    <t>Bestattungsunternehmen • Anlanger, Reinhold, Grazer Straße 25 A, Bad Ischl • Kontakt über aktuelle Telefonnummern ☎ und Adressen ⚑ mit Karte, Routing, Öffnungszeiten, Homepage, E-Mail, vCard und Firmendaten.</t>
  </si>
  <si>
    <t>Grazer Straße 25 A</t>
  </si>
  <si>
    <t>47.70797</t>
  </si>
  <si>
    <t>13.62453</t>
  </si>
  <si>
    <t>+4361322323420;+436643376266;+4361357493</t>
  </si>
  <si>
    <t>+4361322323420</t>
  </si>
  <si>
    <t>bestattung@anlanger.com</t>
  </si>
  <si>
    <t>https://bilder.dasschnelle.at/DasSchnelle/50/5000/9868/041790/G_041790_P_906251922.adn.gif</t>
  </si>
  <si>
    <t>Pernkopf &amp; Haas GesmbH, Elektro-, Gas- u Wasserinstallationen • Bad Ischl • Oberösterreich</t>
  </si>
  <si>
    <t>Heizungen, Installationsunternehmen • Pernkopf &amp; Haas GesmbH, Tänzlgasse 2 A, Bad Ischl • Kontakt über aktuelle Telefonnummern ☎ und Adressen ⚑ mit Karte, Routing, Öffnungszeiten, Homepage, E-Mail, vCard und Firmendaten.</t>
  </si>
  <si>
    <t>Tänzlgasse 2 A</t>
  </si>
  <si>
    <t>47.70964</t>
  </si>
  <si>
    <t>13.61769</t>
  </si>
  <si>
    <t>+436132282730</t>
  </si>
  <si>
    <t>+4361322827310</t>
  </si>
  <si>
    <t>elektro@pernkopf-haas.at</t>
  </si>
  <si>
    <t>https://bilder.dasschnelle.at/DasSchnelle/50/5000/9868/041790/I_041790_P_906252054_L_0036242931_1.png</t>
  </si>
  <si>
    <t>https://bilder.dasschnelle.at/DasSchnelle/50/5000/9868/041790/I_041790_P_906252054_B_0036242931_1.gal.png?height=480&amp;width=800;https://bilder.dasschnelle.at/DasSchnelle/50/5000/9868/041790/I_041790_P_906252054_B_0036242931_2.gal.png?height=480&amp;width=800;https://bilder.dasschnelle.at/DasSchnelle/50/5000/9868/041790/I_041790_P_906252054_B_0036242931_3.gal.png?height=480&amp;width=800;https://bilder.dasschnelle.at/DasSchnelle/50/5000/9868/041790/I_041790_P_906252054_B_0036242931_4.gal.png?height=240&amp;width=400</t>
  </si>
  <si>
    <t>Schneidinger, Thomas, Glaserei • Aurach bei Kitzbühel • Tirol</t>
  </si>
  <si>
    <t>Glasereien • Schneidinger, Thomas, Aschbachweg 5, Aurach bei Kitzbühel • Kontakt über aktuelle Telefonnummern ☎ und Adressen ⚑ mit Karte, Routing, Öffnungszeiten, Homepage, E-Mail, vCard und Firmendaten.</t>
  </si>
  <si>
    <t>Aschbachweg 5</t>
  </si>
  <si>
    <t>6371</t>
  </si>
  <si>
    <t>Aurach bei Kitzbühel</t>
  </si>
  <si>
    <t>47.42213</t>
  </si>
  <si>
    <t>12.41584</t>
  </si>
  <si>
    <t>+43535662703</t>
  </si>
  <si>
    <t>+43535674036</t>
  </si>
  <si>
    <t>office@toms-glaserei.at</t>
  </si>
  <si>
    <t>https://bilder.dasschnelle.at/DasSchnelle/50/5000/9896/045932/G_045932_P_906251376.adn.gif</t>
  </si>
  <si>
    <t>Berger Installationen • Rosenau am Hengstpaß • Oberösterreich</t>
  </si>
  <si>
    <t>Installationsunternehmen • Berger Installationen, Dambach 46, Rosenau am Hengstpaß • Kontakt über aktuelle Telefonnummern ☎ und Adressen ⚑ mit Karte, Routing, Öffnungszeiten, Homepage, E-Mail, vCard und Firmendaten.</t>
  </si>
  <si>
    <t>Dambach 46</t>
  </si>
  <si>
    <t>47.7230962</t>
  </si>
  <si>
    <t>14.4063186</t>
  </si>
  <si>
    <t>+43756220788</t>
  </si>
  <si>
    <t>berger@berger-installationen.com</t>
  </si>
  <si>
    <t>https://bilder.dasschnelle.at/DasSchnelle/50/5000/9947/046091/G_046091_P_906251380.adn.gif</t>
  </si>
  <si>
    <t>at automobile • Ternitz • Niederösterreich</t>
  </si>
  <si>
    <t>Autohandel • at automobile, Triesterstraße 33, Ternitz • Kontakt über aktuelle Telefonnummern ☎ und Adressen ⚑ mit Karte, Routing, Öffnungszeiten, Homepage, E-Mail, vCard und Firmendaten.</t>
  </si>
  <si>
    <t>Triesterstraße 33</t>
  </si>
  <si>
    <t>47.7097173</t>
  </si>
  <si>
    <t>16.0454712</t>
  </si>
  <si>
    <t>+436604564733</t>
  </si>
  <si>
    <t>office@at-automobile.at</t>
  </si>
  <si>
    <t>https://bilder.dasschnelle.at/DasSchnelle/50/5000/9913/041861/I_041861_P_906251384_L_0038345479_1.png</t>
  </si>
  <si>
    <t>https://bilder.dasschnelle.at/DasSchnelle/50/5000/9913/041861/I_041861_P_906251384_B_0038345479_1.gal.png?height=540&amp;width=720;https://bilder.dasschnelle.at/DasSchnelle/50/5000/9913/041861/I_041861_P_906251384_B_0038345479_2.gal.png?height=506&amp;width=720;https://bilder.dasschnelle.at/DasSchnelle/50/5000/9913/041861/I_041861_P_906251384_B_0038345479_3.gal.png?height=450&amp;width=600;https://bilder.dasschnelle.at/DasSchnelle/50/5000/9913/041861/I_041861_P_906251384_B_0038345479_4.gal.png?height=450&amp;width=600</t>
  </si>
  <si>
    <t>Heizbär GmbH, Haustechnik • Ternitz • Niederösterreich</t>
  </si>
  <si>
    <t>Haustechnik • Heizbär GmbH, Forstnerweg 17, Ternitz • Kontakt über aktuelle Telefonnummern ☎ und Adressen ⚑ mit Karte, Routing, Öffnungszeiten, Homepage, E-Mail, vCard und Firmendaten.</t>
  </si>
  <si>
    <t>Forstnerweg 17</t>
  </si>
  <si>
    <t>47.71965</t>
  </si>
  <si>
    <t>16.0263</t>
  </si>
  <si>
    <t>+43263032319</t>
  </si>
  <si>
    <t>office@heizbaer.at</t>
  </si>
  <si>
    <t>https://bilder.dasschnelle.at/DasSchnelle/50/5000/9913/041861/G_041861_P_906251386.adn.gif</t>
  </si>
  <si>
    <t>Abdichtunge DA Ges.m.b.H • Seekirchen • Salzburg</t>
  </si>
  <si>
    <t>Sachverständige • Abdichtunge DA Ges.m.b.H, Rupertusstraße 44, Seekirchen • Kontakt über aktuelle Telefonnummern ☎ und Adressen ⚑ mit Karte, Routing, Öffnungszeiten, Homepage, E-Mail, vCard und Firmendaten.</t>
  </si>
  <si>
    <t>Rupertusstraße 44</t>
  </si>
  <si>
    <t>47.8891900</t>
  </si>
  <si>
    <t>13.1208400</t>
  </si>
  <si>
    <t>+4362122111;+436763508575</t>
  </si>
  <si>
    <t>office@da-abdichtung.at</t>
  </si>
  <si>
    <t>https://bilder.dasschnelle.at/DasSchnelle/50/5000/9931/043333/I_043333_P_906251390_L_0038571749_1.png</t>
  </si>
  <si>
    <t>Tischlerei HuPf GmbH, Tischlereien • Neunkirchen • Niederösterreich</t>
  </si>
  <si>
    <t>Tischlereien • Tischlerei HuPf GmbH, Semmelweisstraße 5, Neunkirchen • Kontakt über aktuelle Telefonnummern ☎ und Adressen ⚑ mit Karte, Routing, Öffnungszeiten, Homepage, E-Mail, vCard und Firmendaten.</t>
  </si>
  <si>
    <t>Semmelweisstraße 5</t>
  </si>
  <si>
    <t>47.7293566</t>
  </si>
  <si>
    <t>16.0887458</t>
  </si>
  <si>
    <t>+43263562998</t>
  </si>
  <si>
    <t>office@tischlerei-hupf.at</t>
  </si>
  <si>
    <t>https://bilder.dasschnelle.at/DasSchnelle/50/5000/9913/041844/G_041844_P_906251400.adn.gif</t>
  </si>
  <si>
    <t>EXIT-sozial, Verein f.psychosoziale Dienste • Eferding • Oberösterreich</t>
  </si>
  <si>
    <t>Lebens- u. Sozialberatung • EXIT-sozial, Verein f.psychosoziale Dienste, Bahnhofstraße 3, Eferding • Kontakt über aktuelle Telefonnummern ☎ und Adressen ⚑ mit Karte, Routing, Öffnungszeiten, Homepage, E-Mail, vCard und Firmendaten.</t>
  </si>
  <si>
    <t>48.30776</t>
  </si>
  <si>
    <t>14.02061</t>
  </si>
  <si>
    <t>+4372727020</t>
  </si>
  <si>
    <t>psz.ef.beratung@exitsozial.at</t>
  </si>
  <si>
    <t>https://bilder.dasschnelle.at/DasSchnelle/50/5000/9876/044805/G_044805_P_906251501.adn.gif</t>
  </si>
  <si>
    <t>Bestattung Stranz GmbH, Bestattung • Grafenbach • Niederösterreich</t>
  </si>
  <si>
    <t>Bestattungsunternehmen • Bestattung Stranz GmbH, Dammstraße 2, Grafenbach • Kontakt über aktuelle Telefonnummern ☎ und Adressen ⚑ mit Karte, Routing, Öffnungszeiten, Homepage, E-Mail, vCard und Firmendaten.</t>
  </si>
  <si>
    <t>Dammstraße 2</t>
  </si>
  <si>
    <t>Grafenbach</t>
  </si>
  <si>
    <t>47.6922889</t>
  </si>
  <si>
    <t>16.0066990</t>
  </si>
  <si>
    <t>+432630382920</t>
  </si>
  <si>
    <t>office@bestattung-stranz.at</t>
  </si>
  <si>
    <t>https://bilder.dasschnelle.at/DasSchnelle/50/5000/9913/041838/G_041838_P_906252023.adn.gif</t>
  </si>
  <si>
    <t>KREMS SCHROTT GmbH, Transporte • Gloggnitz • Niederösterreich</t>
  </si>
  <si>
    <t>Containerdienste, Metallbe- u. -verarbeitung, Schrott, Transportunternehmen • KREMS SCHROTT GmbH, Stuppacher Straße 40, Gloggnitz • Kontakt über aktuelle Telefonnummern ☎ und Adressen ⚑ mit Karte, Routing, Öffnungszeiten, Homepage, E-Mail, vCard und Firmendaten.</t>
  </si>
  <si>
    <t>Stuppacher Straße 40</t>
  </si>
  <si>
    <t>47.67978</t>
  </si>
  <si>
    <t>15.96038</t>
  </si>
  <si>
    <t>+43266243013</t>
  </si>
  <si>
    <t>roland.krems@aon.at</t>
  </si>
  <si>
    <t>https://bilder.dasschnelle.at/DasSchnelle/50/5000/9913/041837/G_041837_P_906252025.adn.gif</t>
  </si>
  <si>
    <t>Höflmaier Haustechnik GmbH • Perwang am Grabensee • Oberösterreich</t>
  </si>
  <si>
    <t>Haustechnik • Höflmaier Haustechnik GmbH, Grub 5, Perwang am Grabensee • Kontakt über aktuelle Telefonnummern ☎ und Adressen ⚑ mit Karte, Routing, Öffnungszeiten, Homepage, E-Mail, vCard und Firmendaten.</t>
  </si>
  <si>
    <t>Grub 5</t>
  </si>
  <si>
    <t>48.0198677</t>
  </si>
  <si>
    <t>13.0684823</t>
  </si>
  <si>
    <t>+43627420481;+436644244995</t>
  </si>
  <si>
    <t>info@höflmaier.at</t>
  </si>
  <si>
    <t>https://bilder.dasschnelle.at/DasSchnelle/50/5000/9872/044786/I_044786_P_906252104_L_0035970362_1.png</t>
  </si>
  <si>
    <t>https://bilder.dasschnelle.at/DasSchnelle/50/5000/9872/044786/I_044786_P_906252104_B_0035970362_1.gal.png?height=300&amp;width=852;https://bilder.dasschnelle.at/DasSchnelle/50/5000/9872/044786/I_044786_P_906252104_B_0035970362_2.gal.png?height=400&amp;width=600;https://bilder.dasschnelle.at/DasSchnelle/50/5000/9872/044786/I_044786_P_906252104_B_0035970362_3.gal.png?height=400&amp;width=600;https://bilder.dasschnelle.at/DasSchnelle/50/5000/9872/044786/I_044786_P_906252104_B_0035970362_4.gal.png?height=600&amp;width=400</t>
  </si>
  <si>
    <t>Hennerbichler, Gerhard, Baggerunternehmen • Bad Wimsbach-Neydharting • Oberösterreich</t>
  </si>
  <si>
    <t>Baggerunternehmen • Hennerbichler, Gerhard, Haag 17, Bad Wimsbach-Neydharting • Kontakt über aktuelle Telefonnummern ☎ und Adressen ⚑ mit Karte, Routing, Öffnungszeiten, Homepage, E-Mail, vCard und Firmendaten.</t>
  </si>
  <si>
    <t>Haag 17</t>
  </si>
  <si>
    <t>4654</t>
  </si>
  <si>
    <t>Bad Wimsbach-Neydharting</t>
  </si>
  <si>
    <t>48.0376510</t>
  </si>
  <si>
    <t>13.8820440</t>
  </si>
  <si>
    <t>+436763188531</t>
  </si>
  <si>
    <t>baggerbond@gmx.at</t>
  </si>
  <si>
    <t>https://bilder.dasschnelle.at/DasSchnelle/50/5000/9902/043564/G_043564_P_906252150.adn.gif</t>
  </si>
  <si>
    <t>Hennerbichler Gerhard, Baggerunternehmen • Wimsbach • Oberösterreich</t>
  </si>
  <si>
    <t>Baggerunternehmen • Hennerbichler Gerhard, Haag 17, Wimsbach • Kontakt über aktuelle Telefonnummern ☎ und Adressen ⚑ mit Karte, Routing, Öffnungszeiten, Homepage, E-Mail, vCard und Firmendaten.</t>
  </si>
  <si>
    <t>Wimsbach</t>
  </si>
  <si>
    <t>+436763188531;+436763188531</t>
  </si>
  <si>
    <t>https://bilder.dasschnelle.at/DasSchnelle/50/5000/9902/043564/G_043564_P_906252176.adn.gif</t>
  </si>
  <si>
    <t>Wutte, Michael, Dr. med. univ., FA f. Innere Medizin • St. Kanzian am Klopeiner See • Kärnten</t>
  </si>
  <si>
    <t>Ärzte / Fachärzte f. Innere Medizin • Wutte, Michael, Dr. med. univ., Seenweg 16, St. Kanzian am Klopeiner See • Kontakt über aktuelle Telefonnummern ☎ und Adressen ⚑ mit Karte, Routing, Öffnungszeiten, Homepage, E-Mail, vCard und Firmendaten.</t>
  </si>
  <si>
    <t>Seenweg 16</t>
  </si>
  <si>
    <t>46.60837</t>
  </si>
  <si>
    <t>14.57228</t>
  </si>
  <si>
    <t>+43423940121</t>
  </si>
  <si>
    <t>+43423940312</t>
  </si>
  <si>
    <t>doc.wutte@aon.at</t>
  </si>
  <si>
    <t>https://bilder.dasschnelle.at/DasSchnelle/50/5000/9942/042035/G_042035_P_906252113.adn.gif</t>
  </si>
  <si>
    <t>Sturbmayr, Walter, Tischlerei • Neukirchen bei Lambach • Oberösterreich</t>
  </si>
  <si>
    <t>Tischlereien • Sturbmayr, Walter, Stötten 2, Neukirchen bei Lambach • Kontakt über aktuelle Telefonnummern ☎ und Adressen ⚑ mit Karte, Routing, Öffnungszeiten, Homepage, E-Mail, vCard und Firmendaten.</t>
  </si>
  <si>
    <t>Stötten 2</t>
  </si>
  <si>
    <t>4671</t>
  </si>
  <si>
    <t>Neukirchen bei Lambach</t>
  </si>
  <si>
    <t>48.1096670</t>
  </si>
  <si>
    <t>13.7922189</t>
  </si>
  <si>
    <t>+4377356018</t>
  </si>
  <si>
    <t>office@sturbmayr.at</t>
  </si>
  <si>
    <t>https://bilder.dasschnelle.at/DasSchnelle/50/5000/9902/043562/I_043562_P_906252119_L_0036253055_1.png</t>
  </si>
  <si>
    <t>https://bilder.dasschnelle.at/DasSchnelle/50/5000/9902/043562/I_043562_P_906252119_B_0036253055_1.gal.png?height=808&amp;width=1200;https://bilder.dasschnelle.at/DasSchnelle/50/5000/9902/043562/I_043562_P_906252119_B_0036253055_2.gal.png?height=835&amp;width=1200;https://bilder.dasschnelle.at/DasSchnelle/50/5000/9902/043562/I_043562_P_906252119_B_0036253055_3.gal.png?height=812&amp;width=1200;https://bilder.dasschnelle.at/DasSchnelle/50/5000/9902/043562/I_043562_P_906252119_B_0036253055_4.gal.png?height=651&amp;width=962</t>
  </si>
  <si>
    <t>Forsthuber Transport GmbH • Meggenhofen • Oberösterreich</t>
  </si>
  <si>
    <t>Transportunternehmen • Forsthuber Transport GmbH, Trappenhof Nord 15, Meggenhofen • Kontakt über aktuelle Telefonnummern ☎ und Adressen ⚑ mit Karte, Routing, Öffnungszeiten, Homepage, E-Mail, vCard und Firmendaten.</t>
  </si>
  <si>
    <t>Trappenhof Nord 15</t>
  </si>
  <si>
    <t>48.1832985</t>
  </si>
  <si>
    <t>13.7823638</t>
  </si>
  <si>
    <t>+436604860601</t>
  </si>
  <si>
    <t>office@forsthuber.gmbh</t>
  </si>
  <si>
    <t>https://bilder.dasschnelle.at/DasSchnelle/50/5000/9915/041960/G_041960_P_906252120.adn.gif</t>
  </si>
  <si>
    <t>Wiese, Sebastian, Dr, Rechtsanwalt • Pöchlarn • Niederösterreich</t>
  </si>
  <si>
    <t>Rechtsanwälte • Wiese, Sebastian, Dr, Regensburger Straße 19, Pöchlarn • Kontakt über aktuelle Telefonnummern ☎ und Adressen ⚑ mit Karte, Routing, Öffnungszeiten, Homepage, E-Mail, vCard und Firmendaten.</t>
  </si>
  <si>
    <t>Regensburger Straße 19</t>
  </si>
  <si>
    <t>48.2117553</t>
  </si>
  <si>
    <t>15.2081696</t>
  </si>
  <si>
    <t>+43275721616</t>
  </si>
  <si>
    <t>office@ra-wiese.at</t>
  </si>
  <si>
    <t>https://bilder.dasschnelle.at/DasSchnelle/50/5000/9908/041635/G_041635_P_906252122.adn.gif</t>
  </si>
  <si>
    <t>Fellner Josef e.U., Mineralöl-Handel • Neunkirchen • Niederösterreich</t>
  </si>
  <si>
    <t>Mineralölprodukte, Tankstellen • Fellner Josef e.U., Wienerstraße 123, Neunkirchen • Kontakt über aktuelle Telefonnummern ☎ und Adressen ⚑ mit Karte, Routing, Öffnungszeiten, Homepage, E-Mail, vCard und Firmendaten.</t>
  </si>
  <si>
    <t>Wienerstraße 123</t>
  </si>
  <si>
    <t>47.73054</t>
  </si>
  <si>
    <t>16.09542</t>
  </si>
  <si>
    <t>+43263562758</t>
  </si>
  <si>
    <t>office@fellner-energie.at</t>
  </si>
  <si>
    <t>https://bilder.dasschnelle.at/DasSchnelle/50/5000/9913/041844/I_041844_P_906252159_L_0036031589_1.png</t>
  </si>
  <si>
    <t>https://bilder.dasschnelle.at/DasSchnelle/50/5000/9913/041844/I_041844_P_906252159_B_0036031589_1.gal.png?height=190&amp;width=1200;https://bilder.dasschnelle.at/DasSchnelle/50/5000/9913/041844/I_041844_P_906252159_B_0036031589_2.gal.png?height=114&amp;width=720;https://bilder.dasschnelle.at/DasSchnelle/50/5000/9913/041844/I_041844_P_906252159_B_0036031589_3.gal.png?height=114&amp;width=720;https://bilder.dasschnelle.at/DasSchnelle/50/5000/9913/041844/I_041844_P_906252159_B_0036031589_4.gal.png?height=114&amp;width=720</t>
  </si>
  <si>
    <t>Dr. Barbieri &amp; Dr. Grünbichler Gruppenpraxis, für Innere Medizin • Melk • Niederösterreich</t>
  </si>
  <si>
    <t>Ärzte / Fachärzte f. Innere Medizin • Dr. Barbieri &amp; Dr. Grünbichler Gruppenpraxis, Abbe Stadler-Gasse 6, Melk • Kontakt über aktuelle Telefonnummern ☎ und Adressen ⚑ mit Karte, Routing, Öffnungszeiten, Homepage, E-Mail, vCard und Firmendaten.</t>
  </si>
  <si>
    <t>Abbe Stadler-Gasse 6</t>
  </si>
  <si>
    <t>48.22691</t>
  </si>
  <si>
    <t>15.33315</t>
  </si>
  <si>
    <t>+43275254579</t>
  </si>
  <si>
    <t>barbieri.gabriele@aon.at</t>
  </si>
  <si>
    <t>https://bilder.dasschnelle.at/DasSchnelle/50/5000/9908/041629/G_041629_P_906251448.adn.gif</t>
  </si>
  <si>
    <t>Krausgruber, Gerd, Mag., Öffentlicher Notar • Braunau • Oberösterreich</t>
  </si>
  <si>
    <t>Notare • Krausgruber, Gerd, Mag., Stadtplatz 56, Braunau • Kontakt über aktuelle Telefonnummern ☎ und Adressen ⚑ mit Karte, Routing, Öffnungszeiten, Homepage, E-Mail, vCard und Firmendaten.</t>
  </si>
  <si>
    <t>Stadtplatz 56</t>
  </si>
  <si>
    <t>48.2595093</t>
  </si>
  <si>
    <t>13.0352972</t>
  </si>
  <si>
    <t>+43772220400</t>
  </si>
  <si>
    <t>kanzlei@notar-krausgruber.at</t>
  </si>
  <si>
    <t>https://bilder.dasschnelle.at/DasSchnelle/50/5000/9872/044551/I_044551_P_906252926_L_0036262315_1.png</t>
  </si>
  <si>
    <t>https://bilder.dasschnelle.at/DasSchnelle/50/5000/9872/044551/I_044551_P_906252926_B_0036262315_1.gal.png?height=400&amp;width=600;https://bilder.dasschnelle.at/DasSchnelle/50/5000/9872/044551/I_044551_P_906252926_B_0036262315_2.gal.png?height=422&amp;width=720;https://bilder.dasschnelle.at/DasSchnelle/50/5000/9872/044551/I_044551_P_906252926_B_0036262315_3.gal.png?height=744&amp;width=720</t>
  </si>
  <si>
    <t>Winterauer, Andreas, Heizungen • Bad Goisern • Oberösterreich</t>
  </si>
  <si>
    <t>Heizungen, Installationsunternehmen, Gasinstallationen • Winterauer, Andreas, Ramsaustraße 18, Bad Goisern • Kontakt über aktuelle Telefonnummern ☎ und Adressen ⚑ mit Karte, Routing, Öffnungszeiten, Homepage, E-Mail, vCard und Firmendaten.</t>
  </si>
  <si>
    <t>Ramsaustraße 18</t>
  </si>
  <si>
    <t>47.6376500</t>
  </si>
  <si>
    <t>13.6152800</t>
  </si>
  <si>
    <t>+43613584450;+436642527066</t>
  </si>
  <si>
    <t>office@winterauer.at</t>
  </si>
  <si>
    <t>https://bilder.dasschnelle.at/DasSchnelle/50/5000/9868/041789/G_041789_P_906252930.adn.gif</t>
  </si>
  <si>
    <t>Gamsjäger, Helmut, Metallservice • Bad Goisern am Hallstättersee • Oberösterreich</t>
  </si>
  <si>
    <t>Metallbe- u. -verarbeitung • Gamsjäger, Helmut, Weißenbach 82, Bad Goisern am Hallstättersee • Kontakt über aktuelle Telefonnummern ☎ und Adressen ⚑ mit Karte, Routing, Öffnungszeiten, Homepage, E-Mail, vCard und Firmendaten.</t>
  </si>
  <si>
    <t>Weißenbach 82</t>
  </si>
  <si>
    <t>47.6638311</t>
  </si>
  <si>
    <t>13.6062506</t>
  </si>
  <si>
    <t>+4366473555735</t>
  </si>
  <si>
    <t>office@metallservice.at</t>
  </si>
  <si>
    <t>https://bilder.dasschnelle.at/DasSchnelle/50/5000/9868/041789/I_041789_P_906252933_L_0036242627_1.png</t>
  </si>
  <si>
    <t>https://bilder.dasschnelle.at/DasSchnelle/50/5000/9868/041789/I_041789_P_906252933_B_0036242627_1.gal.png?height=384&amp;width=600;https://bilder.dasschnelle.at/DasSchnelle/50/5000/9868/041789/I_041789_P_906252933_B_0036242627_2.gal.png?height=406&amp;width=600;https://bilder.dasschnelle.at/DasSchnelle/50/5000/9868/041789/I_041789_P_906252933_B_0036242627_3.gal.png?height=455&amp;width=720;https://bilder.dasschnelle.at/DasSchnelle/50/5000/9868/041789/I_041789_P_906252933_B_0036242627_4.gal.png?height=450&amp;width=720</t>
  </si>
  <si>
    <t>Kurz, Caroline, Dr.med.dent., FA f Zahn-, Mund- u Kieferheilkunde • Braunau • Oberösterreich</t>
  </si>
  <si>
    <t>Ärzte / Fachärzte f. Zahn-, Mund u. Kieferheilkunde • Kurz, Caroline, Dr.med.dent., Stadtplatz 40, Braunau • Kontakt über aktuelle Telefonnummern ☎ und Adressen ⚑ mit Karte, Routing, Öffnungszeiten, Homepage, E-Mail, vCard und Firmendaten.</t>
  </si>
  <si>
    <t>Stadtplatz 40</t>
  </si>
  <si>
    <t>48.2573396</t>
  </si>
  <si>
    <t>13.0354778</t>
  </si>
  <si>
    <t>+43772262821;+43772265587</t>
  </si>
  <si>
    <t>praxis-kurz@aon.at</t>
  </si>
  <si>
    <t>Lumerding, Claus, Dr., Notare • Mattighofen • Oberösterreich</t>
  </si>
  <si>
    <t>Notare • Lumerding, Claus, Dr., Stadtplatz 19, Mattighofen • Kontakt über aktuelle Telefonnummern ☎ und Adressen ⚑ mit Karte, Routing, Öffnungszeiten, Homepage, E-Mail, vCard und Firmendaten.</t>
  </si>
  <si>
    <t>Stadtplatz 19</t>
  </si>
  <si>
    <t>48.10426</t>
  </si>
  <si>
    <t>13.15</t>
  </si>
  <si>
    <t>+4377422237;+4377422447</t>
  </si>
  <si>
    <t>kanzlei@notar-mattighofen.at</t>
  </si>
  <si>
    <t>https://bilder.dasschnelle.at/DasSchnelle/50/5000/9872/044777/G_044777_P_906252942.adn.gif</t>
  </si>
  <si>
    <t>IVO BAU &amp; STEINTECHNIK GmbH, Bauunternehmen • Bad Goisern • Oberösterreich</t>
  </si>
  <si>
    <t>Bauunternehmen • IVO BAU &amp; STEINTECHNIK GmbH, Weißenbachstraße 48, Bad Goisern • Kontakt über aktuelle Telefonnummern ☎ und Adressen ⚑ mit Karte, Routing, Öffnungszeiten, Homepage, E-Mail, vCard und Firmendaten.</t>
  </si>
  <si>
    <t>Weißenbachstraße 48</t>
  </si>
  <si>
    <t>47.6612909</t>
  </si>
  <si>
    <t>13.6063956</t>
  </si>
  <si>
    <t>+43613550790;+436644184281;+436644616371</t>
  </si>
  <si>
    <t>ivo@ivobau.at</t>
  </si>
  <si>
    <t>https://bilder.dasschnelle.at/DasSchnelle/50/5000/9868/041789/I_041789_P_906252948_L_0036233218_1.png</t>
  </si>
  <si>
    <t>https://bilder.dasschnelle.at/DasSchnelle/50/5000/9868/041789/I_041789_P_906252948_B_0036233218_1.gal.png?height=768&amp;width=1024;https://bilder.dasschnelle.at/DasSchnelle/50/5000/9868/041789/I_041789_P_906252948_B_0036233218_2.gal.png?height=768&amp;width=1024;https://bilder.dasschnelle.at/DasSchnelle/50/5000/9868/041789/I_041789_P_906252948_B_0036233218_3.gal.png?height=389&amp;width=720;https://bilder.dasschnelle.at/DasSchnelle/50/5000/9868/041789/I_041789_P_906252948_B_0036233218_4.gal.png?height=379&amp;width=720</t>
  </si>
  <si>
    <t>Springinsfeld, Abdichtungen-Dächer-Spänglerei • St. Johann • Tirol</t>
  </si>
  <si>
    <t>Abdichtungen, Spenglereien • Springinsfeld, Niederhofen 16, St. Johann • Kontakt über aktuelle Telefonnummern ☎ und Adressen ⚑ mit Karte, Routing, Öffnungszeiten, Homepage, E-Mail, vCard und Firmendaten.</t>
  </si>
  <si>
    <t>Niederhofen 16</t>
  </si>
  <si>
    <t>47.5346826</t>
  </si>
  <si>
    <t>12.4392819</t>
  </si>
  <si>
    <t>+43535262870</t>
  </si>
  <si>
    <t>office@springinsfeld.info</t>
  </si>
  <si>
    <t>https://bilder.dasschnelle.at/DasSchnelle/50/5000/9896/046140/G_046140_P_906252952.adn.gif</t>
  </si>
  <si>
    <t>ENGLJÄHRINGER Elektrotechnik GmbH, Elektroinstallationsunternehmen • Weißenbach • Salzburg</t>
  </si>
  <si>
    <t>Elektroinstallationsunternehmen • ENGLJÄHRINGER Elektrotechnik GmbH, Alte Bundesstraße 43, Weißenbach • Kontakt über aktuelle Telefonnummern ☎ und Adressen ⚑ mit Karte, Routing, Öffnungszeiten, Homepage, E-Mail, vCard und Firmendaten.</t>
  </si>
  <si>
    <t>Alte Bundesstraße 43</t>
  </si>
  <si>
    <t>+4361377375</t>
  </si>
  <si>
    <t>office@engljaehringer.biz</t>
  </si>
  <si>
    <t>https://bilder.dasschnelle.at/DasSchnelle/50/5000/9868/043330/G_043330_P_906252954.adn.gif</t>
  </si>
  <si>
    <t>Astl, Gerhard, Fliesen • Kirchdorf in Tirol • Tirol</t>
  </si>
  <si>
    <t>Fliesenfachhandel • Astl, Gerhard, Sensenschmiedweg 25, Kirchdorf in Tirol • Kontakt über aktuelle Telefonnummern ☎ und Adressen ⚑ mit Karte, Routing, Öffnungszeiten, Homepage, E-Mail, vCard und Firmendaten.</t>
  </si>
  <si>
    <t>Sensenschmiedweg 25</t>
  </si>
  <si>
    <t>47.5437748</t>
  </si>
  <si>
    <t>12.4353749</t>
  </si>
  <si>
    <t>+436644231671</t>
  </si>
  <si>
    <t>fliesen.astl@gmail.com</t>
  </si>
  <si>
    <t>https://bilder.dasschnelle.at/DasSchnelle/50/5000/9896/046134/G_046134_P_906252955.adn.gif</t>
  </si>
  <si>
    <t>Pöckl, Johann, Säge- u Hobelwerke • Strobl • Salzburg</t>
  </si>
  <si>
    <t>Säge- u. Hobelwerke • Pöckl, Johann, Postalmstraße 7, Strobl • Kontakt über aktuelle Telefonnummern ☎ und Adressen ⚑ mit Karte, Routing, Öffnungszeiten, Homepage, E-Mail, vCard und Firmendaten.</t>
  </si>
  <si>
    <t>Postalmstraße 7</t>
  </si>
  <si>
    <t>47.70692</t>
  </si>
  <si>
    <t>13.49365</t>
  </si>
  <si>
    <t>+4361377305</t>
  </si>
  <si>
    <t>johann.pockl@salzburg.co.at</t>
  </si>
  <si>
    <t>https://bilder.dasschnelle.at/DasSchnelle/50/5000/9868/043330/G_043330_P_906252957.adn.gif</t>
  </si>
  <si>
    <t>Styleeffect Sabine Obwaller OG, Friseur • Sankt Johann in Tirol • Tirol</t>
  </si>
  <si>
    <t>Friseure • Styleeffect Sabine Obwaller OG, Dechant - Wieshoferstrasse 17, Sankt Johann in Tirol • Kontakt über aktuelle Telefonnummern ☎ und Adressen ⚑ mit Karte, Routing, Öffnungszeiten, Homepage, E-Mail, vCard und Firmendaten.</t>
  </si>
  <si>
    <t>Dechant - Wieshoferstrasse 17</t>
  </si>
  <si>
    <t>47.5234491</t>
  </si>
  <si>
    <t>12.4302019</t>
  </si>
  <si>
    <t>+43535262396</t>
  </si>
  <si>
    <t>info@styleeffect.at</t>
  </si>
  <si>
    <t>https://bilder.dasschnelle.at/DasSchnelle/50/5000/9896/046140/G_046140_P_906252959.adn.gif</t>
  </si>
  <si>
    <t>Rendl Planungs GmbH, Technisches Büro • Kitzbühel • Tirol</t>
  </si>
  <si>
    <t>Planungsbüros • Rendl Planungs GmbH, Jochberger Straße 8, Kitzbühel • Kontakt über aktuelle Telefonnummern ☎ und Adressen ⚑ mit Karte, Routing, Öffnungszeiten, Homepage, E-Mail, vCard und Firmendaten.</t>
  </si>
  <si>
    <t>+43535662256</t>
  </si>
  <si>
    <t>office@rendl-plan.at</t>
  </si>
  <si>
    <t>https://bilder.dasschnelle.at/DasSchnelle/50/5000/9896/046135/I_046135_P_906252961_L_0036242789_1.png</t>
  </si>
  <si>
    <t>https://bilder.dasschnelle.at/DasSchnelle/50/5000/9896/046135/I_046135_P_906252961_B_0036242789_1.gal.png?height=377&amp;width=600;https://bilder.dasschnelle.at/DasSchnelle/50/5000/9896/046135/I_046135_P_906252961_B_0036242789_2.gal.png?height=399&amp;width=600;https://bilder.dasschnelle.at/DasSchnelle/50/5000/9896/046135/I_046135_P_906252961_B_0036242789_3.gal.png?height=446&amp;width=600;https://bilder.dasschnelle.at/DasSchnelle/50/5000/9896/046135/I_046135_P_906252961_B_0036242789_4.gal.png?height=450&amp;width=542</t>
  </si>
  <si>
    <t>Gansterer, Andreas, Ing., Elektrounternehmen • Wimpassing im Schwarzatale • Niederösterreich</t>
  </si>
  <si>
    <t>Elektrounternehmen • Gansterer, Andreas, Ing., Ferdinand-Hanusch-Straße 1, Wimpassing im Schwarzatale • Kontakt über aktuelle Telefonnummern ☎ und Adressen ⚑ mit Karte, Routing, Öffnungszeiten, Homepage, E-Mail, vCard und Firmendaten.</t>
  </si>
  <si>
    <t>Ferdinand-Hanusch-Straße 1</t>
  </si>
  <si>
    <t>47.7051</t>
  </si>
  <si>
    <t>16.03052</t>
  </si>
  <si>
    <t>+4366473587984</t>
  </si>
  <si>
    <t>+43263033990</t>
  </si>
  <si>
    <t>elektro-gansterer@aon.at</t>
  </si>
  <si>
    <t>https://bilder.dasschnelle.at/DasSchnelle/50/5000/9913/041868/G_041868_P_906252965.adn.gif</t>
  </si>
  <si>
    <t>Installationsunternehmen Brandauer Bernhard, Gas Wasser Heizung • Altaussee • Steiermark</t>
  </si>
  <si>
    <t>Installationsunternehmen • Installationsunternehmen Brandauer Bernhard, Lichtersberg 208, Altaussee • Kontakt über aktuelle Telefonnummern ☎ und Adressen ⚑ mit Karte, Routing, Öffnungszeiten, Homepage, E-Mail, vCard und Firmendaten.</t>
  </si>
  <si>
    <t>Lichtersberg 208</t>
  </si>
  <si>
    <t>47.6302923</t>
  </si>
  <si>
    <t>13.7568861</t>
  </si>
  <si>
    <t>+43362271230</t>
  </si>
  <si>
    <t>office@bernhard-brandauer.at</t>
  </si>
  <si>
    <t>https://bilder.dasschnelle.at/DasSchnelle/50/5000/9868/044348/I_044348_P_906253548_L_0036242922_1.png</t>
  </si>
  <si>
    <t>https://bilder.dasschnelle.at/DasSchnelle/50/5000/9868/044348/I_044348_P_906253548_B_0036242922_1.gal.png?height=767&amp;width=1156;https://bilder.dasschnelle.at/DasSchnelle/50/5000/9868/044348/I_044348_P_906253548_B_0036242922_2.gal.png?height=765&amp;width=1148;https://bilder.dasschnelle.at/DasSchnelle/50/5000/9868/044348/I_044348_P_906253548_B_0036242922_3.gal.png?height=769&amp;width=1145;https://bilder.dasschnelle.at/DasSchnelle/50/5000/9868/044348/I_044348_P_906253548_B_0036242922_4.gal.png?height=766&amp;width=1142</t>
  </si>
  <si>
    <t>Huber &amp; Rosenthal Steuerberatung KG • Braunau am Inn • Oberösterreich</t>
  </si>
  <si>
    <t>Steuerberater • Huber &amp; Rosenthal Steuerberatung KG, Stadtplatz 56, Braunau am Inn • Kontakt über aktuelle Telefonnummern ☎ und Adressen ⚑ mit Karte, Routing, Öffnungszeiten, Homepage, E-Mail, vCard und Firmendaten.</t>
  </si>
  <si>
    <t>+43772282583;+436765566301</t>
  </si>
  <si>
    <t>buero@hr-steuerberatung.at</t>
  </si>
  <si>
    <t>https://bilder.dasschnelle.at/DasSchnelle/50/5000/9872/044551/I_044551_P_906253546_L_0036261734_1.png</t>
  </si>
  <si>
    <t>https://bilder.dasschnelle.at/DasSchnelle/50/5000/9872/044551/I_044551_P_906253546_B_0036261734_1.gal.png?height=232&amp;width=720;https://bilder.dasschnelle.at/DasSchnelle/50/5000/9872/044551/I_044551_P_906253546_B_0036261734_2.gal.png?height=366&amp;width=720;https://bilder.dasschnelle.at/DasSchnelle/50/5000/9872/044551/I_044551_P_906253546_B_0036261734_3.gal.png?height=170&amp;width=720;https://bilder.dasschnelle.at/DasSchnelle/50/5000/9872/044551/I_044551_P_906253546_B_0036261734_4.gal.png?height=215&amp;width=720</t>
  </si>
  <si>
    <t>Holzbau Köberl GmbH, Holzbauunternehmen • Grundlsee • Steiermark</t>
  </si>
  <si>
    <t>Holzbau • Holzbau Köberl GmbH, Archkogl 45, Grundlsee • Kontakt über aktuelle Telefonnummern ☎ und Adressen ⚑ mit Karte, Routing, Öffnungszeiten, Homepage, E-Mail, vCard und Firmendaten.</t>
  </si>
  <si>
    <t>Archkogl 45</t>
  </si>
  <si>
    <t>47.6189474</t>
  </si>
  <si>
    <t>13.8239316</t>
  </si>
  <si>
    <t>+433622527010</t>
  </si>
  <si>
    <t>holzbau.koeberl@utanet.at</t>
  </si>
  <si>
    <t>https://bilder.dasschnelle.at/DasSchnelle/50/5000/9868/044359/I_044359_P_906253729_L_0036233232_1.png</t>
  </si>
  <si>
    <t>https://bilder.dasschnelle.at/DasSchnelle/50/5000/9868/044359/I_044359_P_906253729_B_0036233232_1.gal.png?height=616&amp;width=935;https://bilder.dasschnelle.at/DasSchnelle/50/5000/9868/044359/I_044359_P_906253729_B_0036233232_2.gal.png?height=612&amp;width=933;https://bilder.dasschnelle.at/DasSchnelle/50/5000/9868/044359/I_044359_P_906253729_B_0036233232_3.gal.png?height=534&amp;width=720;https://bilder.dasschnelle.at/DasSchnelle/50/5000/9868/044359/I_044359_P_906253729_B_0036233232_4.gal.png?height=474&amp;width=720;https://bilder.dasschnelle.at/DasSchnelle/50/5000/9868/044359/G_044359_P_906253729.adn.gif</t>
  </si>
  <si>
    <t>Wagner, Bettina, ADir • Wimpassing im Schwarzata • Niederösterreich</t>
  </si>
  <si>
    <t>Elektrohandel • Wagner, Bettina, ADir, Bundesstraße 14, Wimpassing im Schwarzata • Kontakt über aktuelle Telefonnummern ☎ und Adressen ⚑ mit Karte, Routing, Öffnungszeiten, Homepage, E-Mail, vCard und Firmendaten.</t>
  </si>
  <si>
    <t>Wimpassing im Schwarzata</t>
  </si>
  <si>
    <t>47.7031</t>
  </si>
  <si>
    <t>16.03357</t>
  </si>
  <si>
    <t>+43263038558</t>
  </si>
  <si>
    <t>info@meinelektroladen.at</t>
  </si>
  <si>
    <t>https://bilder.dasschnelle.at/DasSchnelle/50/5000/9913/041868/G_041868_P_906253550.adn.gif</t>
  </si>
  <si>
    <t>Baumschule Cada • Enzenreith • Niederösterreich</t>
  </si>
  <si>
    <t>Baumschulen • Baumschule Cada, Triester Bundesstraße 147, Enzenreith • Kontakt über aktuelle Telefonnummern ☎ und Adressen ⚑ mit Karte, Routing, Öffnungszeiten, Homepage, E-Mail, vCard und Firmendaten.</t>
  </si>
  <si>
    <t>Triester Bundesstraße 147</t>
  </si>
  <si>
    <t>Enzenreith</t>
  </si>
  <si>
    <t>47.66533</t>
  </si>
  <si>
    <t>15.9416</t>
  </si>
  <si>
    <t>+436643651069</t>
  </si>
  <si>
    <t>baumschule@cada.at</t>
  </si>
  <si>
    <t>https://bilder.dasschnelle.at/DasSchnelle/50/5000/9913/041835/G_041835_P_906253732.adn.gif</t>
  </si>
  <si>
    <t>Grill &amp; Ronacher OG, Einrichtungsstudio • Bad Aussee • Steiermark</t>
  </si>
  <si>
    <t>Möbelhandel • Grill &amp; Ronacher OG, Pötschenstraße 135, Bad Aussee • Kontakt über aktuelle Telefonnummern ☎ und Adressen ⚑ mit Karte, Routing, Öffnungszeiten, Homepage, E-Mail, vCard und Firmendaten.</t>
  </si>
  <si>
    <t>Pötschenstraße 135</t>
  </si>
  <si>
    <t>47.6124400</t>
  </si>
  <si>
    <t>13.7664700</t>
  </si>
  <si>
    <t>+43362272270;+43362272220;+4369911066455;+4369911066470</t>
  </si>
  <si>
    <t>office@grill-ronacher.at</t>
  </si>
  <si>
    <t>https://bilder.dasschnelle.at/DasSchnelle/50/5000/9868/044351/I_044351_P_906253738_L_0036233297_1.png</t>
  </si>
  <si>
    <t>https://bilder.dasschnelle.at/DasSchnelle/50/5000/9868/044351/I_044351_P_906253738_B_0036233297_1.gal.png?height=250&amp;width=250;https://bilder.dasschnelle.at/DasSchnelle/50/5000/9868/044351/I_044351_P_906253738_B_0036233297_2.gal.png?height=250&amp;width=250;https://bilder.dasschnelle.at/DasSchnelle/50/5000/9868/044351/I_044351_P_906253738_B_0036233297_3.gal.png?height=250&amp;width=250;https://bilder.dasschnelle.at/DasSchnelle/50/5000/9868/044351/I_044351_P_906253738_B_0036233297_4.gal.png?height=477&amp;width=720;https://bilder.dasschnelle.at/DasSchnelle/50/5000/9868/044351/G_044351_P_906253738.adn.gif</t>
  </si>
  <si>
    <t>Heinzl - Holzbau GmbH, Holzbau &amp; Zimmerei • Heiligenstatt • Oberösterreich</t>
  </si>
  <si>
    <t>Holzbau, Zimmereien • Heinzl - Holzbau GmbH, Heiliegenstatt 78, Heiligenstatt • Kontakt über aktuelle Telefonnummern ☎ und Adressen ⚑ mit Karte, Routing, Öffnungszeiten, Homepage, E-Mail, vCard und Firmendaten.</t>
  </si>
  <si>
    <t>Heiliegenstatt 78</t>
  </si>
  <si>
    <t>Heiligenstatt</t>
  </si>
  <si>
    <t>48.0272267</t>
  </si>
  <si>
    <t>13.2260639</t>
  </si>
  <si>
    <t>+4377463400</t>
  </si>
  <si>
    <t>office@holzbau-heinzl.at</t>
  </si>
  <si>
    <t>https://bilder.dasschnelle.at/DasSchnelle/50/5000/9935/043329/I_043329_P_906253745_L_0037093500_1.png</t>
  </si>
  <si>
    <t>https://bilder.dasschnelle.at/DasSchnelle/50/5000/9935/043329/I_043329_P_906253745_B_0037093500_1.gal.png?height=260&amp;width=566;https://bilder.dasschnelle.at/DasSchnelle/50/5000/9935/043329/I_043329_P_906253745_B_0037093500_2.gal.png?height=260&amp;width=566;https://bilder.dasschnelle.at/DasSchnelle/50/5000/9935/043329/I_043329_P_906253745_B_0037093500_3.gal.png?height=260&amp;width=566;https://bilder.dasschnelle.at/DasSchnelle/50/5000/9935/043329/I_043329_P_906253745_B_0037093500_4.gal.png?height=260&amp;width=566</t>
  </si>
  <si>
    <t>Zimmerei Holzbau Steinbrecher &amp; Köberl GmbH, Zimmerei-Innenbau • Bad Aussee • Steiermark</t>
  </si>
  <si>
    <t>Zimmereien • Zimmerei Holzbau Steinbrecher &amp; Köberl GmbH, Sießreithstraße 142, Bad Aussee • Kontakt über aktuelle Telefonnummern ☎ und Adressen ⚑ mit Karte, Routing, Öffnungszeiten, Homepage, E-Mail, vCard und Firmendaten.</t>
  </si>
  <si>
    <t>Sießreithstraße 142</t>
  </si>
  <si>
    <t>47.59348</t>
  </si>
  <si>
    <t>13.79239</t>
  </si>
  <si>
    <t>+43362253329</t>
  </si>
  <si>
    <t>info@holzbau-badaussee.at</t>
  </si>
  <si>
    <t>https://bilder.dasschnelle.at/DasSchnelle/50/5000/9868/044351/I_044351_P_906253747_L_0036237557_1.png</t>
  </si>
  <si>
    <t>https://bilder.dasschnelle.at/DasSchnelle/50/5000/9868/044351/I_044351_P_906253747_B_0036237557_1.gal.png?height=294&amp;width=720;https://bilder.dasschnelle.at/DasSchnelle/50/5000/9868/044351/I_044351_P_906253747_B_0036237557_2.gal.png?height=294&amp;width=720;https://bilder.dasschnelle.at/DasSchnelle/50/5000/9868/044351/I_044351_P_906253747_B_0036237557_3.gal.png?height=475&amp;width=720;https://bilder.dasschnelle.at/DasSchnelle/50/5000/9868/044351/I_044351_P_906253747_B_0036237557_4.gal.png?height=618&amp;width=720</t>
  </si>
  <si>
    <t>Schönauer, Armin, Holzhandlung • Bad Aussee • Steiermark</t>
  </si>
  <si>
    <t>Holz, Holzfachmärkte • Schönauer, Armin, Grundlseer Straße 20, Bad Aussee • Kontakt über aktuelle Telefonnummern ☎ und Adressen ⚑ mit Karte, Routing, Öffnungszeiten, Homepage, E-Mail, vCard und Firmendaten.</t>
  </si>
  <si>
    <t>Grundlseer Straße 20</t>
  </si>
  <si>
    <t>47.6148900</t>
  </si>
  <si>
    <t>13.7915000</t>
  </si>
  <si>
    <t>+43362252925</t>
  </si>
  <si>
    <t>https://bilder.dasschnelle.at/DasSchnelle/50/5000/9868/044351/G_044351_P_906253748.adn.gif</t>
  </si>
  <si>
    <t>Weiß, Andreas, MSc, Psychotherapeutin • Windischgarsten • Oberösterreich</t>
  </si>
  <si>
    <t>Psychotherapie • Weiß, Andreas, MSc, Edlbach 1, Windischgarsten • Kontakt über aktuelle Telefonnummern ☎ und Adressen ⚑ mit Karte, Routing, Öffnungszeiten, Homepage, E-Mail, vCard und Firmendaten.</t>
  </si>
  <si>
    <t>Edlbach 1</t>
  </si>
  <si>
    <t>47.7126961</t>
  </si>
  <si>
    <t>14.3508855</t>
  </si>
  <si>
    <t>+4366306037760</t>
  </si>
  <si>
    <t>therapie@logosgemeinschaft.at</t>
  </si>
  <si>
    <t>https://bilder.dasschnelle.at/DasSchnelle/50/5000/9947/046100/G_046100_P_906252865.adn.gif</t>
  </si>
  <si>
    <t>Holzer, Artur, Dr., Allgemeinmedizin • Micheldorf • Oberösterreich</t>
  </si>
  <si>
    <t>Ärzte / Fachärzte f. Chirurgie • Holzer, Artur, Dr., Franz-Lehar-Straße 1, Micheldorf • Kontakt über aktuelle Telefonnummern ☎ und Adressen ⚑ mit Karte, Routing, Öffnungszeiten, Homepage, E-Mail, vCard und Firmendaten.</t>
  </si>
  <si>
    <t>Franz-Lehar-Straße 1</t>
  </si>
  <si>
    <t>47.8758473</t>
  </si>
  <si>
    <t>14.1325087</t>
  </si>
  <si>
    <t>+43758252129</t>
  </si>
  <si>
    <t>holza25@aon.at</t>
  </si>
  <si>
    <t>https://bilder.dasschnelle.at/DasSchnelle/50/5000/9895/046085/G_046085_P_906252868.adn.gif</t>
  </si>
  <si>
    <t>Paulak, Walter, Malereibetriebe • Kühnsdorf • Kärnten</t>
  </si>
  <si>
    <t>Malereibetriebe • Paulak, Walter, Nord 24, Kühnsdorf • Kontakt über aktuelle Telefonnummern ☎ und Adressen ⚑ mit Karte, Routing, Öffnungszeiten, Homepage, E-Mail, vCard und Firmendaten.</t>
  </si>
  <si>
    <t>Nord 24</t>
  </si>
  <si>
    <t>46.61617</t>
  </si>
  <si>
    <t>14.62252</t>
  </si>
  <si>
    <t>+436643576386;+43423227599</t>
  </si>
  <si>
    <t>walter3456756@gmail.com</t>
  </si>
  <si>
    <t>https://bilder.dasschnelle.at/DasSchnelle/50/5000/9942/042027/G_042027_P_906252873.adn.gif</t>
  </si>
  <si>
    <t>Deco-Schnitt, Margit Feneberger, Schneiderei • Höfen • Tirol</t>
  </si>
  <si>
    <t>Schneidereien • Deco-Schnitt, Margit Feneberger, Hofweg 16 A, Höfen • Kontakt über aktuelle Telefonnummern ☎ und Adressen ⚑ mit Karte, Routing, Öffnungszeiten, Homepage, E-Mail, vCard und Firmendaten.</t>
  </si>
  <si>
    <t>Hofweg 16 A</t>
  </si>
  <si>
    <t>47.4731168</t>
  </si>
  <si>
    <t>10.6887847</t>
  </si>
  <si>
    <t>+436642003978</t>
  </si>
  <si>
    <t>margit_f@deco-schnitt.at</t>
  </si>
  <si>
    <t>https://bilder.dasschnelle.at/DasSchnelle/50/5000/9921/042591/I_042591_P_906252976_L_0036266069_1.png</t>
  </si>
  <si>
    <t>https://bilder.dasschnelle.at/DasSchnelle/50/5000/9921/042591/I_042591_P_906252976_B_0036266069_1.gal.png?height=402&amp;width=531;https://bilder.dasschnelle.at/DasSchnelle/50/5000/9921/042591/I_042591_P_906252976_B_0036266069_2.gal.png?height=284&amp;width=400;https://bilder.dasschnelle.at/DasSchnelle/50/5000/9921/042591/I_042591_P_906252976_B_0036266069_3.gal.png?height=400&amp;width=600;https://bilder.dasschnelle.at/DasSchnelle/50/5000/9921/042591/I_042591_P_906252976_B_0036266069_4.gal.png?height=540&amp;width=720</t>
  </si>
  <si>
    <t>Meschnark, Johannes, Autoelektrik u -ersatzteile • Völkermarkt • Kärnten</t>
  </si>
  <si>
    <t>Autoelektrik u. -ersatzteile • Meschnark, Johannes, Klagenfurter Straße 49, Völkermarkt • Kontakt über aktuelle Telefonnummern ☎ und Adressen ⚑ mit Karte, Routing, Öffnungszeiten, Homepage, E-Mail, vCard und Firmendaten.</t>
  </si>
  <si>
    <t>Klagenfurter Straße 49</t>
  </si>
  <si>
    <t>46.65959</t>
  </si>
  <si>
    <t>14.61863</t>
  </si>
  <si>
    <t>+43423222800</t>
  </si>
  <si>
    <t>bosch.meschnark@aon.at</t>
  </si>
  <si>
    <t>https://bilder.dasschnelle.at/DasSchnelle/50/5000/9942/042037/I_042037_P_906253659_L_0035970464_1.png</t>
  </si>
  <si>
    <t>https://bilder.dasschnelle.at/DasSchnelle/50/5000/9942/042037/I_042037_P_906253659_B_0035970464_1.gal.png?height=100&amp;width=75;https://bilder.dasschnelle.at/DasSchnelle/50/5000/9942/042037/I_042037_P_906253659_B_0035970464_2.gal.png?height=80&amp;width=120;https://bilder.dasschnelle.at/DasSchnelle/50/5000/9942/042037/I_042037_P_906253659_B_0035970464_3.gal.png?height=80&amp;width=120;https://bilder.dasschnelle.at/DasSchnelle/50/5000/9942/042037/G_042037_P_906253659.adn.gif</t>
  </si>
  <si>
    <t>Kummer, Franz, Ing., Buschenschank • Sankt Peter am Ottersbach • Steiermark</t>
  </si>
  <si>
    <t>Buschenschank • Kummer, Franz, Ing., Perbersdorf bei Sankt Peter 59, Sankt Peter am Ottersbach • Kontakt über aktuelle Telefonnummern ☎ und Adressen ⚑ mit Karte, Routing, Öffnungszeiten, Homepage, E-Mail, vCard und Firmendaten.</t>
  </si>
  <si>
    <t>Perbersdorf bei Sankt Peter 59</t>
  </si>
  <si>
    <t>46.8138887</t>
  </si>
  <si>
    <t>15.7910575</t>
  </si>
  <si>
    <t>+4334772283;+43347729002</t>
  </si>
  <si>
    <t>office@medikum.at</t>
  </si>
  <si>
    <t>https://bilder.dasschnelle.at/DasSchnelle/50/5000/9920/061419/G_061419_P_906253665.adn.gif</t>
  </si>
  <si>
    <t>Hentschel, Juergen, Elektrohandel • Altaussee • Steiermark</t>
  </si>
  <si>
    <t>Elektrohandel • Hentschel, Juergen, Altaussee • Kontakt über aktuelle Telefonnummern ☎ und Adressen ⚑ mit Karte, Routing, Öffnungszeiten, Homepage, E-Mail, vCard und Firmendaten.</t>
  </si>
  <si>
    <t>47.6377002</t>
  </si>
  <si>
    <t>13.7623870</t>
  </si>
  <si>
    <t>+433622716730</t>
  </si>
  <si>
    <t>+43362271237</t>
  </si>
  <si>
    <t>elektro@hentschel.at</t>
  </si>
  <si>
    <t>https://bilder.dasschnelle.at/DasSchnelle/50/5000/9868/044348/I_044348_P_906253671_L_0036242737_1.png</t>
  </si>
  <si>
    <t>https://bilder.dasschnelle.at/DasSchnelle/50/5000/9868/044348/I_044348_P_906253671_B_0036242737_1.gal.png?height=413&amp;width=720;https://bilder.dasschnelle.at/DasSchnelle/50/5000/9868/044348/I_044348_P_906253671_B_0036242737_2.gal.png?height=480&amp;width=720;https://bilder.dasschnelle.at/DasSchnelle/50/5000/9868/044348/G_044348_P_906253671.adn.gif</t>
  </si>
  <si>
    <t>Stöckl, Christian, Raumgestaltung • Altaussee • Steiermark</t>
  </si>
  <si>
    <t>Raumgestaltung • Stöckl, Christian, Altaussee 45, Altaussee • Kontakt über aktuelle Telefonnummern ☎ und Adressen ⚑ mit Karte, Routing, Öffnungszeiten, Homepage, E-Mail, vCard und Firmendaten.</t>
  </si>
  <si>
    <t>Altaussee 45</t>
  </si>
  <si>
    <t>47.6371746</t>
  </si>
  <si>
    <t>13.7624806</t>
  </si>
  <si>
    <t>+43362271192</t>
  </si>
  <si>
    <t>+43362271198</t>
  </si>
  <si>
    <t>office@raumausstattung-stoeckl.at</t>
  </si>
  <si>
    <t>https://bilder.dasschnelle.at/DasSchnelle/50/5000/9868/044348/I_044348_P_906253751_L_0035994547_1.png</t>
  </si>
  <si>
    <t>https://bilder.dasschnelle.at/DasSchnelle/50/5000/9868/044348/I_044348_P_906253751_B_0035994547_1.gal.png?height=370&amp;width=555;https://bilder.dasschnelle.at/DasSchnelle/50/5000/9868/044348/I_044348_P_906253751_B_0035994547_2.gal.png?height=182&amp;width=600;https://bilder.dasschnelle.at/DasSchnelle/50/5000/9868/044348/I_044348_P_906253751_B_0035994547_3.gal.png?height=465&amp;width=700;https://bilder.dasschnelle.at/DasSchnelle/50/5000/9868/044348/I_044348_P_906253751_B_0035994547_4.gal.png?height=397&amp;width=716</t>
  </si>
  <si>
    <t>Anderle, Martina, Friseure • Ternitz • Niederösterreich</t>
  </si>
  <si>
    <t>Friseure • Anderle, Martina, Th.Körner-Platz 6, Ternitz • Kontakt über aktuelle Telefonnummern ☎ und Adressen ⚑ mit Karte, Routing, Öffnungszeiten, Homepage, E-Mail, vCard und Firmendaten.</t>
  </si>
  <si>
    <t>Th.Körner-Platz 6</t>
  </si>
  <si>
    <t>47.7164439</t>
  </si>
  <si>
    <t>16.0360029</t>
  </si>
  <si>
    <t>+43263036307</t>
  </si>
  <si>
    <t>martina.anderle@yahoo.com</t>
  </si>
  <si>
    <t>https://bilder.dasschnelle.at/DasSchnelle/50/5000/9913/041861/G_041861_P_906252911.adn.gif</t>
  </si>
  <si>
    <t>Bilal Karabulut KG., Vollwärmeschutz • Ternitz • Niederösterreich</t>
  </si>
  <si>
    <t>Vollwärmeschutz • Bilal Karabulut KG., Rechengasse 23, Ternitz • Kontakt über aktuelle Telefonnummern ☎ und Adressen ⚑ mit Karte, Routing, Öffnungszeiten, Homepage, E-Mail, vCard und Firmendaten.</t>
  </si>
  <si>
    <t>Rechengasse 23</t>
  </si>
  <si>
    <t>47.7278970</t>
  </si>
  <si>
    <t>16.0611398</t>
  </si>
  <si>
    <t>+436644134865</t>
  </si>
  <si>
    <t>maler.bilal@aon.at</t>
  </si>
  <si>
    <t>https://bilder.dasschnelle.at/DasSchnelle/50/5000/9913/041861/G_041861_P_906252913.adn.gif</t>
  </si>
  <si>
    <t>Feldbacher Trockenbau • Auerbach • Oberösterreich</t>
  </si>
  <si>
    <t>Trockenausbau • Feldbacher Trockenbau, Oberirnprechting 13, Auerbach • Kontakt über aktuelle Telefonnummern ☎ und Adressen ⚑ mit Karte, Routing, Öffnungszeiten, Homepage, E-Mail, vCard und Firmendaten.</t>
  </si>
  <si>
    <t>Oberirnprechting 13</t>
  </si>
  <si>
    <t>5224</t>
  </si>
  <si>
    <t>Auerbach</t>
  </si>
  <si>
    <t>48.0834800</t>
  </si>
  <si>
    <t>13.1067600</t>
  </si>
  <si>
    <t>+436642005272</t>
  </si>
  <si>
    <t>office@feldbacher-trockenbau.at</t>
  </si>
  <si>
    <t>https://bilder.dasschnelle.at/DasSchnelle/50/5000/9931/043306/I_043306_P_906252915_L_0038578597_1.png</t>
  </si>
  <si>
    <t>https://bilder.dasschnelle.at/DasSchnelle/50/5000/9931/043306/I_043306_P_906252915_B_0038578597_1.gal.png?height=720&amp;width=540;https://bilder.dasschnelle.at/DasSchnelle/50/5000/9931/043306/I_043306_P_906252915_B_0038578597_2.gal.png?height=720&amp;width=540;https://bilder.dasschnelle.at/DasSchnelle/50/5000/9931/043306/I_043306_P_906252915_B_0038578597_3.gal.png?height=480&amp;width=720;https://bilder.dasschnelle.at/DasSchnelle/50/5000/9931/043306/I_043306_P_906252915_B_0038578597_4.gal.png?height=720&amp;width=540</t>
  </si>
  <si>
    <t>Thalmayr Erdbau- u Transport - GesmbH, Transportunternehmen • Berndorf bei Salzburg • Salzburg</t>
  </si>
  <si>
    <t>Transportunternehmen • Thalmayr Erdbau- u Transport - GesmbH, Auweg 3, Berndorf bei Salzburg • Kontakt über aktuelle Telefonnummern ☎ und Adressen ⚑ mit Karte, Routing, Öffnungszeiten, Homepage, E-Mail, vCard und Firmendaten.</t>
  </si>
  <si>
    <t>47.9945000</t>
  </si>
  <si>
    <t>13.0576700</t>
  </si>
  <si>
    <t>+4362178785;+436641225754</t>
  </si>
  <si>
    <t>+43621787854</t>
  </si>
  <si>
    <t>info@thalmayr-erdbau.at</t>
  </si>
  <si>
    <t>https://bilder.dasschnelle.at/DasSchnelle/50/5000/9931/043603/I_043603_P_906252921_L_0036891936_1.png</t>
  </si>
  <si>
    <t>https://bilder.dasschnelle.at/DasSchnelle/50/5000/9931/043603/I_043603_P_906252921_B_0036891936_1.gal.png?height=423&amp;width=720;https://bilder.dasschnelle.at/DasSchnelle/50/5000/9931/043603/I_043603_P_906252921_B_0036891936_2.gal.png?height=384&amp;width=720;https://bilder.dasschnelle.at/DasSchnelle/50/5000/9931/043603/I_043603_P_906252921_B_0036891936_3.gal.png?height=530&amp;width=720;https://bilder.dasschnelle.at/DasSchnelle/50/5000/9931/043603/I_043603_P_906252921_B_0036891936_4.gal.png?height=540&amp;width=720</t>
  </si>
  <si>
    <t>Strasser, Patrick, Spenglerei • Lambach • Oberösterreich</t>
  </si>
  <si>
    <t>Dachdeckereien, Spenglereien • Strasser, Patrick, Zoblstraße 7, Lambach • Kontakt über aktuelle Telefonnummern ☎ und Adressen ⚑ mit Karte, Routing, Öffnungszeiten, Homepage, E-Mail, vCard und Firmendaten.</t>
  </si>
  <si>
    <t>Zoblstraße 7</t>
  </si>
  <si>
    <t>48.09245</t>
  </si>
  <si>
    <t>13.90949</t>
  </si>
  <si>
    <t>+4369910424489</t>
  </si>
  <si>
    <t>dach.strasser@gmail.com</t>
  </si>
  <si>
    <t>https://bilder.dasschnelle.at/DasSchnelle/50/5000/9902/043567/G_043567_P_906252925.adn.gif</t>
  </si>
  <si>
    <t>Aigner, Patrick, Dachdecker • Lambach • Oberösterreich</t>
  </si>
  <si>
    <t>Dachdeckereien • Aigner, Patrick, Mernbach 17, Lambach • Kontakt über aktuelle Telefonnummern ☎ und Adressen ⚑ mit Karte, Routing, Öffnungszeiten, Homepage, E-Mail, vCard und Firmendaten.</t>
  </si>
  <si>
    <t>Mernbach 17</t>
  </si>
  <si>
    <t>48.1084100</t>
  </si>
  <si>
    <t>13.8451200</t>
  </si>
  <si>
    <t>+43724520179;+436644142526</t>
  </si>
  <si>
    <t>patrick@aigner-dach.at</t>
  </si>
  <si>
    <t>https://bilder.dasschnelle.at/DasSchnelle/50/5000/9902/043567/G_043567_P_906253004.adn.gif</t>
  </si>
  <si>
    <t>Robia, Christine, Dr., Tierärztin • Deutschlandsberg • Steiermark</t>
  </si>
  <si>
    <t>Tierärzte • Robia, Christine, Dr., Wildbacher Straße 3, Deutschlandsberg • Kontakt über aktuelle Telefonnummern ☎ und Adressen ⚑ mit Karte, Routing, Öffnungszeiten, Homepage, E-Mail, vCard und Firmendaten.</t>
  </si>
  <si>
    <t>Wildbacher Straße 3</t>
  </si>
  <si>
    <t>46.81926</t>
  </si>
  <si>
    <t>15.21373</t>
  </si>
  <si>
    <t>+43346230620;+436764750547</t>
  </si>
  <si>
    <t>chrobia@yahoo.com</t>
  </si>
  <si>
    <t>https://bilder.dasschnelle.at/DasSchnelle/50/5000/9875/061379/I_061379_P_906253685_L_0036262344_1.png</t>
  </si>
  <si>
    <t>https://bilder.dasschnelle.at/DasSchnelle/50/5000/9875/061379/I_061379_P_906253685_B_0036262344_1.gal.png?height=398&amp;width=498;https://bilder.dasschnelle.at/DasSchnelle/50/5000/9875/061379/I_061379_P_906253685_B_0036262344_2.gal.png?height=397&amp;width=499;https://bilder.dasschnelle.at/DasSchnelle/50/5000/9875/061379/I_061379_P_906253685_B_0036262344_3.gal.png?height=401&amp;width=501;https://bilder.dasschnelle.at/DasSchnelle/50/5000/9875/061379/I_061379_P_906253685_B_0036262344_4.gal.png?height=399&amp;width=500</t>
  </si>
  <si>
    <t>Rassaerts, Anita, Dr.med., Ärztin f Allgemein- u Arbeitsmedizin • Schalchen • Oberösterreich</t>
  </si>
  <si>
    <t>Ärzte / f Allgemeinmedizin • Rassaerts, Anita, Dr.med., Hauptstraße 5, Schalchen • Kontakt über aktuelle Telefonnummern ☎ und Adressen ⚑ mit Karte, Routing, Öffnungszeiten, Homepage, E-Mail, vCard und Firmendaten.</t>
  </si>
  <si>
    <t>Hauptstraße 5</t>
  </si>
  <si>
    <t>48.11886</t>
  </si>
  <si>
    <t>13.15681</t>
  </si>
  <si>
    <t>+43774264000</t>
  </si>
  <si>
    <t>+437742640023</t>
  </si>
  <si>
    <t>https://bilder.dasschnelle.at/DasSchnelle/50/5000/9872/044797/G_044797_P_906254330.adn.gif</t>
  </si>
  <si>
    <t>DS Elektro • Melk • Niederösterreich</t>
  </si>
  <si>
    <t>Elektrogeräte u. -bedarf • DS Elektro, Pöverding 27-27 Stg 4, Melk • Kontakt über aktuelle Telefonnummern ☎ und Adressen ⚑ mit Karte, Routing, Öffnungszeiten, Homepage, E-Mail, vCard und Firmendaten.</t>
  </si>
  <si>
    <t>Pöverding 27-27 Stg 4</t>
  </si>
  <si>
    <t>+436763115626</t>
  </si>
  <si>
    <t>office@ds-elektro.at</t>
  </si>
  <si>
    <t>https://bilder.dasschnelle.at/DasSchnelle/50/5000/9908/041629/I_044247_P_906254335_L_0039874105_1.png</t>
  </si>
  <si>
    <t>GKV Haustechnik GmbH, Haustechnik • Völkermarkt • Kärnten</t>
  </si>
  <si>
    <t>Haustechnik, Installationsunternehmen • GKV Haustechnik GmbH, St.Ruprechter Straße 2, Völkermarkt • Kontakt über aktuelle Telefonnummern ☎ und Adressen ⚑ mit Karte, Routing, Öffnungszeiten, Homepage, E-Mail, vCard und Firmendaten.</t>
  </si>
  <si>
    <t>St.Ruprechter Straße 2</t>
  </si>
  <si>
    <t>46.6642</t>
  </si>
  <si>
    <t>14.62447</t>
  </si>
  <si>
    <t>+4342322970</t>
  </si>
  <si>
    <t>office@gkv-haustechnik.at</t>
  </si>
  <si>
    <t>https://bilder.dasschnelle.at/DasSchnelle/50/5000/9942/042037/G_042037_P_906254337.adn.gif</t>
  </si>
  <si>
    <t>Grabner, Martina, Trachtenstube • St. Wolfgang im Salzkammergut • Oberösterreich</t>
  </si>
  <si>
    <t>Bekleidung • Grabner, Martina, Markt 39, St. Wolfgang im Salzkammergut • Kontakt über aktuelle Telefonnummern ☎ und Adressen ⚑ mit Karte, Routing, Öffnungszeiten, Homepage, E-Mail, vCard und Firmendaten.</t>
  </si>
  <si>
    <t>Markt 39</t>
  </si>
  <si>
    <t>47.73844</t>
  </si>
  <si>
    <t>13.4487</t>
  </si>
  <si>
    <t>+4361382594</t>
  </si>
  <si>
    <t>grabnermartina@gmail.com</t>
  </si>
  <si>
    <t>https://bilder.dasschnelle.at/DasSchnelle/50/5000/9868/041804/G_041804_P_906254339.adn.gif</t>
  </si>
  <si>
    <t>Plamberger, Peter jun., Elektrounternehmen • St. Wolfgang im Salzkammergut • Oberösterreich</t>
  </si>
  <si>
    <t>Elektroinstallationsunternehmen • Plamberger, Peter jun., Weinbach 60, St. Wolfgang im Salzkammergut • Kontakt über aktuelle Telefonnummern ☎ und Adressen ⚑ mit Karte, Routing, Öffnungszeiten, Homepage, E-Mail, vCard und Firmendaten.</t>
  </si>
  <si>
    <t>Weinbach 60</t>
  </si>
  <si>
    <t>47.7248912</t>
  </si>
  <si>
    <t>13.5123423</t>
  </si>
  <si>
    <t>+4361375162</t>
  </si>
  <si>
    <t>+4361376709</t>
  </si>
  <si>
    <t>info@elektro-plamberger.at</t>
  </si>
  <si>
    <t>https://bilder.dasschnelle.at/DasSchnelle/50/5000/9868/041804/G_041804_P_906254343.adn.gif</t>
  </si>
  <si>
    <t>Feldbacher, Gerald, Dr.med.univ., FA f. Zahn-, Mund- u. Kieferheilk. • Burgkirchen • Oberösterreich</t>
  </si>
  <si>
    <t>Ärzte / Fachärzte f. Zahn-, Mund u. Kieferheilkunde • Feldbacher, Gerald, Dr.med.univ., Geretsdorf 70, Burgkirchen • Kontakt über aktuelle Telefonnummern ☎ und Adressen ⚑ mit Karte, Routing, Öffnungszeiten, Homepage, E-Mail, vCard und Firmendaten.</t>
  </si>
  <si>
    <t>Geretsdorf 70</t>
  </si>
  <si>
    <t>5274</t>
  </si>
  <si>
    <t>Burgkirchen</t>
  </si>
  <si>
    <t>48.2035698</t>
  </si>
  <si>
    <t>13.1153409</t>
  </si>
  <si>
    <t>+43772421470</t>
  </si>
  <si>
    <t>https://bilder.dasschnelle.at/DasSchnelle/50/5000/9872/044552/G_044552_P_906255492.adn.gif</t>
  </si>
  <si>
    <t>Simmerer Josef Transportunternehmen GmbH • Pasching • Oberösterreich</t>
  </si>
  <si>
    <t>Transportunternehmen • Simmerer Josef Transportunternehmen GmbH, Prinz-Eugen-Straße 3 A, Pasching • Kontakt über aktuelle Telefonnummern ☎ und Adressen ⚑ mit Karte, Routing, Öffnungszeiten, Homepage, E-Mail, vCard und Firmendaten.</t>
  </si>
  <si>
    <t>Prinz-Eugen-Straße 3 A</t>
  </si>
  <si>
    <t>4061</t>
  </si>
  <si>
    <t>Pasching</t>
  </si>
  <si>
    <t>48.24004</t>
  </si>
  <si>
    <t>14.24535</t>
  </si>
  <si>
    <t>+43722962118;+43722972592</t>
  </si>
  <si>
    <t>office@simmerer.at</t>
  </si>
  <si>
    <t>https://bilder.dasschnelle.at/DasSchnelle/50/5000/9937/046116/I_046116_P_906255490_L_0035971201_1.png</t>
  </si>
  <si>
    <t>https://bilder.dasschnelle.at/DasSchnelle/50/5000/9937/046116/I_046116_P_906255490_B_0035971201_1.gal.png?height=600&amp;width=600;https://bilder.dasschnelle.at/DasSchnelle/50/5000/9937/046116/I_046116_P_906255490_B_0035971201_2.gal.png?height=600&amp;width=600;https://bilder.dasschnelle.at/DasSchnelle/50/5000/9937/046116/I_046116_P_906255490_B_0035971201_3.gal.png?height=600&amp;width=600;https://bilder.dasschnelle.at/DasSchnelle/50/5000/9937/046116/I_046116_P_906255490_B_0035971201_4.gal.png?height=600&amp;width=600</t>
  </si>
  <si>
    <t>Frisch, Peter, Dr., Rechtsanwalt • Altheim • Oberösterreich</t>
  </si>
  <si>
    <t>Rechtsanwälte • Frisch, Peter, Dr., Braunauer Straße 22, Altheim • Kontakt über aktuelle Telefonnummern ☎ und Adressen ⚑ mit Karte, Routing, Öffnungszeiten, Homepage, E-Mail, vCard und Firmendaten.</t>
  </si>
  <si>
    <t>Braunauer Straße 22</t>
  </si>
  <si>
    <t>48.24922</t>
  </si>
  <si>
    <t>13.22845</t>
  </si>
  <si>
    <t>+43772341213</t>
  </si>
  <si>
    <t>office@ra-frisch.at</t>
  </si>
  <si>
    <t>https://bilder.dasschnelle.at/DasSchnelle/50/5000/9872/044548/I_044548_P_906255494_L_0036261761_1.png</t>
  </si>
  <si>
    <t>https://bilder.dasschnelle.at/DasSchnelle/50/5000/9872/044548/I_044548_P_906255494_B_0036261761_1.gal.png?height=706&amp;width=831;https://bilder.dasschnelle.at/DasSchnelle/50/5000/9872/044548/I_044548_P_906255494_B_0036261761_2.gal.png?height=555&amp;width=831;https://bilder.dasschnelle.at/DasSchnelle/50/5000/9872/044548/I_044548_P_906255494_B_0036261761_3.gal.png?height=553&amp;width=831</t>
  </si>
  <si>
    <t>Storf, Johannes, Innenarchitekt • Reutte • Tirol</t>
  </si>
  <si>
    <t>Innenarchitekten • Storf, Johannes, Untermarkt 10, Reutte • Kontakt über aktuelle Telefonnummern ☎ und Adressen ⚑ mit Karte, Routing, Öffnungszeiten, Homepage, E-Mail, vCard und Firmendaten.</t>
  </si>
  <si>
    <t>Untermarkt 10</t>
  </si>
  <si>
    <t>47.49012</t>
  </si>
  <si>
    <t>10.71773</t>
  </si>
  <si>
    <t>+435672625100</t>
  </si>
  <si>
    <t>atelier.u10@tirol.com</t>
  </si>
  <si>
    <t>https://bilder.dasschnelle.at/DasSchnelle/50/5000/9921/042603/G_042603_P_906255496.adn.gif</t>
  </si>
  <si>
    <t>Christophorus Apotheke • Eferding • Oberösterreich</t>
  </si>
  <si>
    <t>Apotheken • Christophorus Apotheke, Linzer Straße 16, Eferding • Kontakt über aktuelle Telefonnummern ☎ und Adressen ⚑ mit Karte, Routing, Öffnungszeiten, Homepage, E-Mail, vCard und Firmendaten.</t>
  </si>
  <si>
    <t>Linzer Straße 16</t>
  </si>
  <si>
    <t>48.30219</t>
  </si>
  <si>
    <t>14.02803</t>
  </si>
  <si>
    <t>+43727276950</t>
  </si>
  <si>
    <t>geiger@apotheke-christophorus.at</t>
  </si>
  <si>
    <t>https://bilder.dasschnelle.at/DasSchnelle/50/5000/9876/044805/I_044805_P_906255499_L_0036250620_1.png</t>
  </si>
  <si>
    <t>https://bilder.dasschnelle.at/DasSchnelle/50/5000/9876/044805/I_044805_P_906255499_B_0036250620_1.gal.png?height=400&amp;width=600;https://bilder.dasschnelle.at/DasSchnelle/50/5000/9876/044805/I_044805_P_906255499_B_0036250620_2.gal.png?height=402&amp;width=600;https://bilder.dasschnelle.at/DasSchnelle/50/5000/9876/044805/I_044805_P_906255499_B_0036250620_3.gal.png?height=395&amp;width=600</t>
  </si>
  <si>
    <t>Hotel Thaneller GmbH • Berwang • Tirol</t>
  </si>
  <si>
    <t>Gastgewerbe - Gasthöfe, Hotels, Pensionen • Hotel Thaneller GmbH, Rinnen 38, Berwang • Kontakt über aktuelle Telefonnummern ☎ und Adressen ⚑ mit Karte, Routing, Öffnungszeiten, Homepage, E-Mail, vCard und Firmendaten.</t>
  </si>
  <si>
    <t>Rinnen 38</t>
  </si>
  <si>
    <t>47.4054263</t>
  </si>
  <si>
    <t>10.7186544</t>
  </si>
  <si>
    <t>+4356748150</t>
  </si>
  <si>
    <t>heustadl@aon.at</t>
  </si>
  <si>
    <t>https://bilder.dasschnelle.at/DasSchnelle/50/5000/9921/044838/G_044838_P_906255628.adn.gif</t>
  </si>
  <si>
    <t>Dödlinger Erdbau GmbH • Fieberbrunn • Tirol</t>
  </si>
  <si>
    <t>Erdbau, Transportunternehmen • Dödlinger Erdbau GmbH, Am Berg 1, Fieberbrunn • Kontakt über aktuelle Telefonnummern ☎ und Adressen ⚑ mit Karte, Routing, Öffnungszeiten, Homepage, E-Mail, vCard und Firmendaten.</t>
  </si>
  <si>
    <t>Am Berg 1</t>
  </si>
  <si>
    <t>47.4865326</t>
  </si>
  <si>
    <t>12.5307371</t>
  </si>
  <si>
    <t>+43535456650</t>
  </si>
  <si>
    <t>sabine@doedlinger-erdbau.at</t>
  </si>
  <si>
    <t>https://bilder.dasschnelle.at/DasSchnelle/50/5000/9896/046127/G_046127_P_906255631.adn.gif</t>
  </si>
  <si>
    <t>Unterrainer, Dieter, Friseure • Fieberbrunn • Tirol</t>
  </si>
  <si>
    <t>Friseure • Unterrainer, Dieter, Dorfstraße 21, Fieberbrunn • Kontakt über aktuelle Telefonnummern ☎ und Adressen ⚑ mit Karte, Routing, Öffnungszeiten, Homepage, E-Mail, vCard und Firmendaten.</t>
  </si>
  <si>
    <t>Dorfstraße 21</t>
  </si>
  <si>
    <t>47.47623</t>
  </si>
  <si>
    <t>12.54384</t>
  </si>
  <si>
    <t>+43535456271</t>
  </si>
  <si>
    <t>dieter.unterrainer@gmx.at</t>
  </si>
  <si>
    <t>https://bilder.dasschnelle.at/DasSchnelle/50/5000/9896/046127/G_046127_P_906255633.adn.gif</t>
  </si>
  <si>
    <t>Siorpaes, Erich, Spenglerei • Fieberbrunn • Tirol</t>
  </si>
  <si>
    <t>Glasereien, Spenglereien • Siorpaes, Erich, Dandlerau 14, Fieberbrunn • Kontakt über aktuelle Telefonnummern ☎ und Adressen ⚑ mit Karte, Routing, Öffnungszeiten, Homepage, E-Mail, vCard und Firmendaten.</t>
  </si>
  <si>
    <t>Dandlerau 14</t>
  </si>
  <si>
    <t>47.46623</t>
  </si>
  <si>
    <t>12.57133</t>
  </si>
  <si>
    <t>+43535456061</t>
  </si>
  <si>
    <t>+43535452630</t>
  </si>
  <si>
    <t>firma.siorpaes@aon.at</t>
  </si>
  <si>
    <t>https://bilder.dasschnelle.at/DasSchnelle/50/5000/9896/046127/G_046127_P_906255637.adn.gif</t>
  </si>
  <si>
    <t>Bacher, Nicole, Dr., Ärzte / Fachärzte f Haut-u Geschlechtskrankheiten • Braunau am Inn • Oberösterreich</t>
  </si>
  <si>
    <t>Ärzte / Fachärzte f. Haut u. Geschlechtskrankheiten • Bacher, Nicole, Dr., Stadtplatz 43, Braunau am Inn • Kontakt über aktuelle Telefonnummern ☎ und Adressen ⚑ mit Karte, Routing, Öffnungszeiten, Homepage, E-Mail, vCard und Firmendaten.</t>
  </si>
  <si>
    <t>Stadtplatz 43</t>
  </si>
  <si>
    <t>48.2584151</t>
  </si>
  <si>
    <t>13.0355810</t>
  </si>
  <si>
    <t>+43772268787</t>
  </si>
  <si>
    <t>office@hautarzt-bacher.at</t>
  </si>
  <si>
    <t>https://bilder.dasschnelle.at/DasSchnelle/50/5000/9872/044551/G_044551_P_906256518.adn.gif</t>
  </si>
  <si>
    <t>Gangl &amp; Baischer Wirtschaftsteuhand Steuerberatungs GmbH &amp; Co KG, Wirtschaftstreuhänder • Eggelsberg • Oberösterreich</t>
  </si>
  <si>
    <t>Wirtschaftstreuhänder • Gangl &amp; Baischer Wirtschaftsteuhand Steuerberatungs GmbH &amp; Co KG, Marktplatz 1, Eggelsberg • Kontakt über aktuelle Telefonnummern ☎ und Adressen ⚑ mit Karte, Routing, Öffnungszeiten, Homepage, E-Mail, vCard und Firmendaten.</t>
  </si>
  <si>
    <t>48.0980889</t>
  </si>
  <si>
    <t>12.9862647</t>
  </si>
  <si>
    <t>+4377486601</t>
  </si>
  <si>
    <t>office@gangl-baischer.at</t>
  </si>
  <si>
    <t>https://bilder.dasschnelle.at/DasSchnelle/50/5000/9872/044553/I_044553_P_906256522_L_0036420769_1.png</t>
  </si>
  <si>
    <t>https://bilder.dasschnelle.at/DasSchnelle/50/5000/9872/044553/I_044553_P_906256522_B_0036420769_1.gal.png?height=411&amp;width=630;https://bilder.dasschnelle.at/DasSchnelle/50/5000/9872/044553/I_044553_P_906256522_B_0036420769_2.gal.png?height=412&amp;width=555;https://bilder.dasschnelle.at/DasSchnelle/50/5000/9872/044553/I_044553_P_906256522_B_0036420769_3.gal.png?height=414&amp;width=621;https://bilder.dasschnelle.at/DasSchnelle/50/5000/9872/044553/I_044553_P_906256522_B_0036420769_4.gal.png?height=415&amp;width=622</t>
  </si>
  <si>
    <t>Reiter GmbH, Sanitär-Heizungsbau • Kitzbühel • Tirol</t>
  </si>
  <si>
    <t>Installationsunternehmen • Reiter GmbH, Astberg 5, Kitzbühel • Kontakt über aktuelle Telefonnummern ☎ und Adressen ⚑ mit Karte, Routing, Öffnungszeiten, Homepage, E-Mail, vCard und Firmendaten.</t>
  </si>
  <si>
    <t>Astberg 5</t>
  </si>
  <si>
    <t>47.49376</t>
  </si>
  <si>
    <t>12.34371</t>
  </si>
  <si>
    <t>+43535664393</t>
  </si>
  <si>
    <t>inst.reiter@kitz.net</t>
  </si>
  <si>
    <t>https://bilder.dasschnelle.at/DasSchnelle/50/5000/9896/046138/G_046138_P_906256524.adn.gif</t>
  </si>
  <si>
    <t>Schlüsselstelle Kitzbühel, Schlüsseldienst • Kitzbühel • Tirol</t>
  </si>
  <si>
    <t>Aufsperrdienste • Schlüsselstelle Kitzbühel, Josef-Pirchl-Straße 36, Kitzbühel • Kontakt über aktuelle Telefonnummern ☎ und Adressen ⚑ mit Karte, Routing, Öffnungszeiten, Homepage, E-Mail, vCard und Firmendaten.</t>
  </si>
  <si>
    <t>Josef-Pirchl-Straße 36</t>
  </si>
  <si>
    <t>47.4516300</t>
  </si>
  <si>
    <t>12.3902200</t>
  </si>
  <si>
    <t>+43535663443;+43535675112;+436641209033</t>
  </si>
  <si>
    <t>info@schlüsselstelle.at</t>
  </si>
  <si>
    <t>https://bilder.dasschnelle.at/DasSchnelle/50/5000/9896/046135/G_046135_P_906256525.adn.gif</t>
  </si>
  <si>
    <t>Steiner Reischerwirt • Going • Tirol</t>
  </si>
  <si>
    <t>Restaurants • Steiner Reischerwirt, Innsbruckerstrasse 72, Going • Kontakt über aktuelle Telefonnummern ☎ und Adressen ⚑ mit Karte, Routing, Öffnungszeiten, Homepage, E-Mail, vCard und Firmendaten.</t>
  </si>
  <si>
    <t>Innsbruckerstrasse 72</t>
  </si>
  <si>
    <t>6353</t>
  </si>
  <si>
    <t>Going</t>
  </si>
  <si>
    <t>47.51836</t>
  </si>
  <si>
    <t>12.35792</t>
  </si>
  <si>
    <t>+436641664899</t>
  </si>
  <si>
    <t>info@reischerwirt.at</t>
  </si>
  <si>
    <t>https://bilder.dasschnelle.at/DasSchnelle/50/5000/9896/046128/G_046128_P_906256781.adn.gif</t>
  </si>
  <si>
    <t>Egger GmbH, Estrichverlegung • Kirchberg in Tirol • Tirol</t>
  </si>
  <si>
    <t>Estriche • Egger GmbH, Seislboden 3, Kirchberg in Tirol • Kontakt über aktuelle Telefonnummern ☎ und Adressen ⚑ mit Karte, Routing, Öffnungszeiten, Homepage, E-Mail, vCard und Firmendaten.</t>
  </si>
  <si>
    <t>Seislboden 3</t>
  </si>
  <si>
    <t>47.42914</t>
  </si>
  <si>
    <t>12.31534</t>
  </si>
  <si>
    <t>+436642252123;+436642805911;+436643006471</t>
  </si>
  <si>
    <t>+4353572423</t>
  </si>
  <si>
    <t>info@egger-estrich.at</t>
  </si>
  <si>
    <t>https://bilder.dasschnelle.at/DasSchnelle/50/5000/9896/046133/G_046133_P_906255575.adn.gif</t>
  </si>
  <si>
    <t>Feldbacher Erdbewegung • Köstendorf • Salzburg</t>
  </si>
  <si>
    <t>Erdbau, Erdbewegungen • Feldbacher Erdbewegung, Spanswag 1, Köstendorf • Kontakt über aktuelle Telefonnummern ☎ und Adressen ⚑ mit Karte, Routing, Öffnungszeiten, Homepage, E-Mail, vCard und Firmendaten.</t>
  </si>
  <si>
    <t>Spanswag 1</t>
  </si>
  <si>
    <t>47.9588400</t>
  </si>
  <si>
    <t>13.1761400</t>
  </si>
  <si>
    <t>+436606797139</t>
  </si>
  <si>
    <t>alex@af-erdbewegung.at</t>
  </si>
  <si>
    <t>https://bilder.dasschnelle.at/DasSchnelle/50/5000/9935/043316/G_043316_P_906255608.adn.gif</t>
  </si>
  <si>
    <t>Glaserei Neureiters Sohn KEG • Oberalm • Salzburg</t>
  </si>
  <si>
    <t>Glasereien • Glaserei Neureiters Sohn KEG, Messinghammerweg 10, Oberalm • Kontakt über aktuelle Telefonnummern ☎ und Adressen ⚑ mit Karte, Routing, Öffnungszeiten, Homepage, E-Mail, vCard und Firmendaten.</t>
  </si>
  <si>
    <t>Messinghammerweg 10</t>
  </si>
  <si>
    <t>47.70035</t>
  </si>
  <si>
    <t>13.11059</t>
  </si>
  <si>
    <t>+43624572288</t>
  </si>
  <si>
    <t>+43624572353</t>
  </si>
  <si>
    <t>office@glas-neureiter.at</t>
  </si>
  <si>
    <t>https://bilder.dasschnelle.at/DasSchnelle/50/5000/9889/043594/G_043594_P_906255612.adn.gif</t>
  </si>
  <si>
    <t>Wiemers Manfred Malerei GesmbH • Köstendorf • Salzburg</t>
  </si>
  <si>
    <t>Malereibetriebe • Wiemers Manfred Malerei GesmbH, Segerwiesen 2, Köstendorf • Kontakt über aktuelle Telefonnummern ☎ und Adressen ⚑ mit Karte, Routing, Öffnungszeiten, Homepage, E-Mail, vCard und Firmendaten.</t>
  </si>
  <si>
    <t>Segerwiesen 2</t>
  </si>
  <si>
    <t>47.95405</t>
  </si>
  <si>
    <t>13.20738</t>
  </si>
  <si>
    <t>+436642031614;+436642031614;+436643843979</t>
  </si>
  <si>
    <t>office@malerei-wiemers.at</t>
  </si>
  <si>
    <t>https://bilder.dasschnelle.at/DasSchnelle/50/5000/9931/043313/I_043313_P_906256804_L_0036262405_1.png</t>
  </si>
  <si>
    <t>https://bilder.dasschnelle.at/DasSchnelle/50/5000/9931/043313/I_043313_P_906256804_B_0036262405_1.gal.png?height=398&amp;width=530;https://bilder.dasschnelle.at/DasSchnelle/50/5000/9931/043313/I_043313_P_906256804_B_0036262405_2.gal.png?height=398&amp;width=530;https://bilder.dasschnelle.at/DasSchnelle/50/5000/9931/043313/I_043313_P_906256804_B_0036262405_3.gal.png?height=398&amp;width=530</t>
  </si>
  <si>
    <t>Leithner, Alexander, Tischlereien • Puch bei Hallein • Salzburg</t>
  </si>
  <si>
    <t>Tischlereien • Leithner, Alexander, Gutratgasse 7, Puch bei Hallein • Kontakt über aktuelle Telefonnummern ☎ und Adressen ⚑ mit Karte, Routing, Öffnungszeiten, Homepage, E-Mail, vCard und Firmendaten.</t>
  </si>
  <si>
    <t>Gutratgasse 7</t>
  </si>
  <si>
    <t>47.70691</t>
  </si>
  <si>
    <t>13.08612</t>
  </si>
  <si>
    <t>+436643164900</t>
  </si>
  <si>
    <t>alex.leithner@aon.at</t>
  </si>
  <si>
    <t>https://bilder.dasschnelle.at/DasSchnelle/50/5000/9889/043595/G_043595_P_906256810.adn.gif</t>
  </si>
  <si>
    <t>Josef Zika GmbH, Steinmetz • Ansfelden • Oberösterreich</t>
  </si>
  <si>
    <t>Steinmetzbetriebe • Josef Zika GmbH, Friedhofstraße 1, Ansfelden • Kontakt über aktuelle Telefonnummern ☎ und Adressen ⚑ mit Karte, Routing, Öffnungszeiten, Homepage, E-Mail, vCard und Firmendaten.</t>
  </si>
  <si>
    <t>48.21193</t>
  </si>
  <si>
    <t>14.28847</t>
  </si>
  <si>
    <t>+43722987116</t>
  </si>
  <si>
    <t>josefzikagmbh@gmx.at</t>
  </si>
  <si>
    <t>https://bilder.dasschnelle.at/DasSchnelle/50/5000/9937/046102/I_046102_P_906255466_L_0035970769_1.png</t>
  </si>
  <si>
    <t>https://bilder.dasschnelle.at/DasSchnelle/50/5000/9937/046102/I_046102_P_906255466_B_0035970769_1.gal.png?height=667&amp;width=1000;https://bilder.dasschnelle.at/DasSchnelle/50/5000/9937/046102/I_046102_P_906255466_B_0035970769_2.gal.png?height=895&amp;width=1199;https://bilder.dasschnelle.at/DasSchnelle/50/5000/9937/046102/I_046102_P_906255466_B_0035970769_3.gal.png?height=899&amp;width=1199;https://bilder.dasschnelle.at/DasSchnelle/50/5000/9937/046102/I_046102_P_906255466_B_0035970769_4.gal.png?height=570&amp;width=853</t>
  </si>
  <si>
    <t>KLK-Ortner GmbH, Autoreparatur • Ansfelden • Oberösterreich</t>
  </si>
  <si>
    <t>Autoreparaturen • KLK-Ortner GmbH, Haider Straße 38, Ansfelden • Kontakt über aktuelle Telefonnummern ☎ und Adressen ⚑ mit Karte, Routing, Öffnungszeiten, Homepage, E-Mail, vCard und Firmendaten.</t>
  </si>
  <si>
    <t>Haider Straße 38</t>
  </si>
  <si>
    <t>48.21161</t>
  </si>
  <si>
    <t>14.28037</t>
  </si>
  <si>
    <t>+43722978378;+436641329964</t>
  </si>
  <si>
    <t>info@klk-ortner.at</t>
  </si>
  <si>
    <t>https://bilder.dasschnelle.at/DasSchnelle/50/5000/9937/046102/G_046102_P_906255470.adn.gif</t>
  </si>
  <si>
    <t>Elektro Hochreiter GmbH • Traun • Oberösterreich</t>
  </si>
  <si>
    <t>Elektrogeräte u. -bedarf • Elektro Hochreiter GmbH, Georg-Grinninger-Straße 1, Traun • Kontakt über aktuelle Telefonnummern ☎ und Adressen ⚑ mit Karte, Routing, Öffnungszeiten, Homepage, E-Mail, vCard und Firmendaten.</t>
  </si>
  <si>
    <t>Georg-Grinninger-Straße 1</t>
  </si>
  <si>
    <t>48.2213178</t>
  </si>
  <si>
    <t>14.2356085</t>
  </si>
  <si>
    <t>+43722924702</t>
  </si>
  <si>
    <t>office@elektro-hochreiter.at</t>
  </si>
  <si>
    <t>https://bilder.dasschnelle.at/DasSchnelle/50/5000/9937/046120/G_046120_P_906255473.adn.gif</t>
  </si>
  <si>
    <t>Petruska, Antje, Reinigung • Traun • Oberösterreich</t>
  </si>
  <si>
    <t>Textilreinigung • Petruska, Antje, Georg Grinninger-Straße 31, Traun • Kontakt über aktuelle Telefonnummern ☎ und Adressen ⚑ mit Karte, Routing, Öffnungszeiten, Homepage, E-Mail, vCard und Firmendaten.</t>
  </si>
  <si>
    <t>Georg Grinninger-Straße 31</t>
  </si>
  <si>
    <t>48.22347</t>
  </si>
  <si>
    <t>14.23412</t>
  </si>
  <si>
    <t>+43722973090</t>
  </si>
  <si>
    <t>aktuell-reinigung@aon.at</t>
  </si>
  <si>
    <t>https://bilder.dasschnelle.at/DasSchnelle/50/5000/9937/046120/G_046120_P_906255475.adn.gif</t>
  </si>
  <si>
    <t>Gartengestaltung Oberhuber GmbH • Linz • Oberösterreich</t>
  </si>
  <si>
    <t>Garten- u. Landschaftsgestaltung • Gartengestaltung Oberhuber GmbH, Im Hühnersteig 7, Linz • Kontakt über aktuelle Telefonnummern ☎ und Adressen ⚑ mit Karte, Routing, Öffnungszeiten, Homepage, E-Mail, vCard und Firmendaten.</t>
  </si>
  <si>
    <t>Im Hühnersteig 7</t>
  </si>
  <si>
    <t>48.3086100</t>
  </si>
  <si>
    <t>14.3074800</t>
  </si>
  <si>
    <t>+436765219556</t>
  </si>
  <si>
    <t>office@gartengestaltung.at</t>
  </si>
  <si>
    <t>https://bilder.dasschnelle.at/DasSchnelle/50/5000/9937/046120/G_046120_P_906255614.adn.gif</t>
  </si>
  <si>
    <t>Handler, Peter, Mag., Rechtsanwälte • Deutschlandsberg • Steiermark</t>
  </si>
  <si>
    <t>Rechtsanwälte • Handler, Peter, Mag., Hauptplatz 33, Deutschlandsberg • Kontakt über aktuelle Telefonnummern ☎ und Adressen ⚑ mit Karte, Routing, Öffnungszeiten, Homepage, E-Mail, vCard und Firmendaten.</t>
  </si>
  <si>
    <t>Hauptplatz 33</t>
  </si>
  <si>
    <t>46.81419</t>
  </si>
  <si>
    <t>15.21286</t>
  </si>
  <si>
    <t>+4334624141</t>
  </si>
  <si>
    <t>office@handler.at</t>
  </si>
  <si>
    <t>https://bilder.dasschnelle.at/DasSchnelle/50/5000/9875/061379/G_061379_P_906256361.adn.gif</t>
  </si>
  <si>
    <t>Holzbau Silan GmbH • Ruden • Kärnten</t>
  </si>
  <si>
    <t>Holzbau • Holzbau Silan GmbH, Dobrowa-Gewerbestraße 3, Ruden • Kontakt über aktuelle Telefonnummern ☎ und Adressen ⚑ mit Karte, Routing, Öffnungszeiten, Homepage, E-Mail, vCard und Firmendaten.</t>
  </si>
  <si>
    <t>Dobrowa-Gewerbestraße 3</t>
  </si>
  <si>
    <t>46.64892</t>
  </si>
  <si>
    <t>14.76976</t>
  </si>
  <si>
    <t>+43423250279</t>
  </si>
  <si>
    <t>holzbau-silan@aon.at</t>
  </si>
  <si>
    <t>https://bilder.dasschnelle.at/DasSchnelle/50/5000/9942/042034/I_042034_P_906256759_L_0036421147_1.png</t>
  </si>
  <si>
    <t>https://bilder.dasschnelle.at/DasSchnelle/50/5000/9942/042034/I_042034_P_906256759_B_0036421147_1.gal.png?height=257&amp;width=720;https://bilder.dasschnelle.at/DasSchnelle/50/5000/9942/042034/I_042034_P_906256759_B_0036421147_2.gal.png?height=257&amp;width=720;https://bilder.dasschnelle.at/DasSchnelle/50/5000/9942/042034/I_042034_P_906256759_B_0036421147_3.gal.png?height=257&amp;width=720;https://bilder.dasschnelle.at/DasSchnelle/50/5000/9942/042034/I_042034_P_906256759_B_0036421147_4.gal.png?height=257&amp;width=720</t>
  </si>
  <si>
    <t>Meschnark, Maximilian, Glaserei • Haimburg • Kärnten</t>
  </si>
  <si>
    <t>Glasereien • Meschnark, Maximilian, Haimburg 33, Haimburg • Kontakt über aktuelle Telefonnummern ☎ und Adressen ⚑ mit Karte, Routing, Öffnungszeiten, Homepage, E-Mail, vCard und Firmendaten.</t>
  </si>
  <si>
    <t>Haimburg 33</t>
  </si>
  <si>
    <t>9111</t>
  </si>
  <si>
    <t>Haimburg</t>
  </si>
  <si>
    <t>46.6935100</t>
  </si>
  <si>
    <t>14.6694791</t>
  </si>
  <si>
    <t>+43423272777;+43423270302</t>
  </si>
  <si>
    <t>office@maxiglas.at</t>
  </si>
  <si>
    <t>https://bilder.dasschnelle.at/DasSchnelle/50/5000/9942/042037/I_042037_P_906256762_B_0036256078_1.gal.png?height=418&amp;width=600;https://bilder.dasschnelle.at/DasSchnelle/50/5000/9942/042037/I_042037_P_906256762_B_0036256078_2.gal.png?height=383&amp;width=600;https://bilder.dasschnelle.at/DasSchnelle/50/5000/9942/042037/I_042037_P_906256762_B_0036256078_3.gal.png?height=398&amp;width=600</t>
  </si>
  <si>
    <t>Bugari Adri, Karosserie &amp; Lakierung • Ansfelden • Oberösterreich</t>
  </si>
  <si>
    <t>Karosseriebau, Lackierereien • Bugari Adri, Traunuferstraße 114, Ansfelden • Kontakt über aktuelle Telefonnummern ☎ und Adressen ⚑ mit Karte, Routing, Öffnungszeiten, Homepage, E-Mail, vCard und Firmendaten.</t>
  </si>
  <si>
    <t>Traunuferstraße 114</t>
  </si>
  <si>
    <t>48.2152235</t>
  </si>
  <si>
    <t>14.2782581</t>
  </si>
  <si>
    <t>+436643273062</t>
  </si>
  <si>
    <t>info@adri-bugari.at</t>
  </si>
  <si>
    <t>https://bilder.dasschnelle.at/DasSchnelle/50/5000/9937/046102/G_046102_P_906257420.adn.gif</t>
  </si>
  <si>
    <t>SISO Waffen &amp; Outdoor • Reutte • Tirol</t>
  </si>
  <si>
    <t>Waffen u. Munition • SISO Waffen &amp; Outdoor, Untermarkt 39, Reutte • Kontakt über aktuelle Telefonnummern ☎ und Adressen ⚑ mit Karte, Routing, Öffnungszeiten, Homepage, E-Mail, vCard und Firmendaten.</t>
  </si>
  <si>
    <t>Untermarkt 39</t>
  </si>
  <si>
    <t>47.4927</t>
  </si>
  <si>
    <t>10.71769</t>
  </si>
  <si>
    <t>+436765390650</t>
  </si>
  <si>
    <t>info@waffen-siso.at</t>
  </si>
  <si>
    <t>https://bilder.dasschnelle.at/DasSchnelle/50/5000/9921/042603/G_042603_P_906257425.adn.gif</t>
  </si>
  <si>
    <t>Stiegenmeister GmbH, Stiegen und Treppen • Goisern • Oberösterreich</t>
  </si>
  <si>
    <t>Stiegen u. Treppen • Stiegenmeister GmbH, Weißenbachstraße 95, Goisern • Kontakt über aktuelle Telefonnummern ☎ und Adressen ⚑ mit Karte, Routing, Öffnungszeiten, Homepage, E-Mail, vCard und Firmendaten.</t>
  </si>
  <si>
    <t>Weißenbachstraße 95</t>
  </si>
  <si>
    <t>47.6621702</t>
  </si>
  <si>
    <t>13.6062739</t>
  </si>
  <si>
    <t>+436135207390</t>
  </si>
  <si>
    <t>office@stiegenmeister.at</t>
  </si>
  <si>
    <t>https://bilder.dasschnelle.at/DasSchnelle/50/5000/9868/041789/I_041789_P_906257478_L_0035970008_1.png</t>
  </si>
  <si>
    <t>https://bilder.dasschnelle.at/DasSchnelle/50/5000/9868/041789/I_041789_P_906257478_B_0035970008_1.gal.png?height=750&amp;width=1000;https://bilder.dasschnelle.at/DasSchnelle/50/5000/9868/041789/I_041789_P_906257478_B_0035970008_2.gal.png?height=750&amp;width=1000;https://bilder.dasschnelle.at/DasSchnelle/50/5000/9868/041789/I_041789_P_906257478_B_0035970008_3.gal.png?height=750&amp;width=1000;https://bilder.dasschnelle.at/DasSchnelle/50/5000/9868/041789/I_041789_P_906257478_B_0035970008_4.gal.png?height=638&amp;width=900</t>
  </si>
  <si>
    <t>NIERLICH GmbH, Containerverleih • St. Wolfgang im Salzkammergut • Oberösterreich</t>
  </si>
  <si>
    <t>Bestattungsunternehmen • NIERLICH GmbH, Schwarzenbach 69, St. Wolfgang im Salzkammergut • Kontakt über aktuelle Telefonnummern ☎ und Adressen ⚑ mit Karte, Routing, Öffnungszeiten, Homepage, E-Mail, vCard und Firmendaten.</t>
  </si>
  <si>
    <t>Schwarzenbach 69</t>
  </si>
  <si>
    <t>47.7270807</t>
  </si>
  <si>
    <t>13.4897980</t>
  </si>
  <si>
    <t>+4361382734;+436642557457;+436644616379;+4366488865571;+4361383498</t>
  </si>
  <si>
    <t>nierlich@aon.at</t>
  </si>
  <si>
    <t>https://bilder.dasschnelle.at/DasSchnelle/50/5000/9868/041804/I_041804_P_906257484_L_0036242855_1.png</t>
  </si>
  <si>
    <t>https://bilder.dasschnelle.at/DasSchnelle/50/5000/9868/041804/I_041804_P_906257484_B_0036242855_1.gal.png?height=450&amp;width=600;https://bilder.dasschnelle.at/DasSchnelle/50/5000/9868/041804/I_041804_P_906257484_B_0036242855_2.gal.png?height=450&amp;width=600;https://bilder.dasschnelle.at/DasSchnelle/50/5000/9868/041804/I_041804_P_906257484_B_0036242855_3.gal.png?height=450&amp;width=600</t>
  </si>
  <si>
    <t>Elektrotechnik Georg EISL GmbH • Gschwendt • Salzburg</t>
  </si>
  <si>
    <t>Elektrotechnik • Elektrotechnik Georg EISL GmbH, Gschwendt • Kontakt über aktuelle Telefonnummern ☎ und Adressen ⚑ mit Karte, Routing, Öffnungszeiten, Homepage, E-Mail, vCard und Firmendaten.</t>
  </si>
  <si>
    <t>5342</t>
  </si>
  <si>
    <t>Gschwendt</t>
  </si>
  <si>
    <t>47.7251885</t>
  </si>
  <si>
    <t>13.4234594</t>
  </si>
  <si>
    <t>+43613770220;+436641144710</t>
  </si>
  <si>
    <t>+4361377136</t>
  </si>
  <si>
    <t>service@elektro-eisl.at</t>
  </si>
  <si>
    <t>https://bilder.dasschnelle.at/DasSchnelle/50/5000/9868/043330/I_043330_P_906257493_L_0036208489_1.png</t>
  </si>
  <si>
    <t>https://bilder.dasschnelle.at/DasSchnelle/50/5000/9868/043330/I_043330_P_906257493_B_0036208489_1.gal.png?height=450&amp;width=600;https://bilder.dasschnelle.at/DasSchnelle/50/5000/9868/043330/I_043330_P_906257493_B_0036208489_2.gal.png?height=334&amp;width=600;https://bilder.dasschnelle.at/DasSchnelle/50/5000/9868/043330/I_043330_P_906257493_B_0036208489_3.gal.png?height=494&amp;width=780;https://bilder.dasschnelle.at/DasSchnelle/50/5000/9868/043330/I_043330_P_906257493_B_0036208489_4.gal.png?height=479&amp;width=720</t>
  </si>
  <si>
    <t>Stimitzer, Heimo, Dachdeckereien • Reitern • Oberösterreich</t>
  </si>
  <si>
    <t>Dachdeckereien • Stimitzer, Heimo, Reitern • Kontakt über aktuelle Telefonnummern ☎ und Adressen ⚑ mit Karte, Routing, Öffnungszeiten, Homepage, E-Mail, vCard und Firmendaten.</t>
  </si>
  <si>
    <t>Reitern</t>
  </si>
  <si>
    <t>47.6213090</t>
  </si>
  <si>
    <t>13.6409865</t>
  </si>
  <si>
    <t>+436767200330</t>
  </si>
  <si>
    <t>office@meisterdach-glas.at</t>
  </si>
  <si>
    <t>https://bilder.dasschnelle.at/DasSchnelle/50/5000/9868/041789/I_041789_P_906257497_L_0036266142_1.png</t>
  </si>
  <si>
    <t>https://bilder.dasschnelle.at/DasSchnelle/50/5000/9868/041789/I_041789_P_906257497_B_0036266142_1.gal.png?height=539&amp;width=719;https://bilder.dasschnelle.at/DasSchnelle/50/5000/9868/041789/I_041789_P_906257497_B_0036266142_2.gal.png?height=768&amp;width=1024;https://bilder.dasschnelle.at/DasSchnelle/50/5000/9868/041789/I_041789_P_906257497_B_0036266142_3.gal.png?height=768&amp;width=1024;https://bilder.dasschnelle.at/DasSchnelle/50/5000/9868/041789/I_041789_P_906257497_B_0036266142_4.gal.png?height=768&amp;width=1024</t>
  </si>
  <si>
    <t>Jachs Küchen GesmbH • Bad Ischl • Oberösterreich</t>
  </si>
  <si>
    <t>Küchenstudios • Jachs Küchen GesmbH, Auweg 74, Bad Ischl • Kontakt über aktuelle Telefonnummern ☎ und Adressen ⚑ mit Karte, Routing, Öffnungszeiten, Homepage, E-Mail, vCard und Firmendaten.</t>
  </si>
  <si>
    <t>Auweg 74</t>
  </si>
  <si>
    <t>47.6917400</t>
  </si>
  <si>
    <t>13.6204400</t>
  </si>
  <si>
    <t>+43613221199</t>
  </si>
  <si>
    <t>wohnkultur@jachs-kuechen.at</t>
  </si>
  <si>
    <t>https://bilder.dasschnelle.at/DasSchnelle/50/5000/9868/041790/I_041790_P_906257499_L_0036242910_1.png</t>
  </si>
  <si>
    <t>https://bilder.dasschnelle.at/DasSchnelle/50/5000/9868/041790/I_041790_P_906257499_B_0036242910_1.gal.png?height=325&amp;width=720;https://bilder.dasschnelle.at/DasSchnelle/50/5000/9868/041790/I_041790_P_906257499_B_0036242910_2.gal.png?height=311&amp;width=720;https://bilder.dasschnelle.at/DasSchnelle/50/5000/9868/041790/I_041790_P_906257499_B_0036242910_3.gal.png?height=330&amp;width=720;https://bilder.dasschnelle.at/DasSchnelle/50/5000/9868/041790/I_041790_P_906257499_B_0036242910_4.gal.png?height=456&amp;width=720</t>
  </si>
  <si>
    <t>Loidhammer Johann Tischlerei u Einrichtungshaus GesmbH &amp; Co KG, Einrichtungshäuser • Kreutern • Oberösterreich</t>
  </si>
  <si>
    <t>Einrichtungshäuser, Tischlereien • Loidhammer Johann Tischlerei u Einrichtungshaus GesmbH &amp; Co KG, Köhlerweg 25, Kreutern • Kontakt über aktuelle Telefonnummern ☎ und Adressen ⚑ mit Karte, Routing, Öffnungszeiten, Homepage, E-Mail, vCard und Firmendaten.</t>
  </si>
  <si>
    <t>Köhlerweg 25</t>
  </si>
  <si>
    <t>Kreutern</t>
  </si>
  <si>
    <t>47.72461</t>
  </si>
  <si>
    <t>13.59062</t>
  </si>
  <si>
    <t>+436132263490</t>
  </si>
  <si>
    <t>tischlerei@loidhammer.at</t>
  </si>
  <si>
    <t>https://bilder.dasschnelle.at/DasSchnelle/50/5000/9868/041790/I_041790_P_906257526_L_0036243020_1.png</t>
  </si>
  <si>
    <t>https://bilder.dasschnelle.at/DasSchnelle/50/5000/9868/041790/I_041790_P_906257526_B_0036243020_1.gal.png?height=401&amp;width=600;https://bilder.dasschnelle.at/DasSchnelle/50/5000/9868/041790/I_041790_P_906257526_B_0036243020_2.gal.png?height=435&amp;width=600;https://bilder.dasschnelle.at/DasSchnelle/50/5000/9868/041790/I_041790_P_906257526_B_0036243020_3.gal.png?height=399&amp;width=600;https://bilder.dasschnelle.at/DasSchnelle/50/5000/9868/041790/I_041790_P_906257526_B_0036243020_4.gal.png?height=450&amp;width=600</t>
  </si>
  <si>
    <t>Roither, Hannes, Tore • Bad Ischl • Oberösterreich</t>
  </si>
  <si>
    <t>Fenster u. Türen, Sonnen u. Insektenschutz, Tore, Zäune u. Einfriedungen • Roither, Hannes, Kreuterer Straße 36, Bad Ischl • Kontakt über aktuelle Telefonnummern ☎ und Adressen ⚑ mit Karte, Routing, Öffnungszeiten, Homepage, E-Mail, vCard und Firmendaten.</t>
  </si>
  <si>
    <t>Kreuterer Straße 36</t>
  </si>
  <si>
    <t>13.59265</t>
  </si>
  <si>
    <t>+436644017969</t>
  </si>
  <si>
    <t>office@tor-tuer-zaun.at</t>
  </si>
  <si>
    <t>https://bilder.dasschnelle.at/DasSchnelle/50/5000/9868/041790/I_041790_P_906257527_L_0036242733_1.png</t>
  </si>
  <si>
    <t>https://bilder.dasschnelle.at/DasSchnelle/50/5000/9868/041790/I_041790_P_906257527_B_0036242733_1.gal.png?height=240&amp;width=720</t>
  </si>
  <si>
    <t>Kuchar, Evelyn, Cafe • Eberndorf • Kärnten</t>
  </si>
  <si>
    <t>Cafés • Kuchar, Evelyn, Kirchplatz 6, Eberndorf • Kontakt über aktuelle Telefonnummern ☎ und Adressen ⚑ mit Karte, Routing, Öffnungszeiten, Homepage, E-Mail, vCard und Firmendaten.</t>
  </si>
  <si>
    <t>Kirchplatz 6</t>
  </si>
  <si>
    <t>46.59138</t>
  </si>
  <si>
    <t>14.64183</t>
  </si>
  <si>
    <t>+436641060490</t>
  </si>
  <si>
    <t>kuchar.evelyn@aon.at</t>
  </si>
  <si>
    <t>https://bilder.dasschnelle.at/DasSchnelle/50/5000/9942/042027/G_042027_P_906258452.adn.gif</t>
  </si>
  <si>
    <t>Inderst, Martin, Raumausstattung • Biberwier • Tirol</t>
  </si>
  <si>
    <t>Raumausstatter, Trockenausbau • Inderst, Martin, Im Tal 8, Biberwier • Kontakt über aktuelle Telefonnummern ☎ und Adressen ⚑ mit Karte, Routing, Öffnungszeiten, Homepage, E-Mail, vCard und Firmendaten.</t>
  </si>
  <si>
    <t>Im Tal 8</t>
  </si>
  <si>
    <t>6633</t>
  </si>
  <si>
    <t>Biberwier</t>
  </si>
  <si>
    <t>47.37731</t>
  </si>
  <si>
    <t>10.8878</t>
  </si>
  <si>
    <t>+4369910339280</t>
  </si>
  <si>
    <t>info@raumausstattung-inderst.at</t>
  </si>
  <si>
    <t>https://bilder.dasschnelle.at/DasSchnelle/50/5000/9921/044839/G_044839_P_906258454.adn.gif</t>
  </si>
  <si>
    <t>Putz, Alexander, Autohandel • Bad Goisern • Oberösterreich</t>
  </si>
  <si>
    <t>Autohandel • Putz, Alexander, Bundesstraße 47, Bad Goisern • Kontakt über aktuelle Telefonnummern ☎ und Adressen ⚑ mit Karte, Routing, Öffnungszeiten, Homepage, E-Mail, vCard und Firmendaten.</t>
  </si>
  <si>
    <t>Bundesstraße 47</t>
  </si>
  <si>
    <t>47.6565</t>
  </si>
  <si>
    <t>13.60984</t>
  </si>
  <si>
    <t>+436647677519</t>
  </si>
  <si>
    <t>https://bilder.dasschnelle.at/DasSchnelle/50/5000/9868/041789/G_041789_P_906258456.adn.gif</t>
  </si>
  <si>
    <t>Klisanin, Igor, Malermeister • Bad Ischl • Oberösterreich</t>
  </si>
  <si>
    <t>Malereibetriebe • Klisanin, Igor, Kreutererstraße 52, Bad Ischl • Kontakt über aktuelle Telefonnummern ☎ und Adressen ⚑ mit Karte, Routing, Öffnungszeiten, Homepage, E-Mail, vCard und Firmendaten.</t>
  </si>
  <si>
    <t>Kreutererstraße 52</t>
  </si>
  <si>
    <t>47.7216268</t>
  </si>
  <si>
    <t>13.5919775</t>
  </si>
  <si>
    <t>+436642475040</t>
  </si>
  <si>
    <t>office@igor-malermeister.at</t>
  </si>
  <si>
    <t>https://bilder.dasschnelle.at/DasSchnelle/50/5000/9868/041789/I_041790_P_906257433_L_0037989031_1.png</t>
  </si>
  <si>
    <t>https://bilder.dasschnelle.at/DasSchnelle/50/5000/9868/041789/I_041790_P_906257433_B_0037989031_1.gal.png?height=720&amp;width=720;https://bilder.dasschnelle.at/DasSchnelle/50/5000/9868/041789/I_041790_P_906257433_B_0037989031_2.gal.png?height=720&amp;width=720;https://bilder.dasschnelle.at/DasSchnelle/50/5000/9868/041789/I_041790_P_906257433_B_0037989031_3.gal.png?height=720&amp;width=720;https://bilder.dasschnelle.at/DasSchnelle/50/5000/9868/041789/I_041790_P_906257433_B_0037989031_4.gal.png?height=720&amp;width=720</t>
  </si>
  <si>
    <t>Gneuss, Nadine, Friseur • Bad Ischl • Oberösterreich</t>
  </si>
  <si>
    <t>Friseure • Gneuss, Nadine, Leharkai 14, Bad Ischl • Kontakt über aktuelle Telefonnummern ☎ und Adressen ⚑ mit Karte, Routing, Öffnungszeiten, Homepage, E-Mail, vCard und Firmendaten.</t>
  </si>
  <si>
    <t>Leharkai 14</t>
  </si>
  <si>
    <t>47.6968188</t>
  </si>
  <si>
    <t>13.6226653</t>
  </si>
  <si>
    <t>+43613229707</t>
  </si>
  <si>
    <t>office@loox.co.at</t>
  </si>
  <si>
    <t>https://bilder.dasschnelle.at/DasSchnelle/50/5000/9868/041790/G_041790_P_906257438.adn.gif</t>
  </si>
  <si>
    <t>Frisör Haarakiri • Bad Ischl • Oberösterreich</t>
  </si>
  <si>
    <t>Friseure • Frisör Haarakiri, Lindaustraße 119, Bad Ischl • Kontakt über aktuelle Telefonnummern ☎ und Adressen ⚑ mit Karte, Routing, Öffnungszeiten, Homepage, E-Mail, vCard und Firmendaten.</t>
  </si>
  <si>
    <t>Lindaustraße 119</t>
  </si>
  <si>
    <t>47.71087</t>
  </si>
  <si>
    <t>13.55847</t>
  </si>
  <si>
    <t>+436643118776</t>
  </si>
  <si>
    <t>https://bilder.dasschnelle.at/DasSchnelle/50/5000/9868/041790/G_041790_P_906257442.adn.gif</t>
  </si>
  <si>
    <t>Soldan-Salzmann, Angelika, Dr., FA f Frauenheilk u Geburtshilfe • Eferding • Oberösterreich</t>
  </si>
  <si>
    <t>Ärzte / Fachärzte f. Frauenheilkunde u. Geburtshilfe • Soldan-Salzmann, Angelika, Dr., Welser Straße 4, Eferding • Kontakt über aktuelle Telefonnummern ☎ und Adressen ⚑ mit Karte, Routing, Öffnungszeiten, Homepage, E-Mail, vCard und Firmendaten.</t>
  </si>
  <si>
    <t>+43727221900</t>
  </si>
  <si>
    <t>office@dr-salzmann.at</t>
  </si>
  <si>
    <t>https://bilder.dasschnelle.at/DasSchnelle/50/5000/9876/044805/I_044805_P_906257444_L_0036253127_1.png</t>
  </si>
  <si>
    <t>https://bilder.dasschnelle.at/DasSchnelle/50/5000/9876/044805/I_044805_P_906257444_B_0036253127_1.gal.png?height=481&amp;width=600;https://bilder.dasschnelle.at/DasSchnelle/50/5000/9876/044805/I_044805_P_906257444_B_0036253127_2.gal.png?height=400&amp;width=600;https://bilder.dasschnelle.at/DasSchnelle/50/5000/9876/044805/I_044805_P_906257444_B_0036253127_3.gal.png?height=400&amp;width=600;https://bilder.dasschnelle.at/DasSchnelle/50/5000/9876/044805/I_044805_P_906257444_B_0036253127_4.gal.png?height=480&amp;width=720</t>
  </si>
  <si>
    <t>Autohaus Scheichl • Bad Ischl • Oberösterreich</t>
  </si>
  <si>
    <t>Autohandel • Autohaus Scheichl, Linzer Straße 3, Bad Ischl • Kontakt über aktuelle Telefonnummern ☎ und Adressen ⚑ mit Karte, Routing, Öffnungszeiten, Homepage, E-Mail, vCard und Firmendaten.</t>
  </si>
  <si>
    <t>47.71958</t>
  </si>
  <si>
    <t>13.63711</t>
  </si>
  <si>
    <t>+43613223794</t>
  </si>
  <si>
    <t>opel@autohausscheichl.at</t>
  </si>
  <si>
    <t>https://bilder.dasschnelle.at/DasSchnelle/50/5000/9868/041790/G_041790_P_906257667.adn.gif</t>
  </si>
  <si>
    <t>Hans Würtl, Schlosserei &amp; Reparaturservice • Hochfilzen • Tirol</t>
  </si>
  <si>
    <t>Schlossereien • Hans Würtl, Genussstraße 3, Hochfilzen • Kontakt über aktuelle Telefonnummern ☎ und Adressen ⚑ mit Karte, Routing, Öffnungszeiten, Homepage, E-Mail, vCard und Firmendaten.</t>
  </si>
  <si>
    <t>Genussstraße 3</t>
  </si>
  <si>
    <t>6395</t>
  </si>
  <si>
    <t>Hochfilzen</t>
  </si>
  <si>
    <t>47.49445</t>
  </si>
  <si>
    <t>12.52279</t>
  </si>
  <si>
    <t>+43535452586</t>
  </si>
  <si>
    <t>johann.wuertl@aon.at</t>
  </si>
  <si>
    <t>https://bilder.dasschnelle.at/DasSchnelle/50/5000/9896/046127/G_046127_P_906257445.adn.gif</t>
  </si>
  <si>
    <t>Schwarz, Robert, Versicherung • Bad Ischl • Oberösterreich</t>
  </si>
  <si>
    <t>Versicherungsagentur • Schwarz, Robert, Nestroyweg 2, Bad Ischl • Kontakt über aktuelle Telefonnummern ☎ und Adressen ⚑ mit Karte, Routing, Öffnungszeiten, Homepage, E-Mail, vCard und Firmendaten.</t>
  </si>
  <si>
    <t>Nestroyweg 2</t>
  </si>
  <si>
    <t>47.71177</t>
  </si>
  <si>
    <t>13.61688</t>
  </si>
  <si>
    <t>+43613224411;+43613223066</t>
  </si>
  <si>
    <t>+4361322441129</t>
  </si>
  <si>
    <t>robert.schwarz@allianz.at</t>
  </si>
  <si>
    <t>https://bilder.dasschnelle.at/DasSchnelle/50/5000/9868/041790/G_041790_P_906257501.adn.gif</t>
  </si>
  <si>
    <t>Aigner Ing, Wasser-Wärme-Umwelt-GmbH • Neuhofen an der Krems • Oberösterreich</t>
  </si>
  <si>
    <t>Installationsunternehmen, Mechatronik • Aigner Ing, Wasser-Wärme-Umwelt-GmbH, Kremstalstraße 18, Neuhofen an der Krems • Kontakt über aktuelle Telefonnummern ☎ und Adressen ⚑ mit Karte, Routing, Öffnungszeiten, Homepage, E-Mail, vCard und Firmendaten.</t>
  </si>
  <si>
    <t>Kremstalstraße 18</t>
  </si>
  <si>
    <t>48.13576</t>
  </si>
  <si>
    <t>14.22661</t>
  </si>
  <si>
    <t>+4372276081</t>
  </si>
  <si>
    <t>office@ing-aigner.at</t>
  </si>
  <si>
    <t>https://bilder.dasschnelle.at/DasSchnelle/50/5000/9912/046113/G_046113_P_906257509.adn.gif</t>
  </si>
  <si>
    <t>Schanner, Franz, Erdbewegungen • Puchberg am Schneeberg • Niederösterreich</t>
  </si>
  <si>
    <t>Deichgräber • Schanner, Franz, Schneebergstraße 180, Puchberg am Schneeberg • Kontakt über aktuelle Telefonnummern ☎ und Adressen ⚑ mit Karte, Routing, Öffnungszeiten, Homepage, E-Mail, vCard und Firmendaten.</t>
  </si>
  <si>
    <t>Schneebergstraße 180</t>
  </si>
  <si>
    <t>47.7794100</t>
  </si>
  <si>
    <t>15.8707000</t>
  </si>
  <si>
    <t>+4326363441;+436642120944</t>
  </si>
  <si>
    <t>office@schanner-erdbau.at</t>
  </si>
  <si>
    <t>https://bilder.dasschnelle.at/DasSchnelle/50/5000/9913/041849/G_041849_P_906257516.adn.gif</t>
  </si>
  <si>
    <t>Lugstein Haustechnik • Straßwalchen • Salzburg</t>
  </si>
  <si>
    <t>Haustechnik • Lugstein Haustechnik, Holzfeld 23, Straßwalchen • Kontakt über aktuelle Telefonnummern ☎ und Adressen ⚑ mit Karte, Routing, Öffnungszeiten, Homepage, E-Mail, vCard und Firmendaten.</t>
  </si>
  <si>
    <t>Holzfeld 23</t>
  </si>
  <si>
    <t>47.9736557</t>
  </si>
  <si>
    <t>13.2380198</t>
  </si>
  <si>
    <t>+436648210840</t>
  </si>
  <si>
    <t>office@lugstein-haustechnik.at</t>
  </si>
  <si>
    <t>https://bilder.dasschnelle.at/DasSchnelle/50/5000/9935/043329/G_043329_P_906257520.adn.gif</t>
  </si>
  <si>
    <t>Reschenhofer, Antonia, Praxis für Physiotherapie • Schwand im Innkreis • Oberösterreich</t>
  </si>
  <si>
    <t>Physiotherapie • Reschenhofer, Antonia, Johann-Grömer-Straße 2, Schwand im Innkreis • Kontakt über aktuelle Telefonnummern ☎ und Adressen ⚑ mit Karte, Routing, Öffnungszeiten, Homepage, E-Mail, vCard und Firmendaten.</t>
  </si>
  <si>
    <t>Johann-Grömer-Straße 2</t>
  </si>
  <si>
    <t>5134</t>
  </si>
  <si>
    <t>Schwand im Innkreis</t>
  </si>
  <si>
    <t>48.17879</t>
  </si>
  <si>
    <t>12.97138</t>
  </si>
  <si>
    <t>+436764749799</t>
  </si>
  <si>
    <t>info@kopfschmerzpraxis.at</t>
  </si>
  <si>
    <t>https://bilder.dasschnelle.at/DasSchnelle/50/5000/9872/044798/I_044798_P_906258434_L_0036738140_1.png</t>
  </si>
  <si>
    <t>https://bilder.dasschnelle.at/DasSchnelle/50/5000/9872/044798/I_044798_P_906258434_B_0036738140_1.gal.png?height=1081&amp;width=720;https://bilder.dasschnelle.at/DasSchnelle/50/5000/9872/044798/I_044798_P_906258434_B_0036738140_2.gal.png?height=477&amp;width=720;https://bilder.dasschnelle.at/DasSchnelle/50/5000/9872/044798/I_044798_P_906258434_B_0036738140_3.gal.png?height=537&amp;width=720</t>
  </si>
  <si>
    <t>Putz, Erhard, Immobilien • Bad Goisern • Oberösterreich</t>
  </si>
  <si>
    <t>Immobilien • Putz, Erhard, Bundesstraße 75, Bad Goisern • Kontakt über aktuelle Telefonnummern ☎ und Adressen ⚑ mit Karte, Routing, Öffnungszeiten, Homepage, E-Mail, vCard und Firmendaten.</t>
  </si>
  <si>
    <t>Bundesstraße 75</t>
  </si>
  <si>
    <t>47.652</t>
  </si>
  <si>
    <t>13.61203</t>
  </si>
  <si>
    <t>+43613520025</t>
  </si>
  <si>
    <t>office@immocon.at</t>
  </si>
  <si>
    <t>https://bilder.dasschnelle.at/DasSchnelle/50/5000/9868/041789/I_041789_P_906258436_L_0035969635_1.png</t>
  </si>
  <si>
    <t>https://bilder.dasschnelle.at/DasSchnelle/50/5000/9868/041789/I_041789_P_906258436_B_0035969635_1.gal.png?height=528&amp;width=700;https://bilder.dasschnelle.at/DasSchnelle/50/5000/9868/041789/I_041789_P_906258436_B_0035969635_2.gal.png?height=528&amp;width=700;https://bilder.dasschnelle.at/DasSchnelle/50/5000/9868/041789/I_041789_P_906258436_B_0035969635_3.gal.png?height=303&amp;width=700</t>
  </si>
  <si>
    <t>Fellner, Brigitte, Dr., FÄ f Frauenheilkunde u Geburtshilfe • Braunau am Inn • Oberösterreich</t>
  </si>
  <si>
    <t>Ärzte / Fachärzte f. Frauenheilkunde u. Geburtshilfe • Fellner, Brigitte, Dr., Stadtplatz 42, Braunau am Inn • Kontakt über aktuelle Telefonnummern ☎ und Adressen ⚑ mit Karte, Routing, Öffnungszeiten, Homepage, E-Mail, vCard und Firmendaten.</t>
  </si>
  <si>
    <t>Stadtplatz 42</t>
  </si>
  <si>
    <t>48.2581768</t>
  </si>
  <si>
    <t>13.0357619</t>
  </si>
  <si>
    <t>+43772265382</t>
  </si>
  <si>
    <t>ordination-dr.fellner@speed.at</t>
  </si>
  <si>
    <t>https://bilder.dasschnelle.at/DasSchnelle/50/5000/9872/044551/G_044551_P_906258439.adn.gif</t>
  </si>
  <si>
    <t>Besendorfer Herwig GmbH, Dachdeckerei u Spenglerei • Bad Goisern am Hallstättersee • Oberösterreich</t>
  </si>
  <si>
    <t>Dachdeckerei u. Spenglerei • Besendorfer Herwig GmbH, Edt 57, Bad Goisern am Hallstättersee • Kontakt über aktuelle Telefonnummern ☎ und Adressen ⚑ mit Karte, Routing, Öffnungszeiten, Homepage, E-Mail, vCard und Firmendaten.</t>
  </si>
  <si>
    <t>Edt 57</t>
  </si>
  <si>
    <t>47.6275697</t>
  </si>
  <si>
    <t>13.6383949</t>
  </si>
  <si>
    <t>+4361356160</t>
  </si>
  <si>
    <t>office@besendorfer.at</t>
  </si>
  <si>
    <t>https://bilder.dasschnelle.at/DasSchnelle/50/5000/9868/041789/I_041789_P_906258441_L_0036242638_1.png</t>
  </si>
  <si>
    <t>https://bilder.dasschnelle.at/DasSchnelle/50/5000/9868/041789/I_041789_P_906258441_B_0036242638_1.gal.png?height=483&amp;width=720;https://bilder.dasschnelle.at/DasSchnelle/50/5000/9868/041789/I_041789_P_906258441_B_0036242638_2.gal.png?height=535&amp;width=720;https://bilder.dasschnelle.at/DasSchnelle/50/5000/9868/041789/I_041789_P_906258441_B_0036242638_3.gal.png?height=458&amp;width=720;https://bilder.dasschnelle.at/DasSchnelle/50/5000/9868/041789/I_041789_P_906258441_B_0036242638_4.gal.png?height=538&amp;width=720</t>
  </si>
  <si>
    <t>Johann Eder GmbH &amp; Co KG, Spenglerei • St. Ulrich am Pillersee • Tirol</t>
  </si>
  <si>
    <t>Spenglereien • Johann Eder GmbH &amp; Co KG, Schartental 33, St. Ulrich am Pillersee • Kontakt über aktuelle Telefonnummern ☎ und Adressen ⚑ mit Karte, Routing, Öffnungszeiten, Homepage, E-Mail, vCard und Firmendaten.</t>
  </si>
  <si>
    <t>Schartental 33</t>
  </si>
  <si>
    <t>47.5156</t>
  </si>
  <si>
    <t>12.57649</t>
  </si>
  <si>
    <t>+43535488649</t>
  </si>
  <si>
    <t>spenglerei-eder@gmx.at</t>
  </si>
  <si>
    <t>https://bilder.dasschnelle.at/DasSchnelle/50/5000/9896/046141/G_046141_P_906258443.adn.gif</t>
  </si>
  <si>
    <t>Kefer, Günter, Fenster-Türen-Tore • Bad Goisern • Oberösterreich</t>
  </si>
  <si>
    <t>Fenster u. Türen • Kefer, Günter, Gschwandt 177, Bad Goisern • Kontakt über aktuelle Telefonnummern ☎ und Adressen ⚑ mit Karte, Routing, Öffnungszeiten, Homepage, E-Mail, vCard und Firmendaten.</t>
  </si>
  <si>
    <t>Gschwandt 177</t>
  </si>
  <si>
    <t>47.6225552</t>
  </si>
  <si>
    <t>13.6177880</t>
  </si>
  <si>
    <t>+436641531727</t>
  </si>
  <si>
    <t>guenter.kefer@aon.at</t>
  </si>
  <si>
    <t>https://bilder.dasschnelle.at/DasSchnelle/50/5000/9868/041789/I_041789_P_906258445_L_0035970779_1.png</t>
  </si>
  <si>
    <t>https://bilder.dasschnelle.at/DasSchnelle/50/5000/9868/041789/I_041789_P_906258445_B_0035970779_1.gal.png?height=655&amp;width=981;https://bilder.dasschnelle.at/DasSchnelle/50/5000/9868/041789/I_041789_P_906258445_B_0035970779_2.gal.png?height=700&amp;width=700;https://bilder.dasschnelle.at/DasSchnelle/50/5000/9868/041789/I_041789_P_906258445_B_0035970779_3.gal.png?height=700&amp;width=700;https://bilder.dasschnelle.at/DasSchnelle/50/5000/9868/041789/I_041789_P_906258445_B_0035970779_4.gal.png?height=526&amp;width=790</t>
  </si>
  <si>
    <t>Fuchs, Franz, Metallbau u. Landtechnik • Brixen im Thale • Tirol</t>
  </si>
  <si>
    <t>Landmaschinen, Metallbau, Schmieden • Fuchs, Franz, Dorfstraße 3, Brixen im Thale • Kontakt über aktuelle Telefonnummern ☎ und Adressen ⚑ mit Karte, Routing, Öffnungszeiten, Homepage, E-Mail, vCard und Firmendaten.</t>
  </si>
  <si>
    <t>Dorfstraße 3</t>
  </si>
  <si>
    <t>47.44989</t>
  </si>
  <si>
    <t>12.26585</t>
  </si>
  <si>
    <t>+4353348103</t>
  </si>
  <si>
    <t>+4353348869</t>
  </si>
  <si>
    <t>info@metallbau-fuchs.at</t>
  </si>
  <si>
    <t>https://bilder.dasschnelle.at/DasSchnelle/50/5000/9896/046126/G_046126_P_906258446.adn.gif</t>
  </si>
  <si>
    <t>GRESSENBAUER Glas &amp; Innentüren GmbH, Glas u Innentüren • Windischgarsten • Oberösterreich</t>
  </si>
  <si>
    <t>Glas u. Service • GRESSENBAUER Glas &amp; Innentüren GmbH, Edlbach 18, Windischgarsten • Kontakt über aktuelle Telefonnummern ☎ und Adressen ⚑ mit Karte, Routing, Öffnungszeiten, Homepage, E-Mail, vCard und Firmendaten.</t>
  </si>
  <si>
    <t>Edlbach 18</t>
  </si>
  <si>
    <t>47.7116471</t>
  </si>
  <si>
    <t>14.3379322</t>
  </si>
  <si>
    <t>+4375626101</t>
  </si>
  <si>
    <t>office@glasbruch.at</t>
  </si>
  <si>
    <t>https://bilder.dasschnelle.at/DasSchnelle/50/5000/9947/046100/I_046100_P_906258478_L_0036256333_1.png</t>
  </si>
  <si>
    <t>https://bilder.dasschnelle.at/DasSchnelle/50/5000/9947/046100/I_046100_P_906258478_B_0036256333_1.gal.png?height=600&amp;width=800;https://bilder.dasschnelle.at/DasSchnelle/50/5000/9947/046100/I_046100_P_906258478_B_0036256333_2.gal.png?height=600&amp;width=800;https://bilder.dasschnelle.at/DasSchnelle/50/5000/9947/046100/I_046100_P_906258478_B_0036256333_3.gal.png?height=600&amp;width=800</t>
  </si>
  <si>
    <t>Schörkmeier, Michael, Elektronik • Bad Goisern am Hallstättersee • Oberösterreich</t>
  </si>
  <si>
    <t>Elektronik • Schörkmeier, Michael, Untere Marktstraße 13 b, Bad Goisern am Hallstättersee • Kontakt über aktuelle Telefonnummern ☎ und Adressen ⚑ mit Karte, Routing, Öffnungszeiten, Homepage, E-Mail, vCard und Firmendaten.</t>
  </si>
  <si>
    <t>Untere Marktstraße 13 b</t>
  </si>
  <si>
    <t>47.64405</t>
  </si>
  <si>
    <t>13.61492</t>
  </si>
  <si>
    <t>+43613520515</t>
  </si>
  <si>
    <t>office@ms-elektronik.at</t>
  </si>
  <si>
    <t>https://bilder.dasschnelle.at/DasSchnelle/50/5000/9868/041789/I_041789_P_906258480_L_0036242704_1.png</t>
  </si>
  <si>
    <t>https://bilder.dasschnelle.at/DasSchnelle/50/5000/9868/041789/I_041789_P_906258480_B_0036242704_1.gal.png?height=540&amp;width=800;https://bilder.dasschnelle.at/DasSchnelle/50/5000/9868/041789/I_041789_P_906258480_B_0036242704_2.gal.png?height=540&amp;width=800</t>
  </si>
  <si>
    <t>Dr. Schneider &amp; Partner OG, Radiologische Gruppenpraxis • Krems • Niederösterreich</t>
  </si>
  <si>
    <t>Ärzte / Fachärzte f. Radiologie • Dr. Schneider &amp; Partner OG, Bahnhofplatz 4, Krems • Kontakt über aktuelle Telefonnummern ☎ und Adressen ⚑ mit Karte, Routing, Öffnungszeiten, Homepage, E-Mail, vCard und Firmendaten.</t>
  </si>
  <si>
    <t>48.4084283</t>
  </si>
  <si>
    <t>15.6030619</t>
  </si>
  <si>
    <t>+43273283706</t>
  </si>
  <si>
    <t>schneider@roentgen-krems.at</t>
  </si>
  <si>
    <t>https://bilder.dasschnelle.at/DasSchnelle/50/5000/9899/042057/G_042057_P_906258481.adn.gif</t>
  </si>
  <si>
    <t>China Restaurant SAN SHUI JIA JUAN • Neumarkt am Wallersee • Salzburg</t>
  </si>
  <si>
    <t>China-Restaurants • China Restaurant SAN SHUI JIA JUAN, Hauptstraße 63, Neumarkt am Wallersee • Kontakt über aktuelle Telefonnummern ☎ und Adressen ⚑ mit Karte, Routing, Öffnungszeiten, Homepage, E-Mail, vCard und Firmendaten.</t>
  </si>
  <si>
    <t>Hauptstraße 63</t>
  </si>
  <si>
    <t>47.9471300</t>
  </si>
  <si>
    <t>13.2247500</t>
  </si>
  <si>
    <t>+43621620087</t>
  </si>
  <si>
    <t>guifenzhang76@gmail.com</t>
  </si>
  <si>
    <t>https://bilder.dasschnelle.at/DasSchnelle/50/5000/9935/043320/G_043320_P_906257613.adn.gif</t>
  </si>
  <si>
    <t>Haslinger, Stefan, Taxi • Bad Wimsbach-Neydharting • Oberösterreich</t>
  </si>
  <si>
    <t>Taxi • Haslinger, Stefan, Haidermoos 1, Bad Wimsbach-Neydharting • Kontakt über aktuelle Telefonnummern ☎ und Adressen ⚑ mit Karte, Routing, Öffnungszeiten, Homepage, E-Mail, vCard und Firmendaten.</t>
  </si>
  <si>
    <t>Haidermoos 1</t>
  </si>
  <si>
    <t>48.0460534</t>
  </si>
  <si>
    <t>13.8608839</t>
  </si>
  <si>
    <t>+43724525800;+436502352111;+436502580027;+436502580028;+436502580031;+436502580032;+436502580035;+436502580037</t>
  </si>
  <si>
    <t>office@taxibus.at</t>
  </si>
  <si>
    <t>https://bilder.dasschnelle.at/DasSchnelle/50/5000/9902/043564/G_043564_P_906257454.adn.gif</t>
  </si>
  <si>
    <t>Mahringer Augenoptik &amp; Hörgeräte GmbH • Traun • Oberösterreich</t>
  </si>
  <si>
    <t>Hörgeräte, Optik • Mahringer Augenoptik &amp; Hörgeräte GmbH, Graumannplatz 2, Traun • Kontakt über aktuelle Telefonnummern ☎ und Adressen ⚑ mit Karte, Routing, Öffnungszeiten, Homepage, E-Mail, vCard und Firmendaten.</t>
  </si>
  <si>
    <t>48.21998</t>
  </si>
  <si>
    <t>14.2396</t>
  </si>
  <si>
    <t>+43722973412</t>
  </si>
  <si>
    <t>office@mahringer.at</t>
  </si>
  <si>
    <t>https://bilder.dasschnelle.at/DasSchnelle/50/5000/9937/046120/G_046120_P_906257463.adn.gif</t>
  </si>
  <si>
    <t>Ederer, Anton, Möbel • Loosdorf • Niederösterreich</t>
  </si>
  <si>
    <t>Möbelhäuser • Ederer, Anton, Alter Rathausplatz 18, Loosdorf • Kontakt über aktuelle Telefonnummern ☎ und Adressen ⚑ mit Karte, Routing, Öffnungszeiten, Homepage, E-Mail, vCard und Firmendaten.</t>
  </si>
  <si>
    <t>Alter Rathausplatz 18</t>
  </si>
  <si>
    <t>48.1989</t>
  </si>
  <si>
    <t>15.4012</t>
  </si>
  <si>
    <t>+43275420570;+436506806570</t>
  </si>
  <si>
    <t>tonis.wohntraeume@a1.net</t>
  </si>
  <si>
    <t>https://bilder.dasschnelle.at/DasSchnelle/50/5000/9908/041625/I_041625_P_906258364_L_0037668925_1.png</t>
  </si>
  <si>
    <t>https://bilder.dasschnelle.at/DasSchnelle/50/5000/9908/041625/I_041625_P_906258364_B_0037668925_1.gal.png?height=666&amp;width=1000;https://bilder.dasschnelle.at/DasSchnelle/50/5000/9908/041625/I_041625_P_906258364_B_0037668925_2.gal.png?height=748&amp;width=1000;https://bilder.dasschnelle.at/DasSchnelle/50/5000/9908/041625/I_041625_P_906258364_B_0037668925_3.gal.png?height=750&amp;width=1000;https://bilder.dasschnelle.at/DasSchnelle/50/5000/9908/041625/I_041625_P_906258364_B_0037668925_4.gal.png?height=532&amp;width=720</t>
  </si>
  <si>
    <t>Vorreiter, Gerhard, Dr., FA f. Innere Med. und Kardiologie • Braunau am Inn • Oberösterreich</t>
  </si>
  <si>
    <t>Innere Medizin • Vorreiter, Gerhard, Dr., Ringstraße 45 Stg 1, Braunau am Inn • Kontakt über aktuelle Telefonnummern ☎ und Adressen ⚑ mit Karte, Routing, Öffnungszeiten, Homepage, E-Mail, vCard und Firmendaten.</t>
  </si>
  <si>
    <t>Ringstraße 45 Stg 1</t>
  </si>
  <si>
    <t>48.2557956</t>
  </si>
  <si>
    <t>13.0373850</t>
  </si>
  <si>
    <t>+43772264962</t>
  </si>
  <si>
    <t>office@dr-vorreiter.at</t>
  </si>
  <si>
    <t>https://bilder.dasschnelle.at/DasSchnelle/50/5000/9872/044551/G_044551_P_906258889.adn.gif</t>
  </si>
  <si>
    <t>Etzelsdorfer, Sonja, Bilanzbuchhaltung • Micheldorf • Oberösterreich</t>
  </si>
  <si>
    <t>Finanzbuchhaltung, Buchhaltungs- u. Wirtschaftsbüros • Etzelsdorfer, Sonja, Hinterburg 76, Micheldorf • Kontakt über aktuelle Telefonnummern ☎ und Adressen ⚑ mit Karte, Routing, Öffnungszeiten, Homepage, E-Mail, vCard und Firmendaten.</t>
  </si>
  <si>
    <t>Hinterburg 76</t>
  </si>
  <si>
    <t>47.8718300</t>
  </si>
  <si>
    <t>14.1451000</t>
  </si>
  <si>
    <t>+436509900506</t>
  </si>
  <si>
    <t>office@etzelsdorfer-bilanzbuchhaltung.at</t>
  </si>
  <si>
    <t>https://bilder.dasschnelle.at/DasSchnelle/50/5000/9895/046085/I_046085_P_906258891_L_0038790397_1.png</t>
  </si>
  <si>
    <t>https://bilder.dasschnelle.at/DasSchnelle/50/5000/9895/046085/I_046085_P_906258891_B_0038790397_1.gal.png?height=1080&amp;width=720;https://bilder.dasschnelle.at/DasSchnelle/50/5000/9895/046085/I_046085_P_906258891_B_0038790397_2.gal.png?height=480&amp;width=720;https://bilder.dasschnelle.at/DasSchnelle/50/5000/9895/046085/I_046085_P_906258891_B_0038790397_3.gal.png?height=258&amp;width=720</t>
  </si>
  <si>
    <t>Lutz, Paul, Steinmetzmeister • Lechaschau • Tirol</t>
  </si>
  <si>
    <t>Steinmetzbetriebe • Lutz, Paul, Lechtaler Straße 30, Lechaschau • Kontakt über aktuelle Telefonnummern ☎ und Adressen ⚑ mit Karte, Routing, Öffnungszeiten, Homepage, E-Mail, vCard und Firmendaten.</t>
  </si>
  <si>
    <t>Lechtaler Straße 30</t>
  </si>
  <si>
    <t>Lechaschau</t>
  </si>
  <si>
    <t>47.48445</t>
  </si>
  <si>
    <t>10.70521</t>
  </si>
  <si>
    <t>+43567262346</t>
  </si>
  <si>
    <t>info@lutz-stein.at</t>
  </si>
  <si>
    <t>https://bilder.dasschnelle.at/DasSchnelle/50/5000/9921/042595/G_042595_P_906258893.adn.gif</t>
  </si>
  <si>
    <t>Uniqa GA Mittendorfer Thomas, Versicherungen • Bad Goisern • Oberösterreich</t>
  </si>
  <si>
    <t>Versicherungsagentur • Uniqa GA Mittendorfer Thomas, Rudolf-von-Alt-Weg 13 B, Bad Goisern • Kontakt über aktuelle Telefonnummern ☎ und Adressen ⚑ mit Karte, Routing, Öffnungszeiten, Homepage, E-Mail, vCard und Firmendaten.</t>
  </si>
  <si>
    <t>Rudolf-von-Alt-Weg 13 B</t>
  </si>
  <si>
    <t>47.63999</t>
  </si>
  <si>
    <t>13.62005</t>
  </si>
  <si>
    <t>+43613520810</t>
  </si>
  <si>
    <t>thomas.mittendorfer@uniqa.at</t>
  </si>
  <si>
    <t>https://bilder.dasschnelle.at/DasSchnelle/50/5000/9868/041789/G_041789_P_906258896.adn.gif</t>
  </si>
  <si>
    <t>Co-Cut, Friseur • Bad Goisern am Hallstättersee • Oberösterreich</t>
  </si>
  <si>
    <t>Friseure • Co-Cut, Sportplatzweg 1, Bad Goisern am Hallstättersee • Kontakt über aktuelle Telefonnummern ☎ und Adressen ⚑ mit Karte, Routing, Öffnungszeiten, Homepage, E-Mail, vCard und Firmendaten.</t>
  </si>
  <si>
    <t>Sportplatzweg 1</t>
  </si>
  <si>
    <t>47.6468</t>
  </si>
  <si>
    <t>13.61036</t>
  </si>
  <si>
    <t>+436645312476</t>
  </si>
  <si>
    <t>co-cutmobil@gmx.at</t>
  </si>
  <si>
    <t>https://bilder.dasschnelle.at/DasSchnelle/50/5000/9868/041789/G_041789_P_906258898.adn.gif</t>
  </si>
  <si>
    <t>Riedl Meisteroptik • Bad Goisern am Hallstätt • Oberösterreich</t>
  </si>
  <si>
    <t>Optik • Riedl Meisteroptik, Untere Marktstraße 19, Bad Goisern am Hallstätt • Kontakt über aktuelle Telefonnummern ☎ und Adressen ⚑ mit Karte, Routing, Öffnungszeiten, Homepage, E-Mail, vCard und Firmendaten.</t>
  </si>
  <si>
    <t>Untere Marktstraße 19</t>
  </si>
  <si>
    <t>Bad Goisern am Hallstätt</t>
  </si>
  <si>
    <t>47.6426338</t>
  </si>
  <si>
    <t>13.6158580</t>
  </si>
  <si>
    <t>+436502809226</t>
  </si>
  <si>
    <t>office@riedl-meisteroptik.at</t>
  </si>
  <si>
    <t>https://bilder.dasschnelle.at/DasSchnelle/50/5000/9868/041789/G_041789_P_906258899.adn.gif</t>
  </si>
  <si>
    <t>Lechner, Erwin, Weissenbachwirt • Bad Goisern am Hallstättersee • Oberösterreich</t>
  </si>
  <si>
    <t>Gastgewerbe - Gasthöfe, Pensionen • Lechner, Erwin, Weißenbach 17, Bad Goisern am Hallstättersee • Kontakt über aktuelle Telefonnummern ☎ und Adressen ⚑ mit Karte, Routing, Öffnungszeiten, Homepage, E-Mail, vCard und Firmendaten.</t>
  </si>
  <si>
    <t>Weißenbach 17</t>
  </si>
  <si>
    <t>47.6619542</t>
  </si>
  <si>
    <t>13.6050198</t>
  </si>
  <si>
    <t>+436641523312</t>
  </si>
  <si>
    <t>https://bilder.dasschnelle.at/DasSchnelle/50/5000/9868/041789/G_041789_P_906258901.adn.gif</t>
  </si>
  <si>
    <t>Putz, Hermann, Holzschlägerungen • Bad Goisern am Hallstättersee • Oberösterreich</t>
  </si>
  <si>
    <t>Holzschlägerung • Putz, Hermann, Wildpfad 14, Bad Goisern am Hallstättersee • Kontakt über aktuelle Telefonnummern ☎ und Adressen ⚑ mit Karte, Routing, Öffnungszeiten, Homepage, E-Mail, vCard und Firmendaten.</t>
  </si>
  <si>
    <t>Wildpfad 14</t>
  </si>
  <si>
    <t>47.6551159</t>
  </si>
  <si>
    <t>13.6035407</t>
  </si>
  <si>
    <t>+436643903635;+43613541279</t>
  </si>
  <si>
    <t>hermann@putz-holzschlaegerung.at</t>
  </si>
  <si>
    <t>https://bilder.dasschnelle.at/DasSchnelle/50/5000/9868/041789/G_041789_P_906258905.adn.gif</t>
  </si>
  <si>
    <t>Goisern Optik • Goisern • Oberösterreich</t>
  </si>
  <si>
    <t>Optik • Goisern Optik, Obere Marktstraße 1, Goisern • Kontakt über aktuelle Telefonnummern ☎ und Adressen ⚑ mit Karte, Routing, Öffnungszeiten, Homepage, E-Mail, vCard und Firmendaten.</t>
  </si>
  <si>
    <t>Obere Marktstraße 1</t>
  </si>
  <si>
    <t>47.6408100</t>
  </si>
  <si>
    <t>13.6174400</t>
  </si>
  <si>
    <t>+4361358273</t>
  </si>
  <si>
    <t>info@Goisern-Optik.at</t>
  </si>
  <si>
    <t>https://bilder.dasschnelle.at/DasSchnelle/50/5000/9868/041789/G_041789_P_906258908.adn.gif</t>
  </si>
  <si>
    <t>Brunhuber Bestattung, Bestattungsunternehmen • Pasching • Oberösterreich</t>
  </si>
  <si>
    <t>Bestattungsunternehmen, Rauchfangkehrer • Brunhuber Bestattung, Thurnhartinger Straße 10, Pasching • Kontakt über aktuelle Telefonnummern ☎ und Adressen ⚑ mit Karte, Routing, Öffnungszeiten, Homepage, E-Mail, vCard und Firmendaten.</t>
  </si>
  <si>
    <t>Thurnhartinger Straße 10</t>
  </si>
  <si>
    <t>48.25799</t>
  </si>
  <si>
    <t>14.19944</t>
  </si>
  <si>
    <t>+437221880360</t>
  </si>
  <si>
    <t>+437221880364</t>
  </si>
  <si>
    <t>office@bestattung-brunhuber.at</t>
  </si>
  <si>
    <t>https://bilder.dasschnelle.at/DasSchnelle/50/5000/9937/046107/G_046107_P_906260127.adn.gif</t>
  </si>
  <si>
    <t>Hotimitz, Thomas Wolfgang, Taxi • Eberndorf • Kärnten</t>
  </si>
  <si>
    <t>Taxi • Hotimitz, Thomas Wolfgang, Josef-Friedrich-Perkonig-Straße 7, Eberndorf • Kontakt über aktuelle Telefonnummern ☎ und Adressen ⚑ mit Karte, Routing, Öffnungszeiten, Homepage, E-Mail, vCard und Firmendaten.</t>
  </si>
  <si>
    <t>Josef-Friedrich-Perkonig-Straße 7</t>
  </si>
  <si>
    <t>46.58748</t>
  </si>
  <si>
    <t>14.63148</t>
  </si>
  <si>
    <t>+436642050333</t>
  </si>
  <si>
    <t>info@hotimitz.at</t>
  </si>
  <si>
    <t>https://bilder.dasschnelle.at/DasSchnelle/50/5000/9942/042027/G_042027_P_906260130.adn.gif</t>
  </si>
  <si>
    <t>Tiede, Ilse, Dr., FA f Augenheilkunde u Optometrie • Braunau am Inn • Oberösterreich</t>
  </si>
  <si>
    <t>Ärzte / Fachärzte f. Augenheilkunde u. Optometrie • Tiede, Ilse, Dr., Palmstraße 15, Braunau am Inn • Kontakt über aktuelle Telefonnummern ☎ und Adressen ⚑ mit Karte, Routing, Öffnungszeiten, Homepage, E-Mail, vCard und Firmendaten.</t>
  </si>
  <si>
    <t>Palmstraße 15</t>
  </si>
  <si>
    <t>48.2583611</t>
  </si>
  <si>
    <t>13.0369092</t>
  </si>
  <si>
    <t>+43772262828</t>
  </si>
  <si>
    <t>ordination@tiede.at</t>
  </si>
  <si>
    <t>https://bilder.dasschnelle.at/DasSchnelle/50/5000/9872/044551/G_044551_P_906260101.adn.gif</t>
  </si>
  <si>
    <t>Mayr, Wolfgang, Brennstoffe, Baustoffe • Neuhofen an der Krems • Oberösterreich</t>
  </si>
  <si>
    <t>Baustoffhandel, Brennholz • Mayr, Wolfgang, Steyrer Straße 2, Neuhofen an der Krems • Kontakt über aktuelle Telefonnummern ☎ und Adressen ⚑ mit Karte, Routing, Öffnungszeiten, Homepage, E-Mail, vCard und Firmendaten.</t>
  </si>
  <si>
    <t>Steyrer Straße 2</t>
  </si>
  <si>
    <t>48.13837</t>
  </si>
  <si>
    <t>14.23154</t>
  </si>
  <si>
    <t>+4372274223;+43722720829</t>
  </si>
  <si>
    <t>wolfgangmayr.heizoel@outlook.com</t>
  </si>
  <si>
    <t>https://bilder.dasschnelle.at/DasSchnelle/50/5000/9912/046113/G_046113_P_906260105.adn.gif</t>
  </si>
  <si>
    <t>Höllein, Joachim, Physiotherapie • Breitenwang • Tirol</t>
  </si>
  <si>
    <t>Physiotherapie • Höllein, Joachim, Max-Kerber-Platz 1, Breitenwang • Kontakt über aktuelle Telefonnummern ☎ und Adressen ⚑ mit Karte, Routing, Öffnungszeiten, Homepage, E-Mail, vCard und Firmendaten.</t>
  </si>
  <si>
    <t>Breitenwang</t>
  </si>
  <si>
    <t>+436763562469</t>
  </si>
  <si>
    <t>+43567265688</t>
  </si>
  <si>
    <t>physio.hoellein@gmail.com</t>
  </si>
  <si>
    <t>https://bilder.dasschnelle.at/DasSchnelle/50/5000/9921/044841/G_044841_P_906260110.adn.gif</t>
  </si>
  <si>
    <t>Limberger, Martin, Martin Optik, Optik • Kirchdorf an der Krems • Oberösterreich</t>
  </si>
  <si>
    <t>Optik • Limberger, Martin, Martin Optik, Hauptplatz 19, Kirchdorf an der Krems • Kontakt über aktuelle Telefonnummern ☎ und Adressen ⚑ mit Karte, Routing, Öffnungszeiten, Homepage, E-Mail, vCard und Firmendaten.</t>
  </si>
  <si>
    <t>47.90447</t>
  </si>
  <si>
    <t>14.12338</t>
  </si>
  <si>
    <t>+43758220516</t>
  </si>
  <si>
    <t>office@martinoptik.at</t>
  </si>
  <si>
    <t>https://bilder.dasschnelle.at/DasSchnelle/50/5000/9895/046082/G_046082_P_906260113.adn.gif</t>
  </si>
  <si>
    <t>Kapfenberger, Thomas, KFZ Werkstatt • Ofenbach • Niederösterreich</t>
  </si>
  <si>
    <t>Autoreparaturen • Kapfenberger, Thomas, Ofenbach 1, Ofenbach • Kontakt über aktuelle Telefonnummern ☎ und Adressen ⚑ mit Karte, Routing, Öffnungszeiten, Homepage, E-Mail, vCard und Firmendaten.</t>
  </si>
  <si>
    <t>Ofenbach 1</t>
  </si>
  <si>
    <t>2880</t>
  </si>
  <si>
    <t>Ofenbach</t>
  </si>
  <si>
    <t>47.6149238</t>
  </si>
  <si>
    <t>15.9742416</t>
  </si>
  <si>
    <t>+43264168993</t>
  </si>
  <si>
    <t>office@kfz-kapfenberger.at</t>
  </si>
  <si>
    <t>https://bilder.dasschnelle.at/DasSchnelle/50/5000/9913/041837/G_041837_P_906260116.adn.gif</t>
  </si>
  <si>
    <t>Neuhofer, Petra, Fußpflege • Pöndorf • Oberösterreich</t>
  </si>
  <si>
    <t>Fußpflege • Neuhofer, Petra, Bergham 123, Pöndorf • Kontakt über aktuelle Telefonnummern ☎ und Adressen ⚑ mit Karte, Routing, Öffnungszeiten, Homepage, E-Mail, vCard und Firmendaten.</t>
  </si>
  <si>
    <t>Bergham 123</t>
  </si>
  <si>
    <t>4891</t>
  </si>
  <si>
    <t>Pöndorf</t>
  </si>
  <si>
    <t>48.0020397</t>
  </si>
  <si>
    <t>13.3690821</t>
  </si>
  <si>
    <t>+4367761454754</t>
  </si>
  <si>
    <t>stefan-neuhofer@gmx.at</t>
  </si>
  <si>
    <t>https://bilder.dasschnelle.at/DasSchnelle/50/5000/9935/043092/G_043092_P_906260028.adn.gif</t>
  </si>
  <si>
    <t>Bonstingl GesmbH, Heizung • Stainz • Steiermark</t>
  </si>
  <si>
    <t>Installationsunternehmen • Bonstingl GesmbH, Grünbaumgarten 30, Stainz • Kontakt über aktuelle Telefonnummern ☎ und Adressen ⚑ mit Karte, Routing, Öffnungszeiten, Homepage, E-Mail, vCard und Firmendaten.</t>
  </si>
  <si>
    <t>Grünbaumgarten 30</t>
  </si>
  <si>
    <t>46.91372</t>
  </si>
  <si>
    <t>15.24493</t>
  </si>
  <si>
    <t>+433463802120</t>
  </si>
  <si>
    <t>+4334638021212</t>
  </si>
  <si>
    <t>office@bonstingl-heizung.at</t>
  </si>
  <si>
    <t>https://bilder.dasschnelle.at/DasSchnelle/50/5000/9875/061385/G_061385_P_906260040.adn.gif</t>
  </si>
  <si>
    <t>Bauhof - Deutschlandsberg GmbH, Lagerpl • Deutschlandsberg • Steiermark</t>
  </si>
  <si>
    <t>Lagereinrichtungen • Bauhof - Deutschlandsberg GmbH, Hinterleitenstraße 75, Deutschlandsberg • Kontakt über aktuelle Telefonnummern ☎ und Adressen ⚑ mit Karte, Routing, Öffnungszeiten, Homepage, E-Mail, vCard und Firmendaten.</t>
  </si>
  <si>
    <t>Hinterleitenstraße 75</t>
  </si>
  <si>
    <t>46.84406</t>
  </si>
  <si>
    <t>15.21011</t>
  </si>
  <si>
    <t>+4334625494</t>
  </si>
  <si>
    <t>info@bauhofdeutschlandsberg.at</t>
  </si>
  <si>
    <t>https://bilder.dasschnelle.at/DasSchnelle/50/5000/9875/061379/G_061379_P_906260043.adn.gif</t>
  </si>
  <si>
    <t>ME e.U. mein estrich • Offenhausen • Oberösterreich</t>
  </si>
  <si>
    <t>Estriche • ME e.U. mein estrich, Hochstraße 41, Offenhausen • Kontakt über aktuelle Telefonnummern ☎ und Adressen ⚑ mit Karte, Routing, Öffnungszeiten, Homepage, E-Mail, vCard und Firmendaten.</t>
  </si>
  <si>
    <t>Hochstraße 41</t>
  </si>
  <si>
    <t>4625</t>
  </si>
  <si>
    <t>Offenhausen</t>
  </si>
  <si>
    <t>48.1587200</t>
  </si>
  <si>
    <t>13.8319700</t>
  </si>
  <si>
    <t>+436767955552</t>
  </si>
  <si>
    <t>me@mein-estrich.at</t>
  </si>
  <si>
    <t>https://bilder.dasschnelle.at/DasSchnelle/50/5000/9915/043575/G_043575_P_906260045.adn.gif</t>
  </si>
  <si>
    <t>Reitner, Franz, Mag., Notar • Kirchdorf an der Krems • Oberösterreich</t>
  </si>
  <si>
    <t>Notare • Reitner, Franz, Mag., Garnisonstraße 1, Kirchdorf an der Krems • Kontakt über aktuelle Telefonnummern ☎ und Adressen ⚑ mit Karte, Routing, Öffnungszeiten, Homepage, E-Mail, vCard und Firmendaten.</t>
  </si>
  <si>
    <t>Garnisonstraße 1</t>
  </si>
  <si>
    <t>47.9041</t>
  </si>
  <si>
    <t>14.12096</t>
  </si>
  <si>
    <t>+43758260756</t>
  </si>
  <si>
    <t>franz.reitner@notar.at</t>
  </si>
  <si>
    <t>https://bilder.dasschnelle.at/DasSchnelle/50/5000/9895/046082/G_046082_P_906260047.adn.gif</t>
  </si>
  <si>
    <t>Mountain Exclusive, Lifestyle Manager • Sankt Johann in Tirol • Tirol</t>
  </si>
  <si>
    <t>Management • Mountain Exclusive, Mitterndorferweg 12, Sankt Johann in Tirol • Kontakt über aktuelle Telefonnummern ☎ und Adressen ⚑ mit Karte, Routing, Öffnungszeiten, Homepage, E-Mail, vCard und Firmendaten.</t>
  </si>
  <si>
    <t>Mitterndorferweg 12</t>
  </si>
  <si>
    <t>47.5266920</t>
  </si>
  <si>
    <t>12.4341814</t>
  </si>
  <si>
    <t>+436649922828</t>
  </si>
  <si>
    <t>office@mountain-exclusive.at</t>
  </si>
  <si>
    <t>https://bilder.dasschnelle.at/DasSchnelle/50/5000/9896/046135/I_046135_P_906260962_L_0039944971_1.png</t>
  </si>
  <si>
    <t>Strasser, Roland, Möbelmontage • Westendorf • Tirol</t>
  </si>
  <si>
    <t>Möbelmontagen, Tischlereien • Strasser, Roland, Mühltal 87, Westendorf • Kontakt über aktuelle Telefonnummern ☎ und Adressen ⚑ mit Karte, Routing, Öffnungszeiten, Homepage, E-Mail, vCard und Firmendaten.</t>
  </si>
  <si>
    <t>Mühltal 87</t>
  </si>
  <si>
    <t>47.4361900</t>
  </si>
  <si>
    <t>12.1938700</t>
  </si>
  <si>
    <t>+436645162720</t>
  </si>
  <si>
    <t>info@strasser-moebel.at</t>
  </si>
  <si>
    <t>https://bilder.dasschnelle.at/DasSchnelle/50/5000/9896/046144/I_046144_P_906260937_L_0035969694_1.png</t>
  </si>
  <si>
    <t>https://bilder.dasschnelle.at/DasSchnelle/50/5000/9896/046144/I_046144_P_906260937_B_0035969694_1.gal.png?height=450&amp;width=600;https://bilder.dasschnelle.at/DasSchnelle/50/5000/9896/046144/I_046144_P_906260937_B_0035969694_2.gal.png?height=450&amp;width=600;https://bilder.dasschnelle.at/DasSchnelle/50/5000/9896/046144/I_046144_P_906260937_B_0035969694_3.gal.png?height=450&amp;width=600;https://bilder.dasschnelle.at/DasSchnelle/50/5000/9896/046144/I_046144_P_906260937_B_0035969694_4.gal.png?height=450&amp;width=600</t>
  </si>
  <si>
    <t>Hutterer Bau GmbH • Straßwalchen • Salzburg</t>
  </si>
  <si>
    <t>Bauunternehmen • Hutterer Bau GmbH, Bahnhofstraße 110 /2, Straßwalchen • Kontakt über aktuelle Telefonnummern ☎ und Adressen ⚑ mit Karte, Routing, Öffnungszeiten, Homepage, E-Mail, vCard und Firmendaten.</t>
  </si>
  <si>
    <t>Bahnhofstraße 110 /2</t>
  </si>
  <si>
    <t>47.96302</t>
  </si>
  <si>
    <t>13.23782</t>
  </si>
  <si>
    <t>+43621583040</t>
  </si>
  <si>
    <t>office@hutterer-bau.at</t>
  </si>
  <si>
    <t>https://bilder.dasschnelle.at/DasSchnelle/50/5000/9935/043329/I_043329_P_906260939_L_0036420736_1.png</t>
  </si>
  <si>
    <t>https://bilder.dasschnelle.at/DasSchnelle/50/5000/9935/043329/I_043329_P_906260939_B_0036420736_1.gal.png?height=720&amp;width=960;https://bilder.dasschnelle.at/DasSchnelle/50/5000/9935/043329/I_043329_P_906260939_B_0036420736_2.gal.png?height=675&amp;width=900;https://bilder.dasschnelle.at/DasSchnelle/50/5000/9935/043329/I_043329_P_906260939_B_0036420736_3.gal.png?height=720&amp;width=1080</t>
  </si>
  <si>
    <t>Taxi Kleiner GmbH • Pöndorf • Salzburg</t>
  </si>
  <si>
    <t>Taxi • Taxi Kleiner GmbH, Forstern 3, Pöndorf • Kontakt über aktuelle Telefonnummern ☎ und Adressen ⚑ mit Karte, Routing, Öffnungszeiten, Homepage, E-Mail, vCard und Firmendaten.</t>
  </si>
  <si>
    <t>Forstern 3</t>
  </si>
  <si>
    <t>47.94738</t>
  </si>
  <si>
    <t>13.22122</t>
  </si>
  <si>
    <t>+436643760174;+436645713176</t>
  </si>
  <si>
    <t>taxi.kleiner@pr-link.at</t>
  </si>
  <si>
    <t>https://bilder.dasschnelle.at/DasSchnelle/50/5000/9931/043333/G_043333_P_906260943.adn.gif</t>
  </si>
  <si>
    <t>Physikoinstitut Gesundheitspark Deutschlandsberg GmbH • Deutschlandsberg • Steiermark</t>
  </si>
  <si>
    <t>Physikalische Therapie und Balneologie, Physikalische Medizin • Physikoinstitut Gesundheitspark Deutschlandsberg GmbH, Glashüttenstraße 46, Deutschlandsberg • Kontakt über aktuelle Telefonnummern ☎ und Adressen ⚑ mit Karte, Routing, Öffnungszeiten, Homepage, E-Mail, vCard und Firmendaten.</t>
  </si>
  <si>
    <t>Glashüttenstraße 46</t>
  </si>
  <si>
    <t>46.80984</t>
  </si>
  <si>
    <t>15.20364</t>
  </si>
  <si>
    <t>+4334624039</t>
  </si>
  <si>
    <t>+433462403920</t>
  </si>
  <si>
    <t>reception@physikoinstitut.at</t>
  </si>
  <si>
    <t>https://bilder.dasschnelle.at/DasSchnelle/50/5000/9875/061379/G_061379_P_906260953.adn.gif</t>
  </si>
  <si>
    <t>Folk, Walter, Friseur • Traun • Oberösterreich</t>
  </si>
  <si>
    <t>Friseure • Folk, Walter, Neubaufeldstraße 7, Traun • Kontakt über aktuelle Telefonnummern ☎ und Adressen ⚑ mit Karte, Routing, Öffnungszeiten, Homepage, E-Mail, vCard und Firmendaten.</t>
  </si>
  <si>
    <t>Neubaufeldstraße 7</t>
  </si>
  <si>
    <t>48.21403</t>
  </si>
  <si>
    <t>14.20397</t>
  </si>
  <si>
    <t>+43722973524</t>
  </si>
  <si>
    <t>walter.folk@gmx.at</t>
  </si>
  <si>
    <t>https://bilder.dasschnelle.at/DasSchnelle/50/5000/9937/046120/G_046120_P_906260956.adn.gif</t>
  </si>
  <si>
    <t>Gas-Tech MA • Traun • Oberösterreich</t>
  </si>
  <si>
    <t>Gas • Gas-Tech MA, Johann-Roithner-Strasse 25, Traun • Kontakt über aktuelle Telefonnummern ☎ und Adressen ⚑ mit Karte, Routing, Öffnungszeiten, Homepage, E-Mail, vCard und Firmendaten.</t>
  </si>
  <si>
    <t>Johann-Roithner-Strasse 25</t>
  </si>
  <si>
    <t>48.2231500</t>
  </si>
  <si>
    <t>14.2418300</t>
  </si>
  <si>
    <t>+436767066313</t>
  </si>
  <si>
    <t>office@gas-tech.at</t>
  </si>
  <si>
    <t>https://bilder.dasschnelle.at/DasSchnelle/50/5000/9937/046120/G_046120_P_906260963.adn.gif</t>
  </si>
  <si>
    <t>Caputo Gaststättenbetriebs- u HandelsgesmbH, Pizzeria • Völkermarkt • Kärnten</t>
  </si>
  <si>
    <t>Gastronomiebetriebe, Pizzerias • Caputo Gaststättenbetriebs- u HandelsgesmbH, Hans-Wiegele-Straße 1, Völkermarkt • Kontakt über aktuelle Telefonnummern ☎ und Adressen ⚑ mit Karte, Routing, Öffnungszeiten, Homepage, E-Mail, vCard und Firmendaten.</t>
  </si>
  <si>
    <t>Hans-Wiegele-Straße 1</t>
  </si>
  <si>
    <t>46.66228</t>
  </si>
  <si>
    <t>14.63432</t>
  </si>
  <si>
    <t>+4342322966</t>
  </si>
  <si>
    <t>office@pizzeria-caputo.at</t>
  </si>
  <si>
    <t>https://bilder.dasschnelle.at/DasSchnelle/50/5000/9942/042037/G_042037_P_906260958.adn.gif</t>
  </si>
  <si>
    <t>Ablinger, Anca, Dr., FA f HNO • Braunau • Oberösterreich</t>
  </si>
  <si>
    <t>Ärzte / Fachärzte f. Hals-, Nasen u. Ohrenkrankheiten • Ablinger, Anca, Dr., Am Berg 1, Braunau • Kontakt über aktuelle Telefonnummern ☎ und Adressen ⚑ mit Karte, Routing, Öffnungszeiten, Homepage, E-Mail, vCard und Firmendaten.</t>
  </si>
  <si>
    <t>48.2571000</t>
  </si>
  <si>
    <t>13.0366400</t>
  </si>
  <si>
    <t>+43772262345</t>
  </si>
  <si>
    <t>anca.ablinger@hno-braunau.at</t>
  </si>
  <si>
    <t>https://bilder.dasschnelle.at/DasSchnelle/50/5000/9872/044551/G_044551_P_906261228.adn.gif</t>
  </si>
  <si>
    <t>Laimer, Ferdinand, Physiotherapiezentrum • Strobl • Salzburg</t>
  </si>
  <si>
    <t>Physiotherapie • Laimer, Ferdinand, Lilienweg 6, Strobl • Kontakt über aktuelle Telefonnummern ☎ und Adressen ⚑ mit Karte, Routing, Öffnungszeiten, Homepage, E-Mail, vCard und Firmendaten.</t>
  </si>
  <si>
    <t>Lilienweg 6</t>
  </si>
  <si>
    <t>13.4868</t>
  </si>
  <si>
    <t>+436137201200</t>
  </si>
  <si>
    <t>info@physiotherapie-laimer.com</t>
  </si>
  <si>
    <t>https://bilder.dasschnelle.at/DasSchnelle/50/5000/9868/043330/I_043330_P_906261232_L_0036252872_1.png</t>
  </si>
  <si>
    <t>https://bilder.dasschnelle.at/DasSchnelle/50/5000/9868/043330/I_043330_P_906261232_B_0036252872_1.gal.png?height=450&amp;width=675;https://bilder.dasschnelle.at/DasSchnelle/50/5000/9868/043330/I_043330_P_906261232_B_0036252872_2.gal.png?height=450&amp;width=675;https://bilder.dasschnelle.at/DasSchnelle/50/5000/9868/043330/I_043330_P_906261232_B_0036252872_3.gal.png?height=450&amp;width=675;https://bilder.dasschnelle.at/DasSchnelle/50/5000/9868/043330/I_043330_P_906261232_B_0036252872_4.gal.png?height=450&amp;width=675</t>
  </si>
  <si>
    <t>Rettenwander Lois GesmbH &amp; Co KG, Sanitäre-Heizung-Ölfeuerung • Kirchberg in Tirol • Tirol</t>
  </si>
  <si>
    <t>Installationsunternehmen, Sanitäranlagen u. -einrichtungen • Rettenwander Lois GesmbH &amp; Co KG, Kitzbüheler Straße 112, Kirchberg in Tirol • Kontakt über aktuelle Telefonnummern ☎ und Adressen ⚑ mit Karte, Routing, Öffnungszeiten, Homepage, E-Mail, vCard und Firmendaten.</t>
  </si>
  <si>
    <t>Kitzbüheler Straße 112</t>
  </si>
  <si>
    <t>47.44852</t>
  </si>
  <si>
    <t>12.32687</t>
  </si>
  <si>
    <t>+4353572304;+436767252338;+436642612961</t>
  </si>
  <si>
    <t>+4353573796</t>
  </si>
  <si>
    <t>rettenwander@speed.at</t>
  </si>
  <si>
    <t>https://bilder.dasschnelle.at/DasSchnelle/50/5000/9896/046133/G_046133_P_906261240.adn.gif</t>
  </si>
  <si>
    <t>Wurzrainer, Josef, Raumausstattung • Westendorf • Tirol</t>
  </si>
  <si>
    <t>Raumausstatter • Wurzrainer, Josef, Mühltal 6, Westendorf • Kontakt über aktuelle Telefonnummern ☎ und Adressen ⚑ mit Karte, Routing, Öffnungszeiten, Homepage, E-Mail, vCard und Firmendaten.</t>
  </si>
  <si>
    <t>Mühltal 6</t>
  </si>
  <si>
    <t>47.43698</t>
  </si>
  <si>
    <t>12.21435</t>
  </si>
  <si>
    <t>+43533430444</t>
  </si>
  <si>
    <t>raumwurz@aon.at</t>
  </si>
  <si>
    <t>https://bilder.dasschnelle.at/DasSchnelle/50/5000/9896/046144/G_046144_P_906261245.adn.gif</t>
  </si>
  <si>
    <t>Humer Maler GmbH, Malereibetriebe • Pöchlarn • Niederösterreich</t>
  </si>
  <si>
    <t>Malereibetriebe • Humer Maler GmbH, Bahnhofplatz 5, Pöchlarn • Kontakt über aktuelle Telefonnummern ☎ und Adressen ⚑ mit Karte, Routing, Öffnungszeiten, Homepage, E-Mail, vCard und Firmendaten.</t>
  </si>
  <si>
    <t>Bahnhofplatz 5</t>
  </si>
  <si>
    <t>48.20852</t>
  </si>
  <si>
    <t>15.21712</t>
  </si>
  <si>
    <t>+4327572571</t>
  </si>
  <si>
    <t>office@humer.cc</t>
  </si>
  <si>
    <t>https://bilder.dasschnelle.at/DasSchnelle/50/5000/9908/041635/G_041635_P_906261246.adn.gif</t>
  </si>
  <si>
    <t>Minichberger Installationen • Haid • Oberösterreich</t>
  </si>
  <si>
    <t>Installationsunternehmen • Minichberger Installationen, Am Damm 3, Haid • Kontakt über aktuelle Telefonnummern ☎ und Adressen ⚑ mit Karte, Routing, Öffnungszeiten, Homepage, E-Mail, vCard und Firmendaten.</t>
  </si>
  <si>
    <t>Am Damm 3</t>
  </si>
  <si>
    <t>4053</t>
  </si>
  <si>
    <t>Haid</t>
  </si>
  <si>
    <t>48.21606</t>
  </si>
  <si>
    <t>14.26155</t>
  </si>
  <si>
    <t>+43722988317;+436642114979</t>
  </si>
  <si>
    <t>office@minichberger-installationen.at</t>
  </si>
  <si>
    <t>https://bilder.dasschnelle.at/DasSchnelle/50/5000/9937/046102/G_046102_P_906261250.adn.gif</t>
  </si>
  <si>
    <t>Dr. Josef Kehrer Versicherungsmakler GmbH • Traun • Oberösterreich</t>
  </si>
  <si>
    <t>Versicherungsmakler • Dr. Josef Kehrer Versicherungsmakler GmbH, Bahnhofstraße 15, Traun • Kontakt über aktuelle Telefonnummern ☎ und Adressen ⚑ mit Karte, Routing, Öffnungszeiten, Homepage, E-Mail, vCard und Firmendaten.</t>
  </si>
  <si>
    <t>Bahnhofstraße 15</t>
  </si>
  <si>
    <t>48.2209800</t>
  </si>
  <si>
    <t>14.2411000</t>
  </si>
  <si>
    <t>+436643962581</t>
  </si>
  <si>
    <t>josef.kehrer@versfinanz.at</t>
  </si>
  <si>
    <t>https://bilder.dasschnelle.at/DasSchnelle/50/5000/9937/046120/G_046120_P_906261829.adn.gif</t>
  </si>
  <si>
    <t>Zentrum für Angewandte Psychologie GmbH - Wr. Neustadt • Wiener Neustadt • Niederösterreich</t>
  </si>
  <si>
    <t>Psychologie • Zentrum für Angewandte Psychologie GmbH - Wr. Neustadt, Engelbrechtgasse 2 /2, Wiener Neustadt • Kontakt über aktuelle Telefonnummern ☎ und Adressen ⚑ mit Karte, Routing, Öffnungszeiten, Homepage, E-Mail, vCard und Firmendaten.</t>
  </si>
  <si>
    <t>Engelbrechtgasse 2 /2</t>
  </si>
  <si>
    <t>47.80778</t>
  </si>
  <si>
    <t>16.24021</t>
  </si>
  <si>
    <t>+43262225511</t>
  </si>
  <si>
    <t>+43262261313</t>
  </si>
  <si>
    <t>aap.noe@aon.at</t>
  </si>
  <si>
    <t>https://bilder.dasschnelle.at/DasSchnelle/50/5000/9946/042060/G_042060_P_906261758.adn.gif</t>
  </si>
  <si>
    <t>Stock, Manfred, Dr., FA f Orthopädie u Orthopädische Chirurgie • Traun • Oberösterreich</t>
  </si>
  <si>
    <t>Ärzte / Fachärzte f. Orthopädie u. Orthopädische Chirurgie • Stock, Manfred, Dr., Graumannplatz 2, Traun • Kontakt über aktuelle Telefonnummern ☎ und Adressen ⚑ mit Karte, Routing, Öffnungszeiten, Homepage, E-Mail, vCard und Firmendaten.</t>
  </si>
  <si>
    <t>+43722963757</t>
  </si>
  <si>
    <t>https://bilder.dasschnelle.at/DasSchnelle/50/5000/9937/046120/G_046120_P_906261762.adn.gif</t>
  </si>
  <si>
    <t>Griess Oskar GmbH, Dachdeckerei • Deutschlandsberg • Steiermark</t>
  </si>
  <si>
    <t>Dachdeckereien • Griess Oskar GmbH, Burgegger Straße 6, Deutschlandsberg • Kontakt über aktuelle Telefonnummern ☎ und Adressen ⚑ mit Karte, Routing, Öffnungszeiten, Homepage, E-Mail, vCard und Firmendaten.</t>
  </si>
  <si>
    <t>Burgegger Straße 6</t>
  </si>
  <si>
    <t>46.8118</t>
  </si>
  <si>
    <t>15.21103</t>
  </si>
  <si>
    <t>+4334622590</t>
  </si>
  <si>
    <t>+43346225902</t>
  </si>
  <si>
    <t>office@griessdach.at</t>
  </si>
  <si>
    <t>https://bilder.dasschnelle.at/DasSchnelle/50/5000/9875/061379/I_061379_P_906261768_L_0036253259_1.png</t>
  </si>
  <si>
    <t>https://bilder.dasschnelle.at/DasSchnelle/50/5000/9875/061379/I_061379_P_906261768_B_0036253259_1.gal.png?height=399&amp;width=600;https://bilder.dasschnelle.at/DasSchnelle/50/5000/9875/061379/I_061379_P_906261768_B_0036253259_2.gal.png?height=399&amp;width=600;https://bilder.dasschnelle.at/DasSchnelle/50/5000/9875/061379/I_061379_P_906261768_B_0036253259_3.gal.png?height=399&amp;width=600;https://bilder.dasschnelle.at/DasSchnelle/50/5000/9875/061379/I_061379_P_906261768_B_0036253259_4.gal.png?height=399&amp;width=600</t>
  </si>
  <si>
    <t>Hofer, Victoria, Gasthaus • Micheldorf • Oberösterreich</t>
  </si>
  <si>
    <t>Gastgewerbe - Gasthöfe • Hofer, Victoria, Hauptstraße 23, Micheldorf • Kontakt über aktuelle Telefonnummern ☎ und Adressen ⚑ mit Karte, Routing, Öffnungszeiten, Homepage, E-Mail, vCard und Firmendaten.</t>
  </si>
  <si>
    <t>Hauptstraße 23</t>
  </si>
  <si>
    <t>47.8777096</t>
  </si>
  <si>
    <t>14.1341039</t>
  </si>
  <si>
    <t>+43758264223</t>
  </si>
  <si>
    <t>info@kefer-geigenbauer.at</t>
  </si>
  <si>
    <t>Mödritzer, Susanne, Dr.med., FA Für Allgemeinmedizin • Micheldorf • Oberösterreich</t>
  </si>
  <si>
    <t>Ärzte / f Allgemeinmedizin • Mödritzer, Susanne, Dr.med., Gartenstraße 24, Micheldorf • Kontakt über aktuelle Telefonnummern ☎ und Adressen ⚑ mit Karte, Routing, Öffnungszeiten, Homepage, E-Mail, vCard und Firmendaten.</t>
  </si>
  <si>
    <t>Gartenstraße 24</t>
  </si>
  <si>
    <t>47.8795800</t>
  </si>
  <si>
    <t>14.1379168</t>
  </si>
  <si>
    <t>+43758251390</t>
  </si>
  <si>
    <t>susanne.moedritzer@yahoo.de</t>
  </si>
  <si>
    <t>https://bilder.dasschnelle.at/DasSchnelle/50/5000/9895/046085/G_046085_P_906261772.adn.gif</t>
  </si>
  <si>
    <t>Wimplinger, Clemens, Dr.med.univ., Ärzte / f Allgemeinmedizin • Schlierbach • Oberösterreich</t>
  </si>
  <si>
    <t>Ärzte / f Allgemeinmedizin • Wimplinger, Clemens, Dr.med.univ., Stiftsstraße 28, Schlierbach • Kontakt über aktuelle Telefonnummern ☎ und Adressen ⚑ mit Karte, Routing, Öffnungszeiten, Homepage, E-Mail, vCard und Firmendaten.</t>
  </si>
  <si>
    <t>Stiftsstraße 28</t>
  </si>
  <si>
    <t>47.94336</t>
  </si>
  <si>
    <t>14.12515</t>
  </si>
  <si>
    <t>+43758281266</t>
  </si>
  <si>
    <t>clemens.wimplinger@reflex.at</t>
  </si>
  <si>
    <t>https://bilder.dasschnelle.at/DasSchnelle/50/5000/9895/046094/G_046094_P_906261774.adn.gif</t>
  </si>
  <si>
    <t>BOSS Immobilien GmbH • Traun • Oberösterreich</t>
  </si>
  <si>
    <t>Immobilien, Vermögens- u. Anlagenberatung • BOSS Immobilien GmbH, Hauptplatz 2, Traun • Kontakt über aktuelle Telefonnummern ☎ und Adressen ⚑ mit Karte, Routing, Öffnungszeiten, Homepage, E-Mail, vCard und Firmendaten.</t>
  </si>
  <si>
    <t>48.22002</t>
  </si>
  <si>
    <t>14.23721</t>
  </si>
  <si>
    <t>+43722966336</t>
  </si>
  <si>
    <t>office@bossimmobilien.at</t>
  </si>
  <si>
    <t>https://bilder.dasschnelle.at/DasSchnelle/50/5000/9937/046120/G_046120_P_906262677.adn.gif</t>
  </si>
  <si>
    <t>Trinkl, Josef, Sonnenschutz • Sankt Marien • Oberösterreich</t>
  </si>
  <si>
    <t>Sonnen u. Insektenschutz • Trinkl, Josef, Lärchenweg 7, Sankt Marien • Kontakt über aktuelle Telefonnummern ☎ und Adressen ⚑ mit Karte, Routing, Öffnungszeiten, Homepage, E-Mail, vCard und Firmendaten.</t>
  </si>
  <si>
    <t>4502</t>
  </si>
  <si>
    <t>Sankt Marien</t>
  </si>
  <si>
    <t>48.14861</t>
  </si>
  <si>
    <t>14.27267</t>
  </si>
  <si>
    <t>+436643911433</t>
  </si>
  <si>
    <t>fjtrinkl@a1.net</t>
  </si>
  <si>
    <t>https://bilder.dasschnelle.at/DasSchnelle/50/5000/9912/046119/G_046119_P_906262679.adn.gif</t>
  </si>
  <si>
    <t>Pletzer, Matthäus, Dr., öffentl Notar • Kitzbühel • Tirol</t>
  </si>
  <si>
    <t>Notare • Pletzer, Matthäus, Dr., Jochberger Straße 96, Kitzbühel • Kontakt über aktuelle Telefonnummern ☎ und Adressen ⚑ mit Karte, Routing, Öffnungszeiten, Homepage, E-Mail, vCard und Firmendaten.</t>
  </si>
  <si>
    <t>Jochberger Straße 96</t>
  </si>
  <si>
    <t>47.43689</t>
  </si>
  <si>
    <t>12.40197</t>
  </si>
  <si>
    <t>+435356648480</t>
  </si>
  <si>
    <t>+435356648485</t>
  </si>
  <si>
    <t>office@notariat-pletzer.at</t>
  </si>
  <si>
    <t>https://bilder.dasschnelle.at/DasSchnelle/50/5000/9896/046135/G_046135_P_906262687.adn.gif</t>
  </si>
  <si>
    <t>Z'berg, Cornelia, Dr., Tierärztin • Kitzbühel • Tirol</t>
  </si>
  <si>
    <t>Tierärzte • Z'berg, Cornelia, Dr., Hammerschmiedstraße 7, Kitzbühel • Kontakt über aktuelle Telefonnummern ☎ und Adressen ⚑ mit Karte, Routing, Öffnungszeiten, Homepage, E-Mail, vCard und Firmendaten.</t>
  </si>
  <si>
    <t>Hammerschmiedstraße 7</t>
  </si>
  <si>
    <t>47.44501</t>
  </si>
  <si>
    <t>12.3953</t>
  </si>
  <si>
    <t>+43535620230</t>
  </si>
  <si>
    <t>c.zberg@tierarzt-zberg.at</t>
  </si>
  <si>
    <t>https://bilder.dasschnelle.at/DasSchnelle/50/5000/9896/046135/G_046135_P_906262690.adn.gif</t>
  </si>
  <si>
    <t>Kadletz, Heinrich, Dr.med., Zahnarzt • Wiener Neustadt • Niederösterreich</t>
  </si>
  <si>
    <t>Ärzte / Fachärzte f. Zahn-, Mund u. Kieferheilkunde, Ärzte / Zahnärzte • Kadletz, Heinrich, Dr.med., Baumkirchnerring 16, Wiener Neustadt • Kontakt über aktuelle Telefonnummern ☎ und Adressen ⚑ mit Karte, Routing, Öffnungszeiten, Homepage, E-Mail, vCard und Firmendaten.</t>
  </si>
  <si>
    <t>Baumkirchnerring 16</t>
  </si>
  <si>
    <t>47.81724</t>
  </si>
  <si>
    <t>16.24109</t>
  </si>
  <si>
    <t>+43262228482</t>
  </si>
  <si>
    <t>https://bilder.dasschnelle.at/DasSchnelle/50/5000/9946/042060/G_042060_P_906262692.adn.gif</t>
  </si>
  <si>
    <t>D&amp;S Design &amp; Schmiede GmbH • Waidring • Tirol</t>
  </si>
  <si>
    <t>Schmieden • D&amp;S Design &amp; Schmiede GmbH, Unterwasser 65, Waidring • Kontakt über aktuelle Telefonnummern ☎ und Adressen ⚑ mit Karte, Routing, Öffnungszeiten, Homepage, E-Mail, vCard und Firmendaten.</t>
  </si>
  <si>
    <t>Unterwasser 65</t>
  </si>
  <si>
    <t>47.58381</t>
  </si>
  <si>
    <t>12.58945</t>
  </si>
  <si>
    <t>+4353535346</t>
  </si>
  <si>
    <t>waidring@edelschmiede.at</t>
  </si>
  <si>
    <t>https://bilder.dasschnelle.at/DasSchnelle/50/5000/9896/046143/G_046143_P_906262694.adn.gif</t>
  </si>
  <si>
    <t>Margreiter Martin GmbH, Spengler &amp; Glaser • Kirchberg in Tirol • Tirol</t>
  </si>
  <si>
    <t>Spenglereien • Margreiter Martin GmbH, Stöcklfeld 73, Kirchberg in Tirol • Kontakt über aktuelle Telefonnummern ☎ und Adressen ⚑ mit Karte, Routing, Öffnungszeiten, Homepage, E-Mail, vCard und Firmendaten.</t>
  </si>
  <si>
    <t>Stöcklfeld 73</t>
  </si>
  <si>
    <t>47.4485079</t>
  </si>
  <si>
    <t>12.3042601</t>
  </si>
  <si>
    <t>+4353573833</t>
  </si>
  <si>
    <t>info@derspengler.at</t>
  </si>
  <si>
    <t>https://bilder.dasschnelle.at/DasSchnelle/50/5000/9896/046133/G_046133_P_906262697.adn.gif</t>
  </si>
  <si>
    <t>Kaspar e.U., Natascha, Friseur • Kühnsdorf • Kärnten</t>
  </si>
  <si>
    <t>Friseure • Kaspar e.U., Natascha, Fernando-Colazzo-Platz 2, Kühnsdorf • Kontakt über aktuelle Telefonnummern ☎ und Adressen ⚑ mit Karte, Routing, Öffnungszeiten, Homepage, E-Mail, vCard und Firmendaten.</t>
  </si>
  <si>
    <t>Fernando-Colazzo-Platz 2</t>
  </si>
  <si>
    <t>46.62185</t>
  </si>
  <si>
    <t>14.63413</t>
  </si>
  <si>
    <t>+43423289280</t>
  </si>
  <si>
    <t>styling-creative@gmx.at</t>
  </si>
  <si>
    <t>https://bilder.dasschnelle.at/DasSchnelle/50/5000/9942/042027/G_042027_P_906262866.adn.gif</t>
  </si>
  <si>
    <t>Schroll, Johannes, Restaurator • Kirchberg in Tirol • Tirol</t>
  </si>
  <si>
    <t>Restauratoren • Schroll, Johannes, Hauptstraße 26, Kirchberg in Tirol • Kontakt über aktuelle Telefonnummern ☎ und Adressen ⚑ mit Karte, Routing, Öffnungszeiten, Homepage, E-Mail, vCard und Firmendaten.</t>
  </si>
  <si>
    <t>47.44845</t>
  </si>
  <si>
    <t>12.31394</t>
  </si>
  <si>
    <t>+436642513096</t>
  </si>
  <si>
    <t>+43535735764</t>
  </si>
  <si>
    <t>johannes.schroll@gmx.net</t>
  </si>
  <si>
    <t>https://bilder.dasschnelle.at/DasSchnelle/50/5000/9896/046133/I_046133_P_906264307_L_0035969726_1.png</t>
  </si>
  <si>
    <t>https://bilder.dasschnelle.at/DasSchnelle/50/5000/9896/046133/I_046133_P_906264307_B_0035969726_1.gal.png?height=443&amp;width=600;https://bilder.dasschnelle.at/DasSchnelle/50/5000/9896/046133/I_046133_P_906264307_B_0035969726_2.gal.png?height=400&amp;width=600;https://bilder.dasschnelle.at/DasSchnelle/50/5000/9896/046133/I_046133_P_906264307_B_0035969726_3.gal.png?height=400&amp;width=600;https://bilder.dasschnelle.at/DasSchnelle/50/5000/9896/046133/I_046133_P_906264307_B_0035969726_4.gal.png?height=400&amp;width=600</t>
  </si>
  <si>
    <t>Adi &amp; Dori OG, Erdbewegung • Neunkirchen • Niederösterreich</t>
  </si>
  <si>
    <t>Erdbau • Adi &amp; Dori OG, Storchenweg 4, Neunkirchen • Kontakt über aktuelle Telefonnummern ☎ und Adressen ⚑ mit Karte, Routing, Öffnungszeiten, Homepage, E-Mail, vCard und Firmendaten.</t>
  </si>
  <si>
    <t>Storchenweg 4</t>
  </si>
  <si>
    <t>47.71218</t>
  </si>
  <si>
    <t>16.10256</t>
  </si>
  <si>
    <t>+4369917005310</t>
  </si>
  <si>
    <t>ad.erdbewegungen@gmail.com</t>
  </si>
  <si>
    <t>https://bilder.dasschnelle.at/DasSchnelle/50/5000/9913/041844/G_041844_P_906264477.adn.gif</t>
  </si>
  <si>
    <t>EDV &amp; Service GmbH, Computer • Neumarkt am Wallersee • Salzburg</t>
  </si>
  <si>
    <t>Computerfachhandel • EDV &amp; Service GmbH, Gewerbestraße 6, Neumarkt am Wallersee • Kontakt über aktuelle Telefonnummern ☎ und Adressen ⚑ mit Karte, Routing, Öffnungszeiten, Homepage, E-Mail, vCard und Firmendaten.</t>
  </si>
  <si>
    <t>47.9534400</t>
  </si>
  <si>
    <t>13.2277500</t>
  </si>
  <si>
    <t>+43621648480;+436641806598;+436649114449;+436763032646</t>
  </si>
  <si>
    <t>office@edvservice.at</t>
  </si>
  <si>
    <t>https://bilder.dasschnelle.at/DasSchnelle/50/5000/9935/043320/G_043320_P_906264318.adn.gif</t>
  </si>
  <si>
    <t>Kreiseder, Christian, Erdbau • Neumarkt am Wallersee • Salzburg</t>
  </si>
  <si>
    <t>Erdbau • Kreiseder, Christian, Sommerholz 16, Neumarkt am Wallersee • Kontakt über aktuelle Telefonnummern ☎ und Adressen ⚑ mit Karte, Routing, Öffnungszeiten, Homepage, E-Mail, vCard und Firmendaten.</t>
  </si>
  <si>
    <t>Sommerholz 16</t>
  </si>
  <si>
    <t>47.9267974</t>
  </si>
  <si>
    <t>13.2816033</t>
  </si>
  <si>
    <t>+436645748000</t>
  </si>
  <si>
    <t>christiankreiseder@gmx.at</t>
  </si>
  <si>
    <t>https://bilder.dasschnelle.at/DasSchnelle/50/5000/9935/043320/G_043320_P_906264323.adn.gif</t>
  </si>
  <si>
    <t>Bucher GmbH &amp; Co KG, Sanitäranlagen u -einrichtungen • Brixen im Thale • Tirol</t>
  </si>
  <si>
    <t>Heizungen, Sanitäranlagen u. -einrichtungen • Bucher GmbH &amp; Co KG, Dorfstraße 82, Brixen im Thale • Kontakt über aktuelle Telefonnummern ☎ und Adressen ⚑ mit Karte, Routing, Öffnungszeiten, Homepage, E-Mail, vCard und Firmendaten.</t>
  </si>
  <si>
    <t>Dorfstraße 82</t>
  </si>
  <si>
    <t>47.45007</t>
  </si>
  <si>
    <t>12.25168</t>
  </si>
  <si>
    <t>+4353348269;+436642140743</t>
  </si>
  <si>
    <t>+4353342907</t>
  </si>
  <si>
    <t>office@installationen-bucher.at</t>
  </si>
  <si>
    <t>https://bilder.dasschnelle.at/DasSchnelle/50/5000/9896/046126/G_046126_P_906264960.adn.gif</t>
  </si>
  <si>
    <t>Bestattung Sankt Johann, Nachfolger Helmut Treffer • St. Johann • Tirol</t>
  </si>
  <si>
    <t>Bestattungsunternehmen • Bestattung Sankt Johann, Nachfolger Helmut Treffer, Salzburger Straße 27, St. Johann • Kontakt über aktuelle Telefonnummern ☎ und Adressen ⚑ mit Karte, Routing, Öffnungszeiten, Homepage, E-Mail, vCard und Firmendaten.</t>
  </si>
  <si>
    <t>Salzburger Straße 27</t>
  </si>
  <si>
    <t>47.5280222</t>
  </si>
  <si>
    <t>12.4249016</t>
  </si>
  <si>
    <t>+43535262115</t>
  </si>
  <si>
    <t>info@bestattung-st-johann.at</t>
  </si>
  <si>
    <t>https://bilder.dasschnelle.at/DasSchnelle/50/5000/9896/046140/G_046140_P_906264963.adn.gif</t>
  </si>
  <si>
    <t>Schutti Bau GmbH • Kremsmünster • Oberösterreich</t>
  </si>
  <si>
    <t>Bauunternehmen • Schutti Bau GmbH, Greinerstraße 7, Kremsmünster • Kontakt über aktuelle Telefonnummern ☎ und Adressen ⚑ mit Karte, Routing, Öffnungszeiten, Homepage, E-Mail, vCard und Firmendaten.</t>
  </si>
  <si>
    <t>Greinerstraße 7</t>
  </si>
  <si>
    <t>48.05108</t>
  </si>
  <si>
    <t>14.13307</t>
  </si>
  <si>
    <t>+4366488434203</t>
  </si>
  <si>
    <t>office@schutti-bau.at</t>
  </si>
  <si>
    <t>https://bilder.dasschnelle.at/DasSchnelle/50/5000/9895/046099/I_046099_P_906264966_L_0038792820_1.png</t>
  </si>
  <si>
    <t>https://bilder.dasschnelle.at/DasSchnelle/50/5000/9895/046099/I_046099_P_906264966_B_0038792820_1.gal.png?height=300&amp;width=400;https://bilder.dasschnelle.at/DasSchnelle/50/5000/9895/046099/I_046099_P_906264966_B_0038792820_2.gal.png?height=225&amp;width=400;https://bilder.dasschnelle.at/DasSchnelle/50/5000/9895/046099/I_046099_P_906264966_B_0038792820_3.gal.png?height=225&amp;width=400;https://bilder.dasschnelle.at/DasSchnelle/50/5000/9895/046099/I_046099_P_906264966_B_0038792820_4.gal.png?height=266&amp;width=200</t>
  </si>
  <si>
    <t>Cujes, Josef, Malermeister-Farbenhaus • Bleiburg • Kärnten</t>
  </si>
  <si>
    <t>Malereibetriebe • Cujes, Josef, Brunngasse 6, Bleiburg • Kontakt über aktuelle Telefonnummern ☎ und Adressen ⚑ mit Karte, Routing, Öffnungszeiten, Homepage, E-Mail, vCard und Firmendaten.</t>
  </si>
  <si>
    <t>Brunngasse 6</t>
  </si>
  <si>
    <t>46.58958</t>
  </si>
  <si>
    <t>14.79691</t>
  </si>
  <si>
    <t>+4342352169</t>
  </si>
  <si>
    <t>josef.cujes@aon.at</t>
  </si>
  <si>
    <t>https://bilder.dasschnelle.at/DasSchnelle/50/5000/9942/042025/G_042025_P_906264379.adn.gif</t>
  </si>
  <si>
    <t>Versicherungsmaklerbüro Wanner, Hartwig, Versicherungsmakler • Reutte • Tirol</t>
  </si>
  <si>
    <t>Versicherungsmakler • Versicherungsmaklerbüro Wanner, Hartwig, Ehrenbergstraße 1, Reutte • Kontakt über aktuelle Telefonnummern ☎ und Adressen ⚑ mit Karte, Routing, Öffnungszeiten, Homepage, E-Mail, vCard und Firmendaten.</t>
  </si>
  <si>
    <t>Ehrenbergstraße 1</t>
  </si>
  <si>
    <t>47.48391</t>
  </si>
  <si>
    <t>10.72137</t>
  </si>
  <si>
    <t>+43567264838</t>
  </si>
  <si>
    <t>hartwig@wanner.co.at</t>
  </si>
  <si>
    <t>https://bilder.dasschnelle.at/DasSchnelle/50/5000/9921/042603/G_042603_P_906264381.adn.gif</t>
  </si>
  <si>
    <t>Nero Montage • Traun • Oberösterreich</t>
  </si>
  <si>
    <t>Montagen u. Montagetechnik • Nero Montage, Unterer Flötzerweg 25, Traun • Kontakt über aktuelle Telefonnummern ☎ und Adressen ⚑ mit Karte, Routing, Öffnungszeiten, Homepage, E-Mail, vCard und Firmendaten.</t>
  </si>
  <si>
    <t>Unterer Flötzerweg 25</t>
  </si>
  <si>
    <t>48.2425100</t>
  </si>
  <si>
    <t>14.2545200</t>
  </si>
  <si>
    <t>+436765732193</t>
  </si>
  <si>
    <t>nerminkadu@hotmail.com</t>
  </si>
  <si>
    <t>https://bilder.dasschnelle.at/DasSchnelle/50/5000/9937/046120/G_046120_P_906264487.adn.gif</t>
  </si>
  <si>
    <t>Hagenleither Metallbau • Yspertal • Niederösterreich</t>
  </si>
  <si>
    <t>Landmaschinen, Metallbau, Schlossereien • Hagenleither Metallbau, Schaffelschmiedstraße 1, Yspertal • Kontakt über aktuelle Telefonnummern ☎ und Adressen ⚑ mit Karte, Routing, Öffnungszeiten, Homepage, E-Mail, vCard und Firmendaten.</t>
  </si>
  <si>
    <t>Schaffelschmiedstraße 1</t>
  </si>
  <si>
    <t>3683</t>
  </si>
  <si>
    <t>Yspertal</t>
  </si>
  <si>
    <t>48.2925900</t>
  </si>
  <si>
    <t>15.0757400</t>
  </si>
  <si>
    <t>+436643452189</t>
  </si>
  <si>
    <t>hagenleithner@aon.at</t>
  </si>
  <si>
    <t>https://bilder.dasschnelle.at/DasSchnelle/50/5000/9908/041648/I_041648_P_906264432_L_0038062535_1.png</t>
  </si>
  <si>
    <t>https://bilder.dasschnelle.at/DasSchnelle/50/5000/9908/041648/I_041648_P_906264432_B_0038062535_1.gal.png?height=720&amp;width=480;https://bilder.dasschnelle.at/DasSchnelle/50/5000/9908/041648/I_041648_P_906264432_B_0038062535_2.gal.png?height=540&amp;width=720;https://bilder.dasschnelle.at/DasSchnelle/50/5000/9908/041648/I_041648_P_906264432_B_0038062535_3.gal.png?height=720&amp;width=540;https://bilder.dasschnelle.at/DasSchnelle/50/5000/9908/041648/I_041648_P_906264432_B_0038062535_4.gal.png?height=480&amp;width=720</t>
  </si>
  <si>
    <t>Malerbetrieb Reiterer • Stainz • Steiermark</t>
  </si>
  <si>
    <t>Malereibetriebe • Malerbetrieb Reiterer, Marhof 54, Stainz • Kontakt über aktuelle Telefonnummern ☎ und Adressen ⚑ mit Karte, Routing, Öffnungszeiten, Homepage, E-Mail, vCard und Firmendaten.</t>
  </si>
  <si>
    <t>Marhof 54</t>
  </si>
  <si>
    <t>46.9797937</t>
  </si>
  <si>
    <t>15.1634787</t>
  </si>
  <si>
    <t>+436649114645;+436649114644</t>
  </si>
  <si>
    <t>office@malerei-reiterer.at</t>
  </si>
  <si>
    <t>https://bilder.dasschnelle.at/DasSchnelle/50/5000/9875/061377/I_061377_P_906264438_L_0036253061_1.png</t>
  </si>
  <si>
    <t>https://bilder.dasschnelle.at/DasSchnelle/50/5000/9875/061377/I_061377_P_906264438_B_0036253061_1.gal.png?height=400&amp;width=600;https://bilder.dasschnelle.at/DasSchnelle/50/5000/9875/061377/I_061377_P_906264438_B_0036253061_2.gal.png?height=600&amp;width=450</t>
  </si>
  <si>
    <t>Bestattung Reiterer, Gernot, Bestattung • Pölfing-Brunn • Steiermark</t>
  </si>
  <si>
    <t>Bestattungsunternehmen • Bestattung Reiterer, Gernot, Hauptstraße 83, Pölfing-Brunn • Kontakt über aktuelle Telefonnummern ☎ und Adressen ⚑ mit Karte, Routing, Öffnungszeiten, Homepage, E-Mail, vCard und Firmendaten.</t>
  </si>
  <si>
    <t>Hauptstraße 83</t>
  </si>
  <si>
    <t>8544</t>
  </si>
  <si>
    <t>Pölfing-Brunn</t>
  </si>
  <si>
    <t>46.72926</t>
  </si>
  <si>
    <t>15.29436</t>
  </si>
  <si>
    <t>+43346523520</t>
  </si>
  <si>
    <t>bestattung@reiterer-kg.at</t>
  </si>
  <si>
    <t>https://bilder.dasschnelle.at/DasSchnelle/50/5000/9875/045313/G_045313_P_906264441.adn.gif</t>
  </si>
  <si>
    <t>Holzbau Eckhart GmbH, Holzbau • Klaus an der Pyhrnbahn • Oberösterreich</t>
  </si>
  <si>
    <t>Holzbau • Holzbau Eckhart GmbH, Gewerbepark Klaus 1, Klaus an der Pyhrnbahn • Kontakt über aktuelle Telefonnummern ☎ und Adressen ⚑ mit Karte, Routing, Öffnungszeiten, Homepage, E-Mail, vCard und Firmendaten.</t>
  </si>
  <si>
    <t>Gewerbepark Klaus 1</t>
  </si>
  <si>
    <t>47.84354</t>
  </si>
  <si>
    <t>14.1668</t>
  </si>
  <si>
    <t>+43758520021</t>
  </si>
  <si>
    <t>office@holzbau-eckhart.at</t>
  </si>
  <si>
    <t>https://bilder.dasschnelle.at/DasSchnelle/50/5000/9895/046083/I_046083_P_906265011_L_0036253763_1.png</t>
  </si>
  <si>
    <t>https://bilder.dasschnelle.at/DasSchnelle/50/5000/9895/046083/I_046083_P_906265011_B_0036253763_1.gal.png?height=384&amp;width=512;https://bilder.dasschnelle.at/DasSchnelle/50/5000/9895/046083/I_046083_P_906265011_B_0036253763_2.gal.png?height=384&amp;width=512;https://bilder.dasschnelle.at/DasSchnelle/50/5000/9895/046083/I_046083_P_906265011_B_0036253763_3.gal.png?height=384&amp;width=512;https://bilder.dasschnelle.at/DasSchnelle/50/5000/9895/046083/I_046083_P_906265011_B_0036253763_4.gal.png?height=384&amp;width=512</t>
  </si>
  <si>
    <t>Spenglerei, Stückler Maximilian • Neusiedl am Steinfeld • Niederösterreich</t>
  </si>
  <si>
    <t>Spenglereien • Spenglerei, Stückler Maximilian, Johannesgasse 101, Neusiedl am Steinfeld • Kontakt über aktuelle Telefonnummern ☎ und Adressen ⚑ mit Karte, Routing, Öffnungszeiten, Homepage, E-Mail, vCard und Firmendaten.</t>
  </si>
  <si>
    <t>Johannesgasse 101</t>
  </si>
  <si>
    <t>2731</t>
  </si>
  <si>
    <t>Neusiedl am Steinfeld</t>
  </si>
  <si>
    <t>47.7818700</t>
  </si>
  <si>
    <t>16.1025900</t>
  </si>
  <si>
    <t>+436764806948</t>
  </si>
  <si>
    <t>spenglerei.m.stueckler@gmx.at</t>
  </si>
  <si>
    <t>https://bilder.dasschnelle.at/DasSchnelle/50/5000/9913/041853/I_041853_P_906265013_B_0038345717_1.gal.png?height=337&amp;width=600;https://bilder.dasschnelle.at/DasSchnelle/50/5000/9913/041853/I_041853_P_906265013_B_0038345717_2.gal.png?height=450&amp;width=600</t>
  </si>
  <si>
    <t>Kirchenwirt, Gasthäuser und Gasthöfe • Traun • Oberösterreich</t>
  </si>
  <si>
    <t>Gastgewerbe - Gasthöfe, Hotels • Kirchenwirt, Leondingerstraße 55, Traun • Kontakt über aktuelle Telefonnummern ☎ und Adressen ⚑ mit Karte, Routing, Öffnungszeiten, Homepage, E-Mail, vCard und Firmendaten.</t>
  </si>
  <si>
    <t>Leondingerstraße 55</t>
  </si>
  <si>
    <t>48.23833</t>
  </si>
  <si>
    <t>14.26273</t>
  </si>
  <si>
    <t>+43722964469</t>
  </si>
  <si>
    <t>+437229644697</t>
  </si>
  <si>
    <t>reindl@kirchenwirt-traun.at</t>
  </si>
  <si>
    <t>https://bilder.dasschnelle.at/DasSchnelle/50/5000/9937/046120/G_046120_P_906265017.adn.gif</t>
  </si>
  <si>
    <t>Krawanja, Helmut, Fahrradgeschäft • Wartberg an der Krems • Oberösterreich</t>
  </si>
  <si>
    <t>Fahrradfachhandel • Krawanja, Helmut, Hauptstraße 19 /2, Wartberg an der Krems • Kontakt über aktuelle Telefonnummern ☎ und Adressen ⚑ mit Karte, Routing, Öffnungszeiten, Homepage, E-Mail, vCard und Firmendaten.</t>
  </si>
  <si>
    <t>Hauptstraße 19 /2</t>
  </si>
  <si>
    <t>47.9894104</t>
  </si>
  <si>
    <t>14.1168967</t>
  </si>
  <si>
    <t>+436644222184</t>
  </si>
  <si>
    <t>info@bike-master.at</t>
  </si>
  <si>
    <t>https://bilder.dasschnelle.at/DasSchnelle/50/5000/9895/046099/G_046099_P_906265802.adn.gif</t>
  </si>
  <si>
    <t>Krawanja, Helmut, Bike-Master, Fahrräder • Wartberg an der Krems • Oberösterreich</t>
  </si>
  <si>
    <t>Fahrradfachhandel • Krawanja, Helmut, Bike-Master, Hauptstraße 19, Wartberg an der Krems • Kontakt über aktuelle Telefonnummern ☎ und Adressen ⚑ mit Karte, Routing, Öffnungszeiten, Homepage, E-Mail, vCard und Firmendaten.</t>
  </si>
  <si>
    <t>https://bilder.dasschnelle.at/DasSchnelle/50/5000/9895/046099/G_046099_P_906265804.adn.gif</t>
  </si>
  <si>
    <t>Zaunteam Schneebergland, Zäune • Gloggnitz • Niederösterreich</t>
  </si>
  <si>
    <t>Zäune u. Einfriedungen • Zaunteam Schneebergland, Auestraße 101, Gloggnitz • Kontakt über aktuelle Telefonnummern ☎ und Adressen ⚑ mit Karte, Routing, Öffnungszeiten, Homepage, E-Mail, vCard und Firmendaten.</t>
  </si>
  <si>
    <t>Auestraße 101</t>
  </si>
  <si>
    <t>47.65877</t>
  </si>
  <si>
    <t>15.88105</t>
  </si>
  <si>
    <t>+43266320055</t>
  </si>
  <si>
    <t>schneebergland@zaunteam.at</t>
  </si>
  <si>
    <t>https://bilder.dasschnelle.at/DasSchnelle/50/5000/9913/041837/I_041837_P_906265806_L_0037673332_1.png</t>
  </si>
  <si>
    <t>https://bilder.dasschnelle.at/DasSchnelle/50/5000/9913/041837/I_041837_P_906265806_B_0037673332_1.gal.png?height=180&amp;width=228;https://bilder.dasschnelle.at/DasSchnelle/50/5000/9913/041837/I_041837_P_906265806_B_0037673332_2.gal.png?height=180&amp;width=228;https://bilder.dasschnelle.at/DasSchnelle/50/5000/9913/041837/I_041837_P_906265806_B_0037673332_3.gal.png?height=399&amp;width=600</t>
  </si>
  <si>
    <t>DOBLER'S Hausservice • Pottschach • Niederösterreich</t>
  </si>
  <si>
    <t>Hausreinigungsservice • DOBLER'S Hausservice, Ginstergasse 9, Pottschach • Kontakt über aktuelle Telefonnummern ☎ und Adressen ⚑ mit Karte, Routing, Öffnungszeiten, Homepage, E-Mail, vCard und Firmendaten.</t>
  </si>
  <si>
    <t>Ginstergasse 9</t>
  </si>
  <si>
    <t>Pottschach</t>
  </si>
  <si>
    <t>47.6947628</t>
  </si>
  <si>
    <t>16.0127385</t>
  </si>
  <si>
    <t>+436765238441</t>
  </si>
  <si>
    <t>office@doblers-hausservice.at</t>
  </si>
  <si>
    <t>https://bilder.dasschnelle.at/DasSchnelle/50/5000/9913/041861/I_041861_P_906265808_L_0036262131_1.png</t>
  </si>
  <si>
    <t>https://bilder.dasschnelle.at/DasSchnelle/50/5000/9913/041861/I_041861_P_906265808_B_0036262131_1.gal.png?height=444&amp;width=600;https://bilder.dasschnelle.at/DasSchnelle/50/5000/9913/041861/I_041861_P_906265808_B_0036262131_2.gal.png?height=450&amp;width=600;https://bilder.dasschnelle.at/DasSchnelle/50/5000/9913/041861/I_041861_P_906265808_B_0036262131_3.gal.png?height=450&amp;width=600</t>
  </si>
  <si>
    <t>Pauschenwein &amp; Partner GmbH &amp; Co KG, Sachverständiger f. Bauwesen und Immobilien • Premstätten • Steiermark</t>
  </si>
  <si>
    <t>Sachverständige • Pauschenwein &amp; Partner GmbH &amp; Co KG, Hauptstraße 131, Premstätten • Kontakt über aktuelle Telefonnummern ☎ und Adressen ⚑ mit Karte, Routing, Öffnungszeiten, Homepage, E-Mail, vCard und Firmendaten.</t>
  </si>
  <si>
    <t>Hauptstraße 131</t>
  </si>
  <si>
    <t>8141</t>
  </si>
  <si>
    <t>Premstätten</t>
  </si>
  <si>
    <t>46.9317172</t>
  </si>
  <si>
    <t>15.2075342</t>
  </si>
  <si>
    <t>+436641944907</t>
  </si>
  <si>
    <t>office@pp-sv.at</t>
  </si>
  <si>
    <t>https://bilder.dasschnelle.at/DasSchnelle/50/5000/9875/061385/I_061385_P_906265810_L_0038315507_1.png</t>
  </si>
  <si>
    <t>https://bilder.dasschnelle.at/DasSchnelle/50/5000/9875/061385/I_061385_P_906265810_B_0038315507_1.gal.png?height=364&amp;width=545;https://bilder.dasschnelle.at/DasSchnelle/50/5000/9875/061385/I_061385_P_906265810_B_0038315507_2.gal.png?height=364&amp;width=545;https://bilder.dasschnelle.at/DasSchnelle/50/5000/9875/061385/I_061385_P_906265810_B_0038315507_3.gal.png?height=364&amp;width=545;https://bilder.dasschnelle.at/DasSchnelle/50/5000/9875/061385/I_061385_P_906265810_B_0038315507_4.gal.png?height=364&amp;width=545</t>
  </si>
  <si>
    <t>Powoden GmbH, Farbenfachhandel • Frauental an der Laßnitz</t>
  </si>
  <si>
    <t>Malereibetriebe • Powoden GmbH, Hochfeldweg 7, Frauental an der Laßnitz • Kontakt über aktuelle Telefonnummern ☎ und Adressen ⚑ mit Karte, Routing, Öffnungszeiten, Homepage, E-Mail, vCard und Firmendaten.</t>
  </si>
  <si>
    <t>Hochfeldweg 7</t>
  </si>
  <si>
    <t>Frauental an der Laßnitz</t>
  </si>
  <si>
    <t>46.8348528</t>
  </si>
  <si>
    <t>15.2710917</t>
  </si>
  <si>
    <t>+4334624374</t>
  </si>
  <si>
    <t>powoden.gmbh@powoden.at</t>
  </si>
  <si>
    <t>https://bilder.dasschnelle.at/DasSchnelle/50/5000/9875/045296/G_045296_P_906265812.adn.gif</t>
  </si>
  <si>
    <t>Niedermayer Astrid Dr. &amp; Partner Fachärzte f Radiologie OG • Melk • Niederösterreich</t>
  </si>
  <si>
    <t>Ärzte / Fachärzte f. Radiologie • Niedermayer Astrid Dr. &amp; Partner Fachärzte f Radiologie OG, Josef Adlmanseder-Straße 7 /1/3, Melk • Kontakt über aktuelle Telefonnummern ☎ und Adressen ⚑ mit Karte, Routing, Öffnungszeiten, Homepage, E-Mail, vCard und Firmendaten.</t>
  </si>
  <si>
    <t>Josef Adlmanseder-Straße 7 /1/3</t>
  </si>
  <si>
    <t>+43275252670</t>
  </si>
  <si>
    <t>office@radiologie-melk.at</t>
  </si>
  <si>
    <t>https://bilder.dasschnelle.at/DasSchnelle/50/5000/9908/041629/G_041629_P_906265814.adn.gif</t>
  </si>
  <si>
    <t>Huber, Michael, Dr., Ärzte / Fachärzte f Innere Medizin • Kirchdorf an der Krems • Oberösterreich</t>
  </si>
  <si>
    <t>Ärzte / Fachärzte f. Innere Medizin • Huber, Michael, Dr., Garnisonstraße 1, Kirchdorf an der Krems • Kontakt über aktuelle Telefonnummern ☎ und Adressen ⚑ mit Karte, Routing, Öffnungszeiten, Homepage, E-Mail, vCard und Firmendaten.</t>
  </si>
  <si>
    <t>+43758252007</t>
  </si>
  <si>
    <t>ordination@drmichaelhuber.at</t>
  </si>
  <si>
    <t>https://bilder.dasschnelle.at/DasSchnelle/50/5000/9895/046082/G_046082_P_906265816.adn.gif</t>
  </si>
  <si>
    <t>Benni`s Reifenservice • Lermoos • Tirol</t>
  </si>
  <si>
    <t>Reifenservice • Benni`s Reifenservice, Gries 14, Lermoos • Kontakt über aktuelle Telefonnummern ☎ und Adressen ⚑ mit Karte, Routing, Öffnungszeiten, Homepage, E-Mail, vCard und Firmendaten.</t>
  </si>
  <si>
    <t>Gries 14</t>
  </si>
  <si>
    <t>6631</t>
  </si>
  <si>
    <t>Lermoos</t>
  </si>
  <si>
    <t>47.4062400</t>
  </si>
  <si>
    <t>10.8688700</t>
  </si>
  <si>
    <t>+436601009757</t>
  </si>
  <si>
    <t>jourez@gmx.at</t>
  </si>
  <si>
    <t>https://bilder.dasschnelle.at/DasSchnelle/50/5000/9921/042596/G_042596_P_906265797.adn.gif</t>
  </si>
  <si>
    <t>Gerhard Schapfl KG, Aluminium • Grünbach am Schneeberg • Niederösterreich</t>
  </si>
  <si>
    <t>Aluminiumbe- u. -verarbeitung • Gerhard Schapfl KG, Amasedweg 14, Grünbach am Schneeberg • Kontakt über aktuelle Telefonnummern ☎ und Adressen ⚑ mit Karte, Routing, Öffnungszeiten, Homepage, E-Mail, vCard und Firmendaten.</t>
  </si>
  <si>
    <t>Amasedweg 14</t>
  </si>
  <si>
    <t>2733</t>
  </si>
  <si>
    <t>Grünbach am Schneeberg</t>
  </si>
  <si>
    <t>47.8049009</t>
  </si>
  <si>
    <t>16.0008721</t>
  </si>
  <si>
    <t>+4326372746</t>
  </si>
  <si>
    <t>office@schapfl.at</t>
  </si>
  <si>
    <t>https://bilder.dasschnelle.at/DasSchnelle/50/5000/9913/041831/G_041831_P_906265963.adn.gif</t>
  </si>
  <si>
    <t>Aspetzberger, Mario, Malermeister • Straßwalchen • Salzburg</t>
  </si>
  <si>
    <t>Malereibetriebe • Aspetzberger, Mario, Friedrich Guggstraße 9, Straßwalchen • Kontakt über aktuelle Telefonnummern ☎ und Adressen ⚑ mit Karte, Routing, Öffnungszeiten, Homepage, E-Mail, vCard und Firmendaten.</t>
  </si>
  <si>
    <t>Friedrich Guggstraße 9</t>
  </si>
  <si>
    <t>47.98111</t>
  </si>
  <si>
    <t>13.2514</t>
  </si>
  <si>
    <t>+436641267076</t>
  </si>
  <si>
    <t>office@malerei-aspetzberger.at</t>
  </si>
  <si>
    <t>https://bilder.dasschnelle.at/DasSchnelle/50/5000/9935/043329/I_043329_P_906265965_L_0036420651_1.png</t>
  </si>
  <si>
    <t>https://bilder.dasschnelle.at/DasSchnelle/50/5000/9935/043329/I_043329_P_906265965_B_0036420651_1.gal.png?height=399&amp;width=600;https://bilder.dasschnelle.at/DasSchnelle/50/5000/9935/043329/I_043329_P_906265965_B_0036420651_2.gal.png?height=200&amp;width=320;https://bilder.dasschnelle.at/DasSchnelle/50/5000/9935/043329/I_043329_P_906265965_B_0036420651_3.gal.png?height=200&amp;width=320;https://bilder.dasschnelle.at/DasSchnelle/50/5000/9935/043329/I_043329_P_906265965_B_0036420651_4.gal.png?height=480&amp;width=720</t>
  </si>
  <si>
    <t>Krug &amp; Lipp OG, Versicherungsmakler • Deutschlandsberg • Steiermark</t>
  </si>
  <si>
    <t>Versicherungsmakler • Krug &amp; Lipp OG, Hauptplatz 1, Deutschlandsberg • Kontakt über aktuelle Telefonnummern ☎ und Adressen ⚑ mit Karte, Routing, Öffnungszeiten, Homepage, E-Mail, vCard und Firmendaten.</t>
  </si>
  <si>
    <t>46.81522</t>
  </si>
  <si>
    <t>15.21611</t>
  </si>
  <si>
    <t>+43346230887</t>
  </si>
  <si>
    <t>a.krug@krug-lipp.at</t>
  </si>
  <si>
    <t>https://bilder.dasschnelle.at/DasSchnelle/50/5000/9875/061379/G_061379_P_906265967.adn.gif</t>
  </si>
  <si>
    <t>Paulitsch, Robert, Spenglerei • Mitterlimberg • Steiermark</t>
  </si>
  <si>
    <t>Spenglereien • Paulitsch, Robert, Eichegg 42, Mitterlimberg • Kontakt über aktuelle Telefonnummern ☎ und Adressen ⚑ mit Karte, Routing, Öffnungszeiten, Homepage, E-Mail, vCard und Firmendaten.</t>
  </si>
  <si>
    <t>Eichegg 42</t>
  </si>
  <si>
    <t>8542</t>
  </si>
  <si>
    <t>Mitterlimberg</t>
  </si>
  <si>
    <t>46.74613</t>
  </si>
  <si>
    <t>15.24531</t>
  </si>
  <si>
    <t>+436645364172;+436641300716</t>
  </si>
  <si>
    <t>office@paulitsch-dach.at</t>
  </si>
  <si>
    <t>https://bilder.dasschnelle.at/DasSchnelle/50/5000/9875/061464/G_061464_P_906265971.adn.gif</t>
  </si>
  <si>
    <t>Steffan Andrina KG, Blumenbinder • Deutschlandsberg • Steiermark</t>
  </si>
  <si>
    <t>Blumenbinder • Steffan Andrina KG, Frauentaler Straße 85, Deutschlandsberg • Kontakt über aktuelle Telefonnummern ☎ und Adressen ⚑ mit Karte, Routing, Öffnungszeiten, Homepage, E-Mail, vCard und Firmendaten.</t>
  </si>
  <si>
    <t>Frauentaler Straße 85</t>
  </si>
  <si>
    <t>46.82056</t>
  </si>
  <si>
    <t>15.23001</t>
  </si>
  <si>
    <t>+43346230947</t>
  </si>
  <si>
    <t>mail@steffan.at</t>
  </si>
  <si>
    <t>https://bilder.dasschnelle.at/DasSchnelle/50/5000/9875/061379/G_061379_P_906266651.adn.gif</t>
  </si>
  <si>
    <t>Ehmair-Breitwieser, Johann, Taxiunternehmen • Gunskirchen • Oberösterreich</t>
  </si>
  <si>
    <t>Taxi • Ehmair-Breitwieser, Johann, Gärtnerstraße 4, Gunskirchen • Kontakt über aktuelle Telefonnummern ☎ und Adressen ⚑ mit Karte, Routing, Öffnungszeiten, Homepage, E-Mail, vCard und Firmendaten.</t>
  </si>
  <si>
    <t>Gärtnerstraße 4</t>
  </si>
  <si>
    <t>48.12874</t>
  </si>
  <si>
    <t>13.94574</t>
  </si>
  <si>
    <t>+4372467258;+436641920005;+4369911920003</t>
  </si>
  <si>
    <t>taxi-ehmair@24speed.at</t>
  </si>
  <si>
    <t>https://bilder.dasschnelle.at/DasSchnelle/50/5000/9915/043569/I_043569_P_906266658_L_0036252887_1.png</t>
  </si>
  <si>
    <t>https://bilder.dasschnelle.at/DasSchnelle/50/5000/9915/043569/I_043569_P_906266658_B_0036252887_1.gal.png?height=163&amp;width=500;https://bilder.dasschnelle.at/DasSchnelle/50/5000/9915/043569/I_043569_P_906266658_B_0036252887_2.gal.png?height=480&amp;width=1200</t>
  </si>
  <si>
    <t>Klug, Barbara, Friseur • Lannach • Steiermark</t>
  </si>
  <si>
    <t>Friseure • Klug, Barbara, Mooskirchner Straße 4, Lannach • Kontakt über aktuelle Telefonnummern ☎ und Adressen ⚑ mit Karte, Routing, Öffnungszeiten, Homepage, E-Mail, vCard und Firmendaten.</t>
  </si>
  <si>
    <t>Mooskirchner Straße 4</t>
  </si>
  <si>
    <t>46.94731</t>
  </si>
  <si>
    <t>15.32965</t>
  </si>
  <si>
    <t>+4369912588062</t>
  </si>
  <si>
    <t>barbara.klug@outlook.de</t>
  </si>
  <si>
    <t>https://bilder.dasschnelle.at/DasSchnelle/50/5000/9875/045308/G_045308_P_906266781.adn.gif</t>
  </si>
  <si>
    <t>Heim GmbH, Schlosserei u Metallbau • Deutschlandsberg • Steiermark</t>
  </si>
  <si>
    <t>Schlossereien • Heim GmbH, Schwanberger Straße 31, Deutschlandsberg • Kontakt über aktuelle Telefonnummern ☎ und Adressen ⚑ mit Karte, Routing, Öffnungszeiten, Homepage, E-Mail, vCard und Firmendaten.</t>
  </si>
  <si>
    <t>Schwanberger Straße 31</t>
  </si>
  <si>
    <t>46.81087</t>
  </si>
  <si>
    <t>15.22513</t>
  </si>
  <si>
    <t>+4334622431</t>
  </si>
  <si>
    <t>+433462243115</t>
  </si>
  <si>
    <t>office@schlosserei-heim.at</t>
  </si>
  <si>
    <t>https://bilder.dasschnelle.at/DasSchnelle/50/5000/9875/061379/G_061379_P_906266785.adn.gif</t>
  </si>
  <si>
    <t>RSD Gschaider GmbH, Autoreparatur • Lengau • Oberösterreich</t>
  </si>
  <si>
    <t>Autoreparaturen • RSD Gschaider GmbH, Lastenstraße 7, Lengau • Kontakt über aktuelle Telefonnummern ☎ und Adressen ⚑ mit Karte, Routing, Öffnungszeiten, Homepage, E-Mail, vCard und Firmendaten.</t>
  </si>
  <si>
    <t>Lastenstraße 7</t>
  </si>
  <si>
    <t>Lengau</t>
  </si>
  <si>
    <t>48.00103</t>
  </si>
  <si>
    <t>13.22637</t>
  </si>
  <si>
    <t>+43774628550</t>
  </si>
  <si>
    <t>office@rsd-gschaider.at</t>
  </si>
  <si>
    <t>https://bilder.dasschnelle.at/DasSchnelle/50/5000/9935/044774/G_044774_P_906267954.adn.gif</t>
  </si>
  <si>
    <t>De Corti GmbH, Heizungen, Solaranlagen • Dietmannsdorf im Sulmtal • Steiermark</t>
  </si>
  <si>
    <t>Heizungen • De Corti GmbH, Dietmannsdorf 28, Dietmannsdorf im Sulmtal • Kontakt über aktuelle Telefonnummern ☎ und Adressen ⚑ mit Karte, Routing, Öffnungszeiten, Homepage, E-Mail, vCard und Firmendaten.</t>
  </si>
  <si>
    <t>Dietmannsdorf 28</t>
  </si>
  <si>
    <t>Dietmannsdorf im Sulmtal</t>
  </si>
  <si>
    <t>46.75246</t>
  </si>
  <si>
    <t>15.31662</t>
  </si>
  <si>
    <t>+4334653147</t>
  </si>
  <si>
    <t>info@decorti.at</t>
  </si>
  <si>
    <t>https://bilder.dasschnelle.at/DasSchnelle/50/5000/9875/061411/I_061411_P_906267956_L_0036253239_1.png</t>
  </si>
  <si>
    <t>https://bilder.dasschnelle.at/DasSchnelle/50/5000/9875/061411/I_061411_P_906267956_B_0036253239_1.gal.png?height=750&amp;width=1000;https://bilder.dasschnelle.at/DasSchnelle/50/5000/9875/061411/I_061411_P_906267956_B_0036253239_2.gal.png?height=750&amp;width=1000;https://bilder.dasschnelle.at/DasSchnelle/50/5000/9875/061411/I_061411_P_906267956_B_0036253239_3.gal.png?height=720&amp;width=539;https://bilder.dasschnelle.at/DasSchnelle/50/5000/9875/061411/I_061411_P_906267956_B_0036253239_4.gal.png?height=466&amp;width=720</t>
  </si>
  <si>
    <t>ORTHO Schuhtechnik, Matuschek Thomas • Eferding • Oberösterreich</t>
  </si>
  <si>
    <t>Orthopädische Schuhe • ORTHO Schuhtechnik, Matuschek Thomas, Kirchenplatz 11, Eferding • Kontakt über aktuelle Telefonnummern ☎ und Adressen ⚑ mit Karte, Routing, Öffnungszeiten, Homepage, E-Mail, vCard und Firmendaten.</t>
  </si>
  <si>
    <t>Kirchenplatz 11</t>
  </si>
  <si>
    <t>48.3114057</t>
  </si>
  <si>
    <t>14.0225670</t>
  </si>
  <si>
    <t>+436644263792</t>
  </si>
  <si>
    <t>t.matuschek@ortho-schuhtechnik.at</t>
  </si>
  <si>
    <t>https://bilder.dasschnelle.at/DasSchnelle/50/5000/9876/044805/G_044805_P_906267958.adn.gif</t>
  </si>
  <si>
    <t>BHZ Institut Dr. Brigitte Kraus, FA für Pathologie/ Zytologie • Wiener Neustadt • Niederösterreich</t>
  </si>
  <si>
    <t>Pathologie • BHZ Institut Dr. Brigitte Kraus, Josef Feichtinger-Gasse 9, Wiener Neustadt • Kontakt über aktuelle Telefonnummern ☎ und Adressen ⚑ mit Karte, Routing, Öffnungszeiten, Homepage, E-Mail, vCard und Firmendaten.</t>
  </si>
  <si>
    <t>Josef Feichtinger-Gasse 9</t>
  </si>
  <si>
    <t>47.82204</t>
  </si>
  <si>
    <t>16.21412</t>
  </si>
  <si>
    <t>+43262285770</t>
  </si>
  <si>
    <t>dr.brigitte.kraus@histozyt.at</t>
  </si>
  <si>
    <t>https://bilder.dasschnelle.at/DasSchnelle/50/5000/9946/042060/I_042060_P_906269040_L_0036253093_1.png</t>
  </si>
  <si>
    <t>https://bilder.dasschnelle.at/DasSchnelle/50/5000/9946/042060/I_042060_P_906269040_B_0036253093_1.gal.png?height=163&amp;width=600;https://bilder.dasschnelle.at/DasSchnelle/50/5000/9946/042060/I_042060_P_906269040_B_0036253093_2.gal.png?height=163&amp;width=600;https://bilder.dasschnelle.at/DasSchnelle/50/5000/9946/042060/I_042060_P_906269040_B_0036253093_3.gal.png?height=441&amp;width=773;https://bilder.dasschnelle.at/DasSchnelle/50/5000/9946/042060/I_042060_P_906269040_B_0036253093_4.gal.png?height=410&amp;width=720</t>
  </si>
  <si>
    <t>Bialonczyk, Jan, DDr., Ärzte / Fachärzte f Zahn-, Mund-u Kieferheilkunde • Wiener Neustadt • Niederösterreich</t>
  </si>
  <si>
    <t>Ärzte / Fachärzte f. Zahn-, Mund u. Kieferheilkunde • Bialonczyk, Jan, DDr., Domplatz 13, Wiener Neustadt • Kontakt über aktuelle Telefonnummern ☎ und Adressen ⚑ mit Karte, Routing, Öffnungszeiten, Homepage, E-Mail, vCard und Firmendaten.</t>
  </si>
  <si>
    <t>Domplatz 13</t>
  </si>
  <si>
    <t>47.81425</t>
  </si>
  <si>
    <t>16.24238</t>
  </si>
  <si>
    <t>+43262228192</t>
  </si>
  <si>
    <t>office@zahnarzt-wn.at</t>
  </si>
  <si>
    <t>https://bilder.dasschnelle.at/DasSchnelle/50/5000/9946/042060/G_042060_P_906269042.adn.gif</t>
  </si>
  <si>
    <t>Ganglbauer Franz, Ing, Baumeister, GesmbH, Baumeister • Wartberg • Oberösterreich</t>
  </si>
  <si>
    <t>Baumeister • Ganglbauer Franz, Ing, Baumeister, GesmbH, Strienzing 30, Wartberg • Kontakt über aktuelle Telefonnummern ☎ und Adressen ⚑ mit Karte, Routing, Öffnungszeiten, Homepage, E-Mail, vCard und Firmendaten.</t>
  </si>
  <si>
    <t>Strienzing 30</t>
  </si>
  <si>
    <t>47.9769548</t>
  </si>
  <si>
    <t>14.0802481</t>
  </si>
  <si>
    <t>+43758778500</t>
  </si>
  <si>
    <t>+43758778504</t>
  </si>
  <si>
    <t>office@ganglbauer-bau.at</t>
  </si>
  <si>
    <t>https://bilder.dasschnelle.at/DasSchnelle/50/5000/9895/046099/I_046099_P_906269046_L_0036256314_1.png</t>
  </si>
  <si>
    <t>https://bilder.dasschnelle.at/DasSchnelle/50/5000/9895/046099/I_046099_P_906269046_B_0036256314_1.gal.png?height=188&amp;width=281;https://bilder.dasschnelle.at/DasSchnelle/50/5000/9895/046099/I_046099_P_906269046_B_0036256314_2.gal.png?height=188&amp;width=281;https://bilder.dasschnelle.at/DasSchnelle/50/5000/9895/046099/I_046099_P_906269046_B_0036256314_3.gal.png?height=201&amp;width=280;https://bilder.dasschnelle.at/DasSchnelle/50/5000/9895/046099/I_046099_P_906269046_B_0036256314_4.gal.png?height=221&amp;width=600</t>
  </si>
  <si>
    <t>Ahmet Yalcin, Gerüstbauer • Lochen am See • Oberösterreich</t>
  </si>
  <si>
    <t>Baubetreuung • Ahmet Yalcin, Kerschham 41, Lochen am See • Kontakt über aktuelle Telefonnummern ☎ und Adressen ⚑ mit Karte, Routing, Öffnungszeiten, Homepage, E-Mail, vCard und Firmendaten.</t>
  </si>
  <si>
    <t>Kerschham 41</t>
  </si>
  <si>
    <t>48.0298016</t>
  </si>
  <si>
    <t>13.1374169</t>
  </si>
  <si>
    <t>+436767993846</t>
  </si>
  <si>
    <t>ahmet38yalcin@gmail.com</t>
  </si>
  <si>
    <t>https://bilder.dasschnelle.at/DasSchnelle/50/5000/9935/044775/I_044775_P_906268409_L_0039949996_1.png</t>
  </si>
  <si>
    <t>Kimberger-Dorninger, Ursula, Dipl-TA, Tierarzt • Kirchdorf an der Krems • Oberösterreich</t>
  </si>
  <si>
    <t>Tierärzte • Kimberger-Dorninger, Ursula, Dipl-TA, Weberstraße 34, Kirchdorf an der Krems • Kontakt über aktuelle Telefonnummern ☎ und Adressen ⚑ mit Karte, Routing, Öffnungszeiten, Homepage, E-Mail, vCard und Firmendaten.</t>
  </si>
  <si>
    <t>Weberstraße 34</t>
  </si>
  <si>
    <t>47.89982</t>
  </si>
  <si>
    <t>14.12373</t>
  </si>
  <si>
    <t>+43758251969</t>
  </si>
  <si>
    <t>ordi@kimberger.vet</t>
  </si>
  <si>
    <t>https://bilder.dasschnelle.at/DasSchnelle/50/5000/9895/046082/G_046082_P_906269049.adn.gif</t>
  </si>
  <si>
    <t>Lukasser, Franz, Dr., FA f Urologie • Hallein • Salzburg</t>
  </si>
  <si>
    <t>Ärzte / Fachärzte f. Urologie • Lukasser, Franz, Dr., Kuffergasse 9, Hallein • Kontakt über aktuelle Telefonnummern ☎ und Adressen ⚑ mit Karte, Routing, Öffnungszeiten, Homepage, E-Mail, vCard und Firmendaten.</t>
  </si>
  <si>
    <t>Kuffergasse 9</t>
  </si>
  <si>
    <t>+43624580991</t>
  </si>
  <si>
    <t>dr.lukasser@medway.at</t>
  </si>
  <si>
    <t>https://bilder.dasschnelle.at/DasSchnelle/50/5000/9889/043591/I_043591_P_906269051_L_0036738879_1.png</t>
  </si>
  <si>
    <t>https://bilder.dasschnelle.at/DasSchnelle/50/5000/9889/043591/I_043591_P_906269051_B_0036738879_1.gal.png?height=422&amp;width=520;https://bilder.dasschnelle.at/DasSchnelle/50/5000/9889/043591/I_043591_P_906269051_B_0036738879_2.gal.png?height=422&amp;width=520;https://bilder.dasschnelle.at/DasSchnelle/50/5000/9889/043591/I_043591_P_906269051_B_0036738879_3.gal.png?height=422&amp;width=520;https://bilder.dasschnelle.at/DasSchnelle/50/5000/9889/043591/I_043591_P_906269051_B_0036738879_4.gal.png?height=422&amp;width=520;https://bilder.dasschnelle.at/DasSchnelle/50/5000/9889/043591/G_043591_P_906269051.adn.gif</t>
  </si>
  <si>
    <t>LOIDL Albert Wirtschaftsprüfung • Golling an der Salzach • Salzburg</t>
  </si>
  <si>
    <t>Wirtschaftsberater • LOIDL Albert Wirtschaftsprüfung, Kiefernweg 204, Golling an der Salzach • Kontakt über aktuelle Telefonnummern ☎ und Adressen ⚑ mit Karte, Routing, Öffnungszeiten, Homepage, E-Mail, vCard und Firmendaten.</t>
  </si>
  <si>
    <t>Kiefernweg 204</t>
  </si>
  <si>
    <t>47.59056</t>
  </si>
  <si>
    <t>13.16554</t>
  </si>
  <si>
    <t>+43624460010</t>
  </si>
  <si>
    <t>office@kanzlei-loidl.at</t>
  </si>
  <si>
    <t>https://bilder.dasschnelle.at/DasSchnelle/50/5000/9889/043590/G_043590_P_906269053.adn.gif</t>
  </si>
  <si>
    <t>Lidauer, Anneliese, Kosmetik u Fußpflege • Eferding • Oberösterreich</t>
  </si>
  <si>
    <t>Kosmetik u. Fußpflege • Lidauer, Anneliese, Ledererstraße 12, Eferding • Kontakt über aktuelle Telefonnummern ☎ und Adressen ⚑ mit Karte, Routing, Öffnungszeiten, Homepage, E-Mail, vCard und Firmendaten.</t>
  </si>
  <si>
    <t>Ledererstraße 12</t>
  </si>
  <si>
    <t>48.30915</t>
  </si>
  <si>
    <t>14.01864</t>
  </si>
  <si>
    <t>+4372722583</t>
  </si>
  <si>
    <t>institut@kosmetik-lidauer.at</t>
  </si>
  <si>
    <t>https://bilder.dasschnelle.at/DasSchnelle/50/5000/9876/044805/G_044805_P_906269057.adn.gif</t>
  </si>
  <si>
    <t>BESTATTUNG ETERNO e.U., Bestattung • Wiener Neustadt • Niederösterreich</t>
  </si>
  <si>
    <t>Bestattungsunternehmen • BESTATTUNG ETERNO e.U., Ungargasse 47 -49, Wiener Neustadt • Kontakt über aktuelle Telefonnummern ☎ und Adressen ⚑ mit Karte, Routing, Öffnungszeiten, Homepage, E-Mail, vCard und Firmendaten.</t>
  </si>
  <si>
    <t>Ungargasse 47 -49</t>
  </si>
  <si>
    <t>47.81158</t>
  </si>
  <si>
    <t>16.25313</t>
  </si>
  <si>
    <t>+43262226074;+436641310547</t>
  </si>
  <si>
    <t>office@bestattung-eterno.at</t>
  </si>
  <si>
    <t>https://bilder.dasschnelle.at/DasSchnelle/50/5000/9946/042060/G_042060_P_906269655.adn.gif</t>
  </si>
  <si>
    <t>Kracher, Peter, Dr., FA f Gynäkologie u Geburtenhilfe • Wiener Neustadt • Niederösterreich</t>
  </si>
  <si>
    <t>Ärzte / Fachärzte f. Frauenheilkunde u. Geburtshilfe • Kracher, Peter, Dr., Pleyergasse 2 A, Wiener Neustadt • Kontakt über aktuelle Telefonnummern ☎ und Adressen ⚑ mit Karte, Routing, Öffnungszeiten, Homepage, E-Mail, vCard und Firmendaten.</t>
  </si>
  <si>
    <t>Pleyergasse 2 A</t>
  </si>
  <si>
    <t>47.8127</t>
  </si>
  <si>
    <t>16.23178</t>
  </si>
  <si>
    <t>+43262228001</t>
  </si>
  <si>
    <t>+432622280014</t>
  </si>
  <si>
    <t>kracher.gyno@utanet.at</t>
  </si>
  <si>
    <t>https://bilder.dasschnelle.at/DasSchnelle/50/5000/9946/042060/G_042060_P_906269660.adn.gif</t>
  </si>
  <si>
    <t>Inn-Salzach Kanlzei, Rechtsanwälte • Simbach</t>
  </si>
  <si>
    <t>Rechtsanwälte • Inn-Salzach Kanlzei, Bahnhofplatz 1, Simbach • Kontakt über aktuelle Telefonnummern ☎ und Adressen ⚑ mit Karte, Routing, Öffnungszeiten, Homepage, E-Mail, vCard und Firmendaten.</t>
  </si>
  <si>
    <t>Bahnhofplatz 1</t>
  </si>
  <si>
    <t>48.2631155</t>
  </si>
  <si>
    <t>13.0227262</t>
  </si>
  <si>
    <t>+434985719241020</t>
  </si>
  <si>
    <t>simbach@inn-salzach-kanzlei.de</t>
  </si>
  <si>
    <t>https://bilder.dasschnelle.at/DasSchnelle/50/5000/9872/044551/I_044551_P_906269663_L_0036420946_1.png</t>
  </si>
  <si>
    <t>https://bilder.dasschnelle.at/DasSchnelle/50/5000/9872/044551/I_044551_P_906269663_B_0036420946_1.gal.png?height=720&amp;width=720;https://bilder.dasschnelle.at/DasSchnelle/50/5000/9872/044551/I_044551_P_906269663_B_0036420946_2.gal.png?height=357&amp;width=720;https://bilder.dasschnelle.at/DasSchnelle/50/5000/9872/044551/I_044551_P_906269663_B_0036420946_3.gal.png?height=326&amp;width=720;https://bilder.dasschnelle.at/DasSchnelle/50/5000/9872/044551/I_044551_P_906269663_B_0036420946_4.gal.png?height=382&amp;width=720</t>
  </si>
  <si>
    <t>Grobner, Thomas, Dr.med., FA f Innere Medizin • Wiener Neustadt • Niederösterreich</t>
  </si>
  <si>
    <t>Ärzte / Fachärzte f. Innere Medizin • Grobner, Thomas, Dr.med., Neuklostergasse 1, Wiener Neustadt • Kontakt über aktuelle Telefonnummern ☎ und Adressen ⚑ mit Karte, Routing, Öffnungszeiten, Homepage, E-Mail, vCard und Firmendaten.</t>
  </si>
  <si>
    <t>Neuklostergasse 1</t>
  </si>
  <si>
    <t>47.8122</t>
  </si>
  <si>
    <t>16.24644</t>
  </si>
  <si>
    <t>+43262225864</t>
  </si>
  <si>
    <t>thomas.grobner@aon.at</t>
  </si>
  <si>
    <t>https://bilder.dasschnelle.at/DasSchnelle/50/5000/9946/042060/G_042060_P_906269666.adn.gif</t>
  </si>
  <si>
    <t>Gasthaus Neuhauser, Gasthaus • Wartberg an der Krems • Oberösterreich</t>
  </si>
  <si>
    <t>Restaurants • Gasthaus Neuhauser, Hauptstraße 25, Wartberg an der Krems • Kontakt über aktuelle Telefonnummern ☎ und Adressen ⚑ mit Karte, Routing, Öffnungszeiten, Homepage, E-Mail, vCard und Firmendaten.</t>
  </si>
  <si>
    <t>47.9878600</t>
  </si>
  <si>
    <t>14.1204600</t>
  </si>
  <si>
    <t>+43758721722</t>
  </si>
  <si>
    <t>info@gasthaus-neuhauser.com</t>
  </si>
  <si>
    <t>https://bilder.dasschnelle.at/DasSchnelle/50/5000/9895/046099/G_046099_P_906269668.adn.gif</t>
  </si>
  <si>
    <t>Hofbauer, Johann, Fenstertechnik • Schlierbach • Oberösterreich</t>
  </si>
  <si>
    <t>Fenster u. Türen • Hofbauer, Johann, Fehringerweg 3, Schlierbach • Kontakt über aktuelle Telefonnummern ☎ und Adressen ⚑ mit Karte, Routing, Öffnungszeiten, Homepage, E-Mail, vCard und Firmendaten.</t>
  </si>
  <si>
    <t>Fehringerweg 3</t>
  </si>
  <si>
    <t>47.9548038</t>
  </si>
  <si>
    <t>14.0856838</t>
  </si>
  <si>
    <t>+43758281377;+436644007285;+4366473722335</t>
  </si>
  <si>
    <t>office@hofbauerfenster.at</t>
  </si>
  <si>
    <t>https://bilder.dasschnelle.at/DasSchnelle/50/5000/9895/046094/I_046094_P_906269674_L_0036256131_1.png</t>
  </si>
  <si>
    <t>https://bilder.dasschnelle.at/DasSchnelle/50/5000/9895/046094/I_046094_P_906269674_B_0036256131_1.gal.png?height=450&amp;width=600;https://bilder.dasschnelle.at/DasSchnelle/50/5000/9895/046094/I_046094_P_906269674_B_0036256131_2.gal.png?height=450&amp;width=600;https://bilder.dasschnelle.at/DasSchnelle/50/5000/9895/046094/I_046094_P_906269674_B_0036256131_3.gal.png?height=399&amp;width=600;https://bilder.dasschnelle.at/DasSchnelle/50/5000/9895/046094/I_046094_P_906269674_B_0036256131_4.gal.png?height=450&amp;width=600</t>
  </si>
  <si>
    <t>Weiß-Spiess, Renate, Dr.med.univ., FA f Zahn, Mund- u Kieferheilkunde • Abtenau • Salzburg</t>
  </si>
  <si>
    <t>Ärzte / Fachärzte f. Zahn-, Mund u. Kieferheilkunde • Weiß-Spiess, Renate, Dr.med.univ., Markt 184 A, Abtenau • Kontakt über aktuelle Telefonnummern ☎ und Adressen ⚑ mit Karte, Routing, Öffnungszeiten, Homepage, E-Mail, vCard und Firmendaten.</t>
  </si>
  <si>
    <t>Markt 184 A</t>
  </si>
  <si>
    <t>47.56559</t>
  </si>
  <si>
    <t>13.34749</t>
  </si>
  <si>
    <t>+4362432101</t>
  </si>
  <si>
    <t>https://bilder.dasschnelle.at/DasSchnelle/50/5000/9889/043587/G_043587_P_906269728.adn.gif</t>
  </si>
  <si>
    <t>Hair Vital Andrea • Pinkafeld • Burgenland</t>
  </si>
  <si>
    <t>Friseure • Hair Vital Andrea, Alexander Putsch-Platz 2, Pinkafeld • Kontakt über aktuelle Telefonnummern ☎ und Adressen ⚑ mit Karte, Routing, Öffnungszeiten, Homepage, E-Mail, vCard und Firmendaten.</t>
  </si>
  <si>
    <t>Alexander Putsch-Platz 2</t>
  </si>
  <si>
    <t>7423</t>
  </si>
  <si>
    <t>Pinkafeld</t>
  </si>
  <si>
    <t>47.3705500</t>
  </si>
  <si>
    <t>16.1212800</t>
  </si>
  <si>
    <t>+43335743249</t>
  </si>
  <si>
    <t>andreapoell@gmx.net</t>
  </si>
  <si>
    <t>Autohaus Pointinger e.U. • Eferding • Oberösterreich</t>
  </si>
  <si>
    <t>Autohandel • Autohaus Pointinger e.U., Pupping 31, Eferding • Kontakt über aktuelle Telefonnummern ☎ und Adressen ⚑ mit Karte, Routing, Öffnungszeiten, Homepage, E-Mail, vCard und Firmendaten.</t>
  </si>
  <si>
    <t>Pupping 31</t>
  </si>
  <si>
    <t>48.3359020</t>
  </si>
  <si>
    <t>14.0026050</t>
  </si>
  <si>
    <t>+4372724782;+4372723012;+4366473760185</t>
  </si>
  <si>
    <t>+4372725694</t>
  </si>
  <si>
    <t>office@kfz-pointinger.com</t>
  </si>
  <si>
    <t>https://bilder.dasschnelle.at/DasSchnelle/50/5000/9876/044811/I_044811_P_906269737_L_0036253080_1.png</t>
  </si>
  <si>
    <t>https://bilder.dasschnelle.at/DasSchnelle/50/5000/9876/044811/I_044811_P_906269737_B_0036253080_1.gal.png?height=299&amp;width=720;https://bilder.dasschnelle.at/DasSchnelle/50/5000/9876/044811/I_044811_P_906269737_B_0036253080_2.gal.png?height=432&amp;width=720;https://bilder.dasschnelle.at/DasSchnelle/50/5000/9876/044811/I_044811_P_906269737_B_0036253080_3.gal.png?height=241&amp;width=720;https://bilder.dasschnelle.at/DasSchnelle/50/5000/9876/044811/I_044811_P_906269737_B_0036253080_4.gal.png?height=380&amp;width=720</t>
  </si>
  <si>
    <t>Keplinger, Ingrid, Dr., FA f. Haut- u. Geschlechtskrankheiten • Eferding • Oberösterreich</t>
  </si>
  <si>
    <t>Ärzte / Fachärzte f. Haut u. Geschlechtskrankheiten • Keplinger, Ingrid, Dr., Schiferplatz 6, Eferding • Kontakt über aktuelle Telefonnummern ☎ und Adressen ⚑ mit Karte, Routing, Öffnungszeiten, Homepage, E-Mail, vCard und Firmendaten.</t>
  </si>
  <si>
    <t>Schiferplatz 6</t>
  </si>
  <si>
    <t>48.30823</t>
  </si>
  <si>
    <t>14.02421</t>
  </si>
  <si>
    <t>+43727270888</t>
  </si>
  <si>
    <t>hautarzt.keplinger@gmx.at</t>
  </si>
  <si>
    <t>https://bilder.dasschnelle.at/DasSchnelle/50/5000/9876/044805/G_044805_P_906270350.adn.gif</t>
  </si>
  <si>
    <t>Sandbichler, Markus, Dr., FA f Urologie • St. Johann • Tirol</t>
  </si>
  <si>
    <t>Ärzte / Fachärzte f. Urologie • Sandbichler, Markus, Dr., Speckbacherstraße 20, St. Johann • Kontakt über aktuelle Telefonnummern ☎ und Adressen ⚑ mit Karte, Routing, Öffnungszeiten, Homepage, E-Mail, vCard und Firmendaten.</t>
  </si>
  <si>
    <t>Speckbacherstraße 20</t>
  </si>
  <si>
    <t>47.5204618</t>
  </si>
  <si>
    <t>12.4256682</t>
  </si>
  <si>
    <t>+43535261561</t>
  </si>
  <si>
    <t>+4353526156117</t>
  </si>
  <si>
    <t>office@urologie-sandbichler.at</t>
  </si>
  <si>
    <t>https://bilder.dasschnelle.at/DasSchnelle/50/5000/9896/046140/I_046140_P_906270354_L_0036261800_1.png</t>
  </si>
  <si>
    <t>https://bilder.dasschnelle.at/DasSchnelle/50/5000/9896/046140/I_046140_P_906270354_B_0036261800_1.gal.png?height=275&amp;width=330;https://bilder.dasschnelle.at/DasSchnelle/50/5000/9896/046140/I_046140_P_906270354_B_0036261800_2.gal.png?height=220&amp;width=330;https://bilder.dasschnelle.at/DasSchnelle/50/5000/9896/046140/I_046140_P_906270354_B_0036261800_3.gal.png?height=220&amp;width=330;https://bilder.dasschnelle.at/DasSchnelle/50/5000/9896/046140/I_046140_P_906270354_B_0036261800_4.gal.png?height=220&amp;width=330</t>
  </si>
  <si>
    <t>Schlapschi, Friederike, Dr., FA f Psychiatrie und Neurologie • Wiener Neustadt • Niederösterreich</t>
  </si>
  <si>
    <t>Ärzte / Fachärzte f. Neurologie u. Psychiatrie • Schlapschi, Friederike, Dr., Allerheiligenplatz 3, Wiener Neustadt • Kontakt über aktuelle Telefonnummern ☎ und Adressen ⚑ mit Karte, Routing, Öffnungszeiten, Homepage, E-Mail, vCard und Firmendaten.</t>
  </si>
  <si>
    <t>Allerheiligenplatz 3</t>
  </si>
  <si>
    <t>47.81276</t>
  </si>
  <si>
    <t>16.24261</t>
  </si>
  <si>
    <t>+43262220315</t>
  </si>
  <si>
    <t>https://bilder.dasschnelle.at/DasSchnelle/50/5000/9946/042060/G_042060_P_906270357.adn.gif</t>
  </si>
  <si>
    <t>Ungersböck, Alfred, Dr.Prim., FA f Unfallchirurgie/Orthopädie • Wiener Neustadt • Niederösterreich</t>
  </si>
  <si>
    <t>Ärzte / Fachärzte f. Unfallchirurgie • Ungersböck, Alfred, Dr.Prim., Höfelgasse 2, Wiener Neustadt • Kontakt über aktuelle Telefonnummern ☎ und Adressen ⚑ mit Karte, Routing, Öffnungszeiten, Homepage, E-Mail, vCard und Firmendaten.</t>
  </si>
  <si>
    <t>Höfelgasse 2</t>
  </si>
  <si>
    <t>47.81503</t>
  </si>
  <si>
    <t>16.22274</t>
  </si>
  <si>
    <t>+43676884752400</t>
  </si>
  <si>
    <t>https://bilder.dasschnelle.at/DasSchnelle/50/5000/9946/042060/G_042060_P_906270359.adn.gif</t>
  </si>
  <si>
    <t>Obermayr, Elmar, Mag., öffentlicher Notar • Mauerkirchen • Oberösterreich</t>
  </si>
  <si>
    <t>Notare • Obermayr, Elmar, Mag., Obermarkt 15, Mauerkirchen • Kontakt über aktuelle Telefonnummern ☎ und Adressen ⚑ mit Karte, Routing, Öffnungszeiten, Homepage, E-Mail, vCard und Firmendaten.</t>
  </si>
  <si>
    <t>Obermarkt 15</t>
  </si>
  <si>
    <t>48.19096</t>
  </si>
  <si>
    <t>13.13551</t>
  </si>
  <si>
    <t>+43772422680</t>
  </si>
  <si>
    <t>office@notar-obermayr.at</t>
  </si>
  <si>
    <t>https://bilder.dasschnelle.at/DasSchnelle/50/5000/9872/044778/G_044778_P_906270361.adn.gif</t>
  </si>
  <si>
    <t>Parger Michaela &amp; Christian GmbH, Glaserei • Kirchberg in Tirol • Tirol</t>
  </si>
  <si>
    <t>Glasereien • Parger Michaela &amp; Christian GmbH, Stöcklfeld 38, Kirchberg in Tirol • Kontakt über aktuelle Telefonnummern ☎ und Adressen ⚑ mit Karte, Routing, Öffnungszeiten, Homepage, E-Mail, vCard und Firmendaten.</t>
  </si>
  <si>
    <t>Stöcklfeld 38</t>
  </si>
  <si>
    <t>47.4486100</t>
  </si>
  <si>
    <t>12.3052800</t>
  </si>
  <si>
    <t>+43535735753;+436645700409</t>
  </si>
  <si>
    <t>info@die-glaserei-parger.at</t>
  </si>
  <si>
    <t>https://bilder.dasschnelle.at/DasSchnelle/50/5000/9896/046133/I_046133_P_906270365_L_0036266053_1.png</t>
  </si>
  <si>
    <t>https://bilder.dasschnelle.at/DasSchnelle/50/5000/9896/046133/I_046133_P_906270365_B_0036266053_1.gal.png?height=449&amp;width=600;https://bilder.dasschnelle.at/DasSchnelle/50/5000/9896/046133/I_046133_P_906270365_B_0036266053_2.gal.png?height=449&amp;width=600;https://bilder.dasschnelle.at/DasSchnelle/50/5000/9896/046133/I_046133_P_906270365_B_0036266053_3.gal.png?height=396&amp;width=600;https://bilder.dasschnelle.at/DasSchnelle/50/5000/9896/046133/G_046133_P_906270365.adn.gif</t>
  </si>
  <si>
    <t>Sigrid´s Haarschnitt • Großpetersdorf • Burgenland</t>
  </si>
  <si>
    <t>Friseure • Sigrid´s Haarschnitt, Pfarrgasse 3, Großpetersdorf • Kontakt über aktuelle Telefonnummern ☎ und Adressen ⚑ mit Karte, Routing, Öffnungszeiten, Homepage, E-Mail, vCard und Firmendaten.</t>
  </si>
  <si>
    <t>Pfarrgasse 3</t>
  </si>
  <si>
    <t>7503</t>
  </si>
  <si>
    <t>Großpetersdorf</t>
  </si>
  <si>
    <t>47.2380000</t>
  </si>
  <si>
    <t>16.3179600</t>
  </si>
  <si>
    <t>+4333622300</t>
  </si>
  <si>
    <t>salon@sigrids-haarschnitt.at</t>
  </si>
  <si>
    <t>https://bilder.dasschnelle.at/DasSchnelle/50/5000/9951/041751/I_041751_P_906270369_L_0039952376_1.png</t>
  </si>
  <si>
    <t>https://bilder.dasschnelle.at/DasSchnelle/50/5000/9951/041751/I_041751_P_906270369_B_0039952376_1.gal.png?height=398&amp;width=720;https://bilder.dasschnelle.at/DasSchnelle/50/5000/9951/041751/I_041751_P_906270369_B_0039952376_2.gal.png?height=720&amp;width=720;https://bilder.dasschnelle.at/DasSchnelle/50/5000/9951/041751/I_041751_P_906270369_B_0039952376_3.gal.png?height=638&amp;width=483;https://bilder.dasschnelle.at/DasSchnelle/50/5000/9951/041751/I_041751_P_906270369_B_0039952376_4.gal.png?height=720&amp;width=720</t>
  </si>
  <si>
    <t>Trs, Wolfgang, Immobilienmakler • Reutte • Tirol</t>
  </si>
  <si>
    <t>Immobilienmakler • Trs, Wolfgang, Untermarkt 37, Reutte • Kontakt über aktuelle Telefonnummern ☎ und Adressen ⚑ mit Karte, Routing, Öffnungszeiten, Homepage, E-Mail, vCard und Firmendaten.</t>
  </si>
  <si>
    <t>Untermarkt 37</t>
  </si>
  <si>
    <t>47.49251</t>
  </si>
  <si>
    <t>10.71764</t>
  </si>
  <si>
    <t>+435672652400;+436764402321</t>
  </si>
  <si>
    <t>office@trs.at</t>
  </si>
  <si>
    <t>https://bilder.dasschnelle.at/DasSchnelle/50/5000/9921/042603/I_042603_P_906270373_L_0035971208_1.png</t>
  </si>
  <si>
    <t>https://bilder.dasschnelle.at/DasSchnelle/50/5000/9921/042603/I_042603_P_906270373_B_0035971208_1.gal.png?height=360&amp;width=360</t>
  </si>
  <si>
    <t>Spenglerei Reiter GmbH • Pinkafeld • Burgenland</t>
  </si>
  <si>
    <t>Spenglereien • Spenglerei Reiter GmbH, Grazerstraße 33, Pinkafeld • Kontakt über aktuelle Telefonnummern ☎ und Adressen ⚑ mit Karte, Routing, Öffnungszeiten, Homepage, E-Mail, vCard und Firmendaten.</t>
  </si>
  <si>
    <t>Grazerstraße 33</t>
  </si>
  <si>
    <t>47.3692810</t>
  </si>
  <si>
    <t>16.1106767</t>
  </si>
  <si>
    <t>+43335743020</t>
  </si>
  <si>
    <t>info@spenglerei-reiter.at</t>
  </si>
  <si>
    <t>https://bilder.dasschnelle.at/DasSchnelle/50/5000/9951/041374/I_041374_P_906269758_L_0037271623_1.png</t>
  </si>
  <si>
    <t>https://bilder.dasschnelle.at/DasSchnelle/50/5000/9951/041374/I_041374_P_906269758_B_0037271623_1.gal.png?height=273&amp;width=720;https://bilder.dasschnelle.at/DasSchnelle/50/5000/9951/041374/I_041374_P_906269758_B_0037271623_2.gal.png?height=273&amp;width=720;https://bilder.dasschnelle.at/DasSchnelle/50/5000/9951/041374/I_041374_P_906269758_B_0037271623_3.gal.png?height=274&amp;width=720;https://bilder.dasschnelle.at/DasSchnelle/50/5000/9951/041374/I_041374_P_906269758_B_0037271623_4.gal.png?height=273&amp;width=720</t>
  </si>
  <si>
    <t>Moser, Bianca, Fußpflege • Deutschlandsberg • Steiermark</t>
  </si>
  <si>
    <t>Fußpflege • Moser, Bianca, Frauentaler Straße 23, Deutschlandsberg • Kontakt über aktuelle Telefonnummern ☎ und Adressen ⚑ mit Karte, Routing, Öffnungszeiten, Homepage, E-Mail, vCard und Firmendaten.</t>
  </si>
  <si>
    <t>Frauentaler Straße 23</t>
  </si>
  <si>
    <t>46.81753</t>
  </si>
  <si>
    <t>15.21923</t>
  </si>
  <si>
    <t>+43346230960;+436644560298</t>
  </si>
  <si>
    <t>kosmetik-fusspflegeoase@aon.at</t>
  </si>
  <si>
    <t>https://bilder.dasschnelle.at/DasSchnelle/50/5000/9875/061379/I_061379_P_906270832_L_0036253121_1.png</t>
  </si>
  <si>
    <t>https://bilder.dasschnelle.at/DasSchnelle/50/5000/9875/061379/I_061379_P_906270832_B_0036253121_1.gal.png?height=533&amp;width=800;https://bilder.dasschnelle.at/DasSchnelle/50/5000/9875/061379/I_061379_P_906270832_B_0036253121_2.gal.png?height=823&amp;width=823</t>
  </si>
  <si>
    <t>Moser, Kurt, Elektrotechnik • Groß Sankt Florian • Steiermark</t>
  </si>
  <si>
    <t>Elektrotechnik • Moser, Kurt, Unterbergla 5, Groß Sankt Florian • Kontakt über aktuelle Telefonnummern ☎ und Adressen ⚑ mit Karte, Routing, Öffnungszeiten, Homepage, E-Mail, vCard und Firmendaten.</t>
  </si>
  <si>
    <t>Unterbergla 5</t>
  </si>
  <si>
    <t>46.8107696</t>
  </si>
  <si>
    <t>15.3143867</t>
  </si>
  <si>
    <t>+4334642575;+436642417970</t>
  </si>
  <si>
    <t>elektrotechnik-moser@aon.at</t>
  </si>
  <si>
    <t>https://bilder.dasschnelle.at/DasSchnelle/50/5000/9875/061469/G_061469_P_906270837.adn.gif</t>
  </si>
  <si>
    <t>Hansjürgen Strohmeier GmbH, Dachdeckerei • Schönaich • Steiermark</t>
  </si>
  <si>
    <t>Dachdeckereien • Hansjürgen Strohmeier GmbH, Schönaich • Kontakt über aktuelle Telefonnummern ☎ und Adressen ⚑ mit Karte, Routing, Öffnungszeiten, Homepage, E-Mail, vCard und Firmendaten.</t>
  </si>
  <si>
    <t>Schönaich</t>
  </si>
  <si>
    <t>46.8388290</t>
  </si>
  <si>
    <t>15.3695766</t>
  </si>
  <si>
    <t>+4331853078811</t>
  </si>
  <si>
    <t>dach-strohmeier@aon.at</t>
  </si>
  <si>
    <t>https://bilder.dasschnelle.at/DasSchnelle/50/5000/9875/045330/G_045330_P_906270840.adn.gif</t>
  </si>
  <si>
    <t>Zöhrer, Peter, Ing., Installationsunternehmen f Heizung • Wettmannstätten • Steiermark</t>
  </si>
  <si>
    <t>Heizungen • Zöhrer, Peter, Ing., Wettmannstätten • Kontakt über aktuelle Telefonnummern ☎ und Adressen ⚑ mit Karte, Routing, Öffnungszeiten, Homepage, E-Mail, vCard und Firmendaten.</t>
  </si>
  <si>
    <t>46.8329749</t>
  </si>
  <si>
    <t>15.3835266</t>
  </si>
  <si>
    <t>+43318523090</t>
  </si>
  <si>
    <t>+433185230915</t>
  </si>
  <si>
    <t>office@heizung-zoehrer.com</t>
  </si>
  <si>
    <t>https://bilder.dasschnelle.at/DasSchnelle/50/5000/9875/045330/G_045330_P_906270843.adn.gif</t>
  </si>
  <si>
    <t>Baggerungen Alfred Haselgruber • Pucking • Oberösterreich</t>
  </si>
  <si>
    <t>Baggerunternehmen, Erdbau • Baggerungen Alfred Haselgruber, Pucking 27, Pucking • Kontakt über aktuelle Telefonnummern ☎ und Adressen ⚑ mit Karte, Routing, Öffnungszeiten, Homepage, E-Mail, vCard und Firmendaten.</t>
  </si>
  <si>
    <t>Pucking 27</t>
  </si>
  <si>
    <t>48.1892479</t>
  </si>
  <si>
    <t>14.1888889</t>
  </si>
  <si>
    <t>+4366475009105</t>
  </si>
  <si>
    <t>haselgruberalfred@gmail.com</t>
  </si>
  <si>
    <t>https://bilder.dasschnelle.at/DasSchnelle/50/5000/9912/046113/G_046113_P_906270857.adn.gif</t>
  </si>
  <si>
    <t>Riener GmbH, Taxi • Leonstein • Oberösterreich</t>
  </si>
  <si>
    <t>Taxi • Riener GmbH, Leonsteinerstraße 21, Leonstein • Kontakt über aktuelle Telefonnummern ☎ und Adressen ⚑ mit Karte, Routing, Öffnungszeiten, Homepage, E-Mail, vCard und Firmendaten.</t>
  </si>
  <si>
    <t>Leonsteinerstraße 21</t>
  </si>
  <si>
    <t>4592</t>
  </si>
  <si>
    <t>Leonstein</t>
  </si>
  <si>
    <t>47.89761</t>
  </si>
  <si>
    <t>14.2307</t>
  </si>
  <si>
    <t>+4375842322;+436764443869</t>
  </si>
  <si>
    <t>+43758423224</t>
  </si>
  <si>
    <t>office@reisedienst-riener.at</t>
  </si>
  <si>
    <t>https://bilder.dasschnelle.at/DasSchnelle/50/5000/9895/046079/I_046079_P_906270863_L_0036003171_1.png</t>
  </si>
  <si>
    <t>https://bilder.dasschnelle.at/DasSchnelle/50/5000/9895/046079/I_046079_P_906270863_B_0036003171_1.gal.png?height=153&amp;width=257;https://bilder.dasschnelle.at/DasSchnelle/50/5000/9895/046079/I_046079_P_906270863_B_0036003171_2.gal.png?height=155&amp;width=266;https://bilder.dasschnelle.at/DasSchnelle/50/5000/9895/046079/I_046079_P_906270863_B_0036003171_3.gal.png?height=123&amp;width=210;https://bilder.dasschnelle.at/DasSchnelle/50/5000/9895/046079/I_046079_P_906270863_B_0036003171_4.gal.png?height=123&amp;width=210</t>
  </si>
  <si>
    <t>Reisebüro Dobler GmbH • Eferding • Oberösterreich</t>
  </si>
  <si>
    <t>Reisebüros • Reisebüro Dobler GmbH, Stephan-Fadinger-Straße 13, Eferding • Kontakt über aktuelle Telefonnummern ☎ und Adressen ⚑ mit Karte, Routing, Öffnungszeiten, Homepage, E-Mail, vCard und Firmendaten.</t>
  </si>
  <si>
    <t>Stephan-Fadinger-Straße 13</t>
  </si>
  <si>
    <t>48.31034</t>
  </si>
  <si>
    <t>14.02562</t>
  </si>
  <si>
    <t>+4372722398</t>
  </si>
  <si>
    <t>office@dobler.cc</t>
  </si>
  <si>
    <t>https://bilder.dasschnelle.at/DasSchnelle/50/5000/9876/044805/I_044805_P_906270867_L_0036253056_1.png</t>
  </si>
  <si>
    <t>https://bilder.dasschnelle.at/DasSchnelle/50/5000/9876/044805/I_044805_P_906270867_B_0036253056_1.gal.png?height=521&amp;width=700;https://bilder.dasschnelle.at/DasSchnelle/50/5000/9876/044805/I_044805_P_906270867_B_0036253056_2.gal.png?height=356&amp;width=720;https://bilder.dasschnelle.at/DasSchnelle/50/5000/9876/044805/I_044805_P_906270867_B_0036253056_3.gal.png?height=490&amp;width=700;https://bilder.dasschnelle.at/DasSchnelle/50/5000/9876/044805/I_044805_P_906270867_B_0036253056_4.gal.png?height=525&amp;width=700</t>
  </si>
  <si>
    <t>Reiterer, Erwin, Malerbetrieb • Sankt Martin • Niederösterreich</t>
  </si>
  <si>
    <t>Malereibetriebe • Reiterer, Erwin, Otternitz 22, Sankt Martin • Kontakt über aktuelle Telefonnummern ☎ und Adressen ⚑ mit Karte, Routing, Öffnungszeiten, Homepage, E-Mail, vCard und Firmendaten.</t>
  </si>
  <si>
    <t>Otternitz 22</t>
  </si>
  <si>
    <t>Sankt Martin</t>
  </si>
  <si>
    <t>46.7791947</t>
  </si>
  <si>
    <t>15.3283117</t>
  </si>
  <si>
    <t>+43345731659;+436644061788</t>
  </si>
  <si>
    <t>reiterer.renate@gmx.at</t>
  </si>
  <si>
    <t>https://bilder.dasschnelle.at/DasSchnelle/50/5000/9875/061411/G_061411_P_906270873.adn.gif</t>
  </si>
  <si>
    <t>Elektro-Express J. Drosg GesmbH, Elektrohandel • Wettmannstätten • Steiermark</t>
  </si>
  <si>
    <t>Elektrohandel • Elektro-Express J. Drosg GesmbH, Wettmannstätten 85, Wettmannstätten • Kontakt über aktuelle Telefonnummern ☎ und Adressen ⚑ mit Karte, Routing, Öffnungszeiten, Homepage, E-Mail, vCard und Firmendaten.</t>
  </si>
  <si>
    <t>Wettmannstätten 85</t>
  </si>
  <si>
    <t>46.8302747</t>
  </si>
  <si>
    <t>15.3859726</t>
  </si>
  <si>
    <t>+4331853133</t>
  </si>
  <si>
    <t>office@elektro-drosg.at</t>
  </si>
  <si>
    <t>https://bilder.dasschnelle.at/DasSchnelle/50/5000/9875/045330/G_045330_P_906270811.adn.gif</t>
  </si>
  <si>
    <t>Predota GesmbH, Elektroinstallationsunternehmen • Schwanberg • Steiermark</t>
  </si>
  <si>
    <t>Elektroinstallationsunternehmen • Predota GesmbH, Hauptplatz 30, Schwanberg • Kontakt über aktuelle Telefonnummern ☎ und Adressen ⚑ mit Karte, Routing, Öffnungszeiten, Homepage, E-Mail, vCard und Firmendaten.</t>
  </si>
  <si>
    <t>Hauptplatz 30</t>
  </si>
  <si>
    <t>8541</t>
  </si>
  <si>
    <t>Schwanberg</t>
  </si>
  <si>
    <t>46.7576597</t>
  </si>
  <si>
    <t>15.2016842</t>
  </si>
  <si>
    <t>+4334678237</t>
  </si>
  <si>
    <t>a.drosg@elektro-drosg.at</t>
  </si>
  <si>
    <t>https://bilder.dasschnelle.at/DasSchnelle/50/5000/9875/061428/G_061428_P_906270813.adn.gif</t>
  </si>
  <si>
    <t>Scala Dr. Optik GmbH, Optik • Stainz • Steiermark</t>
  </si>
  <si>
    <t>Optik • Scala Dr. Optik GmbH, Hauptplatz 6, Stainz • Kontakt über aktuelle Telefonnummern ☎ und Adressen ⚑ mit Karte, Routing, Öffnungszeiten, Homepage, E-Mail, vCard und Firmendaten.</t>
  </si>
  <si>
    <t>46.89394</t>
  </si>
  <si>
    <t>15.26504</t>
  </si>
  <si>
    <t>+4334632558</t>
  </si>
  <si>
    <t>dr.scala.optik.stainz@speed.at</t>
  </si>
  <si>
    <t>https://bilder.dasschnelle.at/DasSchnelle/50/5000/9875/061377/G_061377_P_906270815.adn.gif</t>
  </si>
  <si>
    <t>Krebs, Monika, Friseure • Stainz • Steiermark</t>
  </si>
  <si>
    <t>Friseure • Krebs, Monika, Hauptplatz 23, Stainz • Kontakt über aktuelle Telefonnummern ☎ und Adressen ⚑ mit Karte, Routing, Öffnungszeiten, Homepage, E-Mail, vCard und Firmendaten.</t>
  </si>
  <si>
    <t>Hauptplatz 23</t>
  </si>
  <si>
    <t>46.89374</t>
  </si>
  <si>
    <t>15.26357</t>
  </si>
  <si>
    <t>+4334634600</t>
  </si>
  <si>
    <t>https://bilder.dasschnelle.at/DasSchnelle/50/5000/9875/061377/G_061377_P_906270817.adn.gif</t>
  </si>
  <si>
    <t>H.M. Bau, Markus Hochfilzer • Erpfendorf • Tirol</t>
  </si>
  <si>
    <t>Bauunternehmen • H.M. Bau, Markus Hochfilzer, Salzburger Straße 28, Erpfendorf • Kontakt über aktuelle Telefonnummern ☎ und Adressen ⚑ mit Karte, Routing, Öffnungszeiten, Homepage, E-Mail, vCard und Firmendaten.</t>
  </si>
  <si>
    <t>Salzburger Straße 28</t>
  </si>
  <si>
    <t>6383</t>
  </si>
  <si>
    <t>Erpfendorf</t>
  </si>
  <si>
    <t>47.5664805</t>
  </si>
  <si>
    <t>12.4676356</t>
  </si>
  <si>
    <t>+436642245975</t>
  </si>
  <si>
    <t>markus@hm-bau.org</t>
  </si>
  <si>
    <t>https://bilder.dasschnelle.at/DasSchnelle/50/5000/9896/046134/G_046134_P_906271955.adn.gif</t>
  </si>
  <si>
    <t>Staudinger, Hubert, Elektrounternehmen • Wartberg • Oberösterreich</t>
  </si>
  <si>
    <t>Elektrounternehmen • Staudinger, Hubert, Florianiweg 9, Wartberg • Kontakt über aktuelle Telefonnummern ☎ und Adressen ⚑ mit Karte, Routing, Öffnungszeiten, Homepage, E-Mail, vCard und Firmendaten.</t>
  </si>
  <si>
    <t>Florianiweg 9</t>
  </si>
  <si>
    <t>47.9853052</t>
  </si>
  <si>
    <t>14.1209194</t>
  </si>
  <si>
    <t>+4375877690</t>
  </si>
  <si>
    <t>office@elektro-staudinger.at</t>
  </si>
  <si>
    <t>https://bilder.dasschnelle.at/DasSchnelle/50/5000/9895/046099/I_046099_P_906271957_L_0036253892_1.png</t>
  </si>
  <si>
    <t>https://bilder.dasschnelle.at/DasSchnelle/50/5000/9895/046099/I_046099_P_906271957_B_0036253892_1.gal.png?height=540&amp;width=720;https://bilder.dasschnelle.at/DasSchnelle/50/5000/9895/046099/I_046099_P_906271957_B_0036253892_2.gal.png?height=540&amp;width=720;https://bilder.dasschnelle.at/DasSchnelle/50/5000/9895/046099/I_046099_P_906271957_B_0036253892_3.gal.png?height=539&amp;width=720;https://bilder.dasschnelle.at/DasSchnelle/50/5000/9895/046099/I_046099_P_906271957_B_0036253892_4.gal.png?height=720&amp;width=539</t>
  </si>
  <si>
    <t>Hofmann, Robert, Dr., öffentl Notar • Melk • Niederösterreich</t>
  </si>
  <si>
    <t>Notare • Hofmann, Robert, Dr., Abt Karl Straße 33, Melk • Kontakt über aktuelle Telefonnummern ☎ und Adressen ⚑ mit Karte, Routing, Öffnungszeiten, Homepage, E-Mail, vCard und Firmendaten.</t>
  </si>
  <si>
    <t>Abt Karl Straße 33</t>
  </si>
  <si>
    <t>48.31824</t>
  </si>
  <si>
    <t>15.20164</t>
  </si>
  <si>
    <t>+43275220590;+43275834805</t>
  </si>
  <si>
    <t>+432758404545</t>
  </si>
  <si>
    <t>rhofmann@notar.at</t>
  </si>
  <si>
    <t>https://bilder.dasschnelle.at/DasSchnelle/50/5000/9908/041636/G_041636_P_906271958.adn.gif</t>
  </si>
  <si>
    <t>Hager, Josef, Dr., FA f Frauenheilkunde u Geburtshilfe • Kirchdorf an der Krems • Oberösterreich</t>
  </si>
  <si>
    <t>Ärzte / Fachärzte f. Frauenheilkunde u. Geburtshilfe • Hager, Josef, Dr., Keplerstraße 3, Kirchdorf an der Krems • Kontakt über aktuelle Telefonnummern ☎ und Adressen ⚑ mit Karte, Routing, Öffnungszeiten, Homepage, E-Mail, vCard und Firmendaten.</t>
  </si>
  <si>
    <t>Keplerstraße 3</t>
  </si>
  <si>
    <t>47.89898</t>
  </si>
  <si>
    <t>14.13004</t>
  </si>
  <si>
    <t>+43758260487</t>
  </si>
  <si>
    <t>https://bilder.dasschnelle.at/DasSchnelle/50/5000/9895/046082/G_046082_P_906271964.adn.gif</t>
  </si>
  <si>
    <t>Haarmanufaktur Mank • Mank • Niederösterreich</t>
  </si>
  <si>
    <t>Friseure • Haarmanufaktur Mank, Herrenstraße 9, Mank • Kontakt über aktuelle Telefonnummern ☎ und Adressen ⚑ mit Karte, Routing, Öffnungszeiten, Homepage, E-Mail, vCard und Firmendaten.</t>
  </si>
  <si>
    <t>Herrenstraße 9</t>
  </si>
  <si>
    <t>48.11224</t>
  </si>
  <si>
    <t>15.33905</t>
  </si>
  <si>
    <t>+4327552337</t>
  </si>
  <si>
    <t>office@haarmanufaktur-mank.at</t>
  </si>
  <si>
    <t>https://bilder.dasschnelle.at/DasSchnelle/50/5000/9908/041626/I_041626_P_906271966_L_0038794666_1.png</t>
  </si>
  <si>
    <t>https://bilder.dasschnelle.at/DasSchnelle/50/5000/9908/041626/I_041626_P_906271966_B_0038794666_1.gal.png?height=492&amp;width=720;https://bilder.dasschnelle.at/DasSchnelle/50/5000/9908/041626/I_041626_P_906271966_B_0038794666_2.gal.png?height=496&amp;width=720;https://bilder.dasschnelle.at/DasSchnelle/50/5000/9908/041626/I_041626_P_906271966_B_0038794666_3.gal.png?height=720&amp;width=483;https://bilder.dasschnelle.at/DasSchnelle/50/5000/9908/041626/I_041626_P_906271966_B_0038794666_4.gal.png?height=720&amp;width=478</t>
  </si>
  <si>
    <t>Hundepension Pertl • Kemeten • Burgenland</t>
  </si>
  <si>
    <t>Pensionen • Hundepension Pertl, Steinbrückl 1a, Kemeten • Kontakt über aktuelle Telefonnummern ☎ und Adressen ⚑ mit Karte, Routing, Öffnungszeiten, Homepage, E-Mail, vCard und Firmendaten.</t>
  </si>
  <si>
    <t>Steinbrückl 1a</t>
  </si>
  <si>
    <t>7531</t>
  </si>
  <si>
    <t>Kemeten</t>
  </si>
  <si>
    <t>47.2693800</t>
  </si>
  <si>
    <t>16.1529100</t>
  </si>
  <si>
    <t>+4369911051990</t>
  </si>
  <si>
    <t>edgarpertl@gmx.at</t>
  </si>
  <si>
    <t>https://bilder.dasschnelle.at/DasSchnelle/50/5000/9951/041316/I_041316_P_906272001_L_0039951475_1.png</t>
  </si>
  <si>
    <t>https://bilder.dasschnelle.at/DasSchnelle/50/5000/9951/041316/I_041316_P_906272001_B_0039951475_1.gal.png?height=460&amp;width=720;https://bilder.dasschnelle.at/DasSchnelle/50/5000/9951/041316/I_041316_P_906272001_B_0039951475_2.gal.png?height=480&amp;width=720;https://bilder.dasschnelle.at/DasSchnelle/50/5000/9951/041316/I_041316_P_906272001_B_0039951475_3.gal.png?height=480&amp;width=720;https://bilder.dasschnelle.at/DasSchnelle/50/5000/9951/041316/I_041316_P_906272001_B_0039951475_4.gal.png?height=482&amp;width=720</t>
  </si>
  <si>
    <t>Reitergut Weißenhof, Gasthaus • Micheldorf • Oberösterreich</t>
  </si>
  <si>
    <t>Reitställe u. -schulen • Reitergut Weißenhof, Atzelsdorf 3, Micheldorf • Kontakt über aktuelle Telefonnummern ☎ und Adressen ⚑ mit Karte, Routing, Öffnungszeiten, Homepage, E-Mail, vCard und Firmendaten.</t>
  </si>
  <si>
    <t>Atzelsdorf 3</t>
  </si>
  <si>
    <t>47.8879798</t>
  </si>
  <si>
    <t>14.1423977</t>
  </si>
  <si>
    <t>+43758262609</t>
  </si>
  <si>
    <t>+4375826260934</t>
  </si>
  <si>
    <t>info@reitergut-weissenhof.at</t>
  </si>
  <si>
    <t>https://bilder.dasschnelle.at/DasSchnelle/50/5000/9895/046085/G_046085_P_906271975.adn.gif</t>
  </si>
  <si>
    <t>KSSG SALY Gerhard • Rechnitz • Burgenland</t>
  </si>
  <si>
    <t>Werkstätte • KSSG SALY Gerhard, Steinamangerstraße 88, Rechnitz • Kontakt über aktuelle Telefonnummern ☎ und Adressen ⚑ mit Karte, Routing, Öffnungszeiten, Homepage, E-Mail, vCard und Firmendaten.</t>
  </si>
  <si>
    <t>Steinamangerstraße 88</t>
  </si>
  <si>
    <t>7471</t>
  </si>
  <si>
    <t>Rechnitz</t>
  </si>
  <si>
    <t>47.3013800</t>
  </si>
  <si>
    <t>16.4521000</t>
  </si>
  <si>
    <t>+43336377939</t>
  </si>
  <si>
    <t>kssg@aon.at</t>
  </si>
  <si>
    <t>https://bilder.dasschnelle.at/DasSchnelle/50/5000/9951/041375/G_041375_P_906272478.adn.gif</t>
  </si>
  <si>
    <t>Trachten Perlak • Deutschlandsberg • Steiermark</t>
  </si>
  <si>
    <t>Bekleidung • Trachten Perlak, Schulgasse 3, Deutschlandsberg • Kontakt über aktuelle Telefonnummern ☎ und Adressen ⚑ mit Karte, Routing, Öffnungszeiten, Homepage, E-Mail, vCard und Firmendaten.</t>
  </si>
  <si>
    <t>Schulgasse 3</t>
  </si>
  <si>
    <t>46.81602</t>
  </si>
  <si>
    <t>15.21501</t>
  </si>
  <si>
    <t>+43346224110</t>
  </si>
  <si>
    <t>office@steirerland-trachten.at</t>
  </si>
  <si>
    <t>https://bilder.dasschnelle.at/DasSchnelle/50/5000/9875/061379/G_061379_P_906272483.adn.gif</t>
  </si>
  <si>
    <t>Kremnitzer GmbH, Bauunternehmen • Loipersdorf-Kitzladen • Burgenland</t>
  </si>
  <si>
    <t>Betonsteinwerke • Kremnitzer GmbH, Hammerfeldstraße 9, Loipersdorf-Kitzladen • Kontakt über aktuelle Telefonnummern ☎ und Adressen ⚑ mit Karte, Routing, Öffnungszeiten, Homepage, E-Mail, vCard und Firmendaten.</t>
  </si>
  <si>
    <t>Hammerfeldstraße 9</t>
  </si>
  <si>
    <t>7410</t>
  </si>
  <si>
    <t>Loipersdorf-Kitzladen</t>
  </si>
  <si>
    <t>47.3371838</t>
  </si>
  <si>
    <t>16.0741938</t>
  </si>
  <si>
    <t>+4333592238</t>
  </si>
  <si>
    <t>office@kremnitzer.co.at</t>
  </si>
  <si>
    <t>https://bilder.dasschnelle.at/DasSchnelle/50/5000/9951/041366/I_041366_P_906272484_L_0039947218_1.png</t>
  </si>
  <si>
    <t>https://bilder.dasschnelle.at/DasSchnelle/50/5000/9951/041366/I_041366_P_906272484_B_0039947218_1.gal.png?height=443&amp;width=720;https://bilder.dasschnelle.at/DasSchnelle/50/5000/9951/041366/I_041366_P_906272484_B_0039947218_2.gal.png?height=443&amp;width=720;https://bilder.dasschnelle.at/DasSchnelle/50/5000/9951/041366/I_041366_P_906272484_B_0039947218_3.gal.png?height=443&amp;width=720;https://bilder.dasschnelle.at/DasSchnelle/50/5000/9951/041366/I_041366_P_906272484_B_0039947218_4.gal.png?height=443&amp;width=720</t>
  </si>
  <si>
    <t>Tschurlovich Dr., Radiologe • Oberwart • Burgenland</t>
  </si>
  <si>
    <t>Ärzte / Fachärzte f. Urologie • Tschurlovich Dr., Röntgengasse 28/1, Oberwart • Kontakt über aktuelle Telefonnummern ☎ und Adressen ⚑ mit Karte, Routing, Öffnungszeiten, Homepage, E-Mail, vCard und Firmendaten.</t>
  </si>
  <si>
    <t>Röntgengasse 28/1</t>
  </si>
  <si>
    <t>7400</t>
  </si>
  <si>
    <t>Oberwart</t>
  </si>
  <si>
    <t>47.2804900</t>
  </si>
  <si>
    <t>16.2016800</t>
  </si>
  <si>
    <t>+433352238560</t>
  </si>
  <si>
    <t>tschurlo@me.com</t>
  </si>
  <si>
    <t>https://bilder.dasschnelle.at/DasSchnelle/50/5000/9951/041373/G_041373_P_906272023.adn.gif</t>
  </si>
  <si>
    <t>Knogler, Elfriede, Bestattungsunternehmen • Hartkirchen • Oberösterreich</t>
  </si>
  <si>
    <t>Bestattungsunternehmen • Knogler, Elfriede, Schmiedstraße 6, Hartkirchen • Kontakt über aktuelle Telefonnummern ☎ und Adressen ⚑ mit Karte, Routing, Öffnungszeiten, Homepage, E-Mail, vCard und Firmendaten.</t>
  </si>
  <si>
    <t>Schmiedstraße 6</t>
  </si>
  <si>
    <t>48.36484</t>
  </si>
  <si>
    <t>14.00439</t>
  </si>
  <si>
    <t>+4372736454;+436767115419</t>
  </si>
  <si>
    <t>+43727364543</t>
  </si>
  <si>
    <t>elfriede.knogler@aon.at</t>
  </si>
  <si>
    <t>https://bilder.dasschnelle.at/DasSchnelle/50/5000/9876/044808/I_044808_P_906272530_L_0035974101_1.png</t>
  </si>
  <si>
    <t>https://bilder.dasschnelle.at/DasSchnelle/50/5000/9876/044808/I_044808_P_906272530_B_0035974101_1.gal.png?height=404&amp;width=700;https://bilder.dasschnelle.at/DasSchnelle/50/5000/9876/044808/I_044808_P_906272530_B_0035974101_2.gal.png?height=466&amp;width=700;https://bilder.dasschnelle.at/DasSchnelle/50/5000/9876/044808/G_044808_P_906272530.adn.gif</t>
  </si>
  <si>
    <t>Kräuterapotheke Wartberg Mag.pharm. Waltraud Hackl KG • Wartberg an der Krems • Oberösterreich</t>
  </si>
  <si>
    <t>Apotheken • Kräuterapotheke Wartberg Mag.pharm. Waltraud Hackl KG, Kräutergasse 1, Wartberg an der Krems • Kontakt über aktuelle Telefonnummern ☎ und Adressen ⚑ mit Karte, Routing, Öffnungszeiten, Homepage, E-Mail, vCard und Firmendaten.</t>
  </si>
  <si>
    <t>Kräutergasse 1</t>
  </si>
  <si>
    <t>47.9892000</t>
  </si>
  <si>
    <t>14.1169100</t>
  </si>
  <si>
    <t>+43758760200</t>
  </si>
  <si>
    <t>office@kraeuterapotheke.net</t>
  </si>
  <si>
    <t>https://bilder.dasschnelle.at/DasSchnelle/50/5000/9895/046099/G_046099_P_906273218.adn.gif</t>
  </si>
  <si>
    <t>Klokar, Hermann, Mag., Steuerberatung • Kühnsdorf • Kärnten</t>
  </si>
  <si>
    <t>Steuerberater • Klokar, Hermann, Mag., Fernando-Colazzo-Platz 5, Kühnsdorf • Kontakt über aktuelle Telefonnummern ☎ und Adressen ⚑ mit Karte, Routing, Öffnungszeiten, Homepage, E-Mail, vCard und Firmendaten.</t>
  </si>
  <si>
    <t>Fernando-Colazzo-Platz 5</t>
  </si>
  <si>
    <t>46.62129</t>
  </si>
  <si>
    <t>14.63443</t>
  </si>
  <si>
    <t>+434232893330;+436644520026;+4342326248</t>
  </si>
  <si>
    <t>+434232893334</t>
  </si>
  <si>
    <t>steuerberater@klokar.at</t>
  </si>
  <si>
    <t>https://bilder.dasschnelle.at/DasSchnelle/50/5000/9942/042027/G_042027_P_906273225.adn.gif</t>
  </si>
  <si>
    <t>Kronik, Gerhard, Prim.Univ. Doz., FA f Innere Medizin u Kardiologie • Krems • Niederösterreich</t>
  </si>
  <si>
    <t>Ärzte / Fachärzte f. Innere Medizin • Kronik, Gerhard, Prim.Univ. Doz., Mitteraustraße 7, Krems • Kontakt über aktuelle Telefonnummern ☎ und Adressen ⚑ mit Karte, Routing, Öffnungszeiten, Homepage, E-Mail, vCard und Firmendaten.</t>
  </si>
  <si>
    <t>Mitteraustraße 7</t>
  </si>
  <si>
    <t>48.4079752</t>
  </si>
  <si>
    <t>15.6164820</t>
  </si>
  <si>
    <t>+43273274181;+43273274181;+436503343456</t>
  </si>
  <si>
    <t>kardiologe.kronik@gmx.at</t>
  </si>
  <si>
    <t>https://bilder.dasschnelle.at/DasSchnelle/50/5000/9899/042057/G_042057_P_906273236.adn.gif</t>
  </si>
  <si>
    <t>Hundertpfund, Manfred, Transporte • Biberwier • Tirol</t>
  </si>
  <si>
    <t>Baggerungen u. Transporte • Hundertpfund, Manfred, Mösle 45, Biberwier • Kontakt über aktuelle Telefonnummern ☎ und Adressen ⚑ mit Karte, Routing, Öffnungszeiten, Homepage, E-Mail, vCard und Firmendaten.</t>
  </si>
  <si>
    <t>Mösle 45</t>
  </si>
  <si>
    <t>47.38041</t>
  </si>
  <si>
    <t>10.89083</t>
  </si>
  <si>
    <t>+4356733443</t>
  </si>
  <si>
    <t>info@kies-hundertpfund.at</t>
  </si>
  <si>
    <t>https://bilder.dasschnelle.at/DasSchnelle/50/5000/9921/044839/G_044839_P_906273241.adn.gif</t>
  </si>
  <si>
    <t>CBA Holz Bauten GesmbH • Traun • Oberösterreich</t>
  </si>
  <si>
    <t>Taxi • CBA Holz Bauten GesmbH, Querstraße 8, Traun • Kontakt über aktuelle Telefonnummern ☎ und Adressen ⚑ mit Karte, Routing, Öffnungszeiten, Homepage, E-Mail, vCard und Firmendaten.</t>
  </si>
  <si>
    <t>Querstraße 8</t>
  </si>
  <si>
    <t>48.2137</t>
  </si>
  <si>
    <t>14.20482</t>
  </si>
  <si>
    <t>+436641023400</t>
  </si>
  <si>
    <t>office@holz-bauten.at</t>
  </si>
  <si>
    <t>https://bilder.dasschnelle.at/DasSchnelle/50/5000/9912/046113/G_046113_P_906273254.adn.gif</t>
  </si>
  <si>
    <t>Zinhobl, Bettina Maria, Friseur • Alkoven • Oberösterreich</t>
  </si>
  <si>
    <t>Friseure • Zinhobl, Bettina Maria, Tulpenstraße 1, Alkoven • Kontakt über aktuelle Telefonnummern ☎ und Adressen ⚑ mit Karte, Routing, Öffnungszeiten, Homepage, E-Mail, vCard und Firmendaten.</t>
  </si>
  <si>
    <t>Tulpenstraße 1</t>
  </si>
  <si>
    <t>48.28886</t>
  </si>
  <si>
    <t>14.11937</t>
  </si>
  <si>
    <t>+4369911346588</t>
  </si>
  <si>
    <t>bettina.zinhobl@gmail.com</t>
  </si>
  <si>
    <t>https://bilder.dasschnelle.at/DasSchnelle/50/5000/9876/044803/G_044803_P_906273256.adn.gif</t>
  </si>
  <si>
    <t>Rahstorfer, Birgit, Gärtner • Inzersdorf im Kremstal • Oberösterreich</t>
  </si>
  <si>
    <t>Floristik • Rahstorfer, Birgit, In der Wimm 5, Inzersdorf im Kremstal • Kontakt über aktuelle Telefonnummern ☎ und Adressen ⚑ mit Karte, Routing, Öffnungszeiten, Homepage, E-Mail, vCard und Firmendaten.</t>
  </si>
  <si>
    <t>In der Wimm 5</t>
  </si>
  <si>
    <t>4565</t>
  </si>
  <si>
    <t>Inzersdorf im Kremstal</t>
  </si>
  <si>
    <t>47.92757</t>
  </si>
  <si>
    <t>14.08753</t>
  </si>
  <si>
    <t>+43758281877</t>
  </si>
  <si>
    <t>office@bluemchen-floristik.at</t>
  </si>
  <si>
    <t>https://bilder.dasschnelle.at/DasSchnelle/50/5000/9895/046081/G_046081_P_906273307.adn.gif</t>
  </si>
  <si>
    <t>Isolde Strobl, Bestattungsunternehmen • Riedlingsdorf • Burgenland</t>
  </si>
  <si>
    <t>Bestattungsunternehmen • Isolde Strobl, Untere Hauptstrasse 39, Riedlingsdorf • Kontakt über aktuelle Telefonnummern ☎ und Adressen ⚑ mit Karte, Routing, Öffnungszeiten, Homepage, E-Mail, vCard und Firmendaten.</t>
  </si>
  <si>
    <t>Untere Hauptstrasse 39</t>
  </si>
  <si>
    <t>7422</t>
  </si>
  <si>
    <t>Riedlingsdorf</t>
  </si>
  <si>
    <t>47.3436000</t>
  </si>
  <si>
    <t>16.1388900</t>
  </si>
  <si>
    <t>+436644872577</t>
  </si>
  <si>
    <t>isolde.strobl@gmx.at</t>
  </si>
  <si>
    <t>https://bilder.dasschnelle.at/DasSchnelle/50/5000/9951/042068/G_042068_P_906273317.adn.gif</t>
  </si>
  <si>
    <t>Zehetner Transport-Erdbau • Pettenbach • Oberösterreich</t>
  </si>
  <si>
    <t>Baggerungen u. Transporte, Transportunternehmen • Zehetner Transport-Erdbau, Mühlweg 5, Pettenbach • Kontakt über aktuelle Telefonnummern ☎ und Adressen ⚑ mit Karte, Routing, Öffnungszeiten, Homepage, E-Mail, vCard und Firmendaten.</t>
  </si>
  <si>
    <t>Mühlweg 5</t>
  </si>
  <si>
    <t>48.04327</t>
  </si>
  <si>
    <t>13.9819</t>
  </si>
  <si>
    <t>+4372415607</t>
  </si>
  <si>
    <t>office@transporte-zehetner.at</t>
  </si>
  <si>
    <t>https://bilder.dasschnelle.at/DasSchnelle/50/5000/9917/046089/I_046089_P_906273988_L_0036253287_1.png</t>
  </si>
  <si>
    <t>https://bilder.dasschnelle.at/DasSchnelle/50/5000/9917/046089/I_046089_P_906273988_B_0036253287_1.gal.png?height=527&amp;width=720;https://bilder.dasschnelle.at/DasSchnelle/50/5000/9917/046089/I_046089_P_906273988_B_0036253287_2.gal.png?height=501&amp;width=720;https://bilder.dasschnelle.at/DasSchnelle/50/5000/9917/046089/I_046089_P_906273988_B_0036253287_3.gal.png?height=543&amp;width=720;https://bilder.dasschnelle.at/DasSchnelle/50/5000/9917/046089/I_046089_P_906273988_B_0036253287_4.gal.png?height=487&amp;width=720</t>
  </si>
  <si>
    <t>Leitner, Alexandra, Raumausstattung • Pettenbach • Oberösterreich</t>
  </si>
  <si>
    <t>Raumausstatter • Leitner, Alexandra, Sonnleithen 1, Pettenbach • Kontakt über aktuelle Telefonnummern ☎ und Adressen ⚑ mit Karte, Routing, Öffnungszeiten, Homepage, E-Mail, vCard und Firmendaten.</t>
  </si>
  <si>
    <t>Sonnleithen 1</t>
  </si>
  <si>
    <t>47.9723800</t>
  </si>
  <si>
    <t>13.9859300</t>
  </si>
  <si>
    <t>+43758688031</t>
  </si>
  <si>
    <t>office.a.leitner@aon.at</t>
  </si>
  <si>
    <t>https://bilder.dasschnelle.at/DasSchnelle/50/5000/9917/046089/G_046089_P_906273989.adn.gif</t>
  </si>
  <si>
    <t>Grubmair, Manfred, KFZ • Pettenbach • Oberösterreich</t>
  </si>
  <si>
    <t>Autohandel • Grubmair, Manfred, Stapfenstraße 4, Pettenbach • Kontakt über aktuelle Telefonnummern ☎ und Adressen ⚑ mit Karte, Routing, Öffnungszeiten, Homepage, E-Mail, vCard und Firmendaten.</t>
  </si>
  <si>
    <t>Stapfenstraße 4</t>
  </si>
  <si>
    <t>47.95461</t>
  </si>
  <si>
    <t>14.00523</t>
  </si>
  <si>
    <t>+436641800609</t>
  </si>
  <si>
    <t>office@grubmair-werkstatt.at</t>
  </si>
  <si>
    <t>https://bilder.dasschnelle.at/DasSchnelle/50/5000/9917/046089/G_046089_P_906273991.adn.gif</t>
  </si>
  <si>
    <t>Bayer Elektrohandel GmbH, Elektrohandel • Pettenbach • Oberösterreich</t>
  </si>
  <si>
    <t>Elektrohandel • Bayer Elektrohandel GmbH, Vorchdorfer Straße 16, Pettenbach • Kontakt über aktuelle Telefonnummern ☎ und Adressen ⚑ mit Karte, Routing, Öffnungszeiten, Homepage, E-Mail, vCard und Firmendaten.</t>
  </si>
  <si>
    <t>Vorchdorfer Straße 16</t>
  </si>
  <si>
    <t>47.9629</t>
  </si>
  <si>
    <t>14.01312</t>
  </si>
  <si>
    <t>+4375867281;+436643552703</t>
  </si>
  <si>
    <t>+4375868364</t>
  </si>
  <si>
    <t>office@elektrobayer.com</t>
  </si>
  <si>
    <t>https://bilder.dasschnelle.at/DasSchnelle/50/5000/9917/046089/G_046089_P_906273997.adn.gif</t>
  </si>
  <si>
    <t>Taverne Thann, Gastgewerbe • Scharnstein • Oberösterreich</t>
  </si>
  <si>
    <t>Gastgewerbe - Gasthöfe • Taverne Thann, In der Thann 1, Scharnstein • Kontakt über aktuelle Telefonnummern ☎ und Adressen ⚑ mit Karte, Routing, Öffnungszeiten, Homepage, E-Mail, vCard und Firmendaten.</t>
  </si>
  <si>
    <t>In der Thann 1</t>
  </si>
  <si>
    <t>47.90518</t>
  </si>
  <si>
    <t>13.93698</t>
  </si>
  <si>
    <t>+4376152391</t>
  </si>
  <si>
    <t>info@taverne-thann.at</t>
  </si>
  <si>
    <t>https://bilder.dasschnelle.at/DasSchnelle/50/5000/9917/041806/G_041806_P_906274105.adn.gif</t>
  </si>
  <si>
    <t>Stefan Anton GesmbH, Metallverarbeitung • Pöchlarn • Niederösterreich</t>
  </si>
  <si>
    <t>Metallbe- u. -verarbeitung • Stefan Anton GesmbH, Legionstraße 8, Pöchlarn • Kontakt über aktuelle Telefonnummern ☎ und Adressen ⚑ mit Karte, Routing, Öffnungszeiten, Homepage, E-Mail, vCard und Firmendaten.</t>
  </si>
  <si>
    <t>Legionstraße 8</t>
  </si>
  <si>
    <t>48.20601</t>
  </si>
  <si>
    <t>15.19931</t>
  </si>
  <si>
    <t>+4327572512</t>
  </si>
  <si>
    <t>+4327577313</t>
  </si>
  <si>
    <t>metall-und-form@aon.at</t>
  </si>
  <si>
    <t>https://bilder.dasschnelle.at/DasSchnelle/50/5000/9908/041635/G_041635_P_906274109.adn.gif</t>
  </si>
  <si>
    <t>Kogseder, Rupert, Fenster u Türen • Eferding • Oberösterreich</t>
  </si>
  <si>
    <t>Bauunternehmen, Fenster u. Türen • Kogseder, Rupert, Pupping 25, Eferding • Kontakt über aktuelle Telefonnummern ☎ und Adressen ⚑ mit Karte, Routing, Öffnungszeiten, Homepage, E-Mail, vCard und Firmendaten.</t>
  </si>
  <si>
    <t>Pupping 25</t>
  </si>
  <si>
    <t>48.3352650</t>
  </si>
  <si>
    <t>14.0037044</t>
  </si>
  <si>
    <t>+43727275805;+4369919177138</t>
  </si>
  <si>
    <t>+43727275806</t>
  </si>
  <si>
    <t>r.kogseder@me.com</t>
  </si>
  <si>
    <t>https://bilder.dasschnelle.at/DasSchnelle/50/5000/9876/044811/G_044811_P_906274116.adn.gif</t>
  </si>
  <si>
    <t>Saurer Alfred KFZ Technik • Jabing • Burgenland</t>
  </si>
  <si>
    <t>KFZ-Werkstätte u. Handel • Saurer Alfred KFZ Technik, Töpferweg 10, Jabing • Kontakt über aktuelle Telefonnummern ☎ und Adressen ⚑ mit Karte, Routing, Öffnungszeiten, Homepage, E-Mail, vCard und Firmendaten.</t>
  </si>
  <si>
    <t>Töpferweg 10</t>
  </si>
  <si>
    <t>Jabing</t>
  </si>
  <si>
    <t>47.2338400</t>
  </si>
  <si>
    <t>16.2774500</t>
  </si>
  <si>
    <t>+436643150322</t>
  </si>
  <si>
    <t>saurer.kfztechnik@gmail.com</t>
  </si>
  <si>
    <t>https://bilder.dasschnelle.at/DasSchnelle/50/5000/9951/042078/I_042078_P_906274168_L_0039957103_1.png</t>
  </si>
  <si>
    <t>https://bilder.dasschnelle.at/DasSchnelle/50/5000/9951/042078/I_042078_P_906274168_B_0039957103_1.gal.png?height=506&amp;width=720;https://bilder.dasschnelle.at/DasSchnelle/50/5000/9951/042078/I_042078_P_906274168_B_0039957103_2.gal.png?height=558&amp;width=720;https://bilder.dasschnelle.at/DasSchnelle/50/5000/9951/042078/I_042078_P_906274168_B_0039957103_3.gal.png?height=566&amp;width=720;https://bilder.dasschnelle.at/DasSchnelle/50/5000/9951/042078/I_042078_P_906274168_B_0039957103_4.gal.png?height=527&amp;width=720</t>
  </si>
  <si>
    <t>Cura-San Bandagist GmbH • Graz • Steiermark</t>
  </si>
  <si>
    <t>Bandagisten • Cura-San Bandagist GmbH, Wagner-Biro-Straße 3, Graz • Kontakt über aktuelle Telefonnummern ☎ und Adressen ⚑ mit Karte, Routing, Öffnungszeiten, Homepage, E-Mail, vCard und Firmendaten.</t>
  </si>
  <si>
    <t>Wagner-Biro-Straße 3</t>
  </si>
  <si>
    <t>8020</t>
  </si>
  <si>
    <t>47.0711500</t>
  </si>
  <si>
    <t>15.4144670</t>
  </si>
  <si>
    <t>+4331659970</t>
  </si>
  <si>
    <t>office@cura-san.at</t>
  </si>
  <si>
    <t>https://bilder.dasschnelle.at/DasSchnelle/50/5000/9951/041373/I_506175_P_906274169_L_0039957100_1.png</t>
  </si>
  <si>
    <t>https://bilder.dasschnelle.at/DasSchnelle/50/5000/9951/041373/I_506175_P_906274169_B_0039957100_1.gal.png?height=239&amp;width=358;https://bilder.dasschnelle.at/DasSchnelle/50/5000/9951/041373/I_506175_P_906274169_B_0039957100_2.gal.png?height=238&amp;width=309;https://bilder.dasschnelle.at/DasSchnelle/50/5000/9951/041373/I_506175_P_906274169_B_0039957100_3.gal.png?height=238&amp;width=319;https://bilder.dasschnelle.at/DasSchnelle/50/5000/9951/041373/I_041373_P_906274169_B_0039957100_4.gal.png?height=238&amp;width=360</t>
  </si>
  <si>
    <t>Gruber, Andrea, Fahrzeuge Gruber, KFZ • Pettenbach • Oberösterreich</t>
  </si>
  <si>
    <t>Autohandel, Autoreparaturen • Gruber, Andrea, Fahrzeuge Gruber, In Eggenstein 11, Pettenbach • Kontakt über aktuelle Telefonnummern ☎ und Adressen ⚑ mit Karte, Routing, Öffnungszeiten, Homepage, E-Mail, vCard und Firmendaten.</t>
  </si>
  <si>
    <t>In Eggenstein 11</t>
  </si>
  <si>
    <t>47.97637</t>
  </si>
  <si>
    <t>13.96311</t>
  </si>
  <si>
    <t>+4375868902</t>
  </si>
  <si>
    <t>fahrzeuge-gruber@aon.at</t>
  </si>
  <si>
    <t>https://bilder.dasschnelle.at/DasSchnelle/50/5000/9917/046089/I_046089_P_906274074_L_0036253810_1.png</t>
  </si>
  <si>
    <t>https://bilder.dasschnelle.at/DasSchnelle/50/5000/9917/046089/I_046089_P_906274074_B_0036253810_1.gal.png?height=444&amp;width=333;https://bilder.dasschnelle.at/DasSchnelle/50/5000/9917/046089/G_046089_P_906274074.adn.gif</t>
  </si>
  <si>
    <t>Plank, Angelika, Fußpflege • Schwanberg • Steiermark</t>
  </si>
  <si>
    <t>Fußpflege, Kosmetik • Plank, Angelika, Hauptplatz 14, Schwanberg • Kontakt über aktuelle Telefonnummern ☎ und Adressen ⚑ mit Karte, Routing, Öffnungszeiten, Homepage, E-Mail, vCard und Firmendaten.</t>
  </si>
  <si>
    <t>46.7568175</t>
  </si>
  <si>
    <t>15.2004845</t>
  </si>
  <si>
    <t>+4334678018</t>
  </si>
  <si>
    <t>wohlfuehlstudio@gmx.at</t>
  </si>
  <si>
    <t>https://bilder.dasschnelle.at/DasSchnelle/50/5000/9875/061428/G_061428_P_906274099.adn.gif</t>
  </si>
  <si>
    <t>Sabrina´s Haarschatz, Inh. Sabrina Großschädl, Friseur • Frauental • Steiermark</t>
  </si>
  <si>
    <t>Friseure • Sabrina´s Haarschatz, Inh. Sabrina Großschädl, Grazer Straße 262, Frauental • Kontakt über aktuelle Telefonnummern ☎ und Adressen ⚑ mit Karte, Routing, Öffnungszeiten, Homepage, E-Mail, vCard und Firmendaten.</t>
  </si>
  <si>
    <t>Grazer Straße 262</t>
  </si>
  <si>
    <t>46.8265962</t>
  </si>
  <si>
    <t>15.2560200</t>
  </si>
  <si>
    <t>+436643639539</t>
  </si>
  <si>
    <t>sabi.com71@gmail.com</t>
  </si>
  <si>
    <t>https://bilder.dasschnelle.at/DasSchnelle/50/5000/9875/045296/G_045296_P_906274676.adn.gif</t>
  </si>
  <si>
    <t>Kendlbacher Rudolf Isolier GmbH • Abtenau • Salzburg</t>
  </si>
  <si>
    <t>Isolierungen • Kendlbacher Rudolf Isolier GmbH, Lindenthal 57, Abtenau • Kontakt über aktuelle Telefonnummern ☎ und Adressen ⚑ mit Karte, Routing, Öffnungszeiten, Homepage, E-Mail, vCard und Firmendaten.</t>
  </si>
  <si>
    <t>Lindenthal 57</t>
  </si>
  <si>
    <t>47.5599657</t>
  </si>
  <si>
    <t>13.3976328</t>
  </si>
  <si>
    <t>+43624325140;+4362433231</t>
  </si>
  <si>
    <t>+43624325145</t>
  </si>
  <si>
    <t>office@i-k.at</t>
  </si>
  <si>
    <t>https://bilder.dasschnelle.at/DasSchnelle/50/5000/9889/043587/G_043587_P_906275870.adn.gif</t>
  </si>
  <si>
    <t>GOREK Ges.m.b.H Kanal- und Grubendienst • Ehrwald • Tirol</t>
  </si>
  <si>
    <t>Kanal- u. Grubendienste • GOREK Ges.m.b.H Kanal- und Grubendienst, Bahnhofstraße 26, Ehrwald • Kontakt über aktuelle Telefonnummern ☎ und Adressen ⚑ mit Karte, Routing, Öffnungszeiten, Homepage, E-Mail, vCard und Firmendaten.</t>
  </si>
  <si>
    <t>47.4091616</t>
  </si>
  <si>
    <t>10.9153386</t>
  </si>
  <si>
    <t>+436644315416</t>
  </si>
  <si>
    <t>info@gorek.at</t>
  </si>
  <si>
    <t>https://bilder.dasschnelle.at/DasSchnelle/50/5000/9921/044843/G_044843_P_906277067.adn.gif</t>
  </si>
  <si>
    <t>easyfit Reutte • Reutte • Tirol</t>
  </si>
  <si>
    <t>Fitnesscenter • easyfit Reutte, Bahnhofstraße 20, Reutte • Kontakt über aktuelle Telefonnummern ☎ und Adressen ⚑ mit Karte, Routing, Öffnungszeiten, Homepage, E-Mail, vCard und Firmendaten.</t>
  </si>
  <si>
    <t>47.49209</t>
  </si>
  <si>
    <t>10.72076</t>
  </si>
  <si>
    <t>+43567263880</t>
  </si>
  <si>
    <t>info@easyfit-reutte.at</t>
  </si>
  <si>
    <t>https://bilder.dasschnelle.at/DasSchnelle/50/5000/9921/042603/G_042603_P_906277069.adn.gif</t>
  </si>
  <si>
    <t>KM Holzbau OG, Holzbauarbeiten • Tannheim • Tirol</t>
  </si>
  <si>
    <t>Holzbau • KM Holzbau OG, Unterhöfen 21, Tannheim • Kontakt über aktuelle Telefonnummern ☎ und Adressen ⚑ mit Karte, Routing, Öffnungszeiten, Homepage, E-Mail, vCard und Firmendaten.</t>
  </si>
  <si>
    <t>Unterhöfen 21</t>
  </si>
  <si>
    <t>47.49916</t>
  </si>
  <si>
    <t>10.51125</t>
  </si>
  <si>
    <t>+436764313880</t>
  </si>
  <si>
    <t>info@km-holzbau.at</t>
  </si>
  <si>
    <t>https://bilder.dasschnelle.at/DasSchnelle/50/5000/9921/042607/G_042607_P_906277071.adn.gif</t>
  </si>
  <si>
    <t>expert Versicherungsagentur Bader, Hosp, Kleiner, Wolf, OG • Reutte • Tirol</t>
  </si>
  <si>
    <t>Versicherungsunternehmen • expert Versicherungsagentur Bader, Hosp, Kleiner, Wolf, OG, Lindenstraße 35 /1, Reutte • Kontakt über aktuelle Telefonnummern ☎ und Adressen ⚑ mit Karte, Routing, Öffnungszeiten, Homepage, E-Mail, vCard und Firmendaten.</t>
  </si>
  <si>
    <t>Lindenstraße 35 /1</t>
  </si>
  <si>
    <t>47.48804</t>
  </si>
  <si>
    <t>10.71188</t>
  </si>
  <si>
    <t>+43567272777</t>
  </si>
  <si>
    <t>klaus.kleiner@uniqa.at</t>
  </si>
  <si>
    <t>https://bilder.dasschnelle.at/DasSchnelle/50/5000/9921/042603/G_042603_P_906277073.adn.gif</t>
  </si>
  <si>
    <t>Platzer, Erwin • Pettenbach • Oberösterreich</t>
  </si>
  <si>
    <t>Versicherungsberater • Platzer, Erwin, Gundendorfstraße 1, Pettenbach • Kontakt über aktuelle Telefonnummern ☎ und Adressen ⚑ mit Karte, Routing, Öffnungszeiten, Homepage, E-Mail, vCard und Firmendaten.</t>
  </si>
  <si>
    <t>Gundendorfstraße 1</t>
  </si>
  <si>
    <t>48.00852</t>
  </si>
  <si>
    <t>14.04347</t>
  </si>
  <si>
    <t>+43758620529;+436645047188</t>
  </si>
  <si>
    <t>office@fairsorgt.eu</t>
  </si>
  <si>
    <t>https://bilder.dasschnelle.at/DasSchnelle/50/5000/9917/046089/G_046089_P_906277074.adn.gif</t>
  </si>
  <si>
    <t>Feichtinger, Norbert, Bestattung • St. Konrad • Oberösterreich</t>
  </si>
  <si>
    <t>Bestattungsunternehmen • Feichtinger, Norbert, Mühlenweg 1, St. Konrad • Kontakt über aktuelle Telefonnummern ☎ und Adressen ⚑ mit Karte, Routing, Öffnungszeiten, Homepage, E-Mail, vCard und Firmendaten.</t>
  </si>
  <si>
    <t>Mühlenweg 1</t>
  </si>
  <si>
    <t>4817</t>
  </si>
  <si>
    <t>St. Konrad</t>
  </si>
  <si>
    <t>47.91624</t>
  </si>
  <si>
    <t>13.88254</t>
  </si>
  <si>
    <t>+436645203856</t>
  </si>
  <si>
    <t>office@nfbestattung.at</t>
  </si>
  <si>
    <t>https://bilder.dasschnelle.at/DasSchnelle/50/5000/9917/041803/G_041803_P_906278038.adn.gif</t>
  </si>
  <si>
    <t>Vockenhuber, Sepp, Bestattungsunternehmen • Altmünster • Oberösterreich</t>
  </si>
  <si>
    <t>Bestattungsunternehmen • Vockenhuber, Sepp, Marktstraße 6, Altmünster • Kontakt über aktuelle Telefonnummern ☎ und Adressen ⚑ mit Karte, Routing, Öffnungszeiten, Homepage, E-Mail, vCard und Firmendaten.</t>
  </si>
  <si>
    <t>Marktstraße 6</t>
  </si>
  <si>
    <t>47.9009</t>
  </si>
  <si>
    <t>13.7659</t>
  </si>
  <si>
    <t>+43761220404</t>
  </si>
  <si>
    <t>info@vockenhuber-bestattung.at</t>
  </si>
  <si>
    <t>https://bilder.dasschnelle.at/DasSchnelle/50/5000/9886/041788/I_041788_P_906278040_L_0036738714_1.png</t>
  </si>
  <si>
    <t>https://bilder.dasschnelle.at/DasSchnelle/50/5000/9886/041788/I_041788_P_906278040_B_0036738714_1.gal.png?height=200&amp;width=200;https://bilder.dasschnelle.at/DasSchnelle/50/5000/9886/041788/I_041788_P_906278040_B_0036738714_2.gal.png?height=180&amp;width=200;https://bilder.dasschnelle.at/DasSchnelle/50/5000/9886/041788/I_041788_P_906278040_B_0036738714_3.gal.png?height=180&amp;width=200;https://bilder.dasschnelle.at/DasSchnelle/50/5000/9886/041788/I_041788_P_906278040_B_0036738714_4.gal.png?height=180&amp;width=200</t>
  </si>
  <si>
    <t>Burgstaller GmbH &amp; Co KG, Planung u Ausführung v Heizungen • Gschwandt • Oberösterreich</t>
  </si>
  <si>
    <t>Installationsunternehmen, Planungsbüros • Burgstaller GmbH &amp; Co KG, Müllerbachstraße 7, Gschwandt • Kontakt über aktuelle Telefonnummern ☎ und Adressen ⚑ mit Karte, Routing, Öffnungszeiten, Homepage, E-Mail, vCard und Firmendaten.</t>
  </si>
  <si>
    <t>Müllerbachstraße 7</t>
  </si>
  <si>
    <t>47.92723</t>
  </si>
  <si>
    <t>13.8266</t>
  </si>
  <si>
    <t>+43761264130;+436642830463;+436642830463</t>
  </si>
  <si>
    <t>office@burgstallereu.at</t>
  </si>
  <si>
    <t>https://bilder.dasschnelle.at/DasSchnelle/50/5000/9886/041795/G_041795_P_906278046.adn.gif</t>
  </si>
  <si>
    <t>Rubenzucker, Christa, Blumen • Gmunden • Oberösterreich</t>
  </si>
  <si>
    <t>Blumenhandel • Rubenzucker, Christa, Druckereistraße 3, Gmunden • Kontakt über aktuelle Telefonnummern ☎ und Adressen ⚑ mit Karte, Routing, Öffnungszeiten, Homepage, E-Mail, vCard und Firmendaten.</t>
  </si>
  <si>
    <t>Druckereistraße 3</t>
  </si>
  <si>
    <t>47.9251900</t>
  </si>
  <si>
    <t>13.7881200</t>
  </si>
  <si>
    <t>+43761263662</t>
  </si>
  <si>
    <t>blumen-christa-gmunden@gmx.at</t>
  </si>
  <si>
    <t>https://bilder.dasschnelle.at/DasSchnelle/50/5000/9886/041792/G_041792_P_906278154.adn.gif</t>
  </si>
  <si>
    <t>Kreative-Blumerei, Blumen • Laakirchen • Oberösterreich</t>
  </si>
  <si>
    <t>Blumenhandel • Kreative-Blumerei, Oberweis 3, Laakirchen • Kontakt über aktuelle Telefonnummern ☎ und Adressen ⚑ mit Karte, Routing, Öffnungszeiten, Homepage, E-Mail, vCard und Firmendaten.</t>
  </si>
  <si>
    <t>Oberweis 3</t>
  </si>
  <si>
    <t>47.95411</t>
  </si>
  <si>
    <t>13.81908</t>
  </si>
  <si>
    <t>+43761267673</t>
  </si>
  <si>
    <t>info@kreative-blumerei.at</t>
  </si>
  <si>
    <t>https://bilder.dasschnelle.at/DasSchnelle/50/5000/9886/041798/G_041798_P_906278158.adn.gif</t>
  </si>
  <si>
    <t>Fischer, Peter, Dr.med., FA f Zahn-, Mund- u Kieferheilkunde • Markt Piesting • Niederösterreich</t>
  </si>
  <si>
    <t>Ärzte / Fachärzte f. Zahn-, Mund u. Kieferheilkunde • Fischer, Peter, Dr.med., Gutensteiner Straße 1 c, Markt Piesting • Kontakt über aktuelle Telefonnummern ☎ und Adressen ⚑ mit Karte, Routing, Öffnungszeiten, Homepage, E-Mail, vCard und Firmendaten.</t>
  </si>
  <si>
    <t>Gutensteiner Straße 1 c</t>
  </si>
  <si>
    <t>2753</t>
  </si>
  <si>
    <t>Markt Piesting</t>
  </si>
  <si>
    <t>47.8731864</t>
  </si>
  <si>
    <t>16.1247433</t>
  </si>
  <si>
    <t>+43263345838</t>
  </si>
  <si>
    <t>piesting@fischerzahn.at</t>
  </si>
  <si>
    <t>https://bilder.dasschnelle.at/DasSchnelle/50/5000/9946/044285/G_044285_P_906277096.adn.gif</t>
  </si>
  <si>
    <t>Miks, Christian, Folienverlegung • Scharnstein • Oberösterreich</t>
  </si>
  <si>
    <t>Abdichtungen, Folien, Spenglereien • Miks, Christian, Herrnberg 12, Scharnstein • Kontakt über aktuelle Telefonnummern ☎ und Adressen ⚑ mit Karte, Routing, Öffnungszeiten, Homepage, E-Mail, vCard und Firmendaten.</t>
  </si>
  <si>
    <t>Herrnberg 12</t>
  </si>
  <si>
    <t>47.9393</t>
  </si>
  <si>
    <t>13.98621</t>
  </si>
  <si>
    <t>+4369910084110;+43761530210;+4369912647354</t>
  </si>
  <si>
    <t>christian.miks@aon.at</t>
  </si>
  <si>
    <t>https://bilder.dasschnelle.at/DasSchnelle/50/5000/9917/041806/G_041806_P_906277093.adn.gif</t>
  </si>
  <si>
    <t>Kirchmair, Isabella, Dr., Fachärztin f Frauenheilkunde u Geburtsh. • St. Pantaleon • Oberösterreich</t>
  </si>
  <si>
    <t>Ärzte / Fachärzte f. Frauenheilkunde u. Geburtshilfe • Kirchmair, Isabella, Dr., Bergwerkstraße 1, St. Pantaleon • Kontakt über aktuelle Telefonnummern ☎ und Adressen ⚑ mit Karte, Routing, Öffnungszeiten, Homepage, E-Mail, vCard und Firmendaten.</t>
  </si>
  <si>
    <t>48.02716</t>
  </si>
  <si>
    <t>12.86282</t>
  </si>
  <si>
    <t>+43627720201</t>
  </si>
  <si>
    <t>office@gyn-kirchmair.at</t>
  </si>
  <si>
    <t>https://bilder.dasschnelle.at/DasSchnelle/50/5000/9872/044793/G_044793_P_906277100.adn.gif</t>
  </si>
  <si>
    <t>Feichtinger GesmbH, Tischlereien • Scharnstein • Oberösterreich</t>
  </si>
  <si>
    <t>Bestattungsunternehmen, Tischlereien • Feichtinger GesmbH, Mühldorf 10, Scharnstein • Kontakt über aktuelle Telefonnummern ☎ und Adressen ⚑ mit Karte, Routing, Öffnungszeiten, Homepage, E-Mail, vCard und Firmendaten.</t>
  </si>
  <si>
    <t>Mühldorf 10</t>
  </si>
  <si>
    <t>47.8989783</t>
  </si>
  <si>
    <t>13.9548257</t>
  </si>
  <si>
    <t>+4376152252</t>
  </si>
  <si>
    <t>+437615225210</t>
  </si>
  <si>
    <t>office@feichtinger.at</t>
  </si>
  <si>
    <t>https://bilder.dasschnelle.at/DasSchnelle/50/5000/9917/041806/I_041806_P_906277127_L_0035971199_1.png</t>
  </si>
  <si>
    <t>https://bilder.dasschnelle.at/DasSchnelle/50/5000/9917/041806/I_041806_P_906277127_B_0035971199_1.gal.png?height=399&amp;width=600;https://bilder.dasschnelle.at/DasSchnelle/50/5000/9917/041806/I_041806_P_906277127_B_0035971199_2.gal.png?height=390&amp;width=600;https://bilder.dasschnelle.at/DasSchnelle/50/5000/9917/041806/I_041806_P_906277127_B_0035971199_3.gal.png?height=396&amp;width=600;https://bilder.dasschnelle.at/DasSchnelle/50/5000/9917/041806/I_041806_P_906277127_B_0035971199_4.gal.png?height=400&amp;width=600</t>
  </si>
  <si>
    <t>Aglassinger, Johannes, Mag., Psychotherapie • Bad Ischl • Oberösterreich</t>
  </si>
  <si>
    <t>Psychotherapie • Aglassinger, Johannes, Mag., Michael-Pacher-Straße 3, Bad Ischl • Kontakt über aktuelle Telefonnummern ☎ und Adressen ⚑ mit Karte, Routing, Öffnungszeiten, Homepage, E-Mail, vCard und Firmendaten.</t>
  </si>
  <si>
    <t>Michael-Pacher-Straße 3</t>
  </si>
  <si>
    <t>47.71643</t>
  </si>
  <si>
    <t>13.56652</t>
  </si>
  <si>
    <t>+436506051856</t>
  </si>
  <si>
    <t>johannes.aglassinger@aon.at</t>
  </si>
  <si>
    <t>Wieselmühle GmbH, Gastgewerbe - Gasthöfe • Grünau im Almtal • Oberösterreich</t>
  </si>
  <si>
    <t>Gastgewerbe - Gasthöfe • Wieselmühle GmbH, Landstraße 73, Grünau im Almtal • Kontakt über aktuelle Telefonnummern ☎ und Adressen ⚑ mit Karte, Routing, Öffnungszeiten, Homepage, E-Mail, vCard und Firmendaten.</t>
  </si>
  <si>
    <t>Landstraße 73</t>
  </si>
  <si>
    <t>47.87024</t>
  </si>
  <si>
    <t>13.94495</t>
  </si>
  <si>
    <t>+4376168250</t>
  </si>
  <si>
    <t>forellenhof@almtal.at</t>
  </si>
  <si>
    <t>https://bilder.dasschnelle.at/DasSchnelle/50/5000/9886/041794/G_041794_P_906277132.adn.gif</t>
  </si>
  <si>
    <t>Briem Feichtner, Ruth, Mag.med.vet., Tierarzt • Kitzbühel • Tirol</t>
  </si>
  <si>
    <t>Tierärzte • Briem Feichtner, Ruth, Mag.med.vet., Ehrenbachgasse 48, Kitzbühel • Kontakt über aktuelle Telefonnummern ☎ und Adressen ⚑ mit Karte, Routing, Öffnungszeiten, Homepage, E-Mail, vCard und Firmendaten.</t>
  </si>
  <si>
    <t>Ehrenbachgasse 48</t>
  </si>
  <si>
    <t>47.4406</t>
  </si>
  <si>
    <t>12.39693</t>
  </si>
  <si>
    <t>+43535662370</t>
  </si>
  <si>
    <t>briem@kitz.net</t>
  </si>
  <si>
    <t>https://bilder.dasschnelle.at/DasSchnelle/50/5000/9896/046135/G_046135_P_906277134.adn.gif</t>
  </si>
  <si>
    <t>Löberbauer, Christoph • Grünau im Almtal • Oberösterreich</t>
  </si>
  <si>
    <t>Sägewerke • Löberbauer, Christoph, Landstraße 74, Grünau im Almtal • Kontakt über aktuelle Telefonnummern ☎ und Adressen ⚑ mit Karte, Routing, Öffnungszeiten, Homepage, E-Mail, vCard und Firmendaten.</t>
  </si>
  <si>
    <t>Landstraße 74</t>
  </si>
  <si>
    <t>47.86986</t>
  </si>
  <si>
    <t>13.94319</t>
  </si>
  <si>
    <t>+4376168226</t>
  </si>
  <si>
    <t>saegewerk@loeberbauer.at</t>
  </si>
  <si>
    <t>https://bilder.dasschnelle.at/DasSchnelle/50/5000/9917/041794/G_041794_P_906277135.adn.gif</t>
  </si>
  <si>
    <t>Stöhr, Christoph, Mag., Rechtsanwaltskanzlei • Gmunden • Oberösterreich</t>
  </si>
  <si>
    <t>Rechtsanwälte • Stöhr, Christoph, Mag., Franz Karl Fellinger-Gasse 7, Gmunden • Kontakt über aktuelle Telefonnummern ☎ und Adressen ⚑ mit Karte, Routing, Öffnungszeiten, Homepage, E-Mail, vCard und Firmendaten.</t>
  </si>
  <si>
    <t>Franz Karl Fellinger-Gasse 7</t>
  </si>
  <si>
    <t>47.91966</t>
  </si>
  <si>
    <t>13.80031</t>
  </si>
  <si>
    <t>+43761267167;+436644550045</t>
  </si>
  <si>
    <t>kanzlei@ra-stoehr.at</t>
  </si>
  <si>
    <t>https://bilder.dasschnelle.at/DasSchnelle/50/5000/9886/041792/I_041792_P_906277140_L_0037075248_1.png</t>
  </si>
  <si>
    <t>https://bilder.dasschnelle.at/DasSchnelle/50/5000/9886/041792/I_041792_P_906277140_B_0037075248_1.gal.png?height=450&amp;width=362;https://bilder.dasschnelle.at/DasSchnelle/50/5000/9886/041792/I_041792_P_906277140_B_0037075248_2.gal.png?height=450&amp;width=362;https://bilder.dasschnelle.at/DasSchnelle/50/5000/9886/041792/I_041792_P_906277140_B_0037075248_3.gal.png?height=349&amp;width=680</t>
  </si>
  <si>
    <t>Rührlinger GmbH • Grünau im Almtal • Oberösterreich</t>
  </si>
  <si>
    <t>Dachdeckereien, Spenglereien • Rührlinger GmbH, Pfarrwiese 20, Grünau im Almtal • Kontakt über aktuelle Telefonnummern ☎ und Adressen ⚑ mit Karte, Routing, Öffnungszeiten, Homepage, E-Mail, vCard und Firmendaten.</t>
  </si>
  <si>
    <t>Pfarrwiese 20</t>
  </si>
  <si>
    <t>47.8560194</t>
  </si>
  <si>
    <t>13.9587797</t>
  </si>
  <si>
    <t>+4376168269</t>
  </si>
  <si>
    <t>office@ruehrlinger-dach.at</t>
  </si>
  <si>
    <t>https://bilder.dasschnelle.at/DasSchnelle/50/5000/9886/041794/G_041794_P_906277142.adn.gif</t>
  </si>
  <si>
    <t>Strasser Haustechnik GmbH, Haustechnik • Braunau • Oberösterreich</t>
  </si>
  <si>
    <t>Haustechnik • Strasser Haustechnik GmbH, Salzburger Straße 19, Braunau • Kontakt über aktuelle Telefonnummern ☎ und Adressen ⚑ mit Karte, Routing, Öffnungszeiten, Homepage, E-Mail, vCard und Firmendaten.</t>
  </si>
  <si>
    <t>Salzburger Straße 19</t>
  </si>
  <si>
    <t>48.2541130</t>
  </si>
  <si>
    <t>13.0356310</t>
  </si>
  <si>
    <t>+437722635960</t>
  </si>
  <si>
    <t>+43772263596624</t>
  </si>
  <si>
    <t>office@ht-strasser.at</t>
  </si>
  <si>
    <t>https://bilder.dasschnelle.at/DasSchnelle/50/5000/9872/044551/G_044551_P_906277147.adn.gif</t>
  </si>
  <si>
    <t>Elektrotechnik Deicker • Scharnstein • Oberösterreich</t>
  </si>
  <si>
    <t>Elektrotechnik • Elektrotechnik Deicker, Wieseneck 3 b, Scharnstein • Kontakt über aktuelle Telefonnummern ☎ und Adressen ⚑ mit Karte, Routing, Öffnungszeiten, Homepage, E-Mail, vCard und Firmendaten.</t>
  </si>
  <si>
    <t>Wieseneck 3 b</t>
  </si>
  <si>
    <t>47.8941105</t>
  </si>
  <si>
    <t>13.9420210</t>
  </si>
  <si>
    <t>+4367761202829</t>
  </si>
  <si>
    <t>office@deicker.at</t>
  </si>
  <si>
    <t>https://bilder.dasschnelle.at/DasSchnelle/50/5000/9917/041806/G_041806_P_906277150.adn.gif</t>
  </si>
  <si>
    <t>Maschinenring OÖ Service eGen Braunau u Umgebung • Mining • Oberösterreich</t>
  </si>
  <si>
    <t>Landwirtschaftliche Hilfsdienste • Maschinenring OÖ Service eGen Braunau u Umgebung, Hofmark 5, Mining • Kontakt über aktuelle Telefonnummern ☎ und Adressen ⚑ mit Karte, Routing, Öffnungszeiten, Homepage, E-Mail, vCard und Firmendaten.</t>
  </si>
  <si>
    <t>Hofmark 5</t>
  </si>
  <si>
    <t>4962</t>
  </si>
  <si>
    <t>Mining</t>
  </si>
  <si>
    <t>48.27629</t>
  </si>
  <si>
    <t>13.16187</t>
  </si>
  <si>
    <t>+43772375330</t>
  </si>
  <si>
    <t>braunau@maschinenring.at</t>
  </si>
  <si>
    <t>https://bilder.dasschnelle.at/DasSchnelle/50/5000/9872/044779/G_044779_P_906277177.adn.gif</t>
  </si>
  <si>
    <t>Aitzetmüller Säge KG • Vorchdorf • Oberösterreich</t>
  </si>
  <si>
    <t>Bäckereien, Säge- u. Hobelwerke • Aitzetmüller Säge KG, Lederauer Straße 96, Vorchdorf • Kontakt über aktuelle Telefonnummern ☎ und Adressen ⚑ mit Karte, Routing, Öffnungszeiten, Homepage, E-Mail, vCard und Firmendaten.</t>
  </si>
  <si>
    <t>Lederauer Straße 96</t>
  </si>
  <si>
    <t>47.9668</t>
  </si>
  <si>
    <t>13.97885</t>
  </si>
  <si>
    <t>+436641879018</t>
  </si>
  <si>
    <t>aitzetmueller.saege@aon.at</t>
  </si>
  <si>
    <t>https://bilder.dasschnelle.at/DasSchnelle/50/5000/9917/046089/G_046089_P_906277179.adn.gif</t>
  </si>
  <si>
    <t>Weiermeier GmbH • Nußbach • Oberösterreich</t>
  </si>
  <si>
    <t>Autohandel • Weiermeier GmbH, Jageredtstraße 17, Nußbach • Kontakt über aktuelle Telefonnummern ☎ und Adressen ⚑ mit Karte, Routing, Öffnungszeiten, Homepage, E-Mail, vCard und Firmendaten.</t>
  </si>
  <si>
    <t>Jageredtstraße 17</t>
  </si>
  <si>
    <t>47.96144</t>
  </si>
  <si>
    <t>14.1302</t>
  </si>
  <si>
    <t>+4375876017;+4375878519</t>
  </si>
  <si>
    <t>office@renault-weiermeier.at</t>
  </si>
  <si>
    <t>https://bilder.dasschnelle.at/DasSchnelle/50/5000/9895/046087/G_046087_P_906277180.adn.gif</t>
  </si>
  <si>
    <t>Optik Bauer Scharnstein GmbH • Braunau am Inn • Oberösterreich</t>
  </si>
  <si>
    <t>Optik • Optik Bauer Scharnstein GmbH, Stadtplatz 55, Braunau am Inn • Kontakt über aktuelle Telefonnummern ☎ und Adressen ⚑ mit Karte, Routing, Öffnungszeiten, Homepage, E-Mail, vCard und Firmendaten.</t>
  </si>
  <si>
    <t>Stadtplatz 55</t>
  </si>
  <si>
    <t>48.2594106</t>
  </si>
  <si>
    <t>13.0352622</t>
  </si>
  <si>
    <t>+43772264429</t>
  </si>
  <si>
    <t>braunau@optikbauer.at</t>
  </si>
  <si>
    <t>https://bilder.dasschnelle.at/DasSchnelle/50/5000/9872/044551/G_044551_P_906277184.adn.gif</t>
  </si>
  <si>
    <t>Schwarzenbrunner, Stefan, Malerei • Scharnstein • Oberösterreich</t>
  </si>
  <si>
    <t>Malereibetriebe • Schwarzenbrunner, Stefan, Dorfbühel 7, Scharnstein • Kontakt über aktuelle Telefonnummern ☎ und Adressen ⚑ mit Karte, Routing, Öffnungszeiten, Homepage, E-Mail, vCard und Firmendaten.</t>
  </si>
  <si>
    <t>Dorfbühel 7</t>
  </si>
  <si>
    <t>47.90282</t>
  </si>
  <si>
    <t>13.94371</t>
  </si>
  <si>
    <t>+43761571158;+436643334059</t>
  </si>
  <si>
    <t>malerei.schwarzenbrunner@a1.net</t>
  </si>
  <si>
    <t>https://bilder.dasschnelle.at/DasSchnelle/50/5000/9917/041806/G_041806_P_906278060.adn.gif</t>
  </si>
  <si>
    <t>Hirtenlehner, Erich, Dr., FA f Unfallchirurgie • Eferding • Oberösterreich</t>
  </si>
  <si>
    <t>Ärzte / Fachärzte f. Unfallchirurgie • Hirtenlehner, Erich, Dr., Schmiedstraße 20, Eferding • Kontakt über aktuelle Telefonnummern ☎ und Adressen ⚑ mit Karte, Routing, Öffnungszeiten, Homepage, E-Mail, vCard und Firmendaten.</t>
  </si>
  <si>
    <t>Schmiedstraße 20</t>
  </si>
  <si>
    <t>48.30893</t>
  </si>
  <si>
    <t>14.02149</t>
  </si>
  <si>
    <t>+436642530293</t>
  </si>
  <si>
    <t>e.hirtenlehner@aon.at</t>
  </si>
  <si>
    <t>https://bilder.dasschnelle.at/DasSchnelle/50/5000/9876/044805/I_044805_P_906278063_L_0036253285_1.png</t>
  </si>
  <si>
    <t>https://bilder.dasschnelle.at/DasSchnelle/50/5000/9876/044805/I_044805_P_906278063_B_0036253285_1.gal.png?height=300&amp;width=600;https://bilder.dasschnelle.at/DasSchnelle/50/5000/9876/044805/I_044805_P_906278063_B_0036253285_2.gal.png?height=300&amp;width=600;https://bilder.dasschnelle.at/DasSchnelle/50/5000/9876/044805/I_044805_P_906278063_B_0036253285_3.gal.png?height=299&amp;width=600;https://bilder.dasschnelle.at/DasSchnelle/50/5000/9876/044805/I_044805_P_906278063_B_0036253285_4.gal.png?height=300&amp;width=600</t>
  </si>
  <si>
    <t>Wegscheider, Max, Restaurant • Scharnstein • Oberösterreich</t>
  </si>
  <si>
    <t>Restaurants • Wegscheider, Max, Hauptstraße 30, Scharnstein • Kontakt über aktuelle Telefonnummern ☎ und Adressen ⚑ mit Karte, Routing, Öffnungszeiten, Homepage, E-Mail, vCard und Firmendaten.</t>
  </si>
  <si>
    <t>Hauptstraße 30</t>
  </si>
  <si>
    <t>47.9028600</t>
  </si>
  <si>
    <t>13.9568900</t>
  </si>
  <si>
    <t>+4376157309</t>
  </si>
  <si>
    <t>https://bilder.dasschnelle.at/DasSchnelle/50/5000/9917/041806/G_041806_P_906278065.adn.gif</t>
  </si>
  <si>
    <t>Wimmer Kurt GmbH, Elektro • Mauerkirchen • Oberösterreich</t>
  </si>
  <si>
    <t>Elektrogeräte u. -bedarf, Elektrohandel • Wimmer Kurt GmbH, Obermarkt 21, Mauerkirchen • Kontakt über aktuelle Telefonnummern ☎ und Adressen ⚑ mit Karte, Routing, Öffnungszeiten, Homepage, E-Mail, vCard und Firmendaten.</t>
  </si>
  <si>
    <t>Obermarkt 21</t>
  </si>
  <si>
    <t>48.19081</t>
  </si>
  <si>
    <t>13.13512</t>
  </si>
  <si>
    <t>+43772432970</t>
  </si>
  <si>
    <t>+437724329734</t>
  </si>
  <si>
    <t>office@expert-wimmer.at</t>
  </si>
  <si>
    <t>https://bilder.dasschnelle.at/DasSchnelle/50/5000/9872/044778/G_044778_P_906278069.adn.gif</t>
  </si>
  <si>
    <t>Altbauer, Armin, Optiker • Braunau am Inn • Oberösterreich</t>
  </si>
  <si>
    <t>Optik • Altbauer, Armin, Poststallgasse 6 A, Braunau am Inn • Kontakt über aktuelle Telefonnummern ☎ und Adressen ⚑ mit Karte, Routing, Öffnungszeiten, Homepage, E-Mail, vCard und Firmendaten.</t>
  </si>
  <si>
    <t>Poststallgasse 6 A</t>
  </si>
  <si>
    <t>+43772263017</t>
  </si>
  <si>
    <t>optik@optik-altbauer.at</t>
  </si>
  <si>
    <t>https://bilder.dasschnelle.at/DasSchnelle/50/5000/9872/044551/G_044551_P_906278072.adn.gif</t>
  </si>
  <si>
    <t>Spitzer, Gerhard, Fahrzeugbau • Maria Schmolln • Oberösterreich</t>
  </si>
  <si>
    <t>Fahrzeugbau • Spitzer, Gerhard, Winkelpoint 8, Maria Schmolln • Kontakt über aktuelle Telefonnummern ☎ und Adressen ⚑ mit Karte, Routing, Öffnungszeiten, Homepage, E-Mail, vCard und Firmendaten.</t>
  </si>
  <si>
    <t>Winkelpoint 8</t>
  </si>
  <si>
    <t>5241</t>
  </si>
  <si>
    <t>Maria Schmolln</t>
  </si>
  <si>
    <t>48.1443809</t>
  </si>
  <si>
    <t>13.2064221</t>
  </si>
  <si>
    <t>+4377432283</t>
  </si>
  <si>
    <t>info@fahrzeugbauspitzer.at</t>
  </si>
  <si>
    <t>https://bilder.dasschnelle.at/DasSchnelle/50/5000/9872/044776/G_044776_P_906278074.adn.gif</t>
  </si>
  <si>
    <t>Schachner GmbH, Zimmereien • Maria Schmolln • Oberösterreich</t>
  </si>
  <si>
    <t>Zimmereien • Schachner GmbH, Winkelpoint 15, Maria Schmolln • Kontakt über aktuelle Telefonnummern ☎ und Adressen ⚑ mit Karte, Routing, Öffnungszeiten, Homepage, E-Mail, vCard und Firmendaten.</t>
  </si>
  <si>
    <t>Winkelpoint 15</t>
  </si>
  <si>
    <t>48.1462005</t>
  </si>
  <si>
    <t>13.2078076</t>
  </si>
  <si>
    <t>+43774320020</t>
  </si>
  <si>
    <t>+43774320025</t>
  </si>
  <si>
    <t>office@schachner-holzbau.at</t>
  </si>
  <si>
    <t>https://bilder.dasschnelle.at/DasSchnelle/50/5000/9872/044776/I_044776_P_906277115_L_0036891895_1.png</t>
  </si>
  <si>
    <t>https://bilder.dasschnelle.at/DasSchnelle/50/5000/9872/044776/I_044776_P_906277115_B_0036891895_1.gal.png?height=279&amp;width=600;https://bilder.dasschnelle.at/DasSchnelle/50/5000/9872/044776/I_044776_P_906277115_B_0036891895_2.gal.png?height=279&amp;width=600;https://bilder.dasschnelle.at/DasSchnelle/50/5000/9872/044776/I_044776_P_906277115_B_0036891895_3.gal.png?height=279&amp;width=600;https://bilder.dasschnelle.at/DasSchnelle/50/5000/9872/044776/G_044776_P_906277115.adn.gif</t>
  </si>
  <si>
    <t>fusspuls - Fußpflege und mehr • St. Pantaleon • Oberösterreich</t>
  </si>
  <si>
    <t>Fußpflege, Kosmetik • fusspuls - Fußpflege und mehr, Bergwerkstraße 1, St. Pantaleon • Kontakt über aktuelle Telefonnummern ☎ und Adressen ⚑ mit Karte, Routing, Öffnungszeiten, Homepage, E-Mail, vCard und Firmendaten.</t>
  </si>
  <si>
    <t>+4367761449848</t>
  </si>
  <si>
    <t>ja.seiwald@aon.at</t>
  </si>
  <si>
    <t>https://bilder.dasschnelle.at/DasSchnelle/50/5000/9914/044793/G_044793_P_906277118.adn.gif</t>
  </si>
  <si>
    <t>Lugstein, A., MR Dr. • Straßwalchen • Salzburg</t>
  </si>
  <si>
    <t>Ärzte / Fachärzte f. Zahn-, Mund u. Kieferheilkunde • Lugstein, A., MR Dr., Mayburgerplatz 4, Straßwalchen • Kontakt über aktuelle Telefonnummern ☎ und Adressen ⚑ mit Karte, Routing, Öffnungszeiten, Homepage, E-Mail, vCard und Firmendaten.</t>
  </si>
  <si>
    <t>Mayburgerplatz 4</t>
  </si>
  <si>
    <t>47.9803300</t>
  </si>
  <si>
    <t>13.2552817</t>
  </si>
  <si>
    <t>+436644278811</t>
  </si>
  <si>
    <t>alois@mkglugstein.at</t>
  </si>
  <si>
    <t>https://bilder.dasschnelle.at/DasSchnelle/50/5000/9935/043329/G_043329_P_906277121.adn.gif</t>
  </si>
  <si>
    <t>Bahr, Barbara, Dr., Tierärzte • Seekirchen • Salzburg</t>
  </si>
  <si>
    <t>Tierärzte • Bahr, Barbara, Dr., Bahnhofstraße 23 F, Seekirchen • Kontakt über aktuelle Telefonnummern ☎ und Adressen ⚑ mit Karte, Routing, Öffnungszeiten, Homepage, E-Mail, vCard und Firmendaten.</t>
  </si>
  <si>
    <t>Bahnhofstraße 23 F</t>
  </si>
  <si>
    <t>47.8948504</t>
  </si>
  <si>
    <t>13.1280388</t>
  </si>
  <si>
    <t>+43621220074;+4369911458341</t>
  </si>
  <si>
    <t>dr.barbara.bahr@cablelink.at</t>
  </si>
  <si>
    <t>https://bilder.dasschnelle.at/DasSchnelle/50/5000/9931/043333/G_043333_P_906277125.adn.gif</t>
  </si>
  <si>
    <t>Strametz Bau GmbH, Bauunternehmen • Sankt Peter im Sulmtal • Steiermark</t>
  </si>
  <si>
    <t>Bauunternehmen • Strametz Bau GmbH, Kerschbaum 21, Sankt Peter im Sulmtal • Kontakt über aktuelle Telefonnummern ☎ und Adressen ⚑ mit Karte, Routing, Öffnungszeiten, Homepage, E-Mail, vCard und Firmendaten.</t>
  </si>
  <si>
    <t>Kerschbaum 21</t>
  </si>
  <si>
    <t>Sankt Peter im Sulmtal</t>
  </si>
  <si>
    <t>46.7607103</t>
  </si>
  <si>
    <t>15.2374593</t>
  </si>
  <si>
    <t>+43346720045</t>
  </si>
  <si>
    <t>office@strametz-bau.at</t>
  </si>
  <si>
    <t>https://bilder.dasschnelle.at/DasSchnelle/50/5000/9875/045319/I_045319_P_906278145_L_0036253164_1.png</t>
  </si>
  <si>
    <t>https://bilder.dasschnelle.at/DasSchnelle/50/5000/9875/045319/I_045319_P_906278145_B_0036253164_1.gal.png?height=217&amp;width=325;https://bilder.dasschnelle.at/DasSchnelle/50/5000/9875/045319/I_045319_P_906278145_B_0036253164_2.gal.png?height=217&amp;width=325;https://bilder.dasschnelle.at/DasSchnelle/50/5000/9875/045319/I_045319_P_906278145_B_0036253164_3.gal.png?height=217&amp;width=325;https://bilder.dasschnelle.at/DasSchnelle/50/5000/9875/045319/I_045319_P_906278145_B_0036253164_4.gal.png?height=217&amp;width=325</t>
  </si>
  <si>
    <t>Perkitsch, Erich, Sanitäranlagen u -einrichtungen • Deutschlandsberg • Steiermark</t>
  </si>
  <si>
    <t>Sanitäranlagen u. -einrichtungen • Perkitsch, Erich, Hollenegger Straße 17, Deutschlandsberg • Kontakt über aktuelle Telefonnummern ☎ und Adressen ⚑ mit Karte, Routing, Öffnungszeiten, Homepage, E-Mail, vCard und Firmendaten.</t>
  </si>
  <si>
    <t>Hollenegger Straße 17</t>
  </si>
  <si>
    <t>46.81198</t>
  </si>
  <si>
    <t>15.21603</t>
  </si>
  <si>
    <t>+4334622214</t>
  </si>
  <si>
    <t>+43346222145</t>
  </si>
  <si>
    <t>office@perkitsch.at</t>
  </si>
  <si>
    <t>https://bilder.dasschnelle.at/DasSchnelle/50/5000/9875/061379/G_061379_P_906278149.adn.gif</t>
  </si>
  <si>
    <t>Metalltechnik Maria Kemmer • Mettersdorf • Steiermark</t>
  </si>
  <si>
    <t>Metallbau • Metalltechnik Maria Kemmer, Mettersdorf 95, Mettersdorf • Kontakt über aktuelle Telefonnummern ☎ und Adressen ⚑ mit Karte, Routing, Öffnungszeiten, Homepage, E-Mail, vCard und Firmendaten.</t>
  </si>
  <si>
    <t>Mettersdorf 95</t>
  </si>
  <si>
    <t>Mettersdorf</t>
  </si>
  <si>
    <t>46.8610018</t>
  </si>
  <si>
    <t>15.3516982</t>
  </si>
  <si>
    <t>+43318528420</t>
  </si>
  <si>
    <t>+4331852042</t>
  </si>
  <si>
    <t>info@metalltechnik-kemmer.at</t>
  </si>
  <si>
    <t>https://bilder.dasschnelle.at/DasSchnelle/50/5000/9875/061377/I_061377_P_906278179_L_0035994278_1.png</t>
  </si>
  <si>
    <t>https://bilder.dasschnelle.at/DasSchnelle/50/5000/9875/061377/I_061377_P_906278179_B_0035994278_1.gal.png?height=403&amp;width=600;https://bilder.dasschnelle.at/DasSchnelle/50/5000/9875/061377/I_061377_P_906278179_B_0035994278_2.gal.png?height=400&amp;width=600;https://bilder.dasschnelle.at/DasSchnelle/50/5000/9875/061377/G_061377_P_906278179.adn.gif</t>
  </si>
  <si>
    <t>Spenglerei Lechner GmbH • Fieberbrunn • Tirol</t>
  </si>
  <si>
    <t>Spenglereien • Spenglerei Lechner GmbH, Dandlerau 11, Fieberbrunn • Kontakt über aktuelle Telefonnummern ☎ und Adressen ⚑ mit Karte, Routing, Öffnungszeiten, Homepage, E-Mail, vCard und Firmendaten.</t>
  </si>
  <si>
    <t>Dandlerau 11</t>
  </si>
  <si>
    <t>47.60203</t>
  </si>
  <si>
    <t>12.46687</t>
  </si>
  <si>
    <t>+436765302809</t>
  </si>
  <si>
    <t>office@spenglerei-lechner.at</t>
  </si>
  <si>
    <t>https://bilder.dasschnelle.at/DasSchnelle/50/5000/9896/046134/G_046134_P_906277226.adn.gif</t>
  </si>
  <si>
    <t>Bestattung Krug • Bernstein • Burgenland</t>
  </si>
  <si>
    <t>Bestattungsunternehmen • Bestattung Krug, Hauptstraße 65, Bernstein • Kontakt über aktuelle Telefonnummern ☎ und Adressen ⚑ mit Karte, Routing, Öffnungszeiten, Homepage, E-Mail, vCard und Firmendaten.</t>
  </si>
  <si>
    <t>Hauptstraße 65</t>
  </si>
  <si>
    <t>7434</t>
  </si>
  <si>
    <t>Bernstein</t>
  </si>
  <si>
    <t>47.4068300</t>
  </si>
  <si>
    <t>16.2609100</t>
  </si>
  <si>
    <t>+4333546005</t>
  </si>
  <si>
    <t>bestattung.krug@aon.at</t>
  </si>
  <si>
    <t>https://bilder.dasschnelle.at/DasSchnelle/50/5000/9951/041748/I_041748_P_906277227_L_0037272165_1.png</t>
  </si>
  <si>
    <t>Reinstadler Citroen GesmbH Autohandel und KFZ-Werkstätte • Wiener Neustadt • Niederösterreich</t>
  </si>
  <si>
    <t>Autohandel, Kfz-Werkstätte • Reinstadler Citroen GesmbH Autohandel und KFZ-Werkstätte, Badener Straße 11 u. 14, Wiener Neustadt • Kontakt über aktuelle Telefonnummern ☎ und Adressen ⚑ mit Karte, Routing, Öffnungszeiten, Homepage, E-Mail, vCard und Firmendaten.</t>
  </si>
  <si>
    <t>Badener Straße 11 u. 14</t>
  </si>
  <si>
    <t>47.83426</t>
  </si>
  <si>
    <t>16.23965</t>
  </si>
  <si>
    <t>+43262228610</t>
  </si>
  <si>
    <t>office@reinstadler.at</t>
  </si>
  <si>
    <t>https://bilder.dasschnelle.at/DasSchnelle/50/5000/9946/042060/G_042060_P_906277259.adn.gif</t>
  </si>
  <si>
    <t>Agentur Ortbauer e.U., Versicherung • Neuhofen • Oberösterreich</t>
  </si>
  <si>
    <t>Versicherungen, Agenturen • Agentur Ortbauer e.U., Dambach 11, Neuhofen • Kontakt über aktuelle Telefonnummern ☎ und Adressen ⚑ mit Karte, Routing, Öffnungszeiten, Homepage, E-Mail, vCard und Firmendaten.</t>
  </si>
  <si>
    <t>Dambach 11</t>
  </si>
  <si>
    <t>Neuhofen</t>
  </si>
  <si>
    <t>48.1522100</t>
  </si>
  <si>
    <t>14.2207600</t>
  </si>
  <si>
    <t>+43676878216003</t>
  </si>
  <si>
    <t>wolfgang.ortbauer@allinanz.at</t>
  </si>
  <si>
    <t>Ofenstudio Fliegenschnee • Oberwart • Burgenland</t>
  </si>
  <si>
    <t>Kaminöfen • Ofenstudio Fliegenschnee, Wienerstraße 14, Oberwart • Kontakt über aktuelle Telefonnummern ☎ und Adressen ⚑ mit Karte, Routing, Öffnungszeiten, Homepage, E-Mail, vCard und Firmendaten.</t>
  </si>
  <si>
    <t>47.2901000</t>
  </si>
  <si>
    <t>16.2098500</t>
  </si>
  <si>
    <t>+43335232477</t>
  </si>
  <si>
    <t>ofenstudio@fliegenschnee.at</t>
  </si>
  <si>
    <t>https://bilder.dasschnelle.at/DasSchnelle/50/5000/9951/041373/I_041373_P_906277262_L_0037271139_1.png</t>
  </si>
  <si>
    <t>https://bilder.dasschnelle.at/DasSchnelle/50/5000/9951/041373/I_041373_P_906277262_B_0037271139_1.gal.png?height=205&amp;width=720;https://bilder.dasschnelle.at/DasSchnelle/50/5000/9951/041373/I_041373_P_906277262_B_0037271139_2.gal.png?height=268&amp;width=720;https://bilder.dasschnelle.at/DasSchnelle/50/5000/9951/041373/I_041373_P_906277262_B_0037271139_3.gal.png?height=408&amp;width=720;https://bilder.dasschnelle.at/DasSchnelle/50/5000/9951/041373/I_041373_P_906277262_B_0037271139_4.gal.png?height=299&amp;width=720</t>
  </si>
  <si>
    <t>Gebäudereinigung DITTMER • St. Johann/T. • Tirol</t>
  </si>
  <si>
    <t>Gebäudereinigung • Gebäudereinigung DITTMER, Wegscheidgasse 1a, St. Johann/T. • Kontakt über aktuelle Telefonnummern ☎ und Adressen ⚑ mit Karte, Routing, Öffnungszeiten, Homepage, E-Mail, vCard und Firmendaten.</t>
  </si>
  <si>
    <t>Wegscheidgasse 1a</t>
  </si>
  <si>
    <t>St. Johann/T.</t>
  </si>
  <si>
    <t>47.5224906</t>
  </si>
  <si>
    <t>12.4230725</t>
  </si>
  <si>
    <t>+43535263401</t>
  </si>
  <si>
    <t>gebaeudereinigung.dittmer@gmail.com</t>
  </si>
  <si>
    <t>https://bilder.dasschnelle.at/DasSchnelle/50/5000/9896/046140/G_046140_P_906277431.adn.gif</t>
  </si>
  <si>
    <t>Frühwirth, Dr. Ilse • Oberwart • Burgenland</t>
  </si>
  <si>
    <t>Ärzte / f Allgemeinmedizin • Frühwirth, Dr. Ilse, Röntgengasse 28, Oberwart • Kontakt über aktuelle Telefonnummern ☎ und Adressen ⚑ mit Karte, Routing, Öffnungszeiten, Homepage, E-Mail, vCard und Firmendaten.</t>
  </si>
  <si>
    <t>Röntgengasse 28</t>
  </si>
  <si>
    <t>+4333523372971</t>
  </si>
  <si>
    <t>dr.ilse.f@gmx.at</t>
  </si>
  <si>
    <t>https://bilder.dasschnelle.at/DasSchnelle/50/5000/9951/041373/G_041373_P_906277432.adn.gif</t>
  </si>
  <si>
    <t>Nußbaumer Baustoff GmbH • Pinsdorf • Oberösterreich</t>
  </si>
  <si>
    <t>Baustoffhandel • Nußbaumer Baustoff GmbH, Mitterweg 37, Pinsdorf • Kontakt über aktuelle Telefonnummern ☎ und Adressen ⚑ mit Karte, Routing, Öffnungszeiten, Homepage, E-Mail, vCard und Firmendaten.</t>
  </si>
  <si>
    <t>Mitterweg 37</t>
  </si>
  <si>
    <t>47.93329</t>
  </si>
  <si>
    <t>13.77375</t>
  </si>
  <si>
    <t>+43761263973</t>
  </si>
  <si>
    <t>office@baustoffe-nussbaumer.at</t>
  </si>
  <si>
    <t>https://bilder.dasschnelle.at/DasSchnelle/50/5000/9886/041801/I_041801_P_906277435_L_0037079640_1.png</t>
  </si>
  <si>
    <t>https://bilder.dasschnelle.at/DasSchnelle/50/5000/9886/041801/I_041801_P_906277435_B_0037079640_1.gal.png?height=229&amp;width=720;https://bilder.dasschnelle.at/DasSchnelle/50/5000/9886/041801/I_041801_P_906277435_B_0037079640_2.gal.png?height=536&amp;width=720;https://bilder.dasschnelle.at/DasSchnelle/50/5000/9886/041801/I_041801_P_906277435_B_0037079640_3.gal.png?height=330&amp;width=720;https://bilder.dasschnelle.at/DasSchnelle/50/5000/9886/041801/I_041801_P_906277435_B_0037079640_4.gal.png?height=473&amp;width=720</t>
  </si>
  <si>
    <t>Hrastnik &amp; Serenyi  • Oberwart • Burgenland</t>
  </si>
  <si>
    <t>Rechtsanwälte • Hrastnik &amp; Serenyi, Hauptplatz 11, Oberwart • Kontakt über aktuelle Telefonnummern ☎ und Adressen ⚑ mit Karte, Routing, Öffnungszeiten, Homepage, E-Mail, vCard und Firmendaten.</t>
  </si>
  <si>
    <t>47.2876100</t>
  </si>
  <si>
    <t>16.2140100</t>
  </si>
  <si>
    <t>+43335232508</t>
  </si>
  <si>
    <t>office@hs-rechtsanwaelte.at</t>
  </si>
  <si>
    <t>https://bilder.dasschnelle.at/DasSchnelle/50/5000/9951/041373/I_041373_P_906277449_L_0038490951_1.png</t>
  </si>
  <si>
    <t>https://bilder.dasschnelle.at/DasSchnelle/50/5000/9951/041373/I_041373_P_906277449_B_0038490951_1.gal.png?height=673&amp;width=708</t>
  </si>
  <si>
    <t>Viechtbauer, Susanne, Dr., Augenarzt • Altmünster • Oberösterreich</t>
  </si>
  <si>
    <t>Ärzte / Fachärzte f. Augenheilkunde u. Optometrie • Viechtbauer, Susanne, Dr., Ebenzweierstraße 4, Altmünster • Kontakt über aktuelle Telefonnummern ☎ und Adressen ⚑ mit Karte, Routing, Öffnungszeiten, Homepage, E-Mail, vCard und Firmendaten.</t>
  </si>
  <si>
    <t>Ebenzweierstraße 4</t>
  </si>
  <si>
    <t>47.90026</t>
  </si>
  <si>
    <t>13.76356</t>
  </si>
  <si>
    <t>+43761289812;+436644832326</t>
  </si>
  <si>
    <t>susanne.viechtbauer@gmx.at</t>
  </si>
  <si>
    <t>https://bilder.dasschnelle.at/DasSchnelle/50/5000/9886/041788/G_041788_P_906278658.adn.gif</t>
  </si>
  <si>
    <t>Facelook, Kosmetikstudio • Leibnitz • Steiermark</t>
  </si>
  <si>
    <t>Kosmetikstudios • Facelook, Exerzierfeldgasse 15, Leibnitz • Kontakt über aktuelle Telefonnummern ☎ und Adressen ⚑ mit Karte, Routing, Öffnungszeiten, Homepage, E-Mail, vCard und Firmendaten.</t>
  </si>
  <si>
    <t>Exerzierfeldgasse 15</t>
  </si>
  <si>
    <t>46.79773</t>
  </si>
  <si>
    <t>15.56659</t>
  </si>
  <si>
    <t>+43345271276</t>
  </si>
  <si>
    <t>office@facelook.at</t>
  </si>
  <si>
    <t>https://bilder.dasschnelle.at/DasSchnelle/50/5000/9875/061379/G_061379_P_906278661.adn.gif</t>
  </si>
  <si>
    <t>Krankenpflegeverein Hl. Martin • Straßwalchen • Salzburg</t>
  </si>
  <si>
    <t>Pflegedienste • Krankenpflegeverein Hl. Martin, Mondseerstraße 16, Straßwalchen • Kontakt über aktuelle Telefonnummern ☎ und Adressen ⚑ mit Karte, Routing, Öffnungszeiten, Homepage, E-Mail, vCard und Firmendaten.</t>
  </si>
  <si>
    <t>Mondseerstraße 16</t>
  </si>
  <si>
    <t>47.9758999</t>
  </si>
  <si>
    <t>13.2599517</t>
  </si>
  <si>
    <t>+4362158550</t>
  </si>
  <si>
    <t>office@pflegeverein.org</t>
  </si>
  <si>
    <t>https://bilder.dasschnelle.at/DasSchnelle/50/5000/9935/043329/I_043329_P_906278663_L_0036738778_1.png</t>
  </si>
  <si>
    <t>https://bilder.dasschnelle.at/DasSchnelle/50/5000/9935/043329/I_043329_P_906278663_B_0036738778_1.gal.png?height=450&amp;width=300;https://bilder.dasschnelle.at/DasSchnelle/50/5000/9935/043329/I_043329_P_906278663_B_0036738778_2.gal.png?height=544&amp;width=350;https://bilder.dasschnelle.at/DasSchnelle/50/5000/9935/043329/I_043329_P_906278663_B_0036738778_3.gal.png?height=214&amp;width=300;https://bilder.dasschnelle.at/DasSchnelle/50/5000/9935/043329/G_043329_P_906278663.adn.gif</t>
  </si>
  <si>
    <t>Holzmeister  • Reith bei Kitzbühel • Tirol</t>
  </si>
  <si>
    <t>Holzbau • Holzmeister, Schösserweg 5, Reith bei Kitzbühel • Kontakt über aktuelle Telefonnummern ☎ und Adressen ⚑ mit Karte, Routing, Öffnungszeiten, Homepage, E-Mail, vCard und Firmendaten.</t>
  </si>
  <si>
    <t>Schösserweg 5</t>
  </si>
  <si>
    <t>Reith bei Kitzbühel</t>
  </si>
  <si>
    <t>47.50291</t>
  </si>
  <si>
    <t>12.35247</t>
  </si>
  <si>
    <t>+43535663356</t>
  </si>
  <si>
    <t>info@holzmeister.tirol</t>
  </si>
  <si>
    <t>https://bilder.dasschnelle.at/DasSchnelle/50/5000/9896/046138/I_046138_P_906280465_L_0039959479_1.png</t>
  </si>
  <si>
    <t>Schönleitner Georg GmbH &amp; Co KG, Tischlerei • Kuchl • Salzburg</t>
  </si>
  <si>
    <t>Tischlereien • Schönleitner Georg GmbH &amp; Co KG, Markt 125, Kuchl • Kontakt über aktuelle Telefonnummern ☎ und Adressen ⚑ mit Karte, Routing, Öffnungszeiten, Homepage, E-Mail, vCard und Firmendaten.</t>
  </si>
  <si>
    <t>47.62509</t>
  </si>
  <si>
    <t>13.13973</t>
  </si>
  <si>
    <t>+43624462580</t>
  </si>
  <si>
    <t>+43624462583</t>
  </si>
  <si>
    <t>tischlerei.schoenleitner@sbg.at</t>
  </si>
  <si>
    <t>https://bilder.dasschnelle.at/DasSchnelle/50/5000/9889/043593/G_043593_P_906280470.adn.gif</t>
  </si>
  <si>
    <t>Weixlbaumer KFZ-Service, KFZ-Werkstatt • Linz • Oberösterreich</t>
  </si>
  <si>
    <t>Autoreparaturen • Weixlbaumer KFZ-Service, Salzburger Strasse 258, Linz • Kontakt über aktuelle Telefonnummern ☎ und Adressen ⚑ mit Karte, Routing, Öffnungszeiten, Homepage, E-Mail, vCard und Firmendaten.</t>
  </si>
  <si>
    <t>Salzburger Strasse 258</t>
  </si>
  <si>
    <t>48.2548</t>
  </si>
  <si>
    <t>14.28512</t>
  </si>
  <si>
    <t>+436605227669</t>
  </si>
  <si>
    <t>ch.weixlbaumer@gmail.com</t>
  </si>
  <si>
    <t>https://bilder.dasschnelle.at/DasSchnelle/50/5000/9937/046120/G_046120_P_906279881.adn.gif</t>
  </si>
  <si>
    <t>Bubestinger, Fritz, Erdbewegungen • Uttendorf • Oberösterreich</t>
  </si>
  <si>
    <t>Erdarbeiten, Erdbewegungen • Bubestinger, Fritz, Sonnleiten 4, Uttendorf • Kontakt über aktuelle Telefonnummern ☎ und Adressen ⚑ mit Karte, Routing, Öffnungszeiten, Homepage, E-Mail, vCard und Firmendaten.</t>
  </si>
  <si>
    <t>Sonnleiten 4</t>
  </si>
  <si>
    <t>48.1652589</t>
  </si>
  <si>
    <t>13.1628790</t>
  </si>
  <si>
    <t>+4377242739</t>
  </si>
  <si>
    <t>office@bubestinger.at</t>
  </si>
  <si>
    <t>https://bilder.dasschnelle.at/DasSchnelle/50/5000/9872/044769/G_044769_P_906282697.adn.gif</t>
  </si>
  <si>
    <t>KFZ Höller • Stainz • Steiermark</t>
  </si>
  <si>
    <t>Autowerkstätten, KFZ-Werkstätte u. Handel • KFZ Höller, Pichling 134, Stainz • Kontakt über aktuelle Telefonnummern ☎ und Adressen ⚑ mit Karte, Routing, Öffnungszeiten, Homepage, E-Mail, vCard und Firmendaten.</t>
  </si>
  <si>
    <t>Pichling 134</t>
  </si>
  <si>
    <t>46.8998745</t>
  </si>
  <si>
    <t>15.2677763</t>
  </si>
  <si>
    <t>+436606420691</t>
  </si>
  <si>
    <t>office@kfz-hoeller.com</t>
  </si>
  <si>
    <t>https://bilder.dasschnelle.at/DasSchnelle/50/5000/9875/061377/G_061377_P_906282701.adn.gif</t>
  </si>
  <si>
    <t>Göritzer, Manfred, Dachdeckerei • Pichling bei Stainz • Steiermark</t>
  </si>
  <si>
    <t>Dachdeckereien • Göritzer, Manfred, Pichling bei Stainz • Kontakt über aktuelle Telefonnummern ☎ und Adressen ⚑ mit Karte, Routing, Öffnungszeiten, Homepage, E-Mail, vCard und Firmendaten.</t>
  </si>
  <si>
    <t>Pichling bei Stainz</t>
  </si>
  <si>
    <t>46.9001867</t>
  </si>
  <si>
    <t>15.2678977</t>
  </si>
  <si>
    <t>+4334632507;+436645055562</t>
  </si>
  <si>
    <t>+43346370090</t>
  </si>
  <si>
    <t>office@goeritzer.at</t>
  </si>
  <si>
    <t>https://bilder.dasschnelle.at/DasSchnelle/50/5000/9875/061377/I_061377_P_906282707_L_0036262211_1.png</t>
  </si>
  <si>
    <t>https://bilder.dasschnelle.at/DasSchnelle/50/5000/9875/061377/I_061377_P_906282707_B_0036262211_1.gal.png?height=449&amp;width=1000;https://bilder.dasschnelle.at/DasSchnelle/50/5000/9875/061377/I_061377_P_906282707_B_0036262211_2.gal.png?height=674&amp;width=1000;https://bilder.dasschnelle.at/DasSchnelle/50/5000/9875/061377/I_061377_P_906282707_B_0036262211_3.gal.png?height=667&amp;width=1000</t>
  </si>
  <si>
    <t>Brne M. GesmbH &amp; Co KG, Autohaus • Eibiswald • Steiermark</t>
  </si>
  <si>
    <t>Autohäuser, Autoreparaturen • Brne M. GesmbH &amp; Co KG, Eibiswald 141, Eibiswald • Kontakt über aktuelle Telefonnummern ☎ und Adressen ⚑ mit Karte, Routing, Öffnungszeiten, Homepage, E-Mail, vCard und Firmendaten.</t>
  </si>
  <si>
    <t>Eibiswald 141</t>
  </si>
  <si>
    <t>46.6912261</t>
  </si>
  <si>
    <t>15.2558113</t>
  </si>
  <si>
    <t>+433466427750;+436641852055</t>
  </si>
  <si>
    <t>+4334664277520</t>
  </si>
  <si>
    <t>office@brne.at</t>
  </si>
  <si>
    <t>https://bilder.dasschnelle.at/DasSchnelle/50/5000/9875/061447/G_061447_P_906282715.adn.gif</t>
  </si>
  <si>
    <t>Schuster, Werner, Dr., FA f Radiologie • Neunkirchen • Niederösterreich</t>
  </si>
  <si>
    <t>Ärzte / Fachärzte f. Radiologie • Schuster, Werner, Dr., Schulgasse 5, Neunkirchen • Kontakt über aktuelle Telefonnummern ☎ und Adressen ⚑ mit Karte, Routing, Öffnungszeiten, Homepage, E-Mail, vCard und Firmendaten.</t>
  </si>
  <si>
    <t>Schulgasse 5</t>
  </si>
  <si>
    <t>47.72131</t>
  </si>
  <si>
    <t>16.08387</t>
  </si>
  <si>
    <t>+43263564599</t>
  </si>
  <si>
    <t>+4326356459955</t>
  </si>
  <si>
    <t>institut@dr-schuster.at</t>
  </si>
  <si>
    <t>https://bilder.dasschnelle.at/DasSchnelle/50/5000/9913/041844/G_041844_P_906281116.adn.gif</t>
  </si>
  <si>
    <t>B &amp; C Bruckbauer KG, Steinmetzmeisterbetrieb • Braunau am Inn • Oberösterreich</t>
  </si>
  <si>
    <t>Steinmetzbetriebe • B &amp; C Bruckbauer KG, Industriezeile 27, Braunau am Inn • Kontakt über aktuelle Telefonnummern ☎ und Adressen ⚑ mit Karte, Routing, Öffnungszeiten, Homepage, E-Mail, vCard und Firmendaten.</t>
  </si>
  <si>
    <t>Industriezeile 27</t>
  </si>
  <si>
    <t>48.24845</t>
  </si>
  <si>
    <t>13.06111</t>
  </si>
  <si>
    <t>+437722631570</t>
  </si>
  <si>
    <t>f.bruckbauer@gmx.net</t>
  </si>
  <si>
    <t>https://bilder.dasschnelle.at/DasSchnelle/50/5000/9872/044551/G_044551_P_906281120.adn.gif</t>
  </si>
  <si>
    <t>Siller, Marcus, Zimmerei u Wagnerei • Kuchl • Salzburg</t>
  </si>
  <si>
    <t>Zimmereien • Siller, Marcus, Georgenberg 94, Kuchl • Kontakt über aktuelle Telefonnummern ☎ und Adressen ⚑ mit Karte, Routing, Öffnungszeiten, Homepage, E-Mail, vCard und Firmendaten.</t>
  </si>
  <si>
    <t>Georgenberg 94</t>
  </si>
  <si>
    <t>47.6163297</t>
  </si>
  <si>
    <t>13.1788378</t>
  </si>
  <si>
    <t>+4362446407</t>
  </si>
  <si>
    <t>siller.holzbaumeister@aon.at</t>
  </si>
  <si>
    <t>https://bilder.dasschnelle.at/DasSchnelle/50/5000/9889/043593/G_043593_P_906281122.adn.gif</t>
  </si>
  <si>
    <t>Zimmermann, Klaus, Dr., FA f Zahn-, Mund- u Kieferheilkunde • Mattsee • Salzburg</t>
  </si>
  <si>
    <t>Ärzte / Fachärzte f. Zahn-, Mund u. Kieferheilkunde • Zimmermann, Klaus, Dr., Münsterholzstraße 19, Mattsee • Kontakt über aktuelle Telefonnummern ☎ und Adressen ⚑ mit Karte, Routing, Öffnungszeiten, Homepage, E-Mail, vCard und Firmendaten.</t>
  </si>
  <si>
    <t>Münsterholzstraße 19</t>
  </si>
  <si>
    <t>47.96774</t>
  </si>
  <si>
    <t>13.10573</t>
  </si>
  <si>
    <t>+4362176500</t>
  </si>
  <si>
    <t>https://bilder.dasschnelle.at/DasSchnelle/50/5000/9931/043319/G_043319_P_906281130.adn.gif</t>
  </si>
  <si>
    <t>Skabraut, Erich, Vollwärmeschutz • Weißenbach am Lech • Tirol</t>
  </si>
  <si>
    <t>Vollwärmeschutz • Skabraut, Erich, Pfarrweg 29, Weißenbach am Lech • Kontakt über aktuelle Telefonnummern ☎ und Adressen ⚑ mit Karte, Routing, Öffnungszeiten, Homepage, E-Mail, vCard und Firmendaten.</t>
  </si>
  <si>
    <t>Pfarrweg 29</t>
  </si>
  <si>
    <t>47.4374073</t>
  </si>
  <si>
    <t>10.6273170</t>
  </si>
  <si>
    <t>+436767222081</t>
  </si>
  <si>
    <t>se-vollwaermeschutz@gmx.at</t>
  </si>
  <si>
    <t>https://bilder.dasschnelle.at/DasSchnelle/50/5000/9921/042611/G_042611_P_906281133.adn.gif</t>
  </si>
  <si>
    <t>Astecker, Tina, Prim. Dr.med., FA f Augenheilkunde u Optometrie • Gmunden • Oberösterreich</t>
  </si>
  <si>
    <t>Ärzte / Fachärzte f. Augenheilkunde u. Optometrie • Astecker, Tina, Prim. Dr.med., Cumberlandpark 7 A, Gmunden • Kontakt über aktuelle Telefonnummern ☎ und Adressen ⚑ mit Karte, Routing, Öffnungszeiten, Homepage, E-Mail, vCard und Firmendaten.</t>
  </si>
  <si>
    <t>Cumberlandpark 7 A</t>
  </si>
  <si>
    <t>47.9283547</t>
  </si>
  <si>
    <t>13.8057469</t>
  </si>
  <si>
    <t>+436643110690</t>
  </si>
  <si>
    <t>info@augenarzt-gmunden.at</t>
  </si>
  <si>
    <t>https://bilder.dasschnelle.at/DasSchnelle/50/5000/9886/041792/I_041792_P_906282097_L_0036891795_1.png</t>
  </si>
  <si>
    <t>https://bilder.dasschnelle.at/DasSchnelle/50/5000/9886/041792/I_041792_P_906282097_B_0036891795_1.gal.png?height=559&amp;width=720;https://bilder.dasschnelle.at/DasSchnelle/50/5000/9886/041792/I_041792_P_906282097_B_0036891795_2.gal.png?height=601&amp;width=720;https://bilder.dasschnelle.at/DasSchnelle/50/5000/9886/041792/I_041792_P_906282097_B_0036891795_3.gal.png?height=610&amp;width=720;https://bilder.dasschnelle.at/DasSchnelle/50/5000/9886/041792/G_041792_P_906282097.adn.gif</t>
  </si>
  <si>
    <t>Enzinger, Elke, Dr.med., FA f Zahn-, Mund- u Kieferheilkunde • Würflach • Niederösterreich</t>
  </si>
  <si>
    <t>Ärzte / Fachärzte f. Zahn-, Mund u. Kieferheilkunde • Enzinger, Elke, Dr.med., Heuweg 280, Würflach • Kontakt über aktuelle Telefonnummern ☎ und Adressen ⚑ mit Karte, Routing, Öffnungszeiten, Homepage, E-Mail, vCard und Firmendaten.</t>
  </si>
  <si>
    <t>Heuweg 280</t>
  </si>
  <si>
    <t>Würflach</t>
  </si>
  <si>
    <t>47.7709</t>
  </si>
  <si>
    <t>16.05666</t>
  </si>
  <si>
    <t>+4326202886</t>
  </si>
  <si>
    <t>https://bilder.dasschnelle.at/DasSchnelle/50/5000/9913/041869/G_041869_P_906282099.adn.gif</t>
  </si>
  <si>
    <t>Paul, Oliver, Dr., FA f Innere Medizin • Ternitz • Niederösterreich</t>
  </si>
  <si>
    <t>Ärzte / Fachärzte f. Innere Medizin • Paul, Oliver, Dr., Rathausgasse 8, Ternitz • Kontakt über aktuelle Telefonnummern ☎ und Adressen ⚑ mit Karte, Routing, Öffnungszeiten, Homepage, E-Mail, vCard und Firmendaten.</t>
  </si>
  <si>
    <t>Rathausgasse 8</t>
  </si>
  <si>
    <t>47.71569</t>
  </si>
  <si>
    <t>16.03891</t>
  </si>
  <si>
    <t>+43263036910</t>
  </si>
  <si>
    <t>https://bilder.dasschnelle.at/DasSchnelle/50/5000/9913/041861/G_041861_P_906282107.adn.gif</t>
  </si>
  <si>
    <t>Fasan, M., Dr. • Neunkirchen • Niederösterreich</t>
  </si>
  <si>
    <t>Ärzte / Fachärzte f. Innere Medizin • Fasan, M., Dr., Talgasse 27, Neunkirchen • Kontakt über aktuelle Telefonnummern ☎ und Adressen ⚑ mit Karte, Routing, Öffnungszeiten, Homepage, E-Mail, vCard und Firmendaten.</t>
  </si>
  <si>
    <t>Talgasse 27</t>
  </si>
  <si>
    <t>47.72225</t>
  </si>
  <si>
    <t>16.07501</t>
  </si>
  <si>
    <t>+43263569510</t>
  </si>
  <si>
    <t>m.fasan@speed.at</t>
  </si>
  <si>
    <t>https://bilder.dasschnelle.at/DasSchnelle/50/5000/9913/041844/G_041844_P_906282108.adn.gif</t>
  </si>
  <si>
    <t>Dipplinger GesmbH, Sanitäre Anlagen • Altheim • Oberösterreich</t>
  </si>
  <si>
    <t>Installationsunternehmen • Dipplinger GesmbH, Schulgasse 22, Altheim • Kontakt über aktuelle Telefonnummern ☎ und Adressen ⚑ mit Karte, Routing, Öffnungszeiten, Homepage, E-Mail, vCard und Firmendaten.</t>
  </si>
  <si>
    <t>Schulgasse 22</t>
  </si>
  <si>
    <t>48.24694</t>
  </si>
  <si>
    <t>13.23385</t>
  </si>
  <si>
    <t>+43772342448</t>
  </si>
  <si>
    <t>office@dipplinger-installateur.at</t>
  </si>
  <si>
    <t>https://bilder.dasschnelle.at/DasSchnelle/50/5000/9872/044548/I_044548_P_906282110_L_0035970929_1.png</t>
  </si>
  <si>
    <t>https://bilder.dasschnelle.at/DasSchnelle/50/5000/9872/044548/I_044548_P_906282110_B_0035970929_1.gal.png?height=156&amp;width=323;https://bilder.dasschnelle.at/DasSchnelle/50/5000/9872/044548/G_044548_P_906282110.adn.gif</t>
  </si>
  <si>
    <t>Steinerberger, Daniela, Friseur • Altheim • Oberösterreich</t>
  </si>
  <si>
    <t>Friseure • Steinerberger, Daniela, Stadtplatz 28, Altheim • Kontakt über aktuelle Telefonnummern ☎ und Adressen ⚑ mit Karte, Routing, Öffnungszeiten, Homepage, E-Mail, vCard und Firmendaten.</t>
  </si>
  <si>
    <t>Stadtplatz 28</t>
  </si>
  <si>
    <t>48.25014</t>
  </si>
  <si>
    <t>13.23178</t>
  </si>
  <si>
    <t>+43772342353</t>
  </si>
  <si>
    <t>danielas.haarwelt@gmail.com</t>
  </si>
  <si>
    <t>https://bilder.dasschnelle.at/DasSchnelle/50/5000/9872/044548/G_044548_P_906282112.adn.gif</t>
  </si>
  <si>
    <t>Wodl, Gerald, Gartengestaltung • Gloggnitz • Niederösterreich</t>
  </si>
  <si>
    <t>Garten- u. Landschaftsgestaltung • Wodl, Gerald, August Blum-Straße 1, Gloggnitz • Kontakt über aktuelle Telefonnummern ☎ und Adressen ⚑ mit Karte, Routing, Öffnungszeiten, Homepage, E-Mail, vCard und Firmendaten.</t>
  </si>
  <si>
    <t>August Blum-Straße 1</t>
  </si>
  <si>
    <t>47.6621706</t>
  </si>
  <si>
    <t>15.9203735</t>
  </si>
  <si>
    <t>+43266242724;+436766086895</t>
  </si>
  <si>
    <t>office-lp@aon.at</t>
  </si>
  <si>
    <t>https://bilder.dasschnelle.at/DasSchnelle/50/5000/9913/041837/G_041837_P_906282115.adn.gif</t>
  </si>
  <si>
    <t>EGE Raumausstattung GmbH • Neunkirchen • Niederösterreich</t>
  </si>
  <si>
    <t>Raumausstatter • EGE Raumausstattung GmbH, Wienerstraße 45, Neunkirchen • Kontakt über aktuelle Telefonnummern ☎ und Adressen ⚑ mit Karte, Routing, Öffnungszeiten, Homepage, E-Mail, vCard und Firmendaten.</t>
  </si>
  <si>
    <t>Wienerstraße 45</t>
  </si>
  <si>
    <t>47.7297300</t>
  </si>
  <si>
    <t>16.0962165</t>
  </si>
  <si>
    <t>+43263571191;+4369912242191</t>
  </si>
  <si>
    <t>office@ege-raum.at</t>
  </si>
  <si>
    <t>https://bilder.dasschnelle.at/DasSchnelle/50/5000/9913/041844/I_041844_P_906282120_L_0036891915_1.png</t>
  </si>
  <si>
    <t>https://bilder.dasschnelle.at/DasSchnelle/50/5000/9913/041844/I_041844_P_906282120_B_0036891915_1.gal.png?height=600&amp;width=800;https://bilder.dasschnelle.at/DasSchnelle/50/5000/9913/041844/I_041844_P_906282120_B_0036891915_2.gal.png?height=600&amp;width=800;https://bilder.dasschnelle.at/DasSchnelle/50/5000/9913/041844/I_041844_P_906282120_B_0036891915_3.gal.png?height=600&amp;width=800;https://bilder.dasschnelle.at/DasSchnelle/50/5000/9913/041844/I_041844_P_906282120_B_0036891915_4.gal.png?height=600&amp;width=800</t>
  </si>
  <si>
    <t>HKLS Service • Leonding • Oberösterreich</t>
  </si>
  <si>
    <t>Lüftungs- u. Klimatechnik • HKLS Service, Wiener Bundesstraße 28, Leonding • Kontakt über aktuelle Telefonnummern ☎ und Adressen ⚑ mit Karte, Routing, Öffnungszeiten, Homepage, E-Mail, vCard und Firmendaten.</t>
  </si>
  <si>
    <t>Wiener Bundesstraße 28</t>
  </si>
  <si>
    <t>4060</t>
  </si>
  <si>
    <t>Leonding</t>
  </si>
  <si>
    <t>48.2440400</t>
  </si>
  <si>
    <t>14.2563200</t>
  </si>
  <si>
    <t>+436602903457</t>
  </si>
  <si>
    <t>office@hkls-service.at</t>
  </si>
  <si>
    <t>https://bilder.dasschnelle.at/DasSchnelle/50/5000/9937/046121/G_046121_P_906282124.adn.gif</t>
  </si>
  <si>
    <t>Sabine, Café-Restaurant • Bad Erlach • Niederösterreich</t>
  </si>
  <si>
    <t>Gastgewerbe - Gasthöfe • Sabine, Dorfgasse 11, Bad Erlach • Kontakt über aktuelle Telefonnummern ☎ und Adressen ⚑ mit Karte, Routing, Öffnungszeiten, Homepage, E-Mail, vCard und Firmendaten.</t>
  </si>
  <si>
    <t>https://bilder.dasschnelle.at/DasSchnelle/50/5000/9946/044272/G_044272_P_906282659.adn.gif</t>
  </si>
  <si>
    <t>Behindertenintegration Ternitz gemeinnützige GmbH, Soziale Dienste • Ternitz • Niederösterreich</t>
  </si>
  <si>
    <t>Soziale Dienste • Behindertenintegration Ternitz gemeinnützige GmbH, Lobengasse 22, Ternitz • Kontakt über aktuelle Telefonnummern ☎ und Adressen ⚑ mit Karte, Routing, Öffnungszeiten, Homepage, E-Mail, vCard und Firmendaten.</t>
  </si>
  <si>
    <t>Lobengasse 22</t>
  </si>
  <si>
    <t>47.71404</t>
  </si>
  <si>
    <t>16.04405</t>
  </si>
  <si>
    <t>+432630365110</t>
  </si>
  <si>
    <t>+432630365114</t>
  </si>
  <si>
    <t>office@behinderten-integration.at</t>
  </si>
  <si>
    <t>https://bilder.dasschnelle.at/DasSchnelle/50/5000/9913/041861/G_041861_P_906283819.adn.gif</t>
  </si>
  <si>
    <t>Kopeinigg Dr. &amp; Dr. Novak OG Gruppenpraxis f Radiologie, Radiologie • Neunkirchen • Niederösterreich</t>
  </si>
  <si>
    <t>Ärzte / Fachärzte f. Radiologie • Kopeinigg Dr. &amp; Dr. Novak OG Gruppenpraxis f Radiologie, Holzplatz 3, Neunkirchen • Kontakt über aktuelle Telefonnummern ☎ und Adressen ⚑ mit Karte, Routing, Öffnungszeiten, Homepage, E-Mail, vCard und Firmendaten.</t>
  </si>
  <si>
    <t>Holzplatz 3</t>
  </si>
  <si>
    <t>47.7213219</t>
  </si>
  <si>
    <t>16.0789725</t>
  </si>
  <si>
    <t>+432635625430</t>
  </si>
  <si>
    <t>kopeinigg@roentgenneunkirchen.at</t>
  </si>
  <si>
    <t>https://bilder.dasschnelle.at/DasSchnelle/50/5000/9913/041844/G_041844_P_906283821.adn.gif</t>
  </si>
  <si>
    <t>Schaller, Günther, Dr., FA für Psychiatrie und Neurologie • Gmunden • Oberösterreich</t>
  </si>
  <si>
    <t>Ärzte / Fachärzte f. Neurologie u. Psychiatrie, Psychotherapie • Schaller, Günther, Dr., Traungasse 12, Gmunden • Kontakt über aktuelle Telefonnummern ☎ und Adressen ⚑ mit Karte, Routing, Öffnungszeiten, Homepage, E-Mail, vCard und Firmendaten.</t>
  </si>
  <si>
    <t>Traungasse 12</t>
  </si>
  <si>
    <t>47.9193</t>
  </si>
  <si>
    <t>13.80111</t>
  </si>
  <si>
    <t>+43761263076;+43761265406</t>
  </si>
  <si>
    <t>https://bilder.dasschnelle.at/DasSchnelle/50/5000/9886/041792/G_041792_P_906283825.adn.gif</t>
  </si>
  <si>
    <t>Schweifer e.U., Inh. Robert Schweifer, Fenster-Türen-Sonnenschutz • Uttendorf • Oberösterreich</t>
  </si>
  <si>
    <t>Fenster u. Türen, Sonnen u. Insektenschutz, Sonnenschutzanlagen, Türen • Schweifer e.U., Inh. Robert Schweifer, Uttendorf 24, Uttendorf • Kontakt über aktuelle Telefonnummern ☎ und Adressen ⚑ mit Karte, Routing, Öffnungszeiten, Homepage, E-Mail, vCard und Firmendaten.</t>
  </si>
  <si>
    <t>Uttendorf 24</t>
  </si>
  <si>
    <t>48.1543493</t>
  </si>
  <si>
    <t>13.1186072</t>
  </si>
  <si>
    <t>+43772444334;+436605778531;+436642032388;+436649243499</t>
  </si>
  <si>
    <t>r.schweifer@aon.at</t>
  </si>
  <si>
    <t>https://bilder.dasschnelle.at/DasSchnelle/50/5000/9872/044769/G_044769_P_906283834.adn.gif</t>
  </si>
  <si>
    <t>Robusta-Muigg Bau u. Raum HandelsgmbH • Uttendorf • Oberösterreich</t>
  </si>
  <si>
    <t>Bodenbeläge • Robusta-Muigg Bau u. Raum HandelsgmbH, Marktplatz 70, Uttendorf • Kontakt über aktuelle Telefonnummern ☎ und Adressen ⚑ mit Karte, Routing, Öffnungszeiten, Homepage, E-Mail, vCard und Firmendaten.</t>
  </si>
  <si>
    <t>Marktplatz 70</t>
  </si>
  <si>
    <t>48.1551914</t>
  </si>
  <si>
    <t>13.1179784</t>
  </si>
  <si>
    <t>+4377242903</t>
  </si>
  <si>
    <t>robusta.muigg@innline.at</t>
  </si>
  <si>
    <t>https://bilder.dasschnelle.at/DasSchnelle/50/5000/9872/044769/G_044769_P_906283839.adn.gif</t>
  </si>
  <si>
    <t>Konditorie Wallner KG • St. Wolfgang im Salzkamm • Oberösterreich</t>
  </si>
  <si>
    <t>Kaffeehäuser, Lebensmittel • Konditorie Wallner KG, Markt 29, St. Wolfgang im Salzkamm • Kontakt über aktuelle Telefonnummern ☎ und Adressen ⚑ mit Karte, Routing, Öffnungszeiten, Homepage, E-Mail, vCard und Firmendaten.</t>
  </si>
  <si>
    <t>Markt 29</t>
  </si>
  <si>
    <t>St. Wolfgang im Salzkamm</t>
  </si>
  <si>
    <t>47.7383600</t>
  </si>
  <si>
    <t>13.4478400</t>
  </si>
  <si>
    <t>+4361382272</t>
  </si>
  <si>
    <t>info@wallner24.at</t>
  </si>
  <si>
    <t>https://bilder.dasschnelle.at/DasSchnelle/50/5000/9868/041804/G_041804_P_906283901.adn.gif</t>
  </si>
  <si>
    <t>Klinger, Thomas, Ing., Fleischhauerei • Groß Sankt Florian • Steiermark</t>
  </si>
  <si>
    <t>Fleischhauereien • Klinger, Thomas, Ing., Marktstraße 11, Groß Sankt Florian • Kontakt über aktuelle Telefonnummern ☎ und Adressen ⚑ mit Karte, Routing, Öffnungszeiten, Homepage, E-Mail, vCard und Firmendaten.</t>
  </si>
  <si>
    <t>46.822</t>
  </si>
  <si>
    <t>15.3172</t>
  </si>
  <si>
    <t>+4334642375</t>
  </si>
  <si>
    <t>+433464237550</t>
  </si>
  <si>
    <t>office@fleischerei-klinger.at</t>
  </si>
  <si>
    <t>https://bilder.dasschnelle.at/DasSchnelle/50/5000/9875/061469/I_061469_P_906284597_L_0036253068_1.png</t>
  </si>
  <si>
    <t>https://bilder.dasschnelle.at/DasSchnelle/50/5000/9875/061469/I_061469_P_906284597_B_0036253068_1.gal.png?height=435&amp;width=756;https://bilder.dasschnelle.at/DasSchnelle/50/5000/9875/061469/I_061469_P_906284597_B_0036253068_2.gal.png?height=413&amp;width=345;https://bilder.dasschnelle.at/DasSchnelle/50/5000/9875/061469/I_061469_P_906284597_B_0036253068_3.gal.png?height=377&amp;width=567;https://bilder.dasschnelle.at/DasSchnelle/50/5000/9875/061469/I_061469_P_906284597_B_0036253068_4.gal.png?height=340&amp;width=453</t>
  </si>
  <si>
    <t>Tischlerei Christian Klement • Groß Sankt Florian • Steiermark</t>
  </si>
  <si>
    <t>Tischlereien • Tischlerei Christian Klement, Petzelsdorfstraße 21, Groß Sankt Florian • Kontakt über aktuelle Telefonnummern ☎ und Adressen ⚑ mit Karte, Routing, Öffnungszeiten, Homepage, E-Mail, vCard und Firmendaten.</t>
  </si>
  <si>
    <t>Petzelsdorfstraße 21</t>
  </si>
  <si>
    <t>46.8300001</t>
  </si>
  <si>
    <t>15.3213378</t>
  </si>
  <si>
    <t>+436644639291</t>
  </si>
  <si>
    <t>office@tischlerei-klement.at</t>
  </si>
  <si>
    <t>https://bilder.dasschnelle.at/DasSchnelle/50/5000/9875/061469/G_061469_P_906284600.adn.gif</t>
  </si>
  <si>
    <t>Haider, Franz, Transporte • Brunn • Steiermark</t>
  </si>
  <si>
    <t>Transportunternehmen • Haider, Franz, Gewerbepark 1, Brunn • Kontakt über aktuelle Telefonnummern ☎ und Adressen ⚑ mit Karte, Routing, Öffnungszeiten, Homepage, E-Mail, vCard und Firmendaten.</t>
  </si>
  <si>
    <t>Gewerbepark 1</t>
  </si>
  <si>
    <t>Brunn</t>
  </si>
  <si>
    <t>46.72482</t>
  </si>
  <si>
    <t>15.29247</t>
  </si>
  <si>
    <t>+43346520550</t>
  </si>
  <si>
    <t>office@haiderfranz-transporte.at</t>
  </si>
  <si>
    <t>https://bilder.dasschnelle.at/DasSchnelle/50/5000/9875/045313/G_045313_P_906284627.adn.gif</t>
  </si>
  <si>
    <t>BENEDA, Entrümpler • Traun • Oberösterreich</t>
  </si>
  <si>
    <t>Entrümpelungen • BENEDA, Klopstockstraße 7, Traun • Kontakt über aktuelle Telefonnummern ☎ und Adressen ⚑ mit Karte, Routing, Öffnungszeiten, Homepage, E-Mail, vCard und Firmendaten.</t>
  </si>
  <si>
    <t>Klopstockstraße 7</t>
  </si>
  <si>
    <t>48.2433878</t>
  </si>
  <si>
    <t>14.2580550</t>
  </si>
  <si>
    <t>+436769600309</t>
  </si>
  <si>
    <t>office.beneda@gmail.com</t>
  </si>
  <si>
    <t>https://bilder.dasschnelle.at/DasSchnelle/50/5000/9937/046120/G_046120_P_906284628.adn.gif</t>
  </si>
  <si>
    <t>Salagean Installationen OG, Installationsunternehmen • Leonding • Oberösterreich</t>
  </si>
  <si>
    <t>Installationsunternehmen • Salagean Installationen OG, Im Bäckerfeld 2, Leonding • Kontakt über aktuelle Telefonnummern ☎ und Adressen ⚑ mit Karte, Routing, Öffnungszeiten, Homepage, E-Mail, vCard und Firmendaten.</t>
  </si>
  <si>
    <t>Im Bäckerfeld 2</t>
  </si>
  <si>
    <t>48.2527600</t>
  </si>
  <si>
    <t>14.3164200</t>
  </si>
  <si>
    <t>+436765370689</t>
  </si>
  <si>
    <t>salagean.installationen@yahoo.com</t>
  </si>
  <si>
    <t>Eckbauer WirtschaftstreuhandgesmbH Büro • Gloggnitz • Niederösterreich</t>
  </si>
  <si>
    <t>Steuerberater, Wirtschaftstreuhänder / Steuerberater • Eckbauer WirtschaftstreuhandgesmbH Büro:, Wiener Straße 29, Gloggnitz • Kontakt über aktuelle Telefonnummern ☎ und Adressen ⚑ mit Karte, Routing, Öffnungszeiten, Homepage, E-Mail, vCard und Firmendaten.</t>
  </si>
  <si>
    <t>Wiener Straße 29</t>
  </si>
  <si>
    <t>47.67381</t>
  </si>
  <si>
    <t>15.94442</t>
  </si>
  <si>
    <t>+432662467600</t>
  </si>
  <si>
    <t>steuerberatung@eckbauer.at</t>
  </si>
  <si>
    <t>https://bilder.dasschnelle.at/DasSchnelle/50/5000/9913/041837/G_041837_P_906284515.adn.gif</t>
  </si>
  <si>
    <t>Zanzerl Eisenhandel GesmbH, Eisenwaren • Eferding • Oberösterreich</t>
  </si>
  <si>
    <t>Eisenwaren • Zanzerl Eisenhandel GesmbH, Bahnhofstraße 12, Eferding • Kontakt über aktuelle Telefonnummern ☎ und Adressen ⚑ mit Karte, Routing, Öffnungszeiten, Homepage, E-Mail, vCard und Firmendaten.</t>
  </si>
  <si>
    <t>48.30578</t>
  </si>
  <si>
    <t>14.01664</t>
  </si>
  <si>
    <t>+4372722459</t>
  </si>
  <si>
    <t>zanzerl@ef1.at</t>
  </si>
  <si>
    <t>https://bilder.dasschnelle.at/DasSchnelle/50/5000/9876/044805/G_044805_P_906284517.adn.gif</t>
  </si>
  <si>
    <t>Posch, Bernd, Dr.med., FA für Urologie • Braunau am Inn • Oberösterreich</t>
  </si>
  <si>
    <t>Ärzte / Fachärzte f. Urologie • Posch, Bernd, Dr.med., Stadtplatz 6, Braunau am Inn • Kontakt über aktuelle Telefonnummern ☎ und Adressen ⚑ mit Karte, Routing, Öffnungszeiten, Homepage, E-Mail, vCard und Firmendaten.</t>
  </si>
  <si>
    <t>+43772284415</t>
  </si>
  <si>
    <t>berndposch@hotmail.com</t>
  </si>
  <si>
    <t>https://bilder.dasschnelle.at/DasSchnelle/50/5000/9872/044551/I_044551_P_906284519_L_0036031397_1.png</t>
  </si>
  <si>
    <t>https://bilder.dasschnelle.at/DasSchnelle/50/5000/9872/044551/I_044551_P_906284519_B_0036031397_1.gal.png?height=480&amp;width=720;https://bilder.dasschnelle.at/DasSchnelle/50/5000/9872/044551/I_044551_P_906284519_B_0036031397_2.gal.png?height=350&amp;width=720;https://bilder.dasschnelle.at/DasSchnelle/50/5000/9872/044551/I_044551_P_906284519_B_0036031397_3.gal.png?height=480&amp;width=720</t>
  </si>
  <si>
    <t>Artner, Walter, Sämischgerberei • Eferding • Oberösterreich</t>
  </si>
  <si>
    <t>Färbereien, Gerbereien • Artner, Walter, Ledererstraße 14, Eferding • Kontakt über aktuelle Telefonnummern ☎ und Adressen ⚑ mit Karte, Routing, Öffnungszeiten, Homepage, E-Mail, vCard und Firmendaten.</t>
  </si>
  <si>
    <t>Ledererstraße 14</t>
  </si>
  <si>
    <t>48.30914</t>
  </si>
  <si>
    <t>14.01849</t>
  </si>
  <si>
    <t>+43727222400</t>
  </si>
  <si>
    <t>info@walter-artner.at</t>
  </si>
  <si>
    <t>https://bilder.dasschnelle.at/DasSchnelle/50/5000/9876/044805/I_044805_P_906284522_L_0036253095_1.png</t>
  </si>
  <si>
    <t>https://bilder.dasschnelle.at/DasSchnelle/50/5000/9876/044805/I_044805_P_906284522_B_0036253095_1.gal.png?height=720&amp;width=720;https://bilder.dasschnelle.at/DasSchnelle/50/5000/9876/044805/I_044805_P_906284522_B_0036253095_2.gal.png?height=720&amp;width=720;https://bilder.dasschnelle.at/DasSchnelle/50/5000/9876/044805/I_044805_P_906284522_B_0036253095_3.gal.png?height=509&amp;width=720;https://bilder.dasschnelle.at/DasSchnelle/50/5000/9876/044805/I_044805_P_906284522_B_0036253095_4.gal.png?height=720&amp;width=720</t>
  </si>
  <si>
    <t>Dr. Arnold &amp; Kramer OG, FA für Psychiatrie • Braunau • Oberösterreich</t>
  </si>
  <si>
    <t>Ärzte / Fachärzte f. Neurologie u. Psychiatrie • Dr. Arnold &amp; Kramer OG, Stadtplatz 42, Braunau • Kontakt über aktuelle Telefonnummern ☎ und Adressen ⚑ mit Karte, Routing, Öffnungszeiten, Homepage, E-Mail, vCard und Firmendaten.</t>
  </si>
  <si>
    <t>+43772263322</t>
  </si>
  <si>
    <t>office@ak-psychiatrie.at</t>
  </si>
  <si>
    <t>DDr. Karl Robert Hiebl, Mag. Alexander Lirk &amp; Mag. Florian Möstl, Rechtsanwälte • Braunau am Inn • Oberösterreich</t>
  </si>
  <si>
    <t>Rechtsanwälte • DDr. Karl Robert Hiebl, Mag. Alexander Lirk &amp; Mag. Florian Möstl, Stadtplatz 50 /2, Braunau am Inn • Kontakt über aktuelle Telefonnummern ☎ und Adressen ⚑ mit Karte, Routing, Öffnungszeiten, Homepage, E-Mail, vCard und Firmendaten.</t>
  </si>
  <si>
    <t>Stadtplatz 50 /2</t>
  </si>
  <si>
    <t>48.2590720</t>
  </si>
  <si>
    <t>13.0355422</t>
  </si>
  <si>
    <t>+437722625430</t>
  </si>
  <si>
    <t>kanzlei@lirk-hiebl.at</t>
  </si>
  <si>
    <t>https://bilder.dasschnelle.at/DasSchnelle/50/5000/9872/044551/G_044551_P_906284606.adn.gif</t>
  </si>
  <si>
    <t>TOP FLIESEN • Mauerkirchen • Oberösterreich</t>
  </si>
  <si>
    <t>Fliesenfachhandel • TOP FLIESEN, Wollöster 15, Mauerkirchen • Kontakt über aktuelle Telefonnummern ☎ und Adressen ⚑ mit Karte, Routing, Öffnungszeiten, Homepage, E-Mail, vCard und Firmendaten.</t>
  </si>
  <si>
    <t>Wollöster 15</t>
  </si>
  <si>
    <t>48.1936118</t>
  </si>
  <si>
    <t>13.1385616</t>
  </si>
  <si>
    <t>+436763558452</t>
  </si>
  <si>
    <t>info@topfliesen.eu</t>
  </si>
  <si>
    <t>https://bilder.dasschnelle.at/DasSchnelle/50/5000/9872/044552/G_044552_P_906284608.adn.gif</t>
  </si>
  <si>
    <t>ALPU Tischlerei GmbH, Tischlerei • Uttendorf • Oberösterreich</t>
  </si>
  <si>
    <t>Tischlereien • ALPU Tischlerei GmbH, Gewerbestraße 14, Uttendorf • Kontakt über aktuelle Telefonnummern ☎ und Adressen ⚑ mit Karte, Routing, Öffnungszeiten, Homepage, E-Mail, vCard und Firmendaten.</t>
  </si>
  <si>
    <t>Gewerbestraße 14</t>
  </si>
  <si>
    <t>48.16768</t>
  </si>
  <si>
    <t>13.11626</t>
  </si>
  <si>
    <t>+43772420945</t>
  </si>
  <si>
    <t>info@alpu.at</t>
  </si>
  <si>
    <t>https://bilder.dasschnelle.at/DasSchnelle/50/5000/9872/044769/I_044769_P_906284610_L_0036266079_1.png</t>
  </si>
  <si>
    <t>https://bilder.dasschnelle.at/DasSchnelle/50/5000/9872/044769/I_044769_P_906284610_B_0036266079_1.gal.png?height=285&amp;width=600;https://bilder.dasschnelle.at/DasSchnelle/50/5000/9872/044769/I_044769_P_906284610_B_0036266079_2.gal.png?height=368&amp;width=600;https://bilder.dasschnelle.at/DasSchnelle/50/5000/9872/044769/I_044769_P_906284610_B_0036266079_3.gal.png?height=277&amp;width=600;https://bilder.dasschnelle.at/DasSchnelle/50/5000/9872/044769/I_044769_P_906284610_B_0036266079_4.gal.png?height=450&amp;width=337</t>
  </si>
  <si>
    <t>ETL GmbH, Elektrotechnik • Roßbach • Oberösterreich</t>
  </si>
  <si>
    <t>Elektrotechnik • ETL GmbH, Edt 52, Roßbach • Kontakt über aktuelle Telefonnummern ☎ und Adressen ⚑ mit Karte, Routing, Öffnungszeiten, Homepage, E-Mail, vCard und Firmendaten.</t>
  </si>
  <si>
    <t>Edt 52</t>
  </si>
  <si>
    <t>5273</t>
  </si>
  <si>
    <t>Roßbach</t>
  </si>
  <si>
    <t>48.2054520</t>
  </si>
  <si>
    <t>13.2525835</t>
  </si>
  <si>
    <t>+43772444004</t>
  </si>
  <si>
    <t>info@etl-elektrotechnik.at</t>
  </si>
  <si>
    <t>https://bilder.dasschnelle.at/DasSchnelle/50/5000/9872/044790/I_044790_P_906284612_L_0036738117_1.png</t>
  </si>
  <si>
    <t>https://bilder.dasschnelle.at/DasSchnelle/50/5000/9872/044790/I_044790_P_906284612_B_0036738117_1.gal.png?height=450&amp;width=600;https://bilder.dasschnelle.at/DasSchnelle/50/5000/9872/044790/I_044790_P_906284612_B_0036738117_2.gal.png?height=240&amp;width=300;https://bilder.dasschnelle.at/DasSchnelle/50/5000/9872/044790/I_044790_P_906284612_B_0036738117_3.gal.png?height=240&amp;width=300;https://bilder.dasschnelle.at/DasSchnelle/50/5000/9872/044790/I_044790_P_906284612_B_0036738117_4.gal.png?height=240&amp;width=300</t>
  </si>
  <si>
    <t>Weinberger, Gerhard, Dr., Notariat • Gmunden • Oberösterreich</t>
  </si>
  <si>
    <t>Notare • Weinberger, Gerhard, Dr., Mühlwangstraße 8, Gmunden • Kontakt über aktuelle Telefonnummern ☎ und Adressen ⚑ mit Karte, Routing, Öffnungszeiten, Homepage, E-Mail, vCard und Firmendaten.</t>
  </si>
  <si>
    <t>Mühlwangstraße 8</t>
  </si>
  <si>
    <t>47.91975</t>
  </si>
  <si>
    <t>13.80606</t>
  </si>
  <si>
    <t>+43761263051</t>
  </si>
  <si>
    <t>kanzlei@notar-weinberger.at</t>
  </si>
  <si>
    <t>https://bilder.dasschnelle.at/DasSchnelle/50/5000/9886/041792/I_041792_P_906285365_L_0035974272_1.png</t>
  </si>
  <si>
    <t>https://bilder.dasschnelle.at/DasSchnelle/50/5000/9886/041792/I_041792_P_906285365_B_0035974272_1.gal.png?height=375&amp;width=600;https://bilder.dasschnelle.at/DasSchnelle/50/5000/9886/041792/I_041792_P_906285365_B_0035974272_2.gal.png?height=375&amp;width=600;https://bilder.dasschnelle.at/DasSchnelle/50/5000/9886/041792/I_041792_P_906285365_B_0035974272_3.gal.png?height=375&amp;width=600</t>
  </si>
  <si>
    <t>Hohenegger, Johann, Ing., Sonnenschutz • Katzelsdorf • Niederösterreich</t>
  </si>
  <si>
    <t>Sonnen u. Insektenschutz • Hohenegger, Johann, Ing., Gewerbepark 7, Katzelsdorf • Kontakt über aktuelle Telefonnummern ☎ und Adressen ⚑ mit Karte, Routing, Öffnungszeiten, Homepage, E-Mail, vCard und Firmendaten.</t>
  </si>
  <si>
    <t>Gewerbepark 7</t>
  </si>
  <si>
    <t>47.78728</t>
  </si>
  <si>
    <t>16.25436</t>
  </si>
  <si>
    <t>+43262278257</t>
  </si>
  <si>
    <t>office@ing-hohenegger.at</t>
  </si>
  <si>
    <t>https://bilder.dasschnelle.at/DasSchnelle/50/5000/9946/044279/G_044279_P_906285367.adn.gif</t>
  </si>
  <si>
    <t>Wallmann, Roland, Haustechnik • Bad Vigaun • Salzburg</t>
  </si>
  <si>
    <t>Haustechnik • Wallmann, Roland, Lengfeldweg 82, Bad Vigaun • Kontakt über aktuelle Telefonnummern ☎ und Adressen ⚑ mit Karte, Routing, Öffnungszeiten, Homepage, E-Mail, vCard und Firmendaten.</t>
  </si>
  <si>
    <t>Lengfeldweg 82</t>
  </si>
  <si>
    <t>Bad Vigaun</t>
  </si>
  <si>
    <t>47.67097</t>
  </si>
  <si>
    <t>13.15923</t>
  </si>
  <si>
    <t>+436641853105</t>
  </si>
  <si>
    <t>wallmann@installateur-hallein.at</t>
  </si>
  <si>
    <t>https://bilder.dasschnelle.at/DasSchnelle/50/5000/9889/043599/G_043599_P_906285369.adn.gif</t>
  </si>
  <si>
    <t>Brunmayr &amp; Grogger Handels-u. Service GmbH • Gmunden • Oberösterreich</t>
  </si>
  <si>
    <t>Elektrogeräte u. -bedarf • Brunmayr &amp; Grogger Handels-u. Service GmbH, Bahnhofstraße 27, Gmunden • Kontakt über aktuelle Telefonnummern ☎ und Adressen ⚑ mit Karte, Routing, Öffnungszeiten, Homepage, E-Mail, vCard und Firmendaten.</t>
  </si>
  <si>
    <t>Bahnhofstraße 27</t>
  </si>
  <si>
    <t>47.92055</t>
  </si>
  <si>
    <t>13.79553</t>
  </si>
  <si>
    <t>+43761275330;+43761221212</t>
  </si>
  <si>
    <t>office@brunmayr-grogger.at</t>
  </si>
  <si>
    <t>https://bilder.dasschnelle.at/DasSchnelle/50/5000/9886/041792/G_041792_P_906285375.adn.gif</t>
  </si>
  <si>
    <t>Bad Radkersburger Quellen GmbH Büro • Bad Radkersburg • Steiermark</t>
  </si>
  <si>
    <t>Elektrizitätswerk • Bad Radkersburger Quellen GmbH Büro:, Hauptplatz 12/1. Stock, Bad Radkersburg • Kontakt über aktuelle Telefonnummern ☎ und Adressen ⚑ mit Karte, Routing, Öffnungszeiten, Homepage, E-Mail, vCard und Firmendaten.</t>
  </si>
  <si>
    <t>Hauptplatz 12/1. Stock</t>
  </si>
  <si>
    <t>46.68694</t>
  </si>
  <si>
    <t>15.98747</t>
  </si>
  <si>
    <t>+433476350028</t>
  </si>
  <si>
    <t>gemeinde@stadtbadradkersburg.at</t>
  </si>
  <si>
    <t>https://bilder.dasschnelle.at/DasSchnelle/50/5000/9920/061432/G_061432_P_906286703.adn.gif</t>
  </si>
  <si>
    <t>Malerei Tim Schöberl • Großpetersdorf • Burgenland</t>
  </si>
  <si>
    <t>Malereibetriebe • Malerei Tim Schöberl, Siebensterngasse 30, Großpetersdorf • Kontakt über aktuelle Telefonnummern ☎ und Adressen ⚑ mit Karte, Routing, Öffnungszeiten, Homepage, E-Mail, vCard und Firmendaten.</t>
  </si>
  <si>
    <t>Siebensterngasse 30</t>
  </si>
  <si>
    <t>47.2418900</t>
  </si>
  <si>
    <t>16.3112100</t>
  </si>
  <si>
    <t>+436642647298</t>
  </si>
  <si>
    <t>tim.schoeberl@gmx.at</t>
  </si>
  <si>
    <t>https://bilder.dasschnelle.at/DasSchnelle/50/5000/9951/041751/I_041751_P_906286706_B_0039952377_1.gal.png?height=720&amp;width=540;https://bilder.dasschnelle.at/DasSchnelle/50/5000/9951/041751/I_041751_P_906286706_B_0039952377_2.gal.png?height=540&amp;width=720;https://bilder.dasschnelle.at/DasSchnelle/50/5000/9951/041751/I_041751_P_906286706_B_0039952377_3.gal.png?height=540&amp;width=720;https://bilder.dasschnelle.at/DasSchnelle/50/5000/9951/041751/I_041751_P_906286706_B_0039952377_4.gal.png?height=720&amp;width=540</t>
  </si>
  <si>
    <t>Hehenberger Ges.m.b.H. &amp; Co KG, Autobusunternehmen • Stroheim • Oberösterreich</t>
  </si>
  <si>
    <t>Autobusunternehmen • Hehenberger Ges.m.b.H. &amp; Co KG, Tross 1, Stroheim • Kontakt über aktuelle Telefonnummern ☎ und Adressen ⚑ mit Karte, Routing, Öffnungszeiten, Homepage, E-Mail, vCard und Firmendaten.</t>
  </si>
  <si>
    <t>Tross 1</t>
  </si>
  <si>
    <t>48.3563300</t>
  </si>
  <si>
    <t>13.9176100</t>
  </si>
  <si>
    <t>+4372726254</t>
  </si>
  <si>
    <t>office@hehenberger.co.at</t>
  </si>
  <si>
    <t>https://bilder.dasschnelle.at/DasSchnelle/50/5000/9876/044814/G_044814_P_906286708.adn.gif</t>
  </si>
  <si>
    <t>Fried Steuerberatung GmbH • Gmunden • Oberösterreich</t>
  </si>
  <si>
    <t>Steuerberater • Fried Steuerberatung GmbH, Esplanade 5, Gmunden • Kontakt über aktuelle Telefonnummern ☎ und Adressen ⚑ mit Karte, Routing, Öffnungszeiten, Homepage, E-Mail, vCard und Firmendaten.</t>
  </si>
  <si>
    <t>Esplanade 5</t>
  </si>
  <si>
    <t>47.91695</t>
  </si>
  <si>
    <t>13.79611</t>
  </si>
  <si>
    <t>+437612649100</t>
  </si>
  <si>
    <t>office@stb-fried.at</t>
  </si>
  <si>
    <t>https://bilder.dasschnelle.at/DasSchnelle/50/5000/9886/041792/G_041792_P_906286330.adn.gif</t>
  </si>
  <si>
    <t>Schwaiger, Walter, Dr.med., Ärzte / Fachärzte f Lungenkrankheiten • Gmunden • Oberösterreich</t>
  </si>
  <si>
    <t>Ärzte / Fachärzte f. Lungenkrankheiten • Schwaiger, Walter, Dr.med., Franz Josef-Platz 7, Gmunden • Kontakt über aktuelle Telefonnummern ☎ und Adressen ⚑ mit Karte, Routing, Öffnungszeiten, Homepage, E-Mail, vCard und Firmendaten.</t>
  </si>
  <si>
    <t>Franz Josef-Platz 7</t>
  </si>
  <si>
    <t>47.9176400</t>
  </si>
  <si>
    <t>13.7969600</t>
  </si>
  <si>
    <t>+43761267974</t>
  </si>
  <si>
    <t>https://bilder.dasschnelle.at/DasSchnelle/50/5000/9886/041792/I_041792_P_906286334_L_0037077695_1.png</t>
  </si>
  <si>
    <t>https://bilder.dasschnelle.at/DasSchnelle/50/5000/9886/041792/I_041792_P_906286334_B_0037077695_1.gal.png?height=532&amp;width=720;https://bilder.dasschnelle.at/DasSchnelle/50/5000/9886/041792/I_041792_P_906286334_B_0037077695_2.gal.png?height=536&amp;width=720;https://bilder.dasschnelle.at/DasSchnelle/50/5000/9886/041792/I_041792_P_906286334_B_0037077695_3.gal.png?height=720&amp;width=540</t>
  </si>
  <si>
    <t>Seit, H., Dr.med.univ., Allgemeinmedizin • Gloggnitz • Niederösterreich</t>
  </si>
  <si>
    <t>Ärzte / f Allgemeinmedizin • Seit, H., Dr.med.univ., Richtergasse 2, Gloggnitz • Kontakt über aktuelle Telefonnummern ☎ und Adressen ⚑ mit Karte, Routing, Öffnungszeiten, Homepage, E-Mail, vCard und Firmendaten.</t>
  </si>
  <si>
    <t>Richtergasse 2</t>
  </si>
  <si>
    <t>47.67505</t>
  </si>
  <si>
    <t>15.93389</t>
  </si>
  <si>
    <t>+43266244200</t>
  </si>
  <si>
    <t>https://bilder.dasschnelle.at/DasSchnelle/50/5000/9913/041837/G_041837_P_906286336.adn.gif</t>
  </si>
  <si>
    <t>Dachdeckerei und Spenglerei, Uttenthaler GmbH • Braunau • Oberösterreich</t>
  </si>
  <si>
    <t>Spenglereien • Dachdeckerei und Spenglerei, Uttenthaler GmbH, Industriezeile 17, Braunau • Kontakt über aktuelle Telefonnummern ☎ und Adressen ⚑ mit Karte, Routing, Öffnungszeiten, Homepage, E-Mail, vCard und Firmendaten.</t>
  </si>
  <si>
    <t>Industriezeile 17</t>
  </si>
  <si>
    <t>48.24942</t>
  </si>
  <si>
    <t>13.06365</t>
  </si>
  <si>
    <t>+43772262434</t>
  </si>
  <si>
    <t>office@uttenthalerdach.at</t>
  </si>
  <si>
    <t>https://bilder.dasschnelle.at/DasSchnelle/50/5000/9872/044551/I_044551_P_906286339_L_0038550792_1.png</t>
  </si>
  <si>
    <t>https://bilder.dasschnelle.at/DasSchnelle/50/5000/9872/044551/I_044551_P_906286339_B_0038550792_1.gal.png?height=405&amp;width=720;https://bilder.dasschnelle.at/DasSchnelle/50/5000/9872/044551/I_044551_P_906286339_B_0038550792_2.gal.png?height=540&amp;width=720;https://bilder.dasschnelle.at/DasSchnelle/50/5000/9872/044551/I_044551_P_906286339_B_0038550792_3.gal.png?height=720&amp;width=540;https://bilder.dasschnelle.at/DasSchnelle/50/5000/9872/044551/I_044551_P_906286339_B_0038550792_4.gal.png?height=404&amp;width=720</t>
  </si>
  <si>
    <t>Neuhauser GesmbH, Abfallentsorgung • Sankt Pantaleon • Oberösterreich</t>
  </si>
  <si>
    <t>Entsorgungen • Neuhauser GesmbH, Weilhartstraße 6, Sankt Pantaleon • Kontakt über aktuelle Telefonnummern ☎ und Adressen ⚑ mit Karte, Routing, Öffnungszeiten, Homepage, E-Mail, vCard und Firmendaten.</t>
  </si>
  <si>
    <t>Weilhartstraße 6</t>
  </si>
  <si>
    <t>Sankt Pantaleon</t>
  </si>
  <si>
    <t>48.02642</t>
  </si>
  <si>
    <t>12.84466</t>
  </si>
  <si>
    <t>+43627763670</t>
  </si>
  <si>
    <t>office@neuhauser-gmbh.at</t>
  </si>
  <si>
    <t>https://bilder.dasschnelle.at/DasSchnelle/50/5000/9872/044793/G_044793_P_906286346.adn.gif</t>
  </si>
  <si>
    <t>1a autoservice Thaller e.U., KFZ • Schwand im Innkreis • Oberösterreich</t>
  </si>
  <si>
    <t>Kfz-Werkstätte • 1a autoservice Thaller e.U., Reuhub 6, Schwand im Innkreis • Kontakt über aktuelle Telefonnummern ☎ und Adressen ⚑ mit Karte, Routing, Öffnungszeiten, Homepage, E-Mail, vCard und Firmendaten.</t>
  </si>
  <si>
    <t>Reuhub 6</t>
  </si>
  <si>
    <t>48.1770540</t>
  </si>
  <si>
    <t>12.9901078</t>
  </si>
  <si>
    <t>+43772861725</t>
  </si>
  <si>
    <t>office@kfz-thaller.go1a.at</t>
  </si>
  <si>
    <t>https://bilder.dasschnelle.at/DasSchnelle/50/5000/9872/044798/G_044798_P_906286348.adn.gif</t>
  </si>
  <si>
    <t>Spreitzer, Peter, Elektronik • Braunau am Inn • Oberösterreich</t>
  </si>
  <si>
    <t>Elektronik • Spreitzer, Peter, Salzburger Straße 25, Braunau am Inn • Kontakt über aktuelle Telefonnummern ☎ und Adressen ⚑ mit Karte, Routing, Öffnungszeiten, Homepage, E-Mail, vCard und Firmendaten.</t>
  </si>
  <si>
    <t>Salzburger Straße 25</t>
  </si>
  <si>
    <t>48.2536015</t>
  </si>
  <si>
    <t>13.0352738</t>
  </si>
  <si>
    <t>+43772284379</t>
  </si>
  <si>
    <t>+43772266043</t>
  </si>
  <si>
    <t>elektronik-center@ktv-one.at</t>
  </si>
  <si>
    <t>https://bilder.dasschnelle.at/DasSchnelle/50/5000/9872/044551/G_044551_P_906286349.adn.gif</t>
  </si>
  <si>
    <t>Bubestinger, Josef, Glaserei • Uttendorf • Oberösterreich</t>
  </si>
  <si>
    <t>Glasereien • Bubestinger, Josef, Glasereistraße 1, Uttendorf • Kontakt über aktuelle Telefonnummern ☎ und Adressen ⚑ mit Karte, Routing, Öffnungszeiten, Homepage, E-Mail, vCard und Firmendaten.</t>
  </si>
  <si>
    <t>Glasereistraße 1</t>
  </si>
  <si>
    <t>48.15143</t>
  </si>
  <si>
    <t>13.1191</t>
  </si>
  <si>
    <t>+4377242053;+436645346668</t>
  </si>
  <si>
    <t>+437724205320</t>
  </si>
  <si>
    <t>office@glaserei-bubestinger.at</t>
  </si>
  <si>
    <t>https://bilder.dasschnelle.at/DasSchnelle/50/5000/9872/044769/G_044769_P_906286357.adn.gif</t>
  </si>
  <si>
    <t>Malerei Ringbauer GmbH &amp; Co KG • Markt Allhau • Burgenland</t>
  </si>
  <si>
    <t>Malereibetriebe • Malerei Ringbauer GmbH &amp; Co KG, Privatweg 4, Markt Allhau • Kontakt über aktuelle Telefonnummern ☎ und Adressen ⚑ mit Karte, Routing, Öffnungszeiten, Homepage, E-Mail, vCard und Firmendaten.</t>
  </si>
  <si>
    <t>Privatweg 4</t>
  </si>
  <si>
    <t>7411</t>
  </si>
  <si>
    <t>Markt Allhau</t>
  </si>
  <si>
    <t>47.2852200</t>
  </si>
  <si>
    <t>16.0838400</t>
  </si>
  <si>
    <t>+4333567908</t>
  </si>
  <si>
    <t>creativ@foab.at</t>
  </si>
  <si>
    <t>https://bilder.dasschnelle.at/DasSchnelle/50/5000/9951/041368/G_041368_P_906286360.adn.gif</t>
  </si>
  <si>
    <t>Pataki, Tanja, Tierfriseur • Wimpassing im Schwarzatale • Niederösterreich</t>
  </si>
  <si>
    <t>Tierärzte • Pataki, Tanja, Sankt Valentiner Straße 18, Wimpassing im Schwarzatale • Kontakt über aktuelle Telefonnummern ☎ und Adressen ⚑ mit Karte, Routing, Öffnungszeiten, Homepage, E-Mail, vCard und Firmendaten.</t>
  </si>
  <si>
    <t>Sankt Valentiner Straße 18</t>
  </si>
  <si>
    <t>47.69739</t>
  </si>
  <si>
    <t>16.02425</t>
  </si>
  <si>
    <t>+436641942720</t>
  </si>
  <si>
    <t>office@fellbox.at</t>
  </si>
  <si>
    <t>https://bilder.dasschnelle.at/DasSchnelle/50/5000/9913/041868/G_041868_P_906287624.adn.gif</t>
  </si>
  <si>
    <t>Neubauer, Daniela, Dr.med.vet., TA • Wimpassing im Schwarzatale • Niederösterreich</t>
  </si>
  <si>
    <t>Tierärzte • Neubauer, Daniela, Dr.med.vet., Sankt Valentiner Straße 18, Wimpassing im Schwarzatale • Kontakt über aktuelle Telefonnummern ☎ und Adressen ⚑ mit Karte, Routing, Öffnungszeiten, Homepage, E-Mail, vCard und Firmendaten.</t>
  </si>
  <si>
    <t>+43263030933</t>
  </si>
  <si>
    <t>office@tmzw.at</t>
  </si>
  <si>
    <t>https://bilder.dasschnelle.at/DasSchnelle/50/5000/9913/041868/G_041868_P_906287651.adn.gif</t>
  </si>
  <si>
    <t>Laser &amp; More, Kosmetik • Leonding • Oberösterreich</t>
  </si>
  <si>
    <t>Lasertechnik • Laser &amp; More, Welser Strasse 39, Leonding • Kontakt über aktuelle Telefonnummern ☎ und Adressen ⚑ mit Karte, Routing, Öffnungszeiten, Homepage, E-Mail, vCard und Firmendaten.</t>
  </si>
  <si>
    <t>Welser Strasse 39</t>
  </si>
  <si>
    <t>48.2680200</t>
  </si>
  <si>
    <t>14.2656800</t>
  </si>
  <si>
    <t>+4367763158855</t>
  </si>
  <si>
    <t>studio@laserandmore.net</t>
  </si>
  <si>
    <t>https://bilder.dasschnelle.at/DasSchnelle/50/5000/9937/046121/I_046121_P_906287777_L_0039969713_1.png</t>
  </si>
  <si>
    <t>https://bilder.dasschnelle.at/DasSchnelle/50/5000/9937/046121/I_046121_P_906287777_B_0039969713_1.gal.png?height=400&amp;width=400;https://bilder.dasschnelle.at/DasSchnelle/50/5000/9937/046121/I_046121_P_906287777_B_0039969713_2.gal.png?height=400&amp;width=409;https://bilder.dasschnelle.at/DasSchnelle/50/5000/9937/046121/I_046121_P_906287777_B_0039969713_3.gal.png?height=400&amp;width=400;https://bilder.dasschnelle.at/DasSchnelle/50/5000/9937/046121/I_046121_P_906287777_B_0039969713_4.gal.png?height=400&amp;width=400</t>
  </si>
  <si>
    <t>Massage &amp; Gipskunst, Massage • Linz • Oberösterreich</t>
  </si>
  <si>
    <t>Gips u. Gipsprodukte • Massage &amp; Gipskunst, Landwiedstrasse 211, Linz • Kontakt über aktuelle Telefonnummern ☎ und Adressen ⚑ mit Karte, Routing, Öffnungszeiten, Homepage, E-Mail, vCard und Firmendaten.</t>
  </si>
  <si>
    <t>Landwiedstrasse 211</t>
  </si>
  <si>
    <t>48.25897</t>
  </si>
  <si>
    <t>14.3188</t>
  </si>
  <si>
    <t>+436608184832</t>
  </si>
  <si>
    <t>anastasia.haider@hotmail.com</t>
  </si>
  <si>
    <t>https://bilder.dasschnelle.at/DasSchnelle/50/5000/9937/046120/I_041315_P_906287652_L_0039969714_1.png</t>
  </si>
  <si>
    <t>https://bilder.dasschnelle.at/DasSchnelle/50/5000/9937/046120/I_041315_P_906287652_B_0039969714_1.gal.png?height=475&amp;width=720;https://bilder.dasschnelle.at/DasSchnelle/50/5000/9937/046120/I_041315_P_906287652_B_0039969714_2.gal.png?height=720&amp;width=532;https://bilder.dasschnelle.at/DasSchnelle/50/5000/9937/046120/I_041315_P_906287652_B_0039969714_3.gal.png?height=720&amp;width=555;https://bilder.dasschnelle.at/DasSchnelle/50/5000/9937/046120/I_041315_P_906287652_B_0039969714_4.gal.png?height=720&amp;width=575</t>
  </si>
  <si>
    <t>Tierklinik Wiener Neustadt GmbH &amp; Co. KG, Tierklinik • Wiener Neustadt • Niederösterreich</t>
  </si>
  <si>
    <t>Tierkliniken • Tierklinik Wiener Neustadt GmbH &amp; Co. KG, Rudolf-Diesel-Straße 3 a, Wiener Neustadt • Kontakt über aktuelle Telefonnummern ☎ und Adressen ⚑ mit Karte, Routing, Öffnungszeiten, Homepage, E-Mail, vCard und Firmendaten.</t>
  </si>
  <si>
    <t>Rudolf-Diesel-Straße 3 a</t>
  </si>
  <si>
    <t>47.8358519</t>
  </si>
  <si>
    <t>16.2510974</t>
  </si>
  <si>
    <t>+4369912622500</t>
  </si>
  <si>
    <t>office@tkwn.at</t>
  </si>
  <si>
    <t>https://bilder.dasschnelle.at/DasSchnelle/50/5000/9946/042060/G_042060_P_906287655.adn.gif</t>
  </si>
  <si>
    <t>Lehner Karniesenerzeugung u Tischlerei GesmbH &amp; CoKG • Fraham • Oberösterreich</t>
  </si>
  <si>
    <t>Tischlereien • Lehner Karniesenerzeugung u Tischlerei GesmbH &amp; CoKG, Aumühle 36, Fraham • Kontakt über aktuelle Telefonnummern ☎ und Adressen ⚑ mit Karte, Routing, Öffnungszeiten, Homepage, E-Mail, vCard und Firmendaten.</t>
  </si>
  <si>
    <t>Aumühle 36</t>
  </si>
  <si>
    <t>4075</t>
  </si>
  <si>
    <t>Fraham</t>
  </si>
  <si>
    <t>48.2730754</t>
  </si>
  <si>
    <t>13.9890917</t>
  </si>
  <si>
    <t>+4372724198</t>
  </si>
  <si>
    <t>lehner@wohnzauber.at</t>
  </si>
  <si>
    <t>https://bilder.dasschnelle.at/DasSchnelle/50/5000/9876/044806/I_044806_P_906287657_L_0036738073_1.png</t>
  </si>
  <si>
    <t>https://bilder.dasschnelle.at/DasSchnelle/50/5000/9876/044806/I_044806_P_906287657_B_0036738073_1.gal.png?height=750&amp;width=800;https://bilder.dasschnelle.at/DasSchnelle/50/5000/9876/044806/I_044806_P_906287657_B_0036738073_2.gal.png?height=390&amp;width=940;https://bilder.dasschnelle.at/DasSchnelle/50/5000/9876/044806/I_044806_P_906287657_B_0036738073_3.gal.png?height=478&amp;width=675;https://bilder.dasschnelle.at/DasSchnelle/50/5000/9876/044806/I_044806_P_906287657_B_0036738073_4.gal.png?height=449&amp;width=675</t>
  </si>
  <si>
    <t>Kraxenberger, Hermann, Bäckerei • Uttendorf • Oberösterreich</t>
  </si>
  <si>
    <t>Bäckereien • Kraxenberger, Hermann, Uttendorf 29, Uttendorf • Kontakt über aktuelle Telefonnummern ☎ und Adressen ⚑ mit Karte, Routing, Öffnungszeiten, Homepage, E-Mail, vCard und Firmendaten.</t>
  </si>
  <si>
    <t>Uttendorf 29</t>
  </si>
  <si>
    <t>48.1535470</t>
  </si>
  <si>
    <t>13.1179386</t>
  </si>
  <si>
    <t>+4377242037</t>
  </si>
  <si>
    <t>https://bilder.dasschnelle.at/DasSchnelle/50/5000/9872/044769/G_044769_P_906287659.adn.gif</t>
  </si>
  <si>
    <t>Gebäudetechnik Pichler GmbH • Mauerkirchen • Oberösterreich</t>
  </si>
  <si>
    <t>Gebäudetechnik • Gebäudetechnik Pichler GmbH, Albrechtsberg 7, Mauerkirchen • Kontakt über aktuelle Telefonnummern ☎ und Adressen ⚑ mit Karte, Routing, Öffnungszeiten, Homepage, E-Mail, vCard und Firmendaten.</t>
  </si>
  <si>
    <t>Albrechtsberg 7</t>
  </si>
  <si>
    <t>48.1834050</t>
  </si>
  <si>
    <t>13.1098920</t>
  </si>
  <si>
    <t>+436801410058</t>
  </si>
  <si>
    <t>office@gtp.co.at</t>
  </si>
  <si>
    <t>https://bilder.dasschnelle.at/DasSchnelle/50/5000/9872/044552/I_044552_P_906287778_L_0035970360_1.png</t>
  </si>
  <si>
    <t>https://bilder.dasschnelle.at/DasSchnelle/50/5000/9872/044552/I_044552_P_906287778_B_0035970360_1.gal.png?height=370&amp;width=555;https://bilder.dasschnelle.at/DasSchnelle/50/5000/9872/044552/I_044552_P_906287778_B_0035970360_2.gal.png?height=391&amp;width=555;https://bilder.dasschnelle.at/DasSchnelle/50/5000/9872/044552/I_044552_P_906287778_B_0035970360_3.gal.png?height=370&amp;width=555;https://bilder.dasschnelle.at/DasSchnelle/50/5000/9872/044552/I_044552_P_906287778_B_0035970360_4.gal.png?height=370&amp;width=555</t>
  </si>
  <si>
    <t>Gasthof Kranerwirt, Niggas Martin • Lannach • Steiermark</t>
  </si>
  <si>
    <t>Gastgewerbe - Gasthöfe, Hotels • Gasthof Kranerwirt, Niggas Martin, Hauptstraße 68, Lannach • Kontakt über aktuelle Telefonnummern ☎ und Adressen ⚑ mit Karte, Routing, Öffnungszeiten, Homepage, E-Mail, vCard und Firmendaten.</t>
  </si>
  <si>
    <t>Hauptstraße 68</t>
  </si>
  <si>
    <t>46.93839</t>
  </si>
  <si>
    <t>15.31996</t>
  </si>
  <si>
    <t>+43313681751</t>
  </si>
  <si>
    <t>office@gasthof-niggas.at</t>
  </si>
  <si>
    <t>https://bilder.dasschnelle.at/DasSchnelle/50/5000/9875/045308/G_045308_P_906287470.adn.gif</t>
  </si>
  <si>
    <t>Koch, Erwin, Spenglerei • Stallhof • Steiermark</t>
  </si>
  <si>
    <t>Dachdeckereien • Koch, Erwin, Stg 2, Stallhof • Kontakt über aktuelle Telefonnummern ☎ und Adressen ⚑ mit Karte, Routing, Öffnungszeiten, Homepage, E-Mail, vCard und Firmendaten.</t>
  </si>
  <si>
    <t>Stg 2</t>
  </si>
  <si>
    <t>Stallhof</t>
  </si>
  <si>
    <t>46.8876313</t>
  </si>
  <si>
    <t>15.2755099</t>
  </si>
  <si>
    <t>+436641334462</t>
  </si>
  <si>
    <t>ek.dach65@gmail.com</t>
  </si>
  <si>
    <t>https://bilder.dasschnelle.at/DasSchnelle/50/5000/9875/061377/G_061377_P_906287472.adn.gif</t>
  </si>
  <si>
    <t>Enzi, Gregor, Malermeister • Deutschlandsberg • Steiermark</t>
  </si>
  <si>
    <t>Malereibetriebe • Enzi, Gregor, Kresbach 26, Deutschlandsberg • Kontakt über aktuelle Telefonnummern ☎ und Adressen ⚑ mit Karte, Routing, Öffnungszeiten, Homepage, E-Mail, vCard und Firmendaten.</t>
  </si>
  <si>
    <t>Kresbach 26</t>
  </si>
  <si>
    <t>46.801</t>
  </si>
  <si>
    <t>15.2085</t>
  </si>
  <si>
    <t>+436604817993</t>
  </si>
  <si>
    <t>gregorenzi@gmx.at</t>
  </si>
  <si>
    <t>https://bilder.dasschnelle.at/DasSchnelle/50/5000/9875/061379/G_061379_P_906287474.adn.gif</t>
  </si>
  <si>
    <t>Felder, Reinhard, Physiotherapie • Oberndorf bei Salzburg • Salzburg</t>
  </si>
  <si>
    <t>Physiotherapie • Felder, Reinhard, Watzmannstraße 9 A, Oberndorf bei Salzburg • Kontakt über aktuelle Telefonnummern ☎ und Adressen ⚑ mit Karte, Routing, Öffnungszeiten, Homepage, E-Mail, vCard und Firmendaten.</t>
  </si>
  <si>
    <t>Watzmannstraße 9 A</t>
  </si>
  <si>
    <t>47.93846</t>
  </si>
  <si>
    <t>12.94075</t>
  </si>
  <si>
    <t>+43627273073</t>
  </si>
  <si>
    <t>felder@osteopath.at</t>
  </si>
  <si>
    <t>https://bilder.dasschnelle.at/DasSchnelle/50/5000/9914/043322/G_043322_P_906287676.adn.gif</t>
  </si>
  <si>
    <t>Lindlbauer Profitechnik, Schmiertechnik • Roßbach • Oberösterreich</t>
  </si>
  <si>
    <t>Kraftstoffe • Lindlbauer Profitechnik, Zechleiten 3, Roßbach • Kontakt über aktuelle Telefonnummern ☎ und Adressen ⚑ mit Karte, Routing, Öffnungszeiten, Homepage, E-Mail, vCard und Firmendaten.</t>
  </si>
  <si>
    <t>Zechleiten 3</t>
  </si>
  <si>
    <t>48.2193398</t>
  </si>
  <si>
    <t>13.2497323</t>
  </si>
  <si>
    <t>+43772343161</t>
  </si>
  <si>
    <t>info@schmiertechnik.at</t>
  </si>
  <si>
    <t>https://bilder.dasschnelle.at/DasSchnelle/50/5000/9872/044790/G_044790_P_906287638.adn.gif</t>
  </si>
  <si>
    <t>Puttinger, Andreas, Elektrotechnik • Neukirchen an der Enknach • Oberösterreich</t>
  </si>
  <si>
    <t>Elektrotechnik • Puttinger, Andreas, Wiesenweg 9, Neukirchen an der Enknach • Kontakt über aktuelle Telefonnummern ☎ und Adressen ⚑ mit Karte, Routing, Öffnungszeiten, Homepage, E-Mail, vCard und Firmendaten.</t>
  </si>
  <si>
    <t>Wiesenweg 9</t>
  </si>
  <si>
    <t>5145</t>
  </si>
  <si>
    <t>Neukirchen an der Enknach</t>
  </si>
  <si>
    <t>48.18218</t>
  </si>
  <si>
    <t>13.03893</t>
  </si>
  <si>
    <t>+436763227271</t>
  </si>
  <si>
    <t>info@elektro-puttinger.at</t>
  </si>
  <si>
    <t>https://bilder.dasschnelle.at/DasSchnelle/50/5000/9872/044783/I_044783_P_906287640_L_0036738842_1.png</t>
  </si>
  <si>
    <t>https://bilder.dasschnelle.at/DasSchnelle/50/5000/9872/044783/I_044783_P_906287640_B_0036738842_1.gal.png?height=377&amp;width=600;https://bilder.dasschnelle.at/DasSchnelle/50/5000/9872/044783/I_044783_P_906287640_B_0036738842_2.gal.png?height=465&amp;width=700;https://bilder.dasschnelle.at/DasSchnelle/50/5000/9872/044783/I_044783_P_906287640_B_0036738842_3.gal.png?height=465&amp;width=700;https://bilder.dasschnelle.at/DasSchnelle/50/5000/9872/044783/I_044783_P_906287640_B_0036738842_4.gal.png?height=465&amp;width=700</t>
  </si>
  <si>
    <t>Daxecker, Helmut, Elektrotechnik • Braunau am Inn • Oberösterreich</t>
  </si>
  <si>
    <t>Elektro • Daxecker, Helmut, Sparkassenstraße 24, Braunau am Inn • Kontakt über aktuelle Telefonnummern ☎ und Adressen ⚑ mit Karte, Routing, Öffnungszeiten, Homepage, E-Mail, vCard und Firmendaten.</t>
  </si>
  <si>
    <t>Sparkassenstraße 24</t>
  </si>
  <si>
    <t>48.24382</t>
  </si>
  <si>
    <t>13.03404</t>
  </si>
  <si>
    <t>+436506537455</t>
  </si>
  <si>
    <t>hd@heldax.at</t>
  </si>
  <si>
    <t>https://bilder.dasschnelle.at/DasSchnelle/50/5000/9872/044551/G_044551_P_906287642.adn.gif</t>
  </si>
  <si>
    <t>Weinberger GmbH, Kfz-Rep-Werkst • Losenstein • Oberösterreich</t>
  </si>
  <si>
    <t>Autoreparaturen • Weinberger GmbH, Industriegebiet 5, Losenstein • Kontakt über aktuelle Telefonnummern ☎ und Adressen ⚑ mit Karte, Routing, Öffnungszeiten, Homepage, E-Mail, vCard und Firmendaten.</t>
  </si>
  <si>
    <t>Industriegebiet 5</t>
  </si>
  <si>
    <t>47.9317500</t>
  </si>
  <si>
    <t>14.4043600</t>
  </si>
  <si>
    <t>+43725544490;+436509915555;+436607335364;+436645031373;+436645383826</t>
  </si>
  <si>
    <t>alois.weinberger@autohaus.at</t>
  </si>
  <si>
    <t>https://bilder.dasschnelle.at/DasSchnelle/50/5000/9878/042814/G_042814_P_906287702.adn.gif</t>
  </si>
  <si>
    <t>Eschauer, Karl, Malerei - Raumausstattung • Weyer • Oberösterreich</t>
  </si>
  <si>
    <t>Malereibetriebe • Eschauer, Karl, Waidhofner Straße 34, Weyer • Kontakt über aktuelle Telefonnummern ☎ und Adressen ⚑ mit Karte, Routing, Öffnungszeiten, Homepage, E-Mail, vCard und Firmendaten.</t>
  </si>
  <si>
    <t>Waidhofner Straße 34</t>
  </si>
  <si>
    <t>47.86173</t>
  </si>
  <si>
    <t>14.66985</t>
  </si>
  <si>
    <t>+4373558280;+436643520199;+436643520199</t>
  </si>
  <si>
    <t>info@eschauer.at</t>
  </si>
  <si>
    <t>https://bilder.dasschnelle.at/DasSchnelle/50/5000/9878/042825/G_042825_P_906287714.adn.gif</t>
  </si>
  <si>
    <t>Malerei Chamäleon • Höfen • Tirol</t>
  </si>
  <si>
    <t>Malereibetriebe • Malerei Chamäleon, Bergbahnstraße 19, Höfen • Kontakt über aktuelle Telefonnummern ☎ und Adressen ⚑ mit Karte, Routing, Öffnungszeiten, Homepage, E-Mail, vCard und Firmendaten.</t>
  </si>
  <si>
    <t>Bergbahnstraße 19</t>
  </si>
  <si>
    <t>47.47541</t>
  </si>
  <si>
    <t>10.68749</t>
  </si>
  <si>
    <t>+436769186804</t>
  </si>
  <si>
    <t>office@malerei-chamaeleon.at</t>
  </si>
  <si>
    <t>https://bilder.dasschnelle.at/DasSchnelle/50/5000/9921/042591/G_042591_P_906288656.adn.gif</t>
  </si>
  <si>
    <t>Kropik Erdbau • Pflach • Tirol</t>
  </si>
  <si>
    <t>Erdbau • Kropik Erdbau, Hüttenmühle 5, Pflach • Kontakt über aktuelle Telefonnummern ☎ und Adressen ⚑ mit Karte, Routing, Öffnungszeiten, Homepage, E-Mail, vCard und Firmendaten.</t>
  </si>
  <si>
    <t>Hüttenmühle 5</t>
  </si>
  <si>
    <t>Pflach</t>
  </si>
  <si>
    <t>47.50886</t>
  </si>
  <si>
    <t>10.72271</t>
  </si>
  <si>
    <t>+436766148265</t>
  </si>
  <si>
    <t>kropik.erdbau@gmail.com</t>
  </si>
  <si>
    <t>https://bilder.dasschnelle.at/DasSchnelle/50/5000/9921/042601/G_042601_P_906288657.adn.gif</t>
  </si>
  <si>
    <t>Beautiful Moments by Nina, Kosmetik Studio • Hörsching • Oberösterreich</t>
  </si>
  <si>
    <t>Kosmetik u. Fußpflege • Beautiful Moments by Nina, Humerstraße 21, Hörsching • Kontakt über aktuelle Telefonnummern ☎ und Adressen ⚑ mit Karte, Routing, Öffnungszeiten, Homepage, E-Mail, vCard und Firmendaten.</t>
  </si>
  <si>
    <t>Humerstraße 21</t>
  </si>
  <si>
    <t>48.2224400</t>
  </si>
  <si>
    <t>14.1793600</t>
  </si>
  <si>
    <t>+436604683206</t>
  </si>
  <si>
    <t>nina.lajs@gmail.com</t>
  </si>
  <si>
    <t>https://bilder.dasschnelle.at/DasSchnelle/50/5000/9937/046107/I_046107_P_906288661_L_0038549350_1.png</t>
  </si>
  <si>
    <t>https://bilder.dasschnelle.at/DasSchnelle/50/5000/9937/046107/I_046107_P_906288661_B_0038549350_1.gal.png?height=720&amp;width=475;https://bilder.dasschnelle.at/DasSchnelle/50/5000/9937/046107/I_046107_P_906288661_B_0038549350_2.gal.png?height=720&amp;width=475;https://bilder.dasschnelle.at/DasSchnelle/50/5000/9937/046107/I_046107_P_906288661_B_0038549350_3.gal.png?height=720&amp;width=478;https://bilder.dasschnelle.at/DasSchnelle/50/5000/9937/046107/I_046107_P_906288661_B_0038549350_4.gal.png?height=710&amp;width=720</t>
  </si>
  <si>
    <t>Hollnbuchner GmbH, Dachdeckerei • Ternberg • Oberösterreich</t>
  </si>
  <si>
    <t>Dachdeckereien, Säge- u. Hobelwerke • Hollnbuchner GmbH, Bäckengraben 60, Ternberg • Kontakt über aktuelle Telefonnummern ☎ und Adressen ⚑ mit Karte, Routing, Öffnungszeiten, Homepage, E-Mail, vCard und Firmendaten.</t>
  </si>
  <si>
    <t>Bäckengraben 60</t>
  </si>
  <si>
    <t>47.94671</t>
  </si>
  <si>
    <t>14.31874</t>
  </si>
  <si>
    <t>+4372567210;+4372567201;+436649670314;+4372567210</t>
  </si>
  <si>
    <t>office@hollnbuchner.at</t>
  </si>
  <si>
    <t>https://bilder.dasschnelle.at/DasSchnelle/50/5000/9878/042822/G_042822_P_906288629.adn.gif</t>
  </si>
  <si>
    <t>Schneeweiss, Manfred, Bau- u Möbeltischl • Gloggnitz • Niederösterreich</t>
  </si>
  <si>
    <t>Tischlereien • Schneeweiss, Manfred, Grenzgasse 1, Gloggnitz • Kontakt über aktuelle Telefonnummern ☎ und Adressen ⚑ mit Karte, Routing, Öffnungszeiten, Homepage, E-Mail, vCard und Firmendaten.</t>
  </si>
  <si>
    <t>Grenzgasse 1</t>
  </si>
  <si>
    <t>47.65904</t>
  </si>
  <si>
    <t>15.90348</t>
  </si>
  <si>
    <t>+4326638370;+4366473507090;+4366473507091</t>
  </si>
  <si>
    <t>m.schneeweiss@gmx.at</t>
  </si>
  <si>
    <t>https://bilder.dasschnelle.at/DasSchnelle/50/5000/9913/041837/G_041837_P_906288638.adn.gif</t>
  </si>
  <si>
    <t>Gaigg Simon e.U., Gartenpflege • Linz • Oberösterreich</t>
  </si>
  <si>
    <t>Garten- u. Landschaftspflege • Gaigg Simon e.U., Piringerhofstrasse 30, Linz • Kontakt über aktuelle Telefonnummern ☎ und Adressen ⚑ mit Karte, Routing, Öffnungszeiten, Homepage, E-Mail, vCard und Firmendaten.</t>
  </si>
  <si>
    <t>Piringerhofstrasse 30</t>
  </si>
  <si>
    <t>48.29045</t>
  </si>
  <si>
    <t>14.2719</t>
  </si>
  <si>
    <t>+4369911721034</t>
  </si>
  <si>
    <t>info@gartenpflege-gaigg.at</t>
  </si>
  <si>
    <t>https://bilder.dasschnelle.at/DasSchnelle/50/5000/9937/046120/I_041315_P_906288641_L_0039969868_1.png</t>
  </si>
  <si>
    <t>https://bilder.dasschnelle.at/DasSchnelle/50/5000/9937/046120/I_041315_P_906288641_B_0039969868_1.gal.png?height=403&amp;width=720;https://bilder.dasschnelle.at/DasSchnelle/50/5000/9937/046120/I_041315_P_906288641_B_0039969868_2.gal.png?height=530&amp;width=720;https://bilder.dasschnelle.at/DasSchnelle/50/5000/9937/046120/I_041315_P_906288641_B_0039969868_3.gal.png?height=720&amp;width=535;https://bilder.dasschnelle.at/DasSchnelle/50/5000/9937/046120/I_041315_P_906288641_B_0039969868_4.gal.png?height=400&amp;width=720</t>
  </si>
  <si>
    <t>mb Holzbau GmbH • Vils • Tirol</t>
  </si>
  <si>
    <t>Holzbau • mb Holzbau GmbH, Stegen 4, Vils • Kontakt über aktuelle Telefonnummern ☎ und Adressen ⚑ mit Karte, Routing, Öffnungszeiten, Homepage, E-Mail, vCard und Firmendaten.</t>
  </si>
  <si>
    <t>Stegen 4</t>
  </si>
  <si>
    <t>47.54893</t>
  </si>
  <si>
    <t>10.65753</t>
  </si>
  <si>
    <t>+4356778364</t>
  </si>
  <si>
    <t>info@mb-holzbau.at</t>
  </si>
  <si>
    <t>https://bilder.dasschnelle.at/DasSchnelle/50/5000/9921/042608/G_042608_P_906288643.adn.gif</t>
  </si>
  <si>
    <t>STEFFNER Johann GesmbH, Dachdeckerei, Spenglerei • Bad Goisern am Hallstätt • Oberösterreich</t>
  </si>
  <si>
    <t>Dachdeckereien, Spenglereien • STEFFNER Johann GesmbH, Wirerstubenstraße 6, Bad Goisern am Hallstätt • Kontakt über aktuelle Telefonnummern ☎ und Adressen ⚑ mit Karte, Routing, Öffnungszeiten, Homepage, E-Mail, vCard und Firmendaten.</t>
  </si>
  <si>
    <t>Wirerstubenstraße 6</t>
  </si>
  <si>
    <t>47.65867</t>
  </si>
  <si>
    <t>13.60821</t>
  </si>
  <si>
    <t>+43613584370;+4369913314433</t>
  </si>
  <si>
    <t>+436135843719</t>
  </si>
  <si>
    <t>office@steffnerdach.at</t>
  </si>
  <si>
    <t>https://bilder.dasschnelle.at/DasSchnelle/50/5000/9868/041789/I_041789_P_906289184_L_0036242905_1.png</t>
  </si>
  <si>
    <t>https://bilder.dasschnelle.at/DasSchnelle/50/5000/9868/041789/I_041789_P_906289184_B_0036242905_1.gal.png?height=477&amp;width=720;https://bilder.dasschnelle.at/DasSchnelle/50/5000/9868/041789/I_041789_P_906289184_B_0036242905_2.gal.png?height=544&amp;width=720;https://bilder.dasschnelle.at/DasSchnelle/50/5000/9868/041789/I_041789_P_906289184_B_0036242905_3.gal.png?height=540&amp;width=720;https://bilder.dasschnelle.at/DasSchnelle/50/5000/9868/041789/I_041789_P_906289184_B_0036242905_4.gal.png?height=480&amp;width=720</t>
  </si>
  <si>
    <t>Hofmann Wirtschaftstreuhand - Steuerbüro Specht - Steuerberater KG, Steuerberater • Reutte • Tirol</t>
  </si>
  <si>
    <t>Steuerberater • Hofmann Wirtschaftstreuhand - Steuerbüro Specht - Steuerberater KG, Kirchweg 11, Reutte • Kontakt über aktuelle Telefonnummern ☎ und Adressen ⚑ mit Karte, Routing, Öffnungszeiten, Homepage, E-Mail, vCard und Firmendaten.</t>
  </si>
  <si>
    <t>Kirchweg 11</t>
  </si>
  <si>
    <t>47.48922</t>
  </si>
  <si>
    <t>10.72457</t>
  </si>
  <si>
    <t>+435672624710</t>
  </si>
  <si>
    <t>+43567265803</t>
  </si>
  <si>
    <t>office@hofmann-specht.at</t>
  </si>
  <si>
    <t>https://bilder.dasschnelle.at/DasSchnelle/50/5000/9921/042603/I_042603_P_906289182_L_0037075249_1.png</t>
  </si>
  <si>
    <t>https://bilder.dasschnelle.at/DasSchnelle/50/5000/9921/042603/G_042603_P_906289182.adn.gif</t>
  </si>
  <si>
    <t>at reutte Steuerberatungs GmbH • Reutte • Tirol</t>
  </si>
  <si>
    <t>Steuerberater • at reutte Steuerberatungs GmbH, Unterdorf 1, Reutte • Kontakt über aktuelle Telefonnummern ☎ und Adressen ⚑ mit Karte, Routing, Öffnungszeiten, Homepage, E-Mail, vCard und Firmendaten.</t>
  </si>
  <si>
    <t>Unterdorf 1</t>
  </si>
  <si>
    <t>47.4921</t>
  </si>
  <si>
    <t>10.70444</t>
  </si>
  <si>
    <t>+43567262257</t>
  </si>
  <si>
    <t>office@atreutte.at</t>
  </si>
  <si>
    <t>https://bilder.dasschnelle.at/DasSchnelle/50/5000/9921/042595/I_042595_P_906289189_L_0037249751_1.png</t>
  </si>
  <si>
    <t>Pürcher, Harald, Dachdeckerei u Spenglerei • Bad Aussee • Steiermark</t>
  </si>
  <si>
    <t>Dachdeckerei u. Spenglerei • Pürcher, Harald, Altausseer Straße 51 /2, Bad Aussee • Kontakt über aktuelle Telefonnummern ☎ und Adressen ⚑ mit Karte, Routing, Öffnungszeiten, Homepage, E-Mail, vCard und Firmendaten.</t>
  </si>
  <si>
    <t>Altausseer Straße 51 /2</t>
  </si>
  <si>
    <t>47.61433</t>
  </si>
  <si>
    <t>13.77573</t>
  </si>
  <si>
    <t>+436769465893</t>
  </si>
  <si>
    <t>office@puercher-dach.at</t>
  </si>
  <si>
    <t>https://bilder.dasschnelle.at/DasSchnelle/50/5000/9868/044351/I_044351_P_906289191_L_0036262250_1.png</t>
  </si>
  <si>
    <t>https://bilder.dasschnelle.at/DasSchnelle/50/5000/9868/044351/I_044351_P_906289191_B_0036262250_1.gal.png?height=359&amp;width=720;https://bilder.dasschnelle.at/DasSchnelle/50/5000/9868/044351/I_044351_P_906289191_B_0036262250_2.gal.png?height=359&amp;width=720;https://bilder.dasschnelle.at/DasSchnelle/50/5000/9868/044351/I_044351_P_906289191_B_0036262250_3.gal.png?height=359&amp;width=720;https://bilder.dasschnelle.at/DasSchnelle/50/5000/9868/044351/I_044351_P_906289191_B_0036262250_4.gal.png?height=359&amp;width=720</t>
  </si>
  <si>
    <t>Duyar, Tuncer, Restaurant  • Ehrwald • Tirol</t>
  </si>
  <si>
    <t>Gastgewerbe - Gasthöfe, Pizzerias • Duyar, Tuncer, Restaurant, Hauptstraße 41, Ehrwald • Kontakt über aktuelle Telefonnummern ☎ und Adressen ⚑ mit Karte, Routing, Öffnungszeiten, Homepage, E-Mail, vCard und Firmendaten.</t>
  </si>
  <si>
    <t>Hauptstraße 41</t>
  </si>
  <si>
    <t>47.4034</t>
  </si>
  <si>
    <t>10.91937</t>
  </si>
  <si>
    <t>+43567321693</t>
  </si>
  <si>
    <t>https://bilder.dasschnelle.at/DasSchnelle/50/5000/9921/044843/G_044843_P_906289192.adn.gif</t>
  </si>
  <si>
    <t>Schlosserei Strick GmbH &amp; Co KG • Obertraun • Oberösterreich</t>
  </si>
  <si>
    <t>Schlossereien • Schlosserei Strick GmbH &amp; Co KG, Obertraun 222, Obertraun • Kontakt über aktuelle Telefonnummern ☎ und Adressen ⚑ mit Karte, Routing, Öffnungszeiten, Homepage, E-Mail, vCard und Firmendaten.</t>
  </si>
  <si>
    <t>Obertraun 222</t>
  </si>
  <si>
    <t>47.5571800</t>
  </si>
  <si>
    <t>13.7019900</t>
  </si>
  <si>
    <t>+4361314030</t>
  </si>
  <si>
    <t>+4361314036</t>
  </si>
  <si>
    <t>schlosserei-strick@aon.at</t>
  </si>
  <si>
    <t>https://bilder.dasschnelle.at/DasSchnelle/50/5000/9868/041799/G_041799_P_906289195.adn.gif</t>
  </si>
  <si>
    <t>Rothauer Spedition GmbH &amp; Co KG • Pinsdorf • Oberösterreich</t>
  </si>
  <si>
    <t>Speditionen • Rothauer Spedition GmbH &amp; Co KG, Wiesenstraße 85, Pinsdorf • Kontakt über aktuelle Telefonnummern ☎ und Adressen ⚑ mit Karte, Routing, Öffnungszeiten, Homepage, E-Mail, vCard und Firmendaten.</t>
  </si>
  <si>
    <t>Wiesenstraße 85</t>
  </si>
  <si>
    <t>47.9566800</t>
  </si>
  <si>
    <t>13.7489400</t>
  </si>
  <si>
    <t>+43761289930</t>
  </si>
  <si>
    <t>office@rothauertrans.at</t>
  </si>
  <si>
    <t>https://bilder.dasschnelle.at/DasSchnelle/50/5000/9886/041801/G_041801_P_906289199.adn.gif</t>
  </si>
  <si>
    <t>Kirchdorfer Taxi GmbH &amp; Co KG • Micheldorf • Oberösterreich</t>
  </si>
  <si>
    <t>Taxi, Transportunternehmen • Kirchdorfer Taxi GmbH &amp; Co KG, Weinzierler Brücke 74, Micheldorf • Kontakt über aktuelle Telefonnummern ☎ und Adressen ⚑ mit Karte, Routing, Öffnungszeiten, Homepage, E-Mail, vCard und Firmendaten.</t>
  </si>
  <si>
    <t>Weinzierler Brücke 74</t>
  </si>
  <si>
    <t>47.8943666</t>
  </si>
  <si>
    <t>14.1298284</t>
  </si>
  <si>
    <t>+43758261711</t>
  </si>
  <si>
    <t>+4375826171120</t>
  </si>
  <si>
    <t>taxi@pptv.at</t>
  </si>
  <si>
    <t>https://bilder.dasschnelle.at/DasSchnelle/50/5000/9895/046085/I_046085_P_906289380_L_0035971183_1.png</t>
  </si>
  <si>
    <t>https://bilder.dasschnelle.at/DasSchnelle/50/5000/9895/046085/I_046085_P_906289380_B_0035971183_1.gal.png?height=450&amp;width=600;https://bilder.dasschnelle.at/DasSchnelle/50/5000/9895/046085/I_046085_P_906289380_B_0035971183_2.gal.png?height=450&amp;width=600;https://bilder.dasschnelle.at/DasSchnelle/50/5000/9895/046085/I_046085_P_906289380_B_0035971183_3.gal.png?height=450&amp;width=600;https://bilder.dasschnelle.at/DasSchnelle/50/5000/9895/046085/I_046085_P_906289380_B_0035971183_4.gal.png?height=449&amp;width=337</t>
  </si>
  <si>
    <t>Gassner, Robert, Erdbau • Bad Aussee • Steiermark</t>
  </si>
  <si>
    <t>Erdbau • Gassner, Robert, Helmbühel 8, Bad Aussee • Kontakt über aktuelle Telefonnummern ☎ und Adressen ⚑ mit Karte, Routing, Öffnungszeiten, Homepage, E-Mail, vCard und Firmendaten.</t>
  </si>
  <si>
    <t>Helmbühel 8</t>
  </si>
  <si>
    <t>47.61501</t>
  </si>
  <si>
    <t>13.74104</t>
  </si>
  <si>
    <t>+436769218374</t>
  </si>
  <si>
    <t>robert.gassner@gmx.at</t>
  </si>
  <si>
    <t>https://bilder.dasschnelle.at/DasSchnelle/50/5000/9868/044351/I_044351_P_906289376_B_0036233163_1.gal.png?height=336&amp;width=600;https://bilder.dasschnelle.at/DasSchnelle/50/5000/9868/044351/I_044351_P_906289376_B_0036233163_2.gal.png?height=336&amp;width=600;https://bilder.dasschnelle.at/DasSchnelle/50/5000/9868/044351/I_044351_P_906289376_B_0036233163_3.gal.png?height=336&amp;width=600;https://bilder.dasschnelle.at/DasSchnelle/50/5000/9868/044351/I_044351_P_906289376_B_0036233163_4.gal.png?height=600&amp;width=336</t>
  </si>
  <si>
    <t>FW Traumküchen • Anif • Salzburg</t>
  </si>
  <si>
    <t>Küchenstudios • FW Traumküchen, Hellbrunnerstraße 18, Anif • Kontakt über aktuelle Telefonnummern ☎ und Adressen ⚑ mit Karte, Routing, Öffnungszeiten, Homepage, E-Mail, vCard und Firmendaten.</t>
  </si>
  <si>
    <t>Hellbrunnerstraße 18</t>
  </si>
  <si>
    <t>5081</t>
  </si>
  <si>
    <t>Anif</t>
  </si>
  <si>
    <t>47.69049</t>
  </si>
  <si>
    <t>13.08682</t>
  </si>
  <si>
    <t>+43624575186</t>
  </si>
  <si>
    <t>office@fw-traumkuechen.at</t>
  </si>
  <si>
    <t>https://bilder.dasschnelle.at/DasSchnelle/50/5000/9889/043591/I_043591_P_906289384_L_0037578421_1.png</t>
  </si>
  <si>
    <t>https://bilder.dasschnelle.at/DasSchnelle/50/5000/9889/043591/I_043591_P_906289384_B_0037578421_1.gal.png?height=401&amp;width=600;https://bilder.dasschnelle.at/DasSchnelle/50/5000/9889/043591/I_043591_P_906289384_B_0037578421_2.gal.png?height=655&amp;width=958;https://bilder.dasschnelle.at/DasSchnelle/50/5000/9889/043591/I_043591_P_906289384_B_0037578421_3.gal.png?height=584&amp;width=823;https://bilder.dasschnelle.at/DasSchnelle/50/5000/9889/043591/I_043591_P_906289384_B_0037578421_4.gal.png?height=779&amp;width=1188</t>
  </si>
  <si>
    <t>Elektrotechnik Zmugg e.U. • Groß Sankt Florian • Steiermark</t>
  </si>
  <si>
    <t>Elektrotechnik • Elektrotechnik Zmugg e.U., Grünauerstraße 14, Groß Sankt Florian • Kontakt über aktuelle Telefonnummern ☎ und Adressen ⚑ mit Karte, Routing, Öffnungszeiten, Homepage, E-Mail, vCard und Firmendaten.</t>
  </si>
  <si>
    <t>Grünauerstraße 14</t>
  </si>
  <si>
    <t>46.81719</t>
  </si>
  <si>
    <t>15.31917</t>
  </si>
  <si>
    <t>+436642030838</t>
  </si>
  <si>
    <t>office@elektrotechnikzmugg.at</t>
  </si>
  <si>
    <t>https://bilder.dasschnelle.at/DasSchnelle/50/5000/9875/061469/G_061469_P_906289386.adn.gif</t>
  </si>
  <si>
    <t>Leo Möbeldesign GmbH • Groß Sankt Florian • Steiermark</t>
  </si>
  <si>
    <t>Möbelhandel, Tischlereien • Leo Möbeldesign GmbH, Florianiring 3, Groß Sankt Florian • Kontakt über aktuelle Telefonnummern ☎ und Adressen ⚑ mit Karte, Routing, Öffnungszeiten, Homepage, E-Mail, vCard und Firmendaten.</t>
  </si>
  <si>
    <t>Florianiring 3</t>
  </si>
  <si>
    <t>46.82418</t>
  </si>
  <si>
    <t>15.31132</t>
  </si>
  <si>
    <t>+43346429000;+43346420279;+4334642900;+436641603610;+436643356622;+43676898707701;+43676898707702;+43676898707703;+43676898707704;+43676898707705;+43676898707706;+43676898707707;+43676898707708;+43676898707709;+43676898707710;+43676898707711;+43676898707712;+43676898707713;+43676898707770;+43676898707790;+43676898707797;+43676898707898;+43676898707989;+4369916119756;+4369916191686;+4369916191706;+4369916191712</t>
  </si>
  <si>
    <t>office@leo.st</t>
  </si>
  <si>
    <t>https://bilder.dasschnelle.at/DasSchnelle/50/5000/9875/061469/G_061469_P_906289440.adn.gif</t>
  </si>
  <si>
    <t>Wolf Huber GesmbH, Malermeister • Wies • Steiermark</t>
  </si>
  <si>
    <t>Bodenverlegung, Malereibetriebe, Raumausstatter • Wolf Huber GesmbH, Sulmstraße 5, Wies • Kontakt über aktuelle Telefonnummern ☎ und Adressen ⚑ mit Karte, Routing, Öffnungszeiten, Homepage, E-Mail, vCard und Firmendaten.</t>
  </si>
  <si>
    <t>Sulmstraße 5</t>
  </si>
  <si>
    <t>46.71755</t>
  </si>
  <si>
    <t>15.2616</t>
  </si>
  <si>
    <t>+4334652405;+436641523190</t>
  </si>
  <si>
    <t>+4334653903</t>
  </si>
  <si>
    <t>office@maler-wolf.at</t>
  </si>
  <si>
    <t>https://bilder.dasschnelle.at/DasSchnelle/50/5000/9875/061464/G_061464_P_906289472.adn.gif</t>
  </si>
  <si>
    <t>Rieck, Harald, Dr.med.univ., Facharzt f Neurologie • Steyr • Oberösterreich</t>
  </si>
  <si>
    <t>Fachärzte für Innere Medizin und Nephrologie, Fachärzte für Neurologie • Rieck, Harald, Dr.med.univ., Hubergutstraße 13 /B6, Steyr • Kontakt über aktuelle Telefonnummern ☎ und Adressen ⚑ mit Karte, Routing, Öffnungszeiten, Homepage, E-Mail, vCard und Firmendaten.</t>
  </si>
  <si>
    <t>Hubergutstraße 13 /B6</t>
  </si>
  <si>
    <t>48.03008</t>
  </si>
  <si>
    <t>14.42482</t>
  </si>
  <si>
    <t>+4369912333860</t>
  </si>
  <si>
    <t>h.rieck@tmo.at</t>
  </si>
  <si>
    <t>https://bilder.dasschnelle.at/DasSchnelle/50/5000/9878/044546/G_044546_P_906289352.adn.gif</t>
  </si>
  <si>
    <t>Gruber Lüftungstechnik GmbH • Steyr • Oberösterreich</t>
  </si>
  <si>
    <t>Lüftungsanlagen u. -technik • Gruber Lüftungstechnik GmbH, Ulrichstraße 5, Steyr • Kontakt über aktuelle Telefonnummern ☎ und Adressen ⚑ mit Karte, Routing, Öffnungszeiten, Homepage, E-Mail, vCard und Firmendaten.</t>
  </si>
  <si>
    <t>Ulrichstraße 5</t>
  </si>
  <si>
    <t>48.02714</t>
  </si>
  <si>
    <t>14.421</t>
  </si>
  <si>
    <t>+437252460070</t>
  </si>
  <si>
    <t>office@gruber-lueftung.at</t>
  </si>
  <si>
    <t>https://bilder.dasschnelle.at/DasSchnelle/50/5000/9878/042819/G_042819_P_906289354.adn.gif</t>
  </si>
  <si>
    <t>Hinteregger, Mathilde, Reifen u Reifendienste • Steyr • Oberösterreich</t>
  </si>
  <si>
    <t>Reifendienste • Hinteregger, Mathilde, Haager Straße 70, Steyr • Kontakt über aktuelle Telefonnummern ☎ und Adressen ⚑ mit Karte, Routing, Öffnungszeiten, Homepage, E-Mail, vCard und Firmendaten.</t>
  </si>
  <si>
    <t>Haager Straße 70</t>
  </si>
  <si>
    <t>48.06343</t>
  </si>
  <si>
    <t>14.45379</t>
  </si>
  <si>
    <t>+43725271020</t>
  </si>
  <si>
    <t>reifen-hinteregger@dialog-gruppe.at</t>
  </si>
  <si>
    <t>https://bilder.dasschnelle.at/DasSchnelle/50/5000/9878/044546/G_044546_P_906289356.adn.gif</t>
  </si>
  <si>
    <t>Thoma, Walter, Zimmermeister • Steyr • Oberösterreich</t>
  </si>
  <si>
    <t>Zimmereien • Thoma, Walter, Weba-Straße 8, Steyr • Kontakt über aktuelle Telefonnummern ☎ und Adressen ⚑ mit Karte, Routing, Öffnungszeiten, Homepage, E-Mail, vCard und Firmendaten.</t>
  </si>
  <si>
    <t>Weba-Straße 8</t>
  </si>
  <si>
    <t>48.0824</t>
  </si>
  <si>
    <t>14.43061</t>
  </si>
  <si>
    <t>+436769075588</t>
  </si>
  <si>
    <t>office@zimmerei-thoma.at</t>
  </si>
  <si>
    <t>https://bilder.dasschnelle.at/DasSchnelle/50/5000/9878/042809/G_042809_P_906289358.adn.gif</t>
  </si>
  <si>
    <t>Dr. Martina Koch-Puhr, Zahnärztin • Markt Allhau • Burgenland</t>
  </si>
  <si>
    <t>Ärzte / Fachärzte f. Zahn-, Mund u. Kieferheilkunde • Dr. Martina Koch-Puhr, Harbergerstraße 23, Markt Allhau • Kontakt über aktuelle Telefonnummern ☎ und Adressen ⚑ mit Karte, Routing, Öffnungszeiten, Homepage, E-Mail, vCard und Firmendaten.</t>
  </si>
  <si>
    <t>Harbergerstraße 23</t>
  </si>
  <si>
    <t>47.2906200</t>
  </si>
  <si>
    <t>16.0751400</t>
  </si>
  <si>
    <t>+43335673069</t>
  </si>
  <si>
    <t>praxix@mkoch-zahn.at</t>
  </si>
  <si>
    <t>https://bilder.dasschnelle.at/DasSchnelle/50/5000/9951/041368/I_506175_P_906289359_L_0037271294_1.png</t>
  </si>
  <si>
    <t>https://bilder.dasschnelle.at/DasSchnelle/50/5000/9951/041368/I_506175_P_906289359_B_0037271294_1.gal.png?height=314&amp;width=658;https://bilder.dasschnelle.at/DasSchnelle/50/5000/9951/041368/I_506175_P_906289359_B_0037271294_2.gal.png?height=314&amp;width=658;https://bilder.dasschnelle.at/DasSchnelle/50/5000/9951/041368/I_506175_P_906289359_B_0037271294_3.gal.png?height=314&amp;width=658;https://bilder.dasschnelle.at/DasSchnelle/50/5000/9951/041368/I_041368_P_906289359_B_0037271294_4.gal.png?height=314&amp;width=658</t>
  </si>
  <si>
    <t>Komplettdach Janisch GmbH • Rotenturm an der Pirka • Burgenland</t>
  </si>
  <si>
    <t>Dachdeckereien • Komplettdach Janisch GmbH, Hauptstraße 16, Rotenturm an der Pirka • Kontakt über aktuelle Telefonnummern ☎ und Adressen ⚑ mit Karte, Routing, Öffnungszeiten, Homepage, E-Mail, vCard und Firmendaten.</t>
  </si>
  <si>
    <t>7501</t>
  </si>
  <si>
    <t>Rotenturm an der Pirka</t>
  </si>
  <si>
    <t>47.2527400</t>
  </si>
  <si>
    <t>16.2448700</t>
  </si>
  <si>
    <t>+433352341670</t>
  </si>
  <si>
    <t>komplettdach.janisch@outlook.com</t>
  </si>
  <si>
    <t>https://bilder.dasschnelle.at/DasSchnelle/50/5000/9951/042069/I_042069_P_906289262_L_0039957101_1.png</t>
  </si>
  <si>
    <t>https://bilder.dasschnelle.at/DasSchnelle/50/5000/9951/042069/I_042069_P_906289262_B_0039957101_1.gal.png?height=400&amp;width=720;https://bilder.dasschnelle.at/DasSchnelle/50/5000/9951/042069/I_042069_P_906289262_B_0039957101_2.gal.png?height=720&amp;width=581;https://bilder.dasschnelle.at/DasSchnelle/50/5000/9951/042069/I_042069_P_906289262_B_0039957101_3.gal.png?height=720&amp;width=720;https://bilder.dasschnelle.at/DasSchnelle/50/5000/9951/042069/I_042069_P_906289262_B_0039957101_4.gal.png?height=400&amp;width=720;https://bilder.dasschnelle.at/DasSchnelle/50/5000/9951/042069/G_042069_P_906289262.adn.gif</t>
  </si>
  <si>
    <t>Ehmann, Christian, Natursteine • Eibiswald • Steiermark</t>
  </si>
  <si>
    <t>Natursteine u. -platten • Ehmann, Christian, Eibiswald 264 A, Eibiswald • Kontakt über aktuelle Telefonnummern ☎ und Adressen ⚑ mit Karte, Routing, Öffnungszeiten, Homepage, E-Mail, vCard und Firmendaten.</t>
  </si>
  <si>
    <t>Eibiswald 264 A</t>
  </si>
  <si>
    <t>46.6877239</t>
  </si>
  <si>
    <t>15.2400335</t>
  </si>
  <si>
    <t>+436508204876</t>
  </si>
  <si>
    <t>office@natursteine-ehmann.at</t>
  </si>
  <si>
    <t>https://bilder.dasschnelle.at/DasSchnelle/50/5000/9875/061447/G_061447_P_906289255.adn.gif</t>
  </si>
  <si>
    <t>Kellermayr, Pamela, Mag., Rechtsanwältin • Micheldorf • Oberösterreich</t>
  </si>
  <si>
    <t>Rechtsanwälte • Kellermayr, Pamela, Mag., Welser Straße 11 /1, Micheldorf • Kontakt über aktuelle Telefonnummern ☎ und Adressen ⚑ mit Karte, Routing, Öffnungszeiten, Homepage, E-Mail, vCard und Firmendaten.</t>
  </si>
  <si>
    <t>Welser Straße 11 /1</t>
  </si>
  <si>
    <t>47.8813424</t>
  </si>
  <si>
    <t>14.1323375</t>
  </si>
  <si>
    <t>+43758263339</t>
  </si>
  <si>
    <t>office@kanzlei-kellermayr.at</t>
  </si>
  <si>
    <t>https://bilder.dasschnelle.at/DasSchnelle/50/5000/9895/046085/G_046085_P_906289261.adn.gif</t>
  </si>
  <si>
    <t>Schügerl, Stefan, Dr., FA f Lungenkrankheiten • Neunkirchen • Niederösterreich</t>
  </si>
  <si>
    <t>Ärzte / Fachärzte f. Lungenkrankheiten • Schügerl, Stefan, Dr., Schreckgasse 6, Neunkirchen • Kontakt über aktuelle Telefonnummern ☎ und Adressen ⚑ mit Karte, Routing, Öffnungszeiten, Homepage, E-Mail, vCard und Firmendaten.</t>
  </si>
  <si>
    <t>Schreckgasse 6</t>
  </si>
  <si>
    <t>47.7193</t>
  </si>
  <si>
    <t>16.08358</t>
  </si>
  <si>
    <t>+43263562020</t>
  </si>
  <si>
    <t>+432635620202</t>
  </si>
  <si>
    <t>ordination@schuegerl.at</t>
  </si>
  <si>
    <t>https://bilder.dasschnelle.at/DasSchnelle/50/5000/9913/041844/G_041844_P_906290193.adn.gif</t>
  </si>
  <si>
    <t>Panholzer, Peter Josef, Prim. Dr., FA f Innere Medizin/Nuklearmedizin • Gmunden • Oberösterreich</t>
  </si>
  <si>
    <t>Ärzte / Fachärzte f. Innere Medizin • Panholzer, Peter Josef, Prim. Dr., Kammerhofgasse 6 1Stock, Gmunden • Kontakt über aktuelle Telefonnummern ☎ und Adressen ⚑ mit Karte, Routing, Öffnungszeiten, Homepage, E-Mail, vCard und Firmendaten.</t>
  </si>
  <si>
    <t>Kammerhofgasse 6 1Stock</t>
  </si>
  <si>
    <t>47.91819</t>
  </si>
  <si>
    <t>13.80089</t>
  </si>
  <si>
    <t>+436641522957</t>
  </si>
  <si>
    <t>+43761274850</t>
  </si>
  <si>
    <t>praxis.panholzer@a1.net</t>
  </si>
  <si>
    <t>https://bilder.dasschnelle.at/DasSchnelle/50/5000/9886/041792/G_041792_P_906290198.adn.gif</t>
  </si>
  <si>
    <t>Gertcheva, Veselina, Dr.med.dent., Facharzt f Zahn-, Mund- u Kieferheilkunde • Pernitz • Niederösterreich</t>
  </si>
  <si>
    <t>Ärzte / Fachärzte f. Zahn-, Mund u. Kieferheilkunde • Gertcheva, Veselina, Dr.med.dent., Nordstraße 2, Pernitz • Kontakt über aktuelle Telefonnummern ☎ und Adressen ⚑ mit Karte, Routing, Öffnungszeiten, Homepage, E-Mail, vCard und Firmendaten.</t>
  </si>
  <si>
    <t>Nordstraße 2</t>
  </si>
  <si>
    <t>2763</t>
  </si>
  <si>
    <t>Pernitz</t>
  </si>
  <si>
    <t>47.89302</t>
  </si>
  <si>
    <t>15.9654</t>
  </si>
  <si>
    <t>+43263272547</t>
  </si>
  <si>
    <t>ordi@dentidoc.at</t>
  </si>
  <si>
    <t>https://bilder.dasschnelle.at/DasSchnelle/50/5000/9946/044295/G_044295_P_906290201.adn.gif</t>
  </si>
  <si>
    <t>Buchmair, Alfred, Dr., FA für Zahn-, Mund- und Kieferheilkunde • Pinsdorf • Oberösterreich</t>
  </si>
  <si>
    <t>Ärzte / Fachärzte f. Mund-, Kiefer- u. Gesichtschirurgie • Buchmair, Alfred, Dr., Vöcklabrucker Straße 24, Pinsdorf • Kontakt über aktuelle Telefonnummern ☎ und Adressen ⚑ mit Karte, Routing, Öffnungszeiten, Homepage, E-Mail, vCard und Firmendaten.</t>
  </si>
  <si>
    <t>https://bilder.dasschnelle.at/DasSchnelle/50/5000/9886/041801/G_041801_P_906290202.adn.gif</t>
  </si>
  <si>
    <t>Rieß, Franz, Landwirtschaftliche Produkte • Langwiedmoos • Oberösterreich</t>
  </si>
  <si>
    <t>Kaufhäuser • Rieß, Franz, Langwiedmoos • Kontakt über aktuelle Telefonnummern ☎ und Adressen ⚑ mit Karte, Routing, Öffnungszeiten, Homepage, E-Mail, vCard und Firmendaten.</t>
  </si>
  <si>
    <t>Langwiedmoos</t>
  </si>
  <si>
    <t>48.1024593</t>
  </si>
  <si>
    <t>13.1772681</t>
  </si>
  <si>
    <t>+43774230290</t>
  </si>
  <si>
    <t>franz@f-riess.at</t>
  </si>
  <si>
    <t>https://bilder.dasschnelle.at/DasSchnelle/50/5000/9872/044797/G_044797_P_906290204.adn.gif</t>
  </si>
  <si>
    <t>MS-Holzbau GmbH • Mattighofen • Oberösterreich</t>
  </si>
  <si>
    <t>Holzbau u. Zimmereien • MS-Holzbau GmbH, Scheiterbachstraße 8, Mattighofen • Kontakt über aktuelle Telefonnummern ☎ und Adressen ⚑ mit Karte, Routing, Öffnungszeiten, Homepage, E-Mail, vCard und Firmendaten.</t>
  </si>
  <si>
    <t>Scheiterbachstraße 8</t>
  </si>
  <si>
    <t>48.1049100</t>
  </si>
  <si>
    <t>13.1554146</t>
  </si>
  <si>
    <t>+436508111278</t>
  </si>
  <si>
    <t>office@ms-holzbau.at</t>
  </si>
  <si>
    <t>https://bilder.dasschnelle.at/DasSchnelle/50/5000/9872/044548/I_044548_P_906290206_L_0036261552_1.png</t>
  </si>
  <si>
    <t>https://bilder.dasschnelle.at/DasSchnelle/50/5000/9872/044548/I_044548_P_906290206_B_0036261552_1.gal.png?height=450&amp;width=600;https://bilder.dasschnelle.at/DasSchnelle/50/5000/9872/044548/I_044548_P_906290206_B_0036261552_2.gal.png?height=450&amp;width=600;https://bilder.dasschnelle.at/DasSchnelle/50/5000/9872/044548/I_044548_P_906290206_B_0036261552_3.gal.png?height=450&amp;width=600;https://bilder.dasschnelle.at/DasSchnelle/50/5000/9872/044548/I_044548_P_906290206_B_0036261552_4.gal.png?height=450&amp;width=600</t>
  </si>
  <si>
    <t>Mayr, Alexander, Schnittstyle 1890, Friseur • Kirchdorf an der Krems • Oberösterreich</t>
  </si>
  <si>
    <t>Friseure • Mayr, Alexander, Schnittstyle 1890, Brunnenweg 1 -3, Kirchdorf an der Krems • Kontakt über aktuelle Telefonnummern ☎ und Adressen ⚑ mit Karte, Routing, Öffnungszeiten, Homepage, E-Mail, vCard und Firmendaten.</t>
  </si>
  <si>
    <t>Brunnenweg 1 -3</t>
  </si>
  <si>
    <t>47.90176</t>
  </si>
  <si>
    <t>14.11787</t>
  </si>
  <si>
    <t>+43758251121</t>
  </si>
  <si>
    <t>office@schnittstyle1890.at</t>
  </si>
  <si>
    <t>https://bilder.dasschnelle.at/DasSchnelle/50/5000/9895/046082/G_046082_P_906290208.adn.gif</t>
  </si>
  <si>
    <t>vers &amp; more gmbh, Versicherungsunternehmen • Steyr • Oberösterreich</t>
  </si>
  <si>
    <t>Versicherungsunternehmen • vers &amp; more gmbh, Ennser Straße 54, Steyr • Kontakt über aktuelle Telefonnummern ☎ und Adressen ⚑ mit Karte, Routing, Öffnungszeiten, Homepage, E-Mail, vCard und Firmendaten.</t>
  </si>
  <si>
    <t>Ennser Straße 54</t>
  </si>
  <si>
    <t>+43725252661</t>
  </si>
  <si>
    <t>office@versandmore.at</t>
  </si>
  <si>
    <t>https://bilder.dasschnelle.at/DasSchnelle/50/5000/9878/044546/G_044546_P_906290210.adn.gif</t>
  </si>
  <si>
    <t>Gundendorfer, Regina, Bellissima Regina, Kosmetik • Steyr • Oberösterreich</t>
  </si>
  <si>
    <t>Fußpflege, Kosmetik • Gundendorfer, Regina, Bellissima Regina, Eisenstraße 18, Steyr • Kontakt über aktuelle Telefonnummern ☎ und Adressen ⚑ mit Karte, Routing, Öffnungszeiten, Homepage, E-Mail, vCard und Firmendaten.</t>
  </si>
  <si>
    <t>Eisenstraße 18</t>
  </si>
  <si>
    <t>48.03017</t>
  </si>
  <si>
    <t>14.41938</t>
  </si>
  <si>
    <t>+436507071176</t>
  </si>
  <si>
    <t>regina@bellissimaregina.at</t>
  </si>
  <si>
    <t>https://bilder.dasschnelle.at/DasSchnelle/50/5000/9878/044546/G_044546_P_906290212.adn.gif</t>
  </si>
  <si>
    <t>Look Salon Sandmair, Friseur • Steyr • Oberösterreich</t>
  </si>
  <si>
    <t>Friseure • Look Salon Sandmair, Smaragdstraße 4, Steyr • Kontakt über aktuelle Telefonnummern ☎ und Adressen ⚑ mit Karte, Routing, Öffnungszeiten, Homepage, E-Mail, vCard und Firmendaten.</t>
  </si>
  <si>
    <t>Smaragdstraße 4</t>
  </si>
  <si>
    <t>48.08491</t>
  </si>
  <si>
    <t>14.43214</t>
  </si>
  <si>
    <t>+43725238868</t>
  </si>
  <si>
    <t>sandmair.tabor@aon.at</t>
  </si>
  <si>
    <t>https://bilder.dasschnelle.at/DasSchnelle/50/5000/9878/042809/G_042809_P_906290214.adn.gif</t>
  </si>
  <si>
    <t>Gruber, Manuela, Friseur • Steyr • Oberösterreich</t>
  </si>
  <si>
    <t>Friseure • Gruber, Manuela, Gleinker Hauptstraße 4, Steyr • Kontakt über aktuelle Telefonnummern ☎ und Adressen ⚑ mit Karte, Routing, Öffnungszeiten, Homepage, E-Mail, vCard und Firmendaten.</t>
  </si>
  <si>
    <t>Gleinker Hauptstraße 4</t>
  </si>
  <si>
    <t>48.06751</t>
  </si>
  <si>
    <t>14.41926</t>
  </si>
  <si>
    <t>+43725271209</t>
  </si>
  <si>
    <t>info@creativehair.at</t>
  </si>
  <si>
    <t>https://bilder.dasschnelle.at/DasSchnelle/50/5000/9878/044546/G_044546_P_906290216.adn.gif</t>
  </si>
  <si>
    <t>Stögerer GmbH, Bestattung/Waldfriedhof • Pingau • Steiermark</t>
  </si>
  <si>
    <t>Bestattungsunternehmen • Stögerer GmbH, Am Sonnenhang 4, Pingau • Kontakt über aktuelle Telefonnummern ☎ und Adressen ⚑ mit Karte, Routing, Öffnungszeiten, Homepage, E-Mail, vCard und Firmendaten.</t>
  </si>
  <si>
    <t>Am Sonnenhang 4</t>
  </si>
  <si>
    <t>8243</t>
  </si>
  <si>
    <t>Pingau</t>
  </si>
  <si>
    <t>47.4384460</t>
  </si>
  <si>
    <t>16.0766146</t>
  </si>
  <si>
    <t>+436763505545</t>
  </si>
  <si>
    <t>office@bestattungen.co.at</t>
  </si>
  <si>
    <t>https://bilder.dasschnelle.at/DasSchnelle/50/5000/9951/041374/G_041374_P_906290217.adn.gif</t>
  </si>
  <si>
    <t>Krenn, Maria, Physiotherapie • Oberndorf bei Salzburg • Salzburg</t>
  </si>
  <si>
    <t>Physiotherapie • Krenn, Maria, Arnsdorfer Straße 5, Oberndorf bei Salzburg • Kontakt über aktuelle Telefonnummern ☎ und Adressen ⚑ mit Karte, Routing, Öffnungszeiten, Homepage, E-Mail, vCard und Firmendaten.</t>
  </si>
  <si>
    <t>Arnsdorfer Straße 5</t>
  </si>
  <si>
    <t>47.9526146</t>
  </si>
  <si>
    <t>12.9389437</t>
  </si>
  <si>
    <t>+43627220009</t>
  </si>
  <si>
    <t>krenn-hinterecker@gmx.at</t>
  </si>
  <si>
    <t>https://bilder.dasschnelle.at/DasSchnelle/50/5000/9914/043322/G_043322_P_906291688.adn.gif</t>
  </si>
  <si>
    <t>Hopf Maximilian GesmbH &amp; Co KG, Installationen • Großraming • Oberösterreich</t>
  </si>
  <si>
    <t>Installationsunternehmen • Hopf Maximilian GesmbH &amp; Co KG, Eisenstraße 33, Großraming • Kontakt über aktuelle Telefonnummern ☎ und Adressen ⚑ mit Karte, Routing, Öffnungszeiten, Homepage, E-Mail, vCard und Firmendaten.</t>
  </si>
  <si>
    <t>Eisenstraße 33</t>
  </si>
  <si>
    <t>47.8849</t>
  </si>
  <si>
    <t>14.55062</t>
  </si>
  <si>
    <t>+43725483130</t>
  </si>
  <si>
    <t>hopf@aon.at</t>
  </si>
  <si>
    <t>https://bilder.dasschnelle.at/DasSchnelle/50/5000/9878/042812/G_042812_P_906291690.adn.gif</t>
  </si>
  <si>
    <t>Neßling OEG, Malereibetriebe • St. Pantaleon • Oberösterreich</t>
  </si>
  <si>
    <t>Malereibetriebe • Neßling OEG, Gewerbepark Heiligenstatt 12, St. Pantaleon • Kontakt über aktuelle Telefonnummern ☎ und Adressen ⚑ mit Karte, Routing, Öffnungszeiten, Homepage, E-Mail, vCard und Firmendaten.</t>
  </si>
  <si>
    <t>Gewerbepark Heiligenstatt 12</t>
  </si>
  <si>
    <t>48.00129</t>
  </si>
  <si>
    <t>12.88668</t>
  </si>
  <si>
    <t>+4362777667</t>
  </si>
  <si>
    <t>malerei@farbemalanders.at</t>
  </si>
  <si>
    <t>https://bilder.dasschnelle.at/DasSchnelle/50/5000/9914/044793/G_044793_P_906292601.adn.gif</t>
  </si>
  <si>
    <t>Buhrt, Sebastian, Malerei • Moosdorf • Oberösterreich</t>
  </si>
  <si>
    <t>Malereibetriebe • Buhrt, Sebastian, Michaelbeuern Straße 2 A, Moosdorf • Kontakt über aktuelle Telefonnummern ☎ und Adressen ⚑ mit Karte, Routing, Öffnungszeiten, Homepage, E-Mail, vCard und Firmendaten.</t>
  </si>
  <si>
    <t>Michaelbeuern Straße 2 A</t>
  </si>
  <si>
    <t>5141</t>
  </si>
  <si>
    <t>Moosdorf</t>
  </si>
  <si>
    <t>48.0446126</t>
  </si>
  <si>
    <t>12.9896924</t>
  </si>
  <si>
    <t>+436766349120</t>
  </si>
  <si>
    <t>sebastian.buhrt@gmx.at</t>
  </si>
  <si>
    <t>https://bilder.dasschnelle.at/DasSchnelle/50/5000/9914/044781/G_044781_P_906292603.adn.gif</t>
  </si>
  <si>
    <t>Scharinger, Felix, Gasthof Steinerwirt, Gasthof • Eggelsberg • Oberösterreich</t>
  </si>
  <si>
    <t>Gastgewerbe - Gasthöfe, Gastronomiebetriebe • Scharinger, Felix, Gasthof Steinerwirt, Revier Heimhausen 7, Eggelsberg • Kontakt über aktuelle Telefonnummern ☎ und Adressen ⚑ mit Karte, Routing, Öffnungszeiten, Homepage, E-Mail, vCard und Firmendaten.</t>
  </si>
  <si>
    <t>Revier Heimhausen 7</t>
  </si>
  <si>
    <t>48.1001139</t>
  </si>
  <si>
    <t>12.9828669</t>
  </si>
  <si>
    <t>+4377482360</t>
  </si>
  <si>
    <t>steinerwirt@gmx.at</t>
  </si>
  <si>
    <t>https://bilder.dasschnelle.at/DasSchnelle/50/5000/9914/044553/G_044553_P_906292605.adn.gif</t>
  </si>
  <si>
    <t>Gann, Monika, Kosmetikinstitute • Eggelsberg • Oberösterreich</t>
  </si>
  <si>
    <t>Kosmetikinstitute • Gann, Monika, Am Weiher 17, Eggelsberg • Kontakt über aktuelle Telefonnummern ☎ und Adressen ⚑ mit Karte, Routing, Öffnungszeiten, Homepage, E-Mail, vCard und Firmendaten.</t>
  </si>
  <si>
    <t>Am Weiher 17</t>
  </si>
  <si>
    <t>48.08194</t>
  </si>
  <si>
    <t>12.99252</t>
  </si>
  <si>
    <t>+4377483038</t>
  </si>
  <si>
    <t>monika.gann@gmx.at</t>
  </si>
  <si>
    <t>https://bilder.dasschnelle.at/DasSchnelle/50/5000/9914/044553/G_044553_P_906292607.adn.gif</t>
  </si>
  <si>
    <t>Pecinovsky, Manfred, Alteisen • Garsten • Oberösterreich</t>
  </si>
  <si>
    <t>Alteisen u. Altmetalle • Pecinovsky, Manfred, Gewerbepark 19, Garsten • Kontakt über aktuelle Telefonnummern ☎ und Adressen ⚑ mit Karte, Routing, Öffnungszeiten, Homepage, E-Mail, vCard und Firmendaten.</t>
  </si>
  <si>
    <t>Gewerbepark 19</t>
  </si>
  <si>
    <t>48.0170600</t>
  </si>
  <si>
    <t>14.4055500</t>
  </si>
  <si>
    <t>+43725241996;+436644034834</t>
  </si>
  <si>
    <t>office@wp-metall.at</t>
  </si>
  <si>
    <t>https://bilder.dasschnelle.at/DasSchnelle/50/5000/9878/042811/G_042811_P_906291658.adn.gif</t>
  </si>
  <si>
    <t>Waffen Wieser GesmbH • Steyr • Oberösterreich</t>
  </si>
  <si>
    <t>Waffen u. Munition • Waffen Wieser GesmbH, Steinerstraße 2 E, Steyr • Kontakt über aktuelle Telefonnummern ☎ und Adressen ⚑ mit Karte, Routing, Öffnungszeiten, Homepage, E-Mail, vCard und Firmendaten.</t>
  </si>
  <si>
    <t>Steinerstraße 2 E</t>
  </si>
  <si>
    <t>48.03988</t>
  </si>
  <si>
    <t>14.42897</t>
  </si>
  <si>
    <t>+43725253059</t>
  </si>
  <si>
    <t>office@waffen-wieser.at</t>
  </si>
  <si>
    <t>https://bilder.dasschnelle.at/DasSchnelle/50/5000/9878/044546/G_044546_P_906291661.adn.gif</t>
  </si>
  <si>
    <t>Etlinger Erdarbeiten, Baggerunternehmen • Ternberg • Oberösterreich</t>
  </si>
  <si>
    <t>Erdarbeiten • Etlinger Erdarbeiten, Laimergutstraße 15, Ternberg • Kontakt über aktuelle Telefonnummern ☎ und Adressen ⚑ mit Karte, Routing, Öffnungszeiten, Homepage, E-Mail, vCard und Firmendaten.</t>
  </si>
  <si>
    <t>Laimergutstraße 15</t>
  </si>
  <si>
    <t>47.95576</t>
  </si>
  <si>
    <t>14.34161</t>
  </si>
  <si>
    <t>+436641280746</t>
  </si>
  <si>
    <t>office@etlinger-erdarbeiten.at</t>
  </si>
  <si>
    <t>https://bilder.dasschnelle.at/DasSchnelle/50/5000/9878/042822/G_042822_P_906291662.adn.gif</t>
  </si>
  <si>
    <t>Kienberger, Franz sen., Zimmermeister • Strobl • Salzburg</t>
  </si>
  <si>
    <t>Zimmereien • Kienberger, Franz sen., Gschwendt 22, Strobl • Kontakt über aktuelle Telefonnummern ☎ und Adressen ⚑ mit Karte, Routing, Öffnungszeiten, Homepage, E-Mail, vCard und Firmendaten.</t>
  </si>
  <si>
    <t>Gschwendt 22</t>
  </si>
  <si>
    <t>47.7156869</t>
  </si>
  <si>
    <t>13.4262841</t>
  </si>
  <si>
    <t>+4361377122;+436769193718</t>
  </si>
  <si>
    <t>office@franz-kienberger.at</t>
  </si>
  <si>
    <t>https://bilder.dasschnelle.at/DasSchnelle/50/5000/9868/041790/I_041790_P_906292465_L_0035970084_1.png</t>
  </si>
  <si>
    <t>https://bilder.dasschnelle.at/DasSchnelle/50/5000/9868/041790/I_041790_P_906292465_B_0035970084_1.gal.png?height=276&amp;width=276;https://bilder.dasschnelle.at/DasSchnelle/50/5000/9868/041790/I_041790_P_906292465_B_0035970084_2.gal.png?height=276&amp;width=276;https://bilder.dasschnelle.at/DasSchnelle/50/5000/9868/041790/I_041790_P_906292465_B_0035970084_3.gal.png?height=276&amp;width=276;https://bilder.dasschnelle.at/DasSchnelle/50/5000/9868/041790/I_041790_P_906292465_B_0035970084_4.gal.png?height=540&amp;width=720</t>
  </si>
  <si>
    <t>Pugl-Pichler, Christian, Tischlereien • Strobl • Salzburg</t>
  </si>
  <si>
    <t>Tischlereien • Pugl-Pichler, Christian, Römerweg 18, Strobl • Kontakt über aktuelle Telefonnummern ☎ und Adressen ⚑ mit Karte, Routing, Öffnungszeiten, Homepage, E-Mail, vCard und Firmendaten.</t>
  </si>
  <si>
    <t>Römerweg 18</t>
  </si>
  <si>
    <t>47.71879</t>
  </si>
  <si>
    <t>13.49858</t>
  </si>
  <si>
    <t>+4361375879;+436644249422</t>
  </si>
  <si>
    <t>tischleri_puglpichler@aon.at</t>
  </si>
  <si>
    <t>https://bilder.dasschnelle.at/DasSchnelle/50/5000/9868/043330/G_043330_P_906292470.adn.gif</t>
  </si>
  <si>
    <t>Kogler, Walter, Ing., Elektro • Sankt Gilgen • Salzburg</t>
  </si>
  <si>
    <t>Elektro • Kogler, Walter, Ing., Gschwendt 271, Sankt Gilgen • Kontakt über aktuelle Telefonnummern ☎ und Adressen ⚑ mit Karte, Routing, Öffnungszeiten, Homepage, E-Mail, vCard und Firmendaten.</t>
  </si>
  <si>
    <t>Gschwendt 271</t>
  </si>
  <si>
    <t>47.7267459</t>
  </si>
  <si>
    <t>13.4238802</t>
  </si>
  <si>
    <t>+436642452591;+436642816300;+436643994967</t>
  </si>
  <si>
    <t>info@kogler-elektro.at</t>
  </si>
  <si>
    <t>https://bilder.dasschnelle.at/DasSchnelle/50/5000/9868/043330/G_043330_P_906292633.adn.gif</t>
  </si>
  <si>
    <t>Strigl, Christian, Ing., Planungsbüro • Pflach • Tirol</t>
  </si>
  <si>
    <t>Ingenieurbüros • Strigl, Christian, Ing., Kohlplatz 10, Pflach • Kontakt über aktuelle Telefonnummern ☎ und Adressen ⚑ mit Karte, Routing, Öffnungszeiten, Homepage, E-Mail, vCard und Firmendaten.</t>
  </si>
  <si>
    <t>Kohlplatz 10</t>
  </si>
  <si>
    <t>47.50709</t>
  </si>
  <si>
    <t>10.71711</t>
  </si>
  <si>
    <t>+43567271621;+436763601028;+436767021900</t>
  </si>
  <si>
    <t>office@icstrigl.at</t>
  </si>
  <si>
    <t>https://bilder.dasschnelle.at/DasSchnelle/50/5000/9921/042601/G_042601_P_906291706.adn.gif</t>
  </si>
  <si>
    <t>Keppelmüller, Rudolf, MMag.Dr., Öffentlicher Notar • Eferding • Oberösterreich</t>
  </si>
  <si>
    <t>Notare • Keppelmüller, Rudolf, MMag.Dr., Stadtplatz 18, Eferding • Kontakt über aktuelle Telefonnummern ☎ und Adressen ⚑ mit Karte, Routing, Öffnungszeiten, Homepage, E-Mail, vCard und Firmendaten.</t>
  </si>
  <si>
    <t>Stadtplatz 18</t>
  </si>
  <si>
    <t>48.30557</t>
  </si>
  <si>
    <t>14.02486</t>
  </si>
  <si>
    <t>+43727275294</t>
  </si>
  <si>
    <t>kanzlei@ihr-notar.at</t>
  </si>
  <si>
    <t>https://bilder.dasschnelle.at/DasSchnelle/50/5000/9876/044805/G_044805_P_906291710.adn.gif</t>
  </si>
  <si>
    <t>Ofenböck, Michael, Mag., Notariat • Wiener Neustadt • Niederösterreich</t>
  </si>
  <si>
    <t>Notare • Ofenböck, Michael, Mag., Hauptplatz 23, Wiener Neustadt • Kontakt über aktuelle Telefonnummern ☎ und Adressen ⚑ mit Karte, Routing, Öffnungszeiten, Homepage, E-Mail, vCard und Firmendaten.</t>
  </si>
  <si>
    <t>47.81294</t>
  </si>
  <si>
    <t>16.24508</t>
  </si>
  <si>
    <t>+43262222290</t>
  </si>
  <si>
    <t>office@notariat-ofenboeck.at</t>
  </si>
  <si>
    <t>https://bilder.dasschnelle.at/DasSchnelle/50/5000/9946/042060/I_042060_P_906291716_L_0036256191_1.png</t>
  </si>
  <si>
    <t>https://bilder.dasschnelle.at/DasSchnelle/50/5000/9946/042060/I_042060_P_906291716_B_0036256191_1.gal.png?height=480&amp;width=720;https://bilder.dasschnelle.at/DasSchnelle/50/5000/9946/042060/I_042060_P_906291716_B_0036256191_2.gal.png?height=480&amp;width=720;https://bilder.dasschnelle.at/DasSchnelle/50/5000/9946/042060/I_042060_P_906291716_B_0036256191_3.gal.png?height=480&amp;width=720;https://bilder.dasschnelle.at/DasSchnelle/50/5000/9946/042060/I_042060_P_906291716_B_0036256191_4.gal.png?height=480&amp;width=720;https://bilder.dasschnelle.at/DasSchnelle/50/5000/9946/042060/G_042060_P_906291716.adn.gif</t>
  </si>
  <si>
    <t>Appelhagen, Daniela, Fliesenverlegung u Verkauf • Simbach</t>
  </si>
  <si>
    <t>Fliesenfachhandel • Appelhagen, Daniela, Lagerhausstraße 8, Simbach • Kontakt über aktuelle Telefonnummern ☎ und Adressen ⚑ mit Karte, Routing, Öffnungszeiten, Homepage, E-Mail, vCard und Firmendaten.</t>
  </si>
  <si>
    <t>Lagerhausstraße 8</t>
  </si>
  <si>
    <t>48.2622203</t>
  </si>
  <si>
    <t>13.0229369</t>
  </si>
  <si>
    <t>+436765957432</t>
  </si>
  <si>
    <t>info@appelhagen-fliesen.de</t>
  </si>
  <si>
    <t>https://bilder.dasschnelle.at/DasSchnelle/50/5000/9872/506176/G_506176_P_906291718.adn.gif</t>
  </si>
  <si>
    <t>Mitterheizung-Alles aus einer Hand • Kirchberg am Wechsel • Niederösterreich</t>
  </si>
  <si>
    <t>Installationsunternehmen • Mitterheizung-Alles aus einer Hand, Markt 65, Kirchberg am Wechsel • Kontakt über aktuelle Telefonnummern ☎ und Adressen ⚑ mit Karte, Routing, Öffnungszeiten, Homepage, E-Mail, vCard und Firmendaten.</t>
  </si>
  <si>
    <t>Markt 65</t>
  </si>
  <si>
    <t>Kirchberg am Wechsel</t>
  </si>
  <si>
    <t>15.99031</t>
  </si>
  <si>
    <t>+4326412238</t>
  </si>
  <si>
    <t>office@mitterheizung.at</t>
  </si>
  <si>
    <t>https://bilder.dasschnelle.at/DasSchnelle/50/5000/9913/041841/I_041841_P_906292525_L_0039970531_1.png</t>
  </si>
  <si>
    <t>https://bilder.dasschnelle.at/DasSchnelle/50/5000/9913/041841/I_041841_P_906292525_B_0039970531_1.gal.png?height=720&amp;width=540;https://bilder.dasschnelle.at/DasSchnelle/50/5000/9913/041841/I_041841_P_906292525_B_0039970531_2.gal.png?height=640&amp;width=480;https://bilder.dasschnelle.at/DasSchnelle/50/5000/9913/041841/I_041841_P_906292525_B_0039970531_3.gal.png?height=704&amp;width=469;https://bilder.dasschnelle.at/DasSchnelle/50/5000/9913/041841/I_041841_P_906292525_B_0039970531_4.gal.png?height=528&amp;width=704</t>
  </si>
  <si>
    <t>Mustafa, Beqir, Malerei • Strobl • Salzburg</t>
  </si>
  <si>
    <t>Malereibetriebe • Mustafa, Beqir, Weißenbach 88 /135, Strobl • Kontakt über aktuelle Telefonnummern ☎ und Adressen ⚑ mit Karte, Routing, Öffnungszeiten, Homepage, E-Mail, vCard und Firmendaten.</t>
  </si>
  <si>
    <t>Weißenbach 88 /135</t>
  </si>
  <si>
    <t>47.7177996</t>
  </si>
  <si>
    <t>13.4964191</t>
  </si>
  <si>
    <t>+436644658313</t>
  </si>
  <si>
    <t>beqir.mustafa@aon.at</t>
  </si>
  <si>
    <t>https://bilder.dasschnelle.at/DasSchnelle/50/5000/9868/043330/G_043330_P_906292577.adn.gif</t>
  </si>
  <si>
    <t>Sommerbichler, Elisabeth, Deko Stern, Blumen • St. Wolfgang im Salzkammergut • Oberösterreich</t>
  </si>
  <si>
    <t>Dekorationen • Sommerbichler, Elisabeth, Deko Stern, Sternallee 166, St. Wolfgang im Salzkammergut • Kontakt über aktuelle Telefonnummern ☎ und Adressen ⚑ mit Karte, Routing, Öffnungszeiten, Homepage, E-Mail, vCard und Firmendaten.</t>
  </si>
  <si>
    <t>Sternallee 166</t>
  </si>
  <si>
    <t>+436641902730</t>
  </si>
  <si>
    <t>zentrale@deko-stern.at</t>
  </si>
  <si>
    <t>https://bilder.dasschnelle.at/DasSchnelle/50/5000/9868/041804/G_041804_P_906292580.adn.gif</t>
  </si>
  <si>
    <t>Dachtechnik Aglas e.U.  • Altheim • Oberösterreich</t>
  </si>
  <si>
    <t>Dachdeckereien • Dachtechnik Aglas e.U., Lehen 24, Altheim • Kontakt über aktuelle Telefonnummern ☎ und Adressen ⚑ mit Karte, Routing, Öffnungszeiten, Homepage, E-Mail, vCard und Firmendaten.</t>
  </si>
  <si>
    <t>Lehen 24</t>
  </si>
  <si>
    <t>48.2363873</t>
  </si>
  <si>
    <t>13.2263385</t>
  </si>
  <si>
    <t>+4369919568563</t>
  </si>
  <si>
    <t>office@dach-technik.com</t>
  </si>
  <si>
    <t>https://bilder.dasschnelle.at/DasSchnelle/50/5000/9872/044548/G_044548_P_906291743.adn.gif</t>
  </si>
  <si>
    <t>Wimmer, Richard, Dr., FA f Haut- u Geschlechtskrankheiten • Mattighofen • Oberösterreich</t>
  </si>
  <si>
    <t>Ärzte / Fachärzte f. Haut u. Geschlechtskrankheiten • Wimmer, Richard, Dr., Braunauerstraße 1, Mattighofen • Kontakt über aktuelle Telefonnummern ☎ und Adressen ⚑ mit Karte, Routing, Öffnungszeiten, Homepage, E-Mail, vCard und Firmendaten.</t>
  </si>
  <si>
    <t>Braunauerstraße 1</t>
  </si>
  <si>
    <t>48.10807</t>
  </si>
  <si>
    <t>13.14882</t>
  </si>
  <si>
    <t>+43774258226</t>
  </si>
  <si>
    <t>office@dermatologie-wimmer.at</t>
  </si>
  <si>
    <t>https://bilder.dasschnelle.at/DasSchnelle/50/5000/9872/044777/G_044777_P_906292582.adn.gif</t>
  </si>
  <si>
    <t>Kofler, Johannes, Immobilienmakler • Bad Ischl • Oberösterreich</t>
  </si>
  <si>
    <t>Immobilienmakler • Kofler, Johannes, Salzburger Straße 7, Bad Ischl • Kontakt über aktuelle Telefonnummern ☎ und Adressen ⚑ mit Karte, Routing, Öffnungszeiten, Homepage, E-Mail, vCard und Firmendaten.</t>
  </si>
  <si>
    <t>Salzburger Straße 7</t>
  </si>
  <si>
    <t>47.71314</t>
  </si>
  <si>
    <t>13.61945</t>
  </si>
  <si>
    <t>+43613223595</t>
  </si>
  <si>
    <t>office@immo-kofler.at</t>
  </si>
  <si>
    <t>https://bilder.dasschnelle.at/DasSchnelle/50/5000/9868/041790/G_041790_P_906292584.adn.gif</t>
  </si>
  <si>
    <t>Reichl, Günther, Forst- und Gartentechnik • Pischelsdorf am Engelbach • Oberösterreich</t>
  </si>
  <si>
    <t>Gartengeräte • Reichl, Günther, Kleingollern 6, Pischelsdorf am Engelbach • Kontakt über aktuelle Telefonnummern ☎ und Adressen ⚑ mit Karte, Routing, Öffnungszeiten, Homepage, E-Mail, vCard und Firmendaten.</t>
  </si>
  <si>
    <t>Kleingollern 6</t>
  </si>
  <si>
    <t>5233</t>
  </si>
  <si>
    <t>Pischelsdorf am Engelbach</t>
  </si>
  <si>
    <t>48.1219062</t>
  </si>
  <si>
    <t>13.0468939</t>
  </si>
  <si>
    <t>+4377488059</t>
  </si>
  <si>
    <t>reichl-guenther@aon.at</t>
  </si>
  <si>
    <t>https://bilder.dasschnelle.at/DasSchnelle/50/5000/9872/044788/I_044788_P_906292586_L_0035969962_1.png</t>
  </si>
  <si>
    <t>https://bilder.dasschnelle.at/DasSchnelle/50/5000/9872/044788/I_044788_P_906292586_B_0035969962_1.gal.png?height=209&amp;width=304;https://bilder.dasschnelle.at/DasSchnelle/50/5000/9872/044788/I_044788_P_906292586_B_0035969962_2.gal.png?height=229&amp;width=315;https://bilder.dasschnelle.at/DasSchnelle/50/5000/9872/044788/I_044788_P_906292586_B_0035969962_3.gal.png?height=391&amp;width=296;https://bilder.dasschnelle.at/DasSchnelle/50/5000/9872/044788/I_044788_P_906292586_B_0035969962_4.gal.png?height=296&amp;width=360</t>
  </si>
  <si>
    <t>Drosdek, Eva, Bestattung • Weyer • Oberösterreich</t>
  </si>
  <si>
    <t>Bestattungsunternehmen • Drosdek, Eva, Unterer Markt 2, Weyer • Kontakt über aktuelle Telefonnummern ☎ und Adressen ⚑ mit Karte, Routing, Öffnungszeiten, Homepage, E-Mail, vCard und Firmendaten.</t>
  </si>
  <si>
    <t>Unterer Markt 2</t>
  </si>
  <si>
    <t>47.85708</t>
  </si>
  <si>
    <t>14.6624</t>
  </si>
  <si>
    <t>+4373556478;+436649124233</t>
  </si>
  <si>
    <t>office@antik-kunst.at</t>
  </si>
  <si>
    <t>https://bilder.dasschnelle.at/DasSchnelle/50/5000/9878/042825/G_042825_P_906292591.adn.gif</t>
  </si>
  <si>
    <t>Russegger, Georg, Ing., Baumeister • Abtenau • Salzburg</t>
  </si>
  <si>
    <t>Baumeister • Russegger, Georg, Ing., Au 106, Abtenau • Kontakt über aktuelle Telefonnummern ☎ und Adressen ⚑ mit Karte, Routing, Öffnungszeiten, Homepage, E-Mail, vCard und Firmendaten.</t>
  </si>
  <si>
    <t>Au 106</t>
  </si>
  <si>
    <t>47.5557449</t>
  </si>
  <si>
    <t>13.3492425</t>
  </si>
  <si>
    <t>+43624320230</t>
  </si>
  <si>
    <t>office@russegger-bau.at</t>
  </si>
  <si>
    <t>https://bilder.dasschnelle.at/DasSchnelle/50/5000/9889/043587/G_043587_P_906292598.adn.gif</t>
  </si>
  <si>
    <t>Großschartner, Angela, Haarstudio • Maria Neustift • Oberösterreich</t>
  </si>
  <si>
    <t>Friseure • Großschartner, Angela, Neustift 1, Maria Neustift • Kontakt über aktuelle Telefonnummern ☎ und Adressen ⚑ mit Karte, Routing, Öffnungszeiten, Homepage, E-Mail, vCard und Firmendaten.</t>
  </si>
  <si>
    <t>Neustift 1</t>
  </si>
  <si>
    <t>4443</t>
  </si>
  <si>
    <t>Maria Neustift</t>
  </si>
  <si>
    <t>47.9375708</t>
  </si>
  <si>
    <t>14.6070521</t>
  </si>
  <si>
    <t>+43725050730</t>
  </si>
  <si>
    <t>angela.grossschartner@gmail.com</t>
  </si>
  <si>
    <t>https://bilder.dasschnelle.at/DasSchnelle/50/5000/9878/042815/G_042815_P_906292653.adn.gif</t>
  </si>
  <si>
    <t>Glanz Bau GmbH • Aspang • Niederösterreich</t>
  </si>
  <si>
    <t>Baumeister • Glanz Bau GmbH, Höll 89, Aspang • Kontakt über aktuelle Telefonnummern ☎ und Adressen ⚑ mit Karte, Routing, Öffnungszeiten, Homepage, E-Mail, vCard und Firmendaten.</t>
  </si>
  <si>
    <t>Höll 89</t>
  </si>
  <si>
    <t>Aspang</t>
  </si>
  <si>
    <t>47.5810445</t>
  </si>
  <si>
    <t>16.1005912</t>
  </si>
  <si>
    <t>+43264251447</t>
  </si>
  <si>
    <t>office@glanzbau.at</t>
  </si>
  <si>
    <t>https://bilder.dasschnelle.at/DasSchnelle/50/5000/9913/042012/I_042012_P_906291752_L_0036253716_1.png</t>
  </si>
  <si>
    <t>https://bilder.dasschnelle.at/DasSchnelle/50/5000/9913/042012/I_042012_P_906291752_B_0036253716_1.gal.png?height=526&amp;width=720;https://bilder.dasschnelle.at/DasSchnelle/50/5000/9913/042012/I_042012_P_906291752_B_0036253716_2.gal.png?height=526&amp;width=720;https://bilder.dasschnelle.at/DasSchnelle/50/5000/9913/042012/I_042012_P_906291752_B_0036253716_3.gal.png?height=526&amp;width=720;https://bilder.dasschnelle.at/DasSchnelle/50/5000/9913/042012/I_042012_P_906291752_B_0036253716_4.gal.png?height=526&amp;width=720</t>
  </si>
  <si>
    <t>Ahrer, Edmund, Tischlerei • Kleinreifling • Oberösterreich</t>
  </si>
  <si>
    <t>Tischlereien • Ahrer, Edmund, Nach der Enns 34, Kleinreifling • Kontakt über aktuelle Telefonnummern ☎ und Adressen ⚑ mit Karte, Routing, Öffnungszeiten, Homepage, E-Mail, vCard und Firmendaten.</t>
  </si>
  <si>
    <t>Nach der Enns 34</t>
  </si>
  <si>
    <t>4464</t>
  </si>
  <si>
    <t>Kleinreifling</t>
  </si>
  <si>
    <t>47.82604</t>
  </si>
  <si>
    <t>14.64431</t>
  </si>
  <si>
    <t>+437357469</t>
  </si>
  <si>
    <t>office@tischlerei-ahrer.at</t>
  </si>
  <si>
    <t>https://bilder.dasschnelle.at/DasSchnelle/50/5000/9878/042825/G_042825_P_906291756.adn.gif</t>
  </si>
  <si>
    <t>Arch. DI Heinrich Trimmel, Sachverständiger • Neunkirchen • Niederösterreich</t>
  </si>
  <si>
    <t>Immobilien • Arch. DI Heinrich Trimmel, Seebensteinerstraße 24, Neunkirchen • Kontakt über aktuelle Telefonnummern ☎ und Adressen ⚑ mit Karte, Routing, Öffnungszeiten, Homepage, E-Mail, vCard und Firmendaten.</t>
  </si>
  <si>
    <t>Seebensteinerstraße 24</t>
  </si>
  <si>
    <t>47.7164725</t>
  </si>
  <si>
    <t>16.0823529</t>
  </si>
  <si>
    <t>+43263562525</t>
  </si>
  <si>
    <t>sachverstaendiger@trimmel.co.at</t>
  </si>
  <si>
    <t>https://bilder.dasschnelle.at/DasSchnelle/50/5000/9913/041844/G_041844_P_906291865.adn.gif</t>
  </si>
  <si>
    <t>BMV, Andreas Voglsam, Bodenmarkierungen • St. Marienkirchen an der Polsenz • Oberösterreich</t>
  </si>
  <si>
    <t>Bodenmarkierungen, Malereibetriebe • BMV, Andreas Voglsam, Unterfreundorf 19, St. Marienkirchen an der Polsenz • Kontakt über aktuelle Telefonnummern ☎ und Adressen ⚑ mit Karte, Routing, Öffnungszeiten, Homepage, E-Mail, vCard und Firmendaten.</t>
  </si>
  <si>
    <t>Unterfreundorf 19</t>
  </si>
  <si>
    <t>4076</t>
  </si>
  <si>
    <t>St. Marienkirchen an der Polsenz</t>
  </si>
  <si>
    <t>48.2577532</t>
  </si>
  <si>
    <t>13.9528872</t>
  </si>
  <si>
    <t>+43724947773</t>
  </si>
  <si>
    <t>bmv@voglsam.at</t>
  </si>
  <si>
    <t>https://bilder.dasschnelle.at/DasSchnelle/50/5000/9876/044812/G_044812_P_906291873.adn.gif</t>
  </si>
  <si>
    <t>Ebner, Astrid, Dr., FA für Zahn-, Mund- u. Kieferheilk. • Reutte • Tirol</t>
  </si>
  <si>
    <t>Ärzte / Fachärzte f. Zahn-, Mund u. Kieferheilkunde • Ebner, Astrid, Dr., Südtiroler Straße 18, Reutte • Kontakt über aktuelle Telefonnummern ☎ und Adressen ⚑ mit Karte, Routing, Öffnungszeiten, Homepage, E-Mail, vCard und Firmendaten.</t>
  </si>
  <si>
    <t>Südtiroler Straße 18</t>
  </si>
  <si>
    <t>47.48565</t>
  </si>
  <si>
    <t>10.71693</t>
  </si>
  <si>
    <t>+43567263562</t>
  </si>
  <si>
    <t>zahnoffice@dr-ebner.com</t>
  </si>
  <si>
    <t>https://bilder.dasschnelle.at/DasSchnelle/50/5000/9921/042603/G_042603_P_906293351.adn.gif</t>
  </si>
  <si>
    <t>Autohaus Resch GmbH, Autohandel • Strobl • Salzburg</t>
  </si>
  <si>
    <t>Autohandel • Autohaus Resch GmbH, Wolfgangseestraße 2, Strobl • Kontakt über aktuelle Telefonnummern ☎ und Adressen ⚑ mit Karte, Routing, Öffnungszeiten, Homepage, E-Mail, vCard und Firmendaten.</t>
  </si>
  <si>
    <t>Wolfgangseestraße 2</t>
  </si>
  <si>
    <t>47.7124146</t>
  </si>
  <si>
    <t>13.4888987</t>
  </si>
  <si>
    <t>+4361377575;+436643453366</t>
  </si>
  <si>
    <t>+43613775757</t>
  </si>
  <si>
    <t>info.resch@autohaus.at</t>
  </si>
  <si>
    <t>https://bilder.dasschnelle.at/DasSchnelle/50/5000/9868/043330/G_043330_P_906293357.adn.gif</t>
  </si>
  <si>
    <t>Elektro Hofmann • Elbigenalp • Tirol</t>
  </si>
  <si>
    <t>Elektro • Elektro Hofmann, Untergiblen 3 a, Elbigenalp • Kontakt über aktuelle Telefonnummern ☎ und Adressen ⚑ mit Karte, Routing, Öffnungszeiten, Homepage, E-Mail, vCard und Firmendaten.</t>
  </si>
  <si>
    <t>Untergiblen 3 a</t>
  </si>
  <si>
    <t>47.2869700</t>
  </si>
  <si>
    <t>10.4284500</t>
  </si>
  <si>
    <t>+436764805606</t>
  </si>
  <si>
    <t>office@elektro-hofmann.at</t>
  </si>
  <si>
    <t>https://bilder.dasschnelle.at/DasSchnelle/50/5000/9921/044844/G_044844_P_906293407.adn.gif</t>
  </si>
  <si>
    <t>Simon &amp; Konrath OG, Friseur, Fußpflege, Kosmetik • Bad Tatzmannsdorf • Burgenland</t>
  </si>
  <si>
    <t>Friseure • Simon &amp; Konrath OG, Am Kurplatz 2/To, Bad Tatzmannsdorf • Kontakt über aktuelle Telefonnummern ☎ und Adressen ⚑ mit Karte, Routing, Öffnungszeiten, Homepage, E-Mail, vCard und Firmendaten.</t>
  </si>
  <si>
    <t>Am Kurplatz 2/To</t>
  </si>
  <si>
    <t>7431</t>
  </si>
  <si>
    <t>Bad Tatzmannsdorf</t>
  </si>
  <si>
    <t>47.3360200</t>
  </si>
  <si>
    <t>16.2313100</t>
  </si>
  <si>
    <t>+4333538315</t>
  </si>
  <si>
    <t>beautysalon@reduce.at</t>
  </si>
  <si>
    <t>https://bilder.dasschnelle.at/DasSchnelle/50/5000/9951/041747/G_041747_P_906293360.adn.gif</t>
  </si>
  <si>
    <t>Amon Grundlsee OG, Tischlerei • Grundlsee • Steiermark</t>
  </si>
  <si>
    <t>Tischlereien • Amon Grundlsee OG, Bräuhof 242, Grundlsee • Kontakt über aktuelle Telefonnummern ☎ und Adressen ⚑ mit Karte, Routing, Öffnungszeiten, Homepage, E-Mail, vCard und Firmendaten.</t>
  </si>
  <si>
    <t>Bräuhof 242</t>
  </si>
  <si>
    <t>47.6380880</t>
  </si>
  <si>
    <t>13.8666722</t>
  </si>
  <si>
    <t>+43362282702</t>
  </si>
  <si>
    <t>office@tischlerei-amon.at</t>
  </si>
  <si>
    <t>https://bilder.dasschnelle.at/DasSchnelle/50/5000/9868/044359/G_044359_P_906293361.adn.gif</t>
  </si>
  <si>
    <t>Költringer &amp; Buchwinkler GmbH, Autoreparaturen • Lamprechtshausen • Salzburg</t>
  </si>
  <si>
    <t>Autoreparaturen, Kfz-Werkstätte • Költringer &amp; Buchwinkler GmbH, Niederarnsdorf 3 A, Lamprechtshausen • Kontakt über aktuelle Telefonnummern ☎ und Adressen ⚑ mit Karte, Routing, Öffnungszeiten, Homepage, E-Mail, vCard und Firmendaten.</t>
  </si>
  <si>
    <t>Niederarnsdorf 3 A</t>
  </si>
  <si>
    <t>47.9663052</t>
  </si>
  <si>
    <t>12.9476988</t>
  </si>
  <si>
    <t>+43627420208;+436644321669</t>
  </si>
  <si>
    <t>office@koeltringer-buchwinkler.at</t>
  </si>
  <si>
    <t>https://bilder.dasschnelle.at/DasSchnelle/50/5000/9914/043318/G_043318_P_906293365.adn.gif</t>
  </si>
  <si>
    <t>Schranz Johann GmbH, Malermeister • Bad Aussee • Steiermark</t>
  </si>
  <si>
    <t>Malereibetriebe, Tapezierer u. Dekorateure • Schranz Johann GmbH, Pratergasse 369 C, Bad Aussee • Kontakt über aktuelle Telefonnummern ☎ und Adressen ⚑ mit Karte, Routing, Öffnungszeiten, Homepage, E-Mail, vCard und Firmendaten.</t>
  </si>
  <si>
    <t>Pratergasse 369 C</t>
  </si>
  <si>
    <t>47.60846</t>
  </si>
  <si>
    <t>13.78439</t>
  </si>
  <si>
    <t>+43362252263</t>
  </si>
  <si>
    <t>malerei.schranz@aon.at</t>
  </si>
  <si>
    <t>https://bilder.dasschnelle.at/DasSchnelle/50/5000/9868/044351/G_044351_P_906293368.adn.gif</t>
  </si>
  <si>
    <t>Baggerarbeiten Markus Feuchter • Bad Mitterndorf • Steiermark</t>
  </si>
  <si>
    <t>Baggerunternehmen • Baggerarbeiten Markus Feuchter, Tauplitz 36, Bad Mitterndorf • Kontakt über aktuelle Telefonnummern ☎ und Adressen ⚑ mit Karte, Routing, Öffnungszeiten, Homepage, E-Mail, vCard und Firmendaten.</t>
  </si>
  <si>
    <t>Tauplitz 36</t>
  </si>
  <si>
    <t>8982</t>
  </si>
  <si>
    <t>47.5617778</t>
  </si>
  <si>
    <t>14.0145426</t>
  </si>
  <si>
    <t>+436766450645</t>
  </si>
  <si>
    <t>markus.feuchter@gmx.at</t>
  </si>
  <si>
    <t>https://bilder.dasschnelle.at/DasSchnelle/50/5000/9868/061452/I_061452_P_906293370_L_0038354868_1.png</t>
  </si>
  <si>
    <t>Stimitzer, Hermann, Glaserei • Bad Aussee • Steiermark</t>
  </si>
  <si>
    <t>Alarmanlagen u. Sicherheitssysteme, Glasereien • Stimitzer, Hermann, Straußenbühel 161, Bad Aussee • Kontakt über aktuelle Telefonnummern ☎ und Adressen ⚑ mit Karte, Routing, Öffnungszeiten, Homepage, E-Mail, vCard und Firmendaten.</t>
  </si>
  <si>
    <t>Straußenbühel 161</t>
  </si>
  <si>
    <t>47.60545</t>
  </si>
  <si>
    <t>13.78809</t>
  </si>
  <si>
    <t>+436643487498</t>
  </si>
  <si>
    <t>glaserei.stimitzer@aon.at</t>
  </si>
  <si>
    <t>https://bilder.dasschnelle.at/DasSchnelle/50/5000/9868/044351/G_044351_P_906293372.adn.gif</t>
  </si>
  <si>
    <t>Hütter, Christian, Spenglerei • Altaussee • Steiermark</t>
  </si>
  <si>
    <t>Spenglereien • Hütter, Christian, Puchen 172, Altaussee • Kontakt über aktuelle Telefonnummern ☎ und Adressen ⚑ mit Karte, Routing, Öffnungszeiten, Homepage, E-Mail, vCard und Firmendaten.</t>
  </si>
  <si>
    <t>Puchen 172</t>
  </si>
  <si>
    <t>47.6314960</t>
  </si>
  <si>
    <t>13.7647627</t>
  </si>
  <si>
    <t>+43362271125</t>
  </si>
  <si>
    <t>office@spenglerei-huetter.at</t>
  </si>
  <si>
    <t>https://bilder.dasschnelle.at/DasSchnelle/50/5000/9868/044348/G_044348_P_906293971.adn.gif</t>
  </si>
  <si>
    <t>Wallner GmbH go-gosau ALM, Hotels • Gosau • Oberösterreich</t>
  </si>
  <si>
    <t>Hotels • Wallner GmbH go-gosau ALM, Schüttangerstraße 2, Gosau • Kontakt über aktuelle Telefonnummern ☎ und Adressen ⚑ mit Karte, Routing, Öffnungszeiten, Homepage, E-Mail, vCard und Firmendaten.</t>
  </si>
  <si>
    <t>Schüttangerstraße 2</t>
  </si>
  <si>
    <t>47.56913</t>
  </si>
  <si>
    <t>13.5207</t>
  </si>
  <si>
    <t>+4369911496538</t>
  </si>
  <si>
    <t>info@gogosau.at</t>
  </si>
  <si>
    <t>https://bilder.dasschnelle.at/DasSchnelle/50/5000/9868/041793/G_041793_P_906293975.adn.gif</t>
  </si>
  <si>
    <t>Frauscher, Ferdinand, Hafnermeister • Höhnhart • Oberösterreich</t>
  </si>
  <si>
    <t>Hafner • Frauscher, Ferdinand, Höhnhart 5, Höhnhart • Kontakt über aktuelle Telefonnummern ☎ und Adressen ⚑ mit Karte, Routing, Öffnungszeiten, Homepage, E-Mail, vCard und Firmendaten.</t>
  </si>
  <si>
    <t>Höhnhart 5</t>
  </si>
  <si>
    <t>48.1675331</t>
  </si>
  <si>
    <t>13.2690470</t>
  </si>
  <si>
    <t>+4377555130</t>
  </si>
  <si>
    <t>office@wohnkeramik.at</t>
  </si>
  <si>
    <t>https://bilder.dasschnelle.at/DasSchnelle/50/5000/9872/044771/G_044771_P_906294053.adn.gif</t>
  </si>
  <si>
    <t>Blaa-Alm, Gastgewerbe - Gasthöfe • Altaussee • Steiermark</t>
  </si>
  <si>
    <t>Gastgewerbe - Gasthöfe • Blaa-Alm, Lichtersberg 73, Altaussee • Kontakt über aktuelle Telefonnummern ☎ und Adressen ⚑ mit Karte, Routing, Öffnungszeiten, Homepage, E-Mail, vCard und Firmendaten.</t>
  </si>
  <si>
    <t>Lichtersberg 73</t>
  </si>
  <si>
    <t>47.6450390</t>
  </si>
  <si>
    <t>13.7615969</t>
  </si>
  <si>
    <t>+43362271102</t>
  </si>
  <si>
    <t>blaa-alm@aon.at</t>
  </si>
  <si>
    <t>https://bilder.dasschnelle.at/DasSchnelle/50/5000/9868/044348/I_044348_P_906294055_B_0036242963_1.gal.png?height=375&amp;width=500;https://bilder.dasschnelle.at/DasSchnelle/50/5000/9868/044348/I_044348_P_906294055_B_0036242963_2.gal.png?height=332&amp;width=500;https://bilder.dasschnelle.at/DasSchnelle/50/5000/9868/044348/I_044348_P_906294055_B_0036242963_3.gal.png?height=311&amp;width=553;https://bilder.dasschnelle.at/DasSchnelle/50/5000/9868/044348/I_044348_P_906294055_B_0036242963_4.gal.png?height=333&amp;width=500</t>
  </si>
  <si>
    <t>Schlechmair GmbH, Schrotthandel • Heimhausen • Oberösterreich</t>
  </si>
  <si>
    <t>Containerdienste, Schrott • Schlechmair GmbH, Heimhausen • Kontakt über aktuelle Telefonnummern ☎ und Adressen ⚑ mit Karte, Routing, Öffnungszeiten, Homepage, E-Mail, vCard und Firmendaten.</t>
  </si>
  <si>
    <t>Heimhausen</t>
  </si>
  <si>
    <t>48.1115390</t>
  </si>
  <si>
    <t>12.9888736</t>
  </si>
  <si>
    <t>+4377488142</t>
  </si>
  <si>
    <t>office@schrotthandel.co.at</t>
  </si>
  <si>
    <t>https://bilder.dasschnelle.at/DasSchnelle/50/5000/9872/044553/I_044553_P_906294058_L_0036738129_1.png</t>
  </si>
  <si>
    <t>https://bilder.dasschnelle.at/DasSchnelle/50/5000/9872/044553/I_044553_P_906294058_B_0036738129_1.gal.png?height=416&amp;width=555;https://bilder.dasschnelle.at/DasSchnelle/50/5000/9872/044553/I_044553_P_906294058_B_0036738129_2.gal.png?height=276&amp;width=276;https://bilder.dasschnelle.at/DasSchnelle/50/5000/9872/044553/I_044553_P_906294058_B_0036738129_3.gal.png?height=416&amp;width=555;https://bilder.dasschnelle.at/DasSchnelle/50/5000/9872/044553/I_044553_P_906294058_B_0036738129_4.gal.png?height=416&amp;width=555</t>
  </si>
  <si>
    <t>Schiestl, Christian, Kraftfahrzeugtechniker • Handenberg • Oberösterreich</t>
  </si>
  <si>
    <t>Autoreparaturen • Schiestl, Christian, Eckbach 39, Handenberg • Kontakt über aktuelle Telefonnummern ☎ und Adressen ⚑ mit Karte, Routing, Öffnungszeiten, Homepage, E-Mail, vCard und Firmendaten.</t>
  </si>
  <si>
    <t>Eckbach 39</t>
  </si>
  <si>
    <t>5144</t>
  </si>
  <si>
    <t>Handenberg</t>
  </si>
  <si>
    <t>48.1293615</t>
  </si>
  <si>
    <t>12.9838205</t>
  </si>
  <si>
    <t>+4377488379</t>
  </si>
  <si>
    <t>kfz-schiestl@aon.at</t>
  </si>
  <si>
    <t>https://bilder.dasschnelle.at/DasSchnelle/50/5000/9872/044768/G_044768_P_906294060.adn.gif</t>
  </si>
  <si>
    <t>Felber Auto GmbH, Autoreparatur • Tarsdorf • Oberösterreich</t>
  </si>
  <si>
    <t>Autoreparaturen • Felber Auto GmbH, Tarsdorf • Kontakt über aktuelle Telefonnummern ☎ und Adressen ⚑ mit Karte, Routing, Öffnungszeiten, Homepage, E-Mail, vCard und Firmendaten.</t>
  </si>
  <si>
    <t>5121</t>
  </si>
  <si>
    <t>Tarsdorf</t>
  </si>
  <si>
    <t>48.0787057</t>
  </si>
  <si>
    <t>12.8270183</t>
  </si>
  <si>
    <t>+4362788105</t>
  </si>
  <si>
    <t>+436278810526</t>
  </si>
  <si>
    <t>a.felber@aon.at</t>
  </si>
  <si>
    <t>https://bilder.dasschnelle.at/DasSchnelle/50/5000/9914/044799/G_044799_P_906293100.adn.gif</t>
  </si>
  <si>
    <t>Maier Erich GmbH &amp; Co KG, Autoreperatur • Franking • Oberösterreich</t>
  </si>
  <si>
    <t>Autohandel, Autoreparaturen • Maier Erich GmbH &amp; Co KG, Franking 38, Franking • Kontakt über aktuelle Telefonnummern ☎ und Adressen ⚑ mit Karte, Routing, Öffnungszeiten, Homepage, E-Mail, vCard und Firmendaten.</t>
  </si>
  <si>
    <t>Franking 38</t>
  </si>
  <si>
    <t>5131</t>
  </si>
  <si>
    <t>Franking</t>
  </si>
  <si>
    <t>48.0515621</t>
  </si>
  <si>
    <t>12.9131249</t>
  </si>
  <si>
    <t>+4362778138</t>
  </si>
  <si>
    <t>office@opel-maier.at</t>
  </si>
  <si>
    <t>https://bilder.dasschnelle.at/DasSchnelle/50/5000/9914/044555/G_044555_P_906293303.adn.gif</t>
  </si>
  <si>
    <t>Hair &amp; Style by Eva, Friseur • Loipersdorf-Kitzladen • Burgenland</t>
  </si>
  <si>
    <t>Friseure • Hair &amp; Style by Eva, Sonnengasse 11, Loipersdorf-Kitzladen • Kontakt über aktuelle Telefonnummern ☎ und Adressen ⚑ mit Karte, Routing, Öffnungszeiten, Homepage, E-Mail, vCard und Firmendaten.</t>
  </si>
  <si>
    <t>Sonnengasse 11</t>
  </si>
  <si>
    <t>47.3398336</t>
  </si>
  <si>
    <t>16.0790250</t>
  </si>
  <si>
    <t>+436765487461</t>
  </si>
  <si>
    <t>eva-maria-wenzl@gmx.at</t>
  </si>
  <si>
    <t>https://bilder.dasschnelle.at/DasSchnelle/50/5000/9951/041366/I_041366_P_906293304_L_0039951469_1.png</t>
  </si>
  <si>
    <t>https://bilder.dasschnelle.at/DasSchnelle/50/5000/9951/041366/I_041366_P_906293304_B_0039951469_1.gal.png?height=720&amp;width=540;https://bilder.dasschnelle.at/DasSchnelle/50/5000/9951/041366/I_041366_P_906293304_B_0039951469_2.gal.png?height=720&amp;width=540;https://bilder.dasschnelle.at/DasSchnelle/50/5000/9951/041366/I_041366_P_906293304_B_0039951469_3.gal.png?height=555&amp;width=416;https://bilder.dasschnelle.at/DasSchnelle/50/5000/9951/041366/I_041366_P_906293304_B_0039951469_4.gal.png?height=720&amp;width=540</t>
  </si>
  <si>
    <t>Binder Viktor GmbH, Bauunternehmen • Kemeten • Burgenland</t>
  </si>
  <si>
    <t>Bauunternehmen • Binder Viktor GmbH, Steinbrückl 7, Kemeten • Kontakt über aktuelle Telefonnummern ☎ und Adressen ⚑ mit Karte, Routing, Öffnungszeiten, Homepage, E-Mail, vCard und Firmendaten.</t>
  </si>
  <si>
    <t>Steinbrückl 7</t>
  </si>
  <si>
    <t>47.2737500</t>
  </si>
  <si>
    <t>16.1555100</t>
  </si>
  <si>
    <t>+43335220145;+433352201454</t>
  </si>
  <si>
    <t>office@binderbau.at</t>
  </si>
  <si>
    <t>https://bilder.dasschnelle.at/DasSchnelle/50/5000/9951/041316/I_041316_P_906293334_L_0037273487_1.png</t>
  </si>
  <si>
    <t>https://bilder.dasschnelle.at/DasSchnelle/50/5000/9951/041316/I_041316_P_906293334_B_0037273487_1.gal.png?height=480&amp;width=720;https://bilder.dasschnelle.at/DasSchnelle/50/5000/9951/041316/I_041316_P_906293334_B_0037273487_2.gal.png?height=480&amp;width=720;https://bilder.dasschnelle.at/DasSchnelle/50/5000/9951/041316/I_041316_P_906293334_B_0037273487_3.gal.png?height=480&amp;width=720;https://bilder.dasschnelle.at/DasSchnelle/50/5000/9951/041316/I_041316_P_906293334_B_0037273487_4.gal.png?height=480&amp;width=720</t>
  </si>
  <si>
    <t>Sailer Alternativenergie • Loipersdorf im Burgenlan • Burgenland</t>
  </si>
  <si>
    <t>Heizung u. Sanitär • Sailer Alternativenergie, Loipersdorfer im Bgld. 305, Loipersdorf im Burgenlan • Kontakt über aktuelle Telefonnummern ☎ und Adressen ⚑ mit Karte, Routing, Öffnungszeiten, Homepage, E-Mail, vCard und Firmendaten.</t>
  </si>
  <si>
    <t>Loipersdorfer im Bgld. 305</t>
  </si>
  <si>
    <t>Loipersdorf im Burgenlan</t>
  </si>
  <si>
    <t>47.3381521</t>
  </si>
  <si>
    <t>16.0732835</t>
  </si>
  <si>
    <t>+4369919530919</t>
  </si>
  <si>
    <t>office@sailer-gmbh.at</t>
  </si>
  <si>
    <t>https://bilder.dasschnelle.at/DasSchnelle/50/5000/9951/041366/I_041366_P_906293864_L_0039951468_1.png</t>
  </si>
  <si>
    <t>https://bilder.dasschnelle.at/DasSchnelle/50/5000/9951/041366/I_041366_P_906293864_B_0039951468_1.gal.png?height=316&amp;width=321;https://bilder.dasschnelle.at/DasSchnelle/50/5000/9951/041366/I_041366_P_906293864_B_0039951468_2.gal.png?height=285&amp;width=404;https://bilder.dasschnelle.at/DasSchnelle/50/5000/9951/041366/I_041366_P_906293864_B_0039951468_3.gal.png?height=241&amp;width=321;https://bilder.dasschnelle.at/DasSchnelle/50/5000/9951/041366/I_041366_P_906293864_B_0039951468_4.gal.png?height=259&amp;width=321</t>
  </si>
  <si>
    <t>AKES David Singer • Markt Allhau • Burgenland</t>
  </si>
  <si>
    <t>Elektrotechnik • AKES David Singer, Buchenweg 8, Markt Allhau • Kontakt über aktuelle Telefonnummern ☎ und Adressen ⚑ mit Karte, Routing, Öffnungszeiten, Homepage, E-Mail, vCard und Firmendaten.</t>
  </si>
  <si>
    <t>Buchenweg 8</t>
  </si>
  <si>
    <t>47.2965760</t>
  </si>
  <si>
    <t>16.0798612</t>
  </si>
  <si>
    <t>+436644661438</t>
  </si>
  <si>
    <t>office@akes.at</t>
  </si>
  <si>
    <t>https://bilder.dasschnelle.at/DasSchnelle/50/5000/9951/041368/I_041368_P_906294097_L_0039970847_1.png</t>
  </si>
  <si>
    <t>https://bilder.dasschnelle.at/DasSchnelle/50/5000/9951/041368/I_041368_P_906294097_B_0039970847_1.gal.png?height=503&amp;width=506;https://bilder.dasschnelle.at/DasSchnelle/50/5000/9951/041368/I_041368_P_906294097_B_0039970847_2.gal.png?height=497&amp;width=497;https://bilder.dasschnelle.at/DasSchnelle/50/5000/9951/041368/I_041368_P_906294097_B_0039970847_3.gal.png?height=496&amp;width=499;https://bilder.dasschnelle.at/DasSchnelle/50/5000/9951/041368/I_041368_P_906294097_B_0039970847_4.gal.png?height=501&amp;width=500</t>
  </si>
  <si>
    <t>Jagdhaus Seewiese / Geiger Alm, Paul König, Gastronomie • Altaussee • Steiermark</t>
  </si>
  <si>
    <t>Gastgewerbe - Gasthöfe • Jagdhaus Seewiese / Geiger Alm, Paul König, Altaussee 136, Altaussee • Kontakt über aktuelle Telefonnummern ☎ und Adressen ⚑ mit Karte, Routing, Öffnungszeiten, Homepage, E-Mail, vCard und Firmendaten.</t>
  </si>
  <si>
    <t>Altaussee 136</t>
  </si>
  <si>
    <t>47.6496295</t>
  </si>
  <si>
    <t>13.7946323</t>
  </si>
  <si>
    <t>+436643387622</t>
  </si>
  <si>
    <t>info@jagdhaus-seewiese.com</t>
  </si>
  <si>
    <t>https://bilder.dasschnelle.at/DasSchnelle/50/5000/9868/044348/G_044348_P_906293866.adn.gif</t>
  </si>
  <si>
    <t>Grieshofer, Fritz, Sägewerk u. Holzhandel • Äußere Kainisch • Steiermark</t>
  </si>
  <si>
    <t>Säge- u. Hobelwerke • Grieshofer, Fritz, Mühlreith 1, Äußere Kainisch • Kontakt über aktuelle Telefonnummern ☎ und Adressen ⚑ mit Karte, Routing, Öffnungszeiten, Homepage, E-Mail, vCard und Firmendaten.</t>
  </si>
  <si>
    <t>Mühlreith 1</t>
  </si>
  <si>
    <t>8984</t>
  </si>
  <si>
    <t>Äußere Kainisch</t>
  </si>
  <si>
    <t>47.5642785</t>
  </si>
  <si>
    <t>13.8633037</t>
  </si>
  <si>
    <t>+433624219</t>
  </si>
  <si>
    <t>+4336242194</t>
  </si>
  <si>
    <t>https://bilder.dasschnelle.at/DasSchnelle/50/5000/9868/061452/G_061452_P_906293867.adn.gif</t>
  </si>
  <si>
    <t>Gasperl, Johannes, Gas-Wasser-Heizung • Altaussee • Steiermark</t>
  </si>
  <si>
    <t>Biologische Produkte • Gasperl, Johannes, Puchen 214, Altaussee • Kontakt über aktuelle Telefonnummern ☎ und Adressen ⚑ mit Karte, Routing, Öffnungszeiten, Homepage, E-Mail, vCard und Firmendaten.</t>
  </si>
  <si>
    <t>Puchen 214</t>
  </si>
  <si>
    <t>47.6265972</t>
  </si>
  <si>
    <t>13.7689511</t>
  </si>
  <si>
    <t>+436605290987</t>
  </si>
  <si>
    <t>office@bioalternate.net</t>
  </si>
  <si>
    <t>https://bilder.dasschnelle.at/DasSchnelle/50/5000/9868/044348/I_044348_P_906293871_L_0036242819_1.png</t>
  </si>
  <si>
    <t>https://bilder.dasschnelle.at/DasSchnelle/50/5000/9868/044348/I_044348_P_906293871_B_0036242819_1.gal.png?height=638&amp;width=600;https://bilder.dasschnelle.at/DasSchnelle/50/5000/9868/044348/I_044348_P_906293871_B_0036242819_2.gal.png?height=800&amp;width=600</t>
  </si>
  <si>
    <t>Gugerbauer, Günther, Tischlerei &amp; Zimmerei • Göming • Salzburg</t>
  </si>
  <si>
    <t>Tischlereien, Treppen u. Stiegen • Gugerbauer, Günther, Kemating 26, Göming • Kontakt über aktuelle Telefonnummern ☎ und Adressen ⚑ mit Karte, Routing, Öffnungszeiten, Homepage, E-Mail, vCard und Firmendaten.</t>
  </si>
  <si>
    <t>Kemating 26</t>
  </si>
  <si>
    <t>47.9483110</t>
  </si>
  <si>
    <t>12.9711442</t>
  </si>
  <si>
    <t>+4362728106;+436508257856;+4366473584663</t>
  </si>
  <si>
    <t>gugerbauer@treppenwerkstatt.at</t>
  </si>
  <si>
    <t>https://bilder.dasschnelle.at/DasSchnelle/50/5000/9914/043309/G_043309_P_906293200.adn.gif</t>
  </si>
  <si>
    <t>Stadtbetriebe Steyr GmbH., Bestattung • Steyr • Oberösterreich</t>
  </si>
  <si>
    <t>Bestattungsunternehmen • Stadtbetriebe Steyr GmbH., Taborweg 6, Steyr • Kontakt über aktuelle Telefonnummern ☎ und Adressen ⚑ mit Karte, Routing, Öffnungszeiten, Homepage, E-Mail, vCard und Firmendaten.</t>
  </si>
  <si>
    <t>Taborweg 6</t>
  </si>
  <si>
    <t>48.04449</t>
  </si>
  <si>
    <t>14.42196</t>
  </si>
  <si>
    <t>+437252899250</t>
  </si>
  <si>
    <t>bestattung@stadtbetriebe.at</t>
  </si>
  <si>
    <t>https://bilder.dasschnelle.at/DasSchnelle/50/5000/9878/044546/G_044546_P_906293330.adn.gif</t>
  </si>
  <si>
    <t>Königsberger GmbH, Zimmerei • Sankt Pantaleon • Oberösterreich</t>
  </si>
  <si>
    <t>Zimmereien • Königsberger GmbH, Neumühlweg 1, Sankt Pantaleon • Kontakt über aktuelle Telefonnummern ☎ und Adressen ⚑ mit Karte, Routing, Öffnungszeiten, Homepage, E-Mail, vCard und Firmendaten.</t>
  </si>
  <si>
    <t>Neumühlweg 1</t>
  </si>
  <si>
    <t>48.00092</t>
  </si>
  <si>
    <t>12.89676</t>
  </si>
  <si>
    <t>+43627720166</t>
  </si>
  <si>
    <t>c.koenigsberger@gmx.at</t>
  </si>
  <si>
    <t>https://bilder.dasschnelle.at/DasSchnelle/50/5000/9914/044793/G_044793_P_906293332.adn.gif</t>
  </si>
  <si>
    <t>Tieftrunk, Walter, Friseursalon • Mauerkirchen • Oberösterreich</t>
  </si>
  <si>
    <t>Friseure • Tieftrunk, Walter, Obermarkt 16, Mauerkirchen • Kontakt über aktuelle Telefonnummern ☎ und Adressen ⚑ mit Karte, Routing, Öffnungszeiten, Homepage, E-Mail, vCard und Firmendaten.</t>
  </si>
  <si>
    <t>Obermarkt 16</t>
  </si>
  <si>
    <t>48.19044</t>
  </si>
  <si>
    <t>13.13599</t>
  </si>
  <si>
    <t>+4377242370</t>
  </si>
  <si>
    <t>friseur_tieftrunk@hotmail.com</t>
  </si>
  <si>
    <t>https://bilder.dasschnelle.at/DasSchnelle/50/5000/9872/044778/G_044778_P_906294027.adn.gif</t>
  </si>
  <si>
    <t>Huber-Wimmer BaugesmbH u. Co. KG., Bau • Uttendorf • Oberösterreich</t>
  </si>
  <si>
    <t>Bauunternehmen, Spenglereien, Zimmereien • Huber-Wimmer BaugesmbH u. Co. KG., Gewerbestraße 18, Uttendorf • Kontakt über aktuelle Telefonnummern ☎ und Adressen ⚑ mit Karte, Routing, Öffnungszeiten, Homepage, E-Mail, vCard und Firmendaten.</t>
  </si>
  <si>
    <t>Gewerbestraße 18</t>
  </si>
  <si>
    <t>48.16902</t>
  </si>
  <si>
    <t>13.12322</t>
  </si>
  <si>
    <t>+4377242246</t>
  </si>
  <si>
    <t>+437724224622</t>
  </si>
  <si>
    <t>mail@huber-wimmer.at</t>
  </si>
  <si>
    <t>https://bilder.dasschnelle.at/DasSchnelle/50/5000/9872/044769/I_044769_P_906294031_L_0035970437_1.png</t>
  </si>
  <si>
    <t>https://bilder.dasschnelle.at/DasSchnelle/50/5000/9872/044769/I_044769_P_906294031_B_0035970437_1.gal.png?height=875&amp;width=700;https://bilder.dasschnelle.at/DasSchnelle/50/5000/9872/044769/I_044769_P_906294031_B_0035970437_2.gal.png?height=700&amp;width=700;https://bilder.dasschnelle.at/DasSchnelle/50/5000/9872/044769/I_044769_P_906294031_B_0035970437_3.gal.png?height=525&amp;width=700;https://bilder.dasschnelle.at/DasSchnelle/50/5000/9872/044769/I_044769_P_906294031_B_0035970437_4.gal.png?height=525&amp;width=700</t>
  </si>
  <si>
    <t>Mösengruber, Margret, Autobus- u Transportunternehmen • Steyr • Oberösterreich</t>
  </si>
  <si>
    <t>Autobusunternehmen, Krankentransporte / Krankenbeförderung, Taxi, Transportunternehmen • Mösengruber, Margret, Wehrgrabengasse 25, Steyr • Kontakt über aktuelle Telefonnummern ☎ und Adressen ⚑ mit Karte, Routing, Öffnungszeiten, Homepage, E-Mail, vCard und Firmendaten.</t>
  </si>
  <si>
    <t>Wehrgrabengasse 25</t>
  </si>
  <si>
    <t>48.0433700</t>
  </si>
  <si>
    <t>14.4149000</t>
  </si>
  <si>
    <t>+43725271244;+43725253163</t>
  </si>
  <si>
    <t>+4372527124413</t>
  </si>
  <si>
    <t>office@moesengruber.at</t>
  </si>
  <si>
    <t>https://bilder.dasschnelle.at/DasSchnelle/50/5000/9878/044546/G_044546_P_906294038.adn.gif</t>
  </si>
  <si>
    <t>ADEG Aktiv, Herr Ebner, Lebensmittel • Ostermiething • Oberösterreich</t>
  </si>
  <si>
    <t>Lebensmittel • ADEG Aktiv, Herr Ebner, Parkstraße 1, Ostermiething • Kontakt über aktuelle Telefonnummern ☎ und Adressen ⚑ mit Karte, Routing, Öffnungszeiten, Homepage, E-Mail, vCard und Firmendaten.</t>
  </si>
  <si>
    <t>Parkstraße 1</t>
  </si>
  <si>
    <t>Ostermiething</t>
  </si>
  <si>
    <t>48.04281</t>
  </si>
  <si>
    <t>12.83273</t>
  </si>
  <si>
    <t>+4362786253</t>
  </si>
  <si>
    <t>florianebner@gmx.at</t>
  </si>
  <si>
    <t>https://bilder.dasschnelle.at/DasSchnelle/50/5000/9914/044784/G_044784_P_906294043.adn.gif</t>
  </si>
  <si>
    <t>BEAUTYway Kosmetik &amp; Fußpflege • Pinkafeld • Burgenland</t>
  </si>
  <si>
    <t>Kosmetik • BEAUTYway Kosmetik &amp; Fußpflege, Wienerstraße 34, Pinkafeld • Kontakt über aktuelle Telefonnummern ☎ und Adressen ⚑ mit Karte, Routing, Öffnungszeiten, Homepage, E-Mail, vCard und Firmendaten.</t>
  </si>
  <si>
    <t>Wienerstraße 34</t>
  </si>
  <si>
    <t>47.3768200</t>
  </si>
  <si>
    <t>16.1240900</t>
  </si>
  <si>
    <t>+43335745838</t>
  </si>
  <si>
    <t>beautyway@gmx.at</t>
  </si>
  <si>
    <t>https://bilder.dasschnelle.at/DasSchnelle/50/5000/9951/041374/I_506175_P_906294044_L_0037271806_1.png</t>
  </si>
  <si>
    <t>https://bilder.dasschnelle.at/DasSchnelle/50/5000/9951/041374/I_506175_P_906294044_B_0037271806_1.gal.png?height=530&amp;width=720;https://bilder.dasschnelle.at/DasSchnelle/50/5000/9951/041374/I_506175_P_906294044_B_0037271806_2.gal.png?height=525&amp;width=720;https://bilder.dasschnelle.at/DasSchnelle/50/5000/9951/041374/I_506175_P_906294044_B_0037271806_3.gal.png?height=599&amp;width=720</t>
  </si>
  <si>
    <t>Schöberl Gerhard Malerei • Großpetersdorf • Burgenland</t>
  </si>
  <si>
    <t>Malereibetriebe • Schöberl Gerhard Malerei, Hauptstraße 91, Großpetersdorf • Kontakt über aktuelle Telefonnummern ☎ und Adressen ⚑ mit Karte, Routing, Öffnungszeiten, Homepage, E-Mail, vCard und Firmendaten.</t>
  </si>
  <si>
    <t>Hauptstraße 91</t>
  </si>
  <si>
    <t>47.2420985</t>
  </si>
  <si>
    <t>16.3121894</t>
  </si>
  <si>
    <t>+436645151580</t>
  </si>
  <si>
    <t>malerei.schoeberl@gmx.net</t>
  </si>
  <si>
    <t>Hölzl Metall e.U. • Payerbach • Niederösterreich</t>
  </si>
  <si>
    <t>Metallbau • Hölzl Metall e.U., Hauptstraße ,28, Payerbach • Kontakt über aktuelle Telefonnummern ☎ und Adressen ⚑ mit Karte, Routing, Öffnungszeiten, Homepage, E-Mail, vCard und Firmendaten.</t>
  </si>
  <si>
    <t>Hauptstraße ,28</t>
  </si>
  <si>
    <t>47.69269</t>
  </si>
  <si>
    <t>15.85868</t>
  </si>
  <si>
    <t>+43266652234</t>
  </si>
  <si>
    <t>hoelzl.metall@chello.at</t>
  </si>
  <si>
    <t>https://bilder.dasschnelle.at/DasSchnelle/50/5000/9913/041846/G_041846_P_906294157.adn.gif</t>
  </si>
  <si>
    <t>LSB Gartenbau GmbH, Gartenbau • Weißenbach • Salzburg</t>
  </si>
  <si>
    <t>Gartenbau • LSB Gartenbau GmbH, Wolfgangerstraße 16, Weißenbach • Kontakt über aktuelle Telefonnummern ☎ und Adressen ⚑ mit Karte, Routing, Öffnungszeiten, Homepage, E-Mail, vCard und Firmendaten.</t>
  </si>
  <si>
    <t>Wolfgangerstraße 16</t>
  </si>
  <si>
    <t>47.7206400</t>
  </si>
  <si>
    <t>13.4966800</t>
  </si>
  <si>
    <t>+43613761152</t>
  </si>
  <si>
    <t>office@lsb-gartenbau.at</t>
  </si>
  <si>
    <t>https://bilder.dasschnelle.at/DasSchnelle/50/5000/9868/043330/I_043330_P_906293594_L_0035993960_1.png</t>
  </si>
  <si>
    <t>https://bilder.dasschnelle.at/DasSchnelle/50/5000/9868/043330/I_043330_P_906293594_B_0035993960_1.gal.png?height=716&amp;width=700;https://bilder.dasschnelle.at/DasSchnelle/50/5000/9868/043330/I_043330_P_906293594_B_0035993960_2.gal.png?height=665&amp;width=700;https://bilder.dasschnelle.at/DasSchnelle/50/5000/9868/043330/I_043330_P_906293594_B_0035993960_3.gal.png?height=711&amp;width=700;https://bilder.dasschnelle.at/DasSchnelle/50/5000/9868/043330/I_043330_P_906293594_B_0035993960_4.gal.png?height=672&amp;width=700</t>
  </si>
  <si>
    <t>Kleintierpraxis Alkoven Tierärzte M.Zach u B.Seitlinger • Alkoven • Oberösterreich</t>
  </si>
  <si>
    <t>Tierärzte • Kleintierpraxis Alkoven Tierärzte M.Zach u B.Seitlinger, Weidach 4, Alkoven • Kontakt über aktuelle Telefonnummern ☎ und Adressen ⚑ mit Karte, Routing, Öffnungszeiten, Homepage, E-Mail, vCard und Firmendaten.</t>
  </si>
  <si>
    <t>Weidach 4</t>
  </si>
  <si>
    <t>48.2791741</t>
  </si>
  <si>
    <t>14.0974583</t>
  </si>
  <si>
    <t>+43727420376</t>
  </si>
  <si>
    <t>office@kleintierpraxis-alkoven.com</t>
  </si>
  <si>
    <t>https://bilder.dasschnelle.at/DasSchnelle/50/5000/9876/044803/I_044803_P_906294659_L_0036252812_1.png</t>
  </si>
  <si>
    <t>https://bilder.dasschnelle.at/DasSchnelle/50/5000/9876/044803/I_044803_P_906294659_B_0036252812_1.gal.png?height=395&amp;width=588;https://bilder.dasschnelle.at/DasSchnelle/50/5000/9876/044803/I_044803_P_906294659_B_0036252812_2.gal.png?height=393&amp;width=596;https://bilder.dasschnelle.at/DasSchnelle/50/5000/9876/044803/I_044803_P_906294659_B_0036252812_3.gal.png?height=398&amp;width=590;https://bilder.dasschnelle.at/DasSchnelle/50/5000/9876/044803/I_044803_P_906294659_B_0036252812_4.gal.png?height=392&amp;width=596</t>
  </si>
  <si>
    <t>Eder, Engelbert Johann, Bestattung • Munderfing • Oberösterreich</t>
  </si>
  <si>
    <t>Bestattungsunternehmen • Eder, Engelbert Johann, Gewerbegebiet Nord 32, Munderfing • Kontakt über aktuelle Telefonnummern ☎ und Adressen ⚑ mit Karte, Routing, Öffnungszeiten, Homepage, E-Mail, vCard und Firmendaten.</t>
  </si>
  <si>
    <t>Gewerbegebiet Nord 32</t>
  </si>
  <si>
    <t>5222</t>
  </si>
  <si>
    <t>Munderfing</t>
  </si>
  <si>
    <t>48.0804</t>
  </si>
  <si>
    <t>13.16758</t>
  </si>
  <si>
    <t>+4377422210;+436642102412</t>
  </si>
  <si>
    <t>bestattung.eder@munderfing.jetzt</t>
  </si>
  <si>
    <t>https://bilder.dasschnelle.at/DasSchnelle/50/5000/9872/044782/G_044782_P_906294519.adn.gif</t>
  </si>
  <si>
    <t>Poneder, Hermann, Ing., Installationsunternehmen • Steyr • Oberösterreich</t>
  </si>
  <si>
    <t>Installationsunternehmen • Poneder, Hermann, Ing., Sierninger Straße 141, Steyr • Kontakt über aktuelle Telefonnummern ☎ und Adressen ⚑ mit Karte, Routing, Öffnungszeiten, Homepage, E-Mail, vCard und Firmendaten.</t>
  </si>
  <si>
    <t>Sierninger Straße 141</t>
  </si>
  <si>
    <t>48.04482</t>
  </si>
  <si>
    <t>14.37818</t>
  </si>
  <si>
    <t>+43725271656;+436767237577</t>
  </si>
  <si>
    <t>poneder@aon.at</t>
  </si>
  <si>
    <t>https://bilder.dasschnelle.at/DasSchnelle/50/5000/9878/044546/G_044546_P_906294524.adn.gif</t>
  </si>
  <si>
    <t>Eder, Robert, Ing., Kunstschlosserei • St. Pantaleon • Oberösterreich</t>
  </si>
  <si>
    <t>Schlossereien • Eder, Robert, Ing., Trimmelkam 10, St. Pantaleon • Kontakt über aktuelle Telefonnummern ☎ und Adressen ⚑ mit Karte, Routing, Öffnungszeiten, Homepage, E-Mail, vCard und Firmendaten.</t>
  </si>
  <si>
    <t>Trimmelkam 10</t>
  </si>
  <si>
    <t>48.0267146</t>
  </si>
  <si>
    <t>12.8669677</t>
  </si>
  <si>
    <t>+4362777210</t>
  </si>
  <si>
    <t>+436277721013</t>
  </si>
  <si>
    <t>office@schlosserei-eder.at</t>
  </si>
  <si>
    <t>https://bilder.dasschnelle.at/DasSchnelle/50/5000/9914/044793/G_044793_P_906294529.adn.gif</t>
  </si>
  <si>
    <t>Tadic, Ivo, Zimmerer • Altaussee • Steiermark</t>
  </si>
  <si>
    <t>Zimmereien • Tadic, Ivo, Lichtersberg 207, Altaussee • Kontakt über aktuelle Telefonnummern ☎ und Adressen ⚑ mit Karte, Routing, Öffnungszeiten, Homepage, E-Mail, vCard und Firmendaten.</t>
  </si>
  <si>
    <t>Lichtersberg 207</t>
  </si>
  <si>
    <t>47.6302895</t>
  </si>
  <si>
    <t>13.7569034</t>
  </si>
  <si>
    <t>+43362271335;+4369911716811;+4369912339037</t>
  </si>
  <si>
    <t>office@bau-tadic.at</t>
  </si>
  <si>
    <t>https://bilder.dasschnelle.at/DasSchnelle/50/5000/9868/044348/G_044348_P_906294536.adn.gif</t>
  </si>
  <si>
    <t>Stadtamt Bad Ischl, Zentrale • Bad Ischl • Oberösterreich</t>
  </si>
  <si>
    <t>Ämter u. Behörden • Stadtamt Bad Ischl, Pfarrgasse 11, Bad Ischl • Kontakt über aktuelle Telefonnummern ☎ und Adressen ⚑ mit Karte, Routing, Öffnungszeiten, Homepage, E-Mail, vCard und Firmendaten.</t>
  </si>
  <si>
    <t>Pfarrgasse 11</t>
  </si>
  <si>
    <t>47.71112</t>
  </si>
  <si>
    <t>13.62204</t>
  </si>
  <si>
    <t>+4361323010;+43613230119;+43613230126;+43613230114;+43613230146;+43613230147;+436132301;+43613230131;+43613230133;+43613230148;+43613230153;+43613230141;+43613230117;+43613230118;+43613230137;+43613230128;+43613230175</t>
  </si>
  <si>
    <t>+43613230111</t>
  </si>
  <si>
    <t>info@stadtamt-badischl.at</t>
  </si>
  <si>
    <t>https://bilder.dasschnelle.at/DasSchnelle/50/5000/9868/041790/G_041790_P_906294592.adn.gif</t>
  </si>
  <si>
    <t>Roitner, Günther, Gasthaus • Kohlstatt • Oberösterreich</t>
  </si>
  <si>
    <t>Gastgewerbe - Gasthöfe • Roitner, Günther, Langbathstraße 74, Kohlstatt • Kontakt über aktuelle Telefonnummern ☎ und Adressen ⚑ mit Karte, Routing, Öffnungszeiten, Homepage, E-Mail, vCard und Firmendaten.</t>
  </si>
  <si>
    <t>Langbathstraße 74</t>
  </si>
  <si>
    <t>Kohlstatt</t>
  </si>
  <si>
    <t>47.81429</t>
  </si>
  <si>
    <t>13.76292</t>
  </si>
  <si>
    <t>+43613320630</t>
  </si>
  <si>
    <t>gasthof.roitner@gmx.at</t>
  </si>
  <si>
    <t>https://bilder.dasschnelle.at/DasSchnelle/50/5000/9868/041791/G_041791_P_906294620.adn.gif</t>
  </si>
  <si>
    <t>Ambulatorium Reichenau, Frisör &amp; Kosmetikstudio • Reichenau an der Rax • Niederösterreich</t>
  </si>
  <si>
    <t>Friseure • Ambulatorium Reichenau, Hauptstraße 89a, Reichenau an der Rax • Kontakt über aktuelle Telefonnummern ☎ und Adressen ⚑ mit Karte, Routing, Öffnungszeiten, Homepage, E-Mail, vCard und Firmendaten.</t>
  </si>
  <si>
    <t>Hauptstraße 89a</t>
  </si>
  <si>
    <t>47.6978511</t>
  </si>
  <si>
    <t>15.8369141</t>
  </si>
  <si>
    <t>+43266653013</t>
  </si>
  <si>
    <t>ambu-reichenau@a1.net</t>
  </si>
  <si>
    <t>https://bilder.dasschnelle.at/DasSchnelle/50/5000/9913/041851/G_041851_P_906295747.adn.gif</t>
  </si>
  <si>
    <t>Stadtapotheke Eferding, Mag pharm Alexander Rizy, Apotheken • Eferding • Oberösterreich</t>
  </si>
  <si>
    <t>Apotheken • Stadtapotheke Eferding, Mag pharm Alexander Rizy, Stadtplatz 15, Eferding • Kontakt über aktuelle Telefonnummern ☎ und Adressen ⚑ mit Karte, Routing, Öffnungszeiten, Homepage, E-Mail, vCard und Firmendaten.</t>
  </si>
  <si>
    <t>48.30874</t>
  </si>
  <si>
    <t>14.02401</t>
  </si>
  <si>
    <t>+4372722217</t>
  </si>
  <si>
    <t>mail@stadtapotheke.at</t>
  </si>
  <si>
    <t>https://bilder.dasschnelle.at/DasSchnelle/50/5000/9876/044805/G_044805_P_906295749.adn.gif</t>
  </si>
  <si>
    <t>Stefan Ziska, Installationen • Reichental • Niederösterreich</t>
  </si>
  <si>
    <t>Heizungen, Installationen • Stefan Ziska, Reichental 207, Reichental • Kontakt über aktuelle Telefonnummern ☎ und Adressen ⚑ mit Karte, Routing, Öffnungszeiten, Homepage, E-Mail, vCard und Firmendaten.</t>
  </si>
  <si>
    <t>Reichental 207</t>
  </si>
  <si>
    <t>Reichental</t>
  </si>
  <si>
    <t>47.8783317</t>
  </si>
  <si>
    <t>16.0084987</t>
  </si>
  <si>
    <t>+4369910170774</t>
  </si>
  <si>
    <t>office@sz-installationen.at</t>
  </si>
  <si>
    <t>Poppenreiter, Roland, Poolhaus, Schwimmbäder • Sankt Margarethen • Salzburg</t>
  </si>
  <si>
    <t>Schwimmbäder • Poppenreiter, Roland, Poolhaus, Baumhofenweg 17, Sankt Margarethen • Kontakt über aktuelle Telefonnummern ☎ und Adressen ⚑ mit Karte, Routing, Öffnungszeiten, Homepage, E-Mail, vCard und Firmendaten.</t>
  </si>
  <si>
    <t>Baumhofenweg 17</t>
  </si>
  <si>
    <t>47.67236</t>
  </si>
  <si>
    <t>13.12466</t>
  </si>
  <si>
    <t>+43624521620</t>
  </si>
  <si>
    <t>roland@gehtnichtgibtsnicht.at</t>
  </si>
  <si>
    <t>https://bilder.dasschnelle.at/DasSchnelle/50/5000/9889/043599/G_043599_P_906295828.adn.gif</t>
  </si>
  <si>
    <t>Poppenreiter, Roland, Schwimmbäder • Bad Vigaun • Salzburg</t>
  </si>
  <si>
    <t>Schwimmbäder • Poppenreiter, Roland, Baumhofenweg 17, Bad Vigaun • Kontakt über aktuelle Telefonnummern ☎ und Adressen ⚑ mit Karte, Routing, Öffnungszeiten, Homepage, E-Mail, vCard und Firmendaten.</t>
  </si>
  <si>
    <t>+436641341041</t>
  </si>
  <si>
    <t>info@gehtnichtgibtsnicht.at</t>
  </si>
  <si>
    <t>https://bilder.dasschnelle.at/DasSchnelle/50/5000/9889/043599/I_043599_P_906295830_L_0035969613_1.png</t>
  </si>
  <si>
    <t>https://bilder.dasschnelle.at/DasSchnelle/50/5000/9889/043599/I_043599_P_906295830_B_0035969613_1.gal.png?height=400&amp;width=400;https://bilder.dasschnelle.at/DasSchnelle/50/5000/9889/043599/I_043599_P_906295830_B_0035969613_2.gal.png?height=400&amp;width=400;https://bilder.dasschnelle.at/DasSchnelle/50/5000/9889/043599/I_043599_P_906295830_B_0035969613_3.gal.png?height=400&amp;width=400;https://bilder.dasschnelle.at/DasSchnelle/50/5000/9889/043599/I_043599_P_906295830_B_0035969613_4.gal.png?height=400&amp;width=400</t>
  </si>
  <si>
    <t>Schupfner, Herbert, Spenglerei • Ostermiething • Oberösterreich</t>
  </si>
  <si>
    <t>Installationen • Schupfner, Herbert, Bergstraße 41, Ostermiething • Kontakt über aktuelle Telefonnummern ☎ und Adressen ⚑ mit Karte, Routing, Öffnungszeiten, Homepage, E-Mail, vCard und Firmendaten.</t>
  </si>
  <si>
    <t>Bergstraße 41</t>
  </si>
  <si>
    <t>48.04512</t>
  </si>
  <si>
    <t>12.83368</t>
  </si>
  <si>
    <t>+43627862211;+4366473157746</t>
  </si>
  <si>
    <t>schwaiger@schupfner-gmbh.de</t>
  </si>
  <si>
    <t>https://bilder.dasschnelle.at/DasSchnelle/50/5000/9914/044784/G_044784_P_906295834.adn.gif</t>
  </si>
  <si>
    <t>Graf, Herbert, Elektrounternehmen • Ostermiething • Oberösterreich</t>
  </si>
  <si>
    <t>Elektrounternehmen • Graf, Herbert, Bergstraße 18, Ostermiething • Kontakt über aktuelle Telefonnummern ☎ und Adressen ⚑ mit Karte, Routing, Öffnungszeiten, Homepage, E-Mail, vCard und Firmendaten.</t>
  </si>
  <si>
    <t>Bergstraße 18</t>
  </si>
  <si>
    <t>48.04667</t>
  </si>
  <si>
    <t>12.83201</t>
  </si>
  <si>
    <t>+4362786209</t>
  </si>
  <si>
    <t>+436278620914</t>
  </si>
  <si>
    <t>office@elektro-graf.at</t>
  </si>
  <si>
    <t>https://bilder.dasschnelle.at/DasSchnelle/50/5000/9914/044784/G_044784_P_906295839.adn.gif</t>
  </si>
  <si>
    <t>Bestattung Haider GmbH • Bad Aussee • Steiermark</t>
  </si>
  <si>
    <t>Bestattungsunternehmen • Bestattung Haider GmbH, Kammerhofgasse 259, Bad Aussee • Kontakt über aktuelle Telefonnummern ☎ und Adressen ⚑ mit Karte, Routing, Öffnungszeiten, Homepage, E-Mail, vCard und Firmendaten.</t>
  </si>
  <si>
    <t>Kammerhofgasse 259</t>
  </si>
  <si>
    <t>47.61077</t>
  </si>
  <si>
    <t>13.78374</t>
  </si>
  <si>
    <t>+43362252707</t>
  </si>
  <si>
    <t>+43362254525</t>
  </si>
  <si>
    <t>aussee@bestattung-haider.at</t>
  </si>
  <si>
    <t>https://bilder.dasschnelle.at/DasSchnelle/50/5000/9868/044351/G_044351_P_906295844.adn.gif</t>
  </si>
  <si>
    <t>Hirscher, Harald, Ing., Elektrohandel • Gosau • Oberösterreich</t>
  </si>
  <si>
    <t>Elektrohandel, Elektroinstallationsunternehmen • Hirscher, Harald, Ing., Bachergasse 2, Gosau • Kontakt über aktuelle Telefonnummern ☎ und Adressen ⚑ mit Karte, Routing, Öffnungszeiten, Homepage, E-Mail, vCard und Firmendaten.</t>
  </si>
  <si>
    <t>Bachergasse 2</t>
  </si>
  <si>
    <t>47.58418</t>
  </si>
  <si>
    <t>13.53387</t>
  </si>
  <si>
    <t>+4361368333</t>
  </si>
  <si>
    <t>elektro.hirscher@sbg.at</t>
  </si>
  <si>
    <t>https://bilder.dasschnelle.at/DasSchnelle/50/5000/9868/041793/I_041793_P_906295847_L_0036242912_1.png</t>
  </si>
  <si>
    <t>https://bilder.dasschnelle.at/DasSchnelle/50/5000/9868/041793/I_041793_P_906295847_B_0036242912_1.gal.png?height=210&amp;width=650;https://bilder.dasschnelle.at/DasSchnelle/50/5000/9868/041793/I_041793_P_906295847_B_0036242912_2.gal.png?height=188&amp;width=600;https://bilder.dasschnelle.at/DasSchnelle/50/5000/9868/041793/I_041793_P_906295847_B_0036242912_3.gal.png?height=212&amp;width=650</t>
  </si>
  <si>
    <t>Laschober, Fachpraxis für Physiotherapie • Oberwart • Burgenland</t>
  </si>
  <si>
    <t>Physiotherapie • Laschober, Untere Hochstraße 58, Oberwart • Kontakt über aktuelle Telefonnummern ☎ und Adressen ⚑ mit Karte, Routing, Öffnungszeiten, Homepage, E-Mail, vCard und Firmendaten.</t>
  </si>
  <si>
    <t>Untere Hochstraße 58</t>
  </si>
  <si>
    <t>47.2841500</t>
  </si>
  <si>
    <t>16.2248500</t>
  </si>
  <si>
    <t>+43335233223</t>
  </si>
  <si>
    <t>office@physiopraxis.cc</t>
  </si>
  <si>
    <t>https://bilder.dasschnelle.at/DasSchnelle/50/5000/9951/041373/I_041373_P_906295905_L_0037271093_1.png</t>
  </si>
  <si>
    <t>Pölzl, Dominik, Abfluss-Reinigung • Wettmannstätten • Steiermark</t>
  </si>
  <si>
    <t>Rohrreinigung • Pölzl, Dominik, Lassenberg 61, Wettmannstätten • Kontakt über aktuelle Telefonnummern ☎ und Adressen ⚑ mit Karte, Routing, Öffnungszeiten, Homepage, E-Mail, vCard und Firmendaten.</t>
  </si>
  <si>
    <t>Lassenberg 61</t>
  </si>
  <si>
    <t>46.8226684</t>
  </si>
  <si>
    <t>15.3724429</t>
  </si>
  <si>
    <t>+436643842929</t>
  </si>
  <si>
    <t>d.poelzl@domifant.at</t>
  </si>
  <si>
    <t>https://bilder.dasschnelle.at/DasSchnelle/50/5000/9875/045330/I_045330_P_906296547_L_0038055649_1.png</t>
  </si>
  <si>
    <t>Autopflege Reifendienst, Draxler Klaus Edgar • Preding • Steiermark</t>
  </si>
  <si>
    <t>Autopflege, Reifendienste • Autopflege Reifendienst, Draxler Klaus Edgar, Gewerbepark Ost 1, Preding • Kontakt über aktuelle Telefonnummern ☎ und Adressen ⚑ mit Karte, Routing, Öffnungszeiten, Homepage, E-Mail, vCard und Firmendaten.</t>
  </si>
  <si>
    <t>Gewerbepark Ost 1</t>
  </si>
  <si>
    <t>46.8535100</t>
  </si>
  <si>
    <t>15.4101400</t>
  </si>
  <si>
    <t>+436604488112</t>
  </si>
  <si>
    <t>office@kfz-draxler.at</t>
  </si>
  <si>
    <t>https://bilder.dasschnelle.at/DasSchnelle/50/5000/9875/045314/G_045314_P_906296549.adn.gif</t>
  </si>
  <si>
    <t>Veronik &amp; Co KG, Gas-Wasser-Heizung • Oberlatein • Steiermark</t>
  </si>
  <si>
    <t>Gasinstallationen • Veronik &amp; Co KG, Oberlatein • Kontakt über aktuelle Telefonnummern ☎ und Adressen ⚑ mit Karte, Routing, Öffnungszeiten, Homepage, E-Mail, vCard und Firmendaten.</t>
  </si>
  <si>
    <t>Oberlatein</t>
  </si>
  <si>
    <t>46.6816250</t>
  </si>
  <si>
    <t>15.2699268</t>
  </si>
  <si>
    <t>+43346645586;+436644009599;+436644010299;+436764167111</t>
  </si>
  <si>
    <t>+43346645588</t>
  </si>
  <si>
    <t>installationen-veronik@utanet.at</t>
  </si>
  <si>
    <t>https://bilder.dasschnelle.at/DasSchnelle/50/5000/9875/061447/G_061447_P_906296659.adn.gif</t>
  </si>
  <si>
    <t>Autohaus Haberl Othmar und Günther • St. Pantaleon • Oberösterreich</t>
  </si>
  <si>
    <t>Tankstellen • Autohaus Haberl Othmar und Günther, Am Schneidergraben 2, St. Pantaleon • Kontakt über aktuelle Telefonnummern ☎ und Adressen ⚑ mit Karte, Routing, Öffnungszeiten, Homepage, E-Mail, vCard und Firmendaten.</t>
  </si>
  <si>
    <t>Am Schneidergraben 2</t>
  </si>
  <si>
    <t>47.99662</t>
  </si>
  <si>
    <t>12.87804</t>
  </si>
  <si>
    <t>+4362776208</t>
  </si>
  <si>
    <t>office@autohaus-haberl.at</t>
  </si>
  <si>
    <t>https://bilder.dasschnelle.at/DasSchnelle/50/5000/9914/044793/G_044793_P_906296628.adn.gif</t>
  </si>
  <si>
    <t>Nowotka, Elvira, Dipl. Physiotherapeutin • Mauerkirchen • Oberösterreich</t>
  </si>
  <si>
    <t>Massagen, Physiotherapie • Nowotka, Elvira, Stockleiten 62, Mauerkirchen • Kontakt über aktuelle Telefonnummern ☎ und Adressen ⚑ mit Karte, Routing, Öffnungszeiten, Homepage, E-Mail, vCard und Firmendaten.</t>
  </si>
  <si>
    <t>Stockleiten 62</t>
  </si>
  <si>
    <t>48.1975507</t>
  </si>
  <si>
    <t>13.1323312</t>
  </si>
  <si>
    <t>+436764042373</t>
  </si>
  <si>
    <t>eliali@gmx.at</t>
  </si>
  <si>
    <t>Rohrmoser, Kathrin, Dr., Kieferorthopädin • Simbach</t>
  </si>
  <si>
    <t>Ärzte / Fachärzte f. Zahn-, Mund u. Kieferheilkunde • Rohrmoser, Kathrin, Dr., Törringstr. 16, Simbach • Kontakt über aktuelle Telefonnummern ☎ und Adressen ⚑ mit Karte, Routing, Öffnungszeiten, Homepage, E-Mail, vCard und Firmendaten.</t>
  </si>
  <si>
    <t>Törringstr. 16</t>
  </si>
  <si>
    <t>48.2651742</t>
  </si>
  <si>
    <t>13.0237378</t>
  </si>
  <si>
    <t>+434985712733</t>
  </si>
  <si>
    <t>kathrin0126@gmx.de</t>
  </si>
  <si>
    <t>https://bilder.dasschnelle.at/DasSchnelle/50/5000/9872/506176/I_506176_P_906296630_L_0038554497_1.png</t>
  </si>
  <si>
    <t>https://bilder.dasschnelle.at/DasSchnelle/50/5000/9872/506176/I_506176_P_906296630_B_0038554497_1.gal.png?height=433&amp;width=600;https://bilder.dasschnelle.at/DasSchnelle/50/5000/9872/506176/I_506176_P_906296630_B_0038554497_2.gal.png?height=433&amp;width=600;https://bilder.dasschnelle.at/DasSchnelle/50/5000/9872/506176/I_506176_P_906296630_B_0038554497_3.gal.png?height=400&amp;width=600;https://bilder.dasschnelle.at/DasSchnelle/50/5000/9872/506176/G_506176_P_906296630.adn.gif</t>
  </si>
  <si>
    <t>Loiperdinger Josef GmbH, Installateur • Franking • Oberösterreich</t>
  </si>
  <si>
    <t>Installationsunternehmen • Loiperdinger Josef GmbH, Holzöster 86, Franking • Kontakt über aktuelle Telefonnummern ☎ und Adressen ⚑ mit Karte, Routing, Öffnungszeiten, Homepage, E-Mail, vCard und Firmendaten.</t>
  </si>
  <si>
    <t>Holzöster 86</t>
  </si>
  <si>
    <t>48.0560102</t>
  </si>
  <si>
    <t>12.9086483</t>
  </si>
  <si>
    <t>+4362778153</t>
  </si>
  <si>
    <t>+43627781534</t>
  </si>
  <si>
    <t>josef@loiperdinger.at</t>
  </si>
  <si>
    <t>https://bilder.dasschnelle.at/DasSchnelle/50/5000/9914/044555/G_044555_P_906296634.adn.gif</t>
  </si>
  <si>
    <t>Schöngrundner, Maler &amp; Anstreicher • Aue • Niederösterreich</t>
  </si>
  <si>
    <t>Malereibetriebe • Schöngrundner, Auestraße 92, Aue • Kontakt über aktuelle Telefonnummern ☎ und Adressen ⚑ mit Karte, Routing, Öffnungszeiten, Homepage, E-Mail, vCard und Firmendaten.</t>
  </si>
  <si>
    <t>Auestraße 92</t>
  </si>
  <si>
    <t>Aue</t>
  </si>
  <si>
    <t>47.6596000</t>
  </si>
  <si>
    <t>15.8812000</t>
  </si>
  <si>
    <t>+436643255523</t>
  </si>
  <si>
    <t>schoen2@aon.at</t>
  </si>
  <si>
    <t>https://bilder.dasschnelle.at/DasSchnelle/50/5000/9913/041837/G_041837_P_906296636.adn.gif</t>
  </si>
  <si>
    <t>Galyo, Manfred, Elektrotechnik • Alkoven • Oberösterreich</t>
  </si>
  <si>
    <t>Elektrotechnik • Galyo, Manfred, Winkeln 64, Alkoven • Kontakt über aktuelle Telefonnummern ☎ und Adressen ⚑ mit Karte, Routing, Öffnungszeiten, Homepage, E-Mail, vCard und Firmendaten.</t>
  </si>
  <si>
    <t>Winkeln 64</t>
  </si>
  <si>
    <t>48.2726032</t>
  </si>
  <si>
    <t>14.1123268</t>
  </si>
  <si>
    <t>+4372746563;+436765172621</t>
  </si>
  <si>
    <t>galyo.elektrotechnik@aon.at</t>
  </si>
  <si>
    <t>https://bilder.dasschnelle.at/DasSchnelle/50/5000/9876/044803/G_044803_P_906296644.adn.gif</t>
  </si>
  <si>
    <t>Schlechmair, Hans, Erdbewegungen, Baumaschinenverleih • Handenberg • Oberösterreich</t>
  </si>
  <si>
    <t>Erdbewegungen • Schlechmair, Hans, Eckbach 42, Handenberg • Kontakt über aktuelle Telefonnummern ☎ und Adressen ⚑ mit Karte, Routing, Öffnungszeiten, Homepage, E-Mail, vCard und Firmendaten.</t>
  </si>
  <si>
    <t>Eckbach 42</t>
  </si>
  <si>
    <t>48.1280032</t>
  </si>
  <si>
    <t>13.0051622</t>
  </si>
  <si>
    <t>+43774832121</t>
  </si>
  <si>
    <t>office@hs-erdbau.at</t>
  </si>
  <si>
    <t>https://bilder.dasschnelle.at/DasSchnelle/50/5000/9872/044768/G_044768_P_906296647.adn.gif</t>
  </si>
  <si>
    <t>Radshop Obersberger Gesellschaft mbH • Braunau am Inn • Oberösterreich</t>
  </si>
  <si>
    <t>Fahrradfachhandel • Radshop Obersberger Gesellschaft mbH, Laabstraße 53, Braunau am Inn • Kontakt über aktuelle Telefonnummern ☎ und Adressen ⚑ mit Karte, Routing, Öffnungszeiten, Homepage, E-Mail, vCard und Firmendaten.</t>
  </si>
  <si>
    <t>Laabstraße 53</t>
  </si>
  <si>
    <t>48.26126</t>
  </si>
  <si>
    <t>13.04945</t>
  </si>
  <si>
    <t>+43772268121</t>
  </si>
  <si>
    <t>+43772268191</t>
  </si>
  <si>
    <t>office@radshop-oberberger.at</t>
  </si>
  <si>
    <t>https://bilder.dasschnelle.at/DasSchnelle/50/5000/9872/044551/G_044551_P_906296676.adn.gif</t>
  </si>
  <si>
    <t>Loher, Hans, KFZ Technik • Simbach</t>
  </si>
  <si>
    <t>Autoreparaturen • Loher, Hans, Industriestraße 3, Simbach • Kontakt über aktuelle Telefonnummern ☎ und Adressen ⚑ mit Karte, Routing, Öffnungszeiten, Homepage, E-Mail, vCard und Firmendaten.</t>
  </si>
  <si>
    <t>Industriestraße 3</t>
  </si>
  <si>
    <t>48.2600597</t>
  </si>
  <si>
    <t>13.0090485</t>
  </si>
  <si>
    <t>+434985712343</t>
  </si>
  <si>
    <t>loher.kfztechnik@web.de</t>
  </si>
  <si>
    <t>https://bilder.dasschnelle.at/DasSchnelle/50/5000/9872/506176/G_506176_P_906296568.adn.gif</t>
  </si>
  <si>
    <t>Autohaus Pichlmeier • Kirchdorf</t>
  </si>
  <si>
    <t>Autohandel • Autohaus Pichlmeier, Von-Siemens-Straße 3, Kirchdorf • Kontakt über aktuelle Telefonnummern ☎ und Adressen ⚑ mit Karte, Routing, Öffnungszeiten, Homepage, E-Mail, vCard und Firmendaten.</t>
  </si>
  <si>
    <t>Von-Siemens-Straße 3</t>
  </si>
  <si>
    <t>84375</t>
  </si>
  <si>
    <t>48.2568925</t>
  </si>
  <si>
    <t>12.9956428</t>
  </si>
  <si>
    <t>+43498571923230</t>
  </si>
  <si>
    <t>+4385719232329</t>
  </si>
  <si>
    <t>info@pichlmeier.de</t>
  </si>
  <si>
    <t>https://bilder.dasschnelle.at/DasSchnelle/50/5000/9872/044548/G_044548_P_906296571.adn.gif</t>
  </si>
  <si>
    <t>Hofmannrichter, Norbert, Spedition &amp; Möbeltransporte • Pfaffstätten • Niederösterreich</t>
  </si>
  <si>
    <t>Speditionen • Hofmannrichter, Norbert, Wiener Straße 124 -126, Pfaffstätten • Kontakt über aktuelle Telefonnummern ☎ und Adressen ⚑ mit Karte, Routing, Öffnungszeiten, Homepage, E-Mail, vCard und Firmendaten.</t>
  </si>
  <si>
    <t>Wiener Straße 124 -126</t>
  </si>
  <si>
    <t>2511</t>
  </si>
  <si>
    <t>Pfaffstätten</t>
  </si>
  <si>
    <t>48.0184333</t>
  </si>
  <si>
    <t>16.2761633</t>
  </si>
  <si>
    <t>+43225288512;+436643024743</t>
  </si>
  <si>
    <t>+432252885124</t>
  </si>
  <si>
    <t>sped.hofmannrichter@aon.at</t>
  </si>
  <si>
    <t>https://bilder.dasschnelle.at/DasSchnelle/50/5000/9870/041353/I_041353_P_906296705_L_0036261785_1.png</t>
  </si>
  <si>
    <t>https://bilder.dasschnelle.at/DasSchnelle/50/5000/9870/041353/I_041353_P_906296705_B_0036261785_1.gal.png?height=450&amp;width=599;https://bilder.dasschnelle.at/DasSchnelle/50/5000/9870/041353/I_041353_P_906296705_B_0036261785_2.gal.png?height=288&amp;width=600;https://bilder.dasschnelle.at/DasSchnelle/50/5000/9870/041353/I_041353_P_906296705_B_0036261785_3.gal.png?height=450&amp;width=600;https://bilder.dasschnelle.at/DasSchnelle/50/5000/9870/041353/I_041353_P_906296705_B_0036261785_4.gal.png?height=277&amp;width=369</t>
  </si>
  <si>
    <t>Hartmann Erdbau GmbH • Sankt Martin im Sulmtal • Steiermark</t>
  </si>
  <si>
    <t>Erdbau • Hartmann Erdbau GmbH, Gasselsdorf 132, Sankt Martin im Sulmtal • Kontakt über aktuelle Telefonnummern ☎ und Adressen ⚑ mit Karte, Routing, Öffnungszeiten, Homepage, E-Mail, vCard und Firmendaten.</t>
  </si>
  <si>
    <t>Gasselsdorf 132</t>
  </si>
  <si>
    <t>46.7386397</t>
  </si>
  <si>
    <t>15.3228855</t>
  </si>
  <si>
    <t>+436502802391</t>
  </si>
  <si>
    <t>hartmann-erdbau@gmx.at</t>
  </si>
  <si>
    <t>https://bilder.dasschnelle.at/DasSchnelle/50/5000/9875/061411/G_061411_P_906296710.adn.gif</t>
  </si>
  <si>
    <t>EWL Installationstechnik GmbH • Pölfing-Brunn • Steiermark</t>
  </si>
  <si>
    <t>Installationstechnik • EWL Installationstechnik GmbH, Sportplatzstraße 6, Pölfing-Brunn • Kontakt über aktuelle Telefonnummern ☎ und Adressen ⚑ mit Karte, Routing, Öffnungszeiten, Homepage, E-Mail, vCard und Firmendaten.</t>
  </si>
  <si>
    <t>Sportplatzstraße 6</t>
  </si>
  <si>
    <t>46.72614</t>
  </si>
  <si>
    <t>15.29784</t>
  </si>
  <si>
    <t>+4334652090212</t>
  </si>
  <si>
    <t>office@ewl-installationstechnik.at</t>
  </si>
  <si>
    <t>https://bilder.dasschnelle.at/DasSchnelle/50/5000/9875/045313/I_045313_P_906296712_L_0036738182_1.png</t>
  </si>
  <si>
    <t>https://bilder.dasschnelle.at/DasSchnelle/50/5000/9875/045313/I_045313_P_906296712_B_0036738182_1.gal.png?height=600&amp;width=450;https://bilder.dasschnelle.at/DasSchnelle/50/5000/9875/045313/I_045313_P_906296712_B_0036738182_2.gal.png?height=600&amp;width=450</t>
  </si>
  <si>
    <t>Sulzer Johann GmbH, Transportunternehmen • Baden • Niederösterreich</t>
  </si>
  <si>
    <t>Transportunternehmen • Sulzer Johann GmbH, Pelzgasse 19, Baden • Kontakt über aktuelle Telefonnummern ☎ und Adressen ⚑ mit Karte, Routing, Öffnungszeiten, Homepage, E-Mail, vCard und Firmendaten.</t>
  </si>
  <si>
    <t>Pelzgasse 19</t>
  </si>
  <si>
    <t>48.00907</t>
  </si>
  <si>
    <t>16.22772</t>
  </si>
  <si>
    <t>+43225248667</t>
  </si>
  <si>
    <t>https://bilder.dasschnelle.at/DasSchnelle/50/5000/9870/041339/G_041339_P_906297141.adn.gif</t>
  </si>
  <si>
    <t>Schneeberger, Raphael, Sicherheitstechnik • Baden • Niederösterreich</t>
  </si>
  <si>
    <t>Sicherheitstechnik • Schneeberger, Raphael, Braitner Straße 89, Baden • Kontakt über aktuelle Telefonnummern ☎ und Adressen ⚑ mit Karte, Routing, Öffnungszeiten, Homepage, E-Mail, vCard und Firmendaten.</t>
  </si>
  <si>
    <t>Braitner Straße 89</t>
  </si>
  <si>
    <t>48.00149</t>
  </si>
  <si>
    <t>16.24397</t>
  </si>
  <si>
    <t>+43225271527</t>
  </si>
  <si>
    <t>office@schneeberger-baden.at</t>
  </si>
  <si>
    <t>https://bilder.dasschnelle.at/DasSchnelle/50/5000/9870/041339/I_041339_P_906297144_L_0036891816_1.png</t>
  </si>
  <si>
    <t>https://bilder.dasschnelle.at/DasSchnelle/50/5000/9870/041339/I_041339_P_906297144_B_0036891816_1.gal.png?height=416&amp;width=400;https://bilder.dasschnelle.at/DasSchnelle/50/5000/9870/041339/I_041339_P_906297144_B_0036891816_2.gal.png?height=428&amp;width=400;https://bilder.dasschnelle.at/DasSchnelle/50/5000/9870/041339/I_041339_P_906297144_B_0036891816_3.gal.png?height=400&amp;width=400;https://bilder.dasschnelle.at/DasSchnelle/50/5000/9870/041339/I_041339_P_906297144_B_0036891816_4.gal.png?height=400&amp;width=400</t>
  </si>
  <si>
    <t>Edelmann, Anita, Friseure • Oberndorf bei Salzburg • Salzburg</t>
  </si>
  <si>
    <t>Friseure • Edelmann, Anita, Salzburger Straße 52, Oberndorf bei Salzburg • Kontakt über aktuelle Telefonnummern ☎ und Adressen ⚑ mit Karte, Routing, Öffnungszeiten, Homepage, E-Mail, vCard und Firmendaten.</t>
  </si>
  <si>
    <t>Salzburger Straße 52</t>
  </si>
  <si>
    <t>47.94204</t>
  </si>
  <si>
    <t>12.94293</t>
  </si>
  <si>
    <t>+4362724317</t>
  </si>
  <si>
    <t>a.w.edelmann@sbg.at</t>
  </si>
  <si>
    <t>https://bilder.dasschnelle.at/DasSchnelle/50/5000/9914/043322/G_043322_P_906297145.adn.gif</t>
  </si>
  <si>
    <t>Friseur an der Salzach, Helga Ramböck • Oberndorf bei Salzburg • Salzburg</t>
  </si>
  <si>
    <t>Friseure • Friseur an der Salzach, Helga Ramböck, Uferstraße 22, Oberndorf bei Salzburg • Kontakt über aktuelle Telefonnummern ☎ und Adressen ⚑ mit Karte, Routing, Öffnungszeiten, Homepage, E-Mail, vCard und Firmendaten.</t>
  </si>
  <si>
    <t>Uferstraße 22</t>
  </si>
  <si>
    <t>47.94024</t>
  </si>
  <si>
    <t>12.94003</t>
  </si>
  <si>
    <t>+4362724302</t>
  </si>
  <si>
    <t>josef.ramboeck@gmx.at</t>
  </si>
  <si>
    <t>https://bilder.dasschnelle.at/DasSchnelle/50/5000/9914/043322/G_043322_P_906297147.adn.gif</t>
  </si>
  <si>
    <t>OPTIK PETERSCHELKA KG, Optik • Oberndorf bei Salzburg • Salzburg</t>
  </si>
  <si>
    <t>Optik • OPTIK PETERSCHELKA KG, Salzburger Straße 56, Oberndorf bei Salzburg • Kontakt über aktuelle Telefonnummern ☎ und Adressen ⚑ mit Karte, Routing, Öffnungszeiten, Homepage, E-Mail, vCard und Firmendaten.</t>
  </si>
  <si>
    <t>Salzburger Straße 56</t>
  </si>
  <si>
    <t>47.94292</t>
  </si>
  <si>
    <t>12.94337</t>
  </si>
  <si>
    <t>+4362727760</t>
  </si>
  <si>
    <t>peterschelka.oberndorf@aon.at</t>
  </si>
  <si>
    <t>https://bilder.dasschnelle.at/DasSchnelle/50/5000/9914/043322/G_043322_P_906297149.adn.gif</t>
  </si>
  <si>
    <t>Mayrhofer, Renate, Kopierdienste • Oberndorf bei Salzburg • Salzburg</t>
  </si>
  <si>
    <t>Kopierdienste • Mayrhofer, Renate, Matthias-Bayrhammer-Straße 18, Oberndorf bei Salzburg • Kontakt über aktuelle Telefonnummern ☎ und Adressen ⚑ mit Karte, Routing, Öffnungszeiten, Homepage, E-Mail, vCard und Firmendaten.</t>
  </si>
  <si>
    <t>Matthias-Bayrhammer-Straße 18</t>
  </si>
  <si>
    <t>47.94134</t>
  </si>
  <si>
    <t>12.94516</t>
  </si>
  <si>
    <t>+4362725353;+436644353144</t>
  </si>
  <si>
    <t>office@copyshop-oberndorf.at</t>
  </si>
  <si>
    <t>https://bilder.dasschnelle.at/DasSchnelle/50/5000/9914/043322/G_043322_P_906297303.adn.gif</t>
  </si>
  <si>
    <t>Gruber, Daniela, Friseur • Anthering • Salzburg</t>
  </si>
  <si>
    <t>Friseure • Gruber, Daniela, Dorfplatz 3, Anthering • Kontakt über aktuelle Telefonnummern ☎ und Adressen ⚑ mit Karte, Routing, Öffnungszeiten, Homepage, E-Mail, vCard und Firmendaten.</t>
  </si>
  <si>
    <t>Dorfplatz 3</t>
  </si>
  <si>
    <t>Anthering</t>
  </si>
  <si>
    <t>47.8801400</t>
  </si>
  <si>
    <t>13.0121100</t>
  </si>
  <si>
    <t>+43622320041;+436643416197</t>
  </si>
  <si>
    <t>daniela@friseur-jedermann.at</t>
  </si>
  <si>
    <t>Kammhuber GesmbH, Schlosserei • Oberndorf bei Salzburg • Salzburg</t>
  </si>
  <si>
    <t>Schlossereien • Kammhuber GesmbH, Karl-Billerhart-Straße 1, Oberndorf bei Salzburg • Kontakt über aktuelle Telefonnummern ☎ und Adressen ⚑ mit Karte, Routing, Öffnungszeiten, Homepage, E-Mail, vCard und Firmendaten.</t>
  </si>
  <si>
    <t>Karl-Billerhart-Straße 1</t>
  </si>
  <si>
    <t>47.94667</t>
  </si>
  <si>
    <t>12.93587</t>
  </si>
  <si>
    <t>+43627242670</t>
  </si>
  <si>
    <t>office@kammhuber.at</t>
  </si>
  <si>
    <t>https://bilder.dasschnelle.at/DasSchnelle/50/5000/9914/043322/G_043322_P_906297309.adn.gif</t>
  </si>
  <si>
    <t>Priewasser, Erwin, Ing., Physiotherapie • Braunau am Inn • Oberösterreich</t>
  </si>
  <si>
    <t>Physiotherapie • Priewasser, Erwin, Ing., Stadtplatz 6, Braunau am Inn • Kontakt über aktuelle Telefonnummern ☎ und Adressen ⚑ mit Karte, Routing, Öffnungszeiten, Homepage, E-Mail, vCard und Firmendaten.</t>
  </si>
  <si>
    <t>+4369916219900</t>
  </si>
  <si>
    <t>info@aktiv-therapie.net</t>
  </si>
  <si>
    <t>https://bilder.dasschnelle.at/DasSchnelle/50/5000/9872/044551/I_044551_P_906297804_L_0036263627_1.png</t>
  </si>
  <si>
    <t>https://bilder.dasschnelle.at/DasSchnelle/50/5000/9872/044551/I_044551_P_906297804_B_0036263627_1.gal.png?height=399&amp;width=600;https://bilder.dasschnelle.at/DasSchnelle/50/5000/9872/044551/I_044551_P_906297804_B_0036263627_2.gal.png?height=450&amp;width=299;https://bilder.dasschnelle.at/DasSchnelle/50/5000/9872/044551/I_044551_P_906297804_B_0036263627_3.gal.png?height=399&amp;width=600;https://bilder.dasschnelle.at/DasSchnelle/50/5000/9872/044551/I_044551_P_906297804_B_0036263627_4.gal.png?height=320&amp;width=433;https://bilder.dasschnelle.at/DasSchnelle/50/5000/9872/044551/G_044551_P_906297804.adn.gif</t>
  </si>
  <si>
    <t>Optik Bauer • Bad Aussee • Steiermark</t>
  </si>
  <si>
    <t>Optik • Optik Bauer, Hauptstrasse 49, Bad Aussee • Kontakt über aktuelle Telefonnummern ☎ und Adressen ⚑ mit Karte, Routing, Öffnungszeiten, Homepage, E-Mail, vCard und Firmendaten.</t>
  </si>
  <si>
    <t>Hauptstrasse 49</t>
  </si>
  <si>
    <t>47.6107</t>
  </si>
  <si>
    <t>13.78447</t>
  </si>
  <si>
    <t>+43362252776</t>
  </si>
  <si>
    <t>baueroptik@aon.at</t>
  </si>
  <si>
    <t>https://bilder.dasschnelle.at/DasSchnelle/50/5000/9868/044351/I_044351_P_906297805_L_0036237659_1.png</t>
  </si>
  <si>
    <t>https://bilder.dasschnelle.at/DasSchnelle/50/5000/9868/044351/I_044351_P_906297805_B_0036237659_1.gal.png?height=197&amp;width=600;https://bilder.dasschnelle.at/DasSchnelle/50/5000/9868/044351/I_044351_P_906297805_B_0036237659_2.gal.png?height=200&amp;width=600;https://bilder.dasschnelle.at/DasSchnelle/50/5000/9868/044351/I_044351_P_906297805_B_0036237659_3.gal.png?height=201&amp;width=600;https://bilder.dasschnelle.at/DasSchnelle/50/5000/9868/044351/I_044351_P_906297805_B_0036237659_4.gal.png?height=190&amp;width=600</t>
  </si>
  <si>
    <t>Physiotherapie Schmid, Physiotherapie • Braunau • Oberösterreich</t>
  </si>
  <si>
    <t>Physiotherapie • Physiotherapie Schmid, Talstraße 41, Braunau • Kontakt über aktuelle Telefonnummern ☎ und Adressen ⚑ mit Karte, Routing, Öffnungszeiten, Homepage, E-Mail, vCard und Firmendaten.</t>
  </si>
  <si>
    <t>Talstraße 41</t>
  </si>
  <si>
    <t>48.2509791</t>
  </si>
  <si>
    <t>13.0272363</t>
  </si>
  <si>
    <t>+43772264273</t>
  </si>
  <si>
    <t>info@physioschmid.at</t>
  </si>
  <si>
    <t>https://bilder.dasschnelle.at/DasSchnelle/50/5000/9872/044551/I_044551_P_906297807_L_0036738103_1.png</t>
  </si>
  <si>
    <t>https://bilder.dasschnelle.at/DasSchnelle/50/5000/9872/044551/I_044551_P_906297807_B_0036738103_1.gal.png?height=479&amp;width=720;https://bilder.dasschnelle.at/DasSchnelle/50/5000/9872/044551/I_044551_P_906297807_B_0036738103_2.gal.png?height=600&amp;width=400;https://bilder.dasschnelle.at/DasSchnelle/50/5000/9872/044551/I_044551_P_906297807_B_0036738103_3.gal.png?height=600&amp;width=400;https://bilder.dasschnelle.at/DasSchnelle/50/5000/9872/044551/I_044551_P_906297807_B_0036738103_4.gal.png?height=479&amp;width=720;https://bilder.dasschnelle.at/DasSchnelle/50/5000/9872/044551/G_044551_P_906297807.adn.gif</t>
  </si>
  <si>
    <t>Schütz &amp; Schütz OG, Entrümpelungen • Eferding • Oberösterreich</t>
  </si>
  <si>
    <t>Entrümpelungen • Schütz &amp; Schütz OG, Schaumburgerstraße 8, Eferding • Kontakt über aktuelle Telefonnummern ☎ und Adressen ⚑ mit Karte, Routing, Öffnungszeiten, Homepage, E-Mail, vCard und Firmendaten.</t>
  </si>
  <si>
    <t>Schaumburgerstraße 8</t>
  </si>
  <si>
    <t>48.30956</t>
  </si>
  <si>
    <t>14.02123</t>
  </si>
  <si>
    <t>+436645035211</t>
  </si>
  <si>
    <t>schuetz-schuetz@gmx.at</t>
  </si>
  <si>
    <t>https://bilder.dasschnelle.at/DasSchnelle/50/5000/9876/044805/I_044805_P_906297809_L_0035970387_1.png</t>
  </si>
  <si>
    <t>https://bilder.dasschnelle.at/DasSchnelle/50/5000/9876/044805/I_044805_P_906297809_B_0035970387_1.gal.png?height=476&amp;width=720;https://bilder.dasschnelle.at/DasSchnelle/50/5000/9876/044805/I_044805_P_906297809_B_0035970387_2.gal.png?height=479&amp;width=720;https://bilder.dasschnelle.at/DasSchnelle/50/5000/9876/044805/I_044805_P_906297809_B_0035970387_3.gal.png?height=479&amp;width=720;https://bilder.dasschnelle.at/DasSchnelle/50/5000/9876/044805/I_044805_P_906297809_B_0035970387_4.gal.png?height=480&amp;width=720</t>
  </si>
  <si>
    <t>Gabriele Stöckl, Bürodienstleistung • Helpfau-Uttendorf • Oberösterreich</t>
  </si>
  <si>
    <t>Büro • Gabriele Stöckl, Sonnleiten 31, Helpfau-Uttendorf • Kontakt über aktuelle Telefonnummern ☎ und Adressen ⚑ mit Karte, Routing, Öffnungszeiten, Homepage, E-Mail, vCard und Firmendaten.</t>
  </si>
  <si>
    <t>Sonnleiten 31</t>
  </si>
  <si>
    <t>Helpfau-Uttendorf</t>
  </si>
  <si>
    <t>48.1632282</t>
  </si>
  <si>
    <t>13.1655651</t>
  </si>
  <si>
    <t>+4366475087850</t>
  </si>
  <si>
    <t>office@gabriele-stoeckl.eu</t>
  </si>
  <si>
    <t>https://bilder.dasschnelle.at/DasSchnelle/50/5000/9872/044769/G_044769_P_906297810.adn.gif</t>
  </si>
  <si>
    <t>Kellner Installationstechnik GmbH • Mauerkirchen • Oberösterreich</t>
  </si>
  <si>
    <t>Installationsunternehmen • Kellner Installationstechnik GmbH, Stockleiten 17, Mauerkirchen • Kontakt über aktuelle Telefonnummern ☎ und Adressen ⚑ mit Karte, Routing, Öffnungszeiten, Homepage, E-Mail, vCard und Firmendaten.</t>
  </si>
  <si>
    <t>Stockleiten 17</t>
  </si>
  <si>
    <t>48.2005980</t>
  </si>
  <si>
    <t>13.1254511</t>
  </si>
  <si>
    <t>+4377246318;+436645402500</t>
  </si>
  <si>
    <t>office@installationstechnik-kellner.com</t>
  </si>
  <si>
    <t>https://bilder.dasschnelle.at/DasSchnelle/50/5000/9872/044552/I_044552_P_906297814_L_0036738107_1.png</t>
  </si>
  <si>
    <t>https://bilder.dasschnelle.at/DasSchnelle/50/5000/9872/044552/I_044552_P_906297814_B_0036738107_1.gal.png?height=337&amp;width=600;https://bilder.dasschnelle.at/DasSchnelle/50/5000/9872/044552/I_044552_P_906297814_B_0036738107_2.gal.png?height=400&amp;width=600;https://bilder.dasschnelle.at/DasSchnelle/50/5000/9872/044552/I_044552_P_906297814_B_0036738107_3.gal.png?height=370&amp;width=600;https://bilder.dasschnelle.at/DasSchnelle/50/5000/9872/044552/I_044552_P_906297814_B_0036738107_4.gal.png?height=370&amp;width=600</t>
  </si>
  <si>
    <t>Weber, Max, Baumschulen • Braunau am Inn • Oberösterreich</t>
  </si>
  <si>
    <t>Baumschulen • Weber, Max, Rupert Gugg-Straße 2 A, Braunau am Inn • Kontakt über aktuelle Telefonnummern ☎ und Adressen ⚑ mit Karte, Routing, Öffnungszeiten, Homepage, E-Mail, vCard und Firmendaten.</t>
  </si>
  <si>
    <t>Rupert Gugg-Straße 2 A</t>
  </si>
  <si>
    <t>48.2541237</t>
  </si>
  <si>
    <t>13.0604629</t>
  </si>
  <si>
    <t>+43772284460</t>
  </si>
  <si>
    <t>gartengestaltung_weber@aon.at</t>
  </si>
  <si>
    <t>https://bilder.dasschnelle.at/DasSchnelle/50/5000/9872/044551/G_044551_P_906297817.adn.gif</t>
  </si>
  <si>
    <t>W.T.G. Steuerberatung GmbH, Mag. Johann Hohlrieder • Steyr • Oberösterreich</t>
  </si>
  <si>
    <t>Steuerberater • W.T.G. Steuerberatung GmbH, Mag. Johann Hohlrieder, Leopold-Werndl-Straße 48 /8, Steyr • Kontakt über aktuelle Telefonnummern ☎ und Adressen ⚑ mit Karte, Routing, Öffnungszeiten, Homepage, E-Mail, vCard und Firmendaten.</t>
  </si>
  <si>
    <t>Leopold-Werndl-Straße 48 /8</t>
  </si>
  <si>
    <t>48.0291904</t>
  </si>
  <si>
    <t>14.4095548</t>
  </si>
  <si>
    <t>+43725252098</t>
  </si>
  <si>
    <t>office@wtgsteuerberatung.at</t>
  </si>
  <si>
    <t>https://bilder.dasschnelle.at/DasSchnelle/50/5000/9878/044546/G_044546_P_906297164.adn.gif</t>
  </si>
  <si>
    <t>Kieninger, Sabina, Dr., Psychotherapie • Steyr • Oberösterreich</t>
  </si>
  <si>
    <t>Psychotherapie • Kieninger, Sabina, Dr., Handel-Mazzetti-Promenade 12, Steyr • Kontakt über aktuelle Telefonnummern ☎ und Adressen ⚑ mit Karte, Routing, Öffnungszeiten, Homepage, E-Mail, vCard und Firmendaten.</t>
  </si>
  <si>
    <t>Handel-Mazzetti-Promenade 12</t>
  </si>
  <si>
    <t>48.03866</t>
  </si>
  <si>
    <t>14.4163</t>
  </si>
  <si>
    <t>+43725246740</t>
  </si>
  <si>
    <t>sabkieninger@gmx.at</t>
  </si>
  <si>
    <t>https://bilder.dasschnelle.at/DasSchnelle/50/5000/9878/044546/G_044546_P_906297166.adn.gif</t>
  </si>
  <si>
    <t>Dr. Matthias Schurich, Radiologie • Steyr • Oberösterreich</t>
  </si>
  <si>
    <t>Radiologie • Dr. Matthias Schurich, Stadtplatz 30, Steyr • Kontakt über aktuelle Telefonnummern ☎ und Adressen ⚑ mit Karte, Routing, Öffnungszeiten, Homepage, E-Mail, vCard und Firmendaten.</t>
  </si>
  <si>
    <t>Stadtplatz 30</t>
  </si>
  <si>
    <t>48.03907</t>
  </si>
  <si>
    <t>14.41877</t>
  </si>
  <si>
    <t>+43725254343</t>
  </si>
  <si>
    <t>s.schurich@radiologie-schurich.at</t>
  </si>
  <si>
    <t>https://bilder.dasschnelle.at/DasSchnelle/50/5000/9878/044546/G_044546_P_906297168.adn.gif</t>
  </si>
  <si>
    <t>Gegenhuber, Constantin, DDr.med., FA f Orthopädie u Orthopädische Chirurgie • Steyr • Oberösterreich</t>
  </si>
  <si>
    <t>Ärzte / Fachärzte f. Orthopädie u. Orthopädische Chirurgie • Gegenhuber, Constantin, DDr.med., Marienstraße 3, Steyr • Kontakt über aktuelle Telefonnummern ☎ und Adressen ⚑ mit Karte, Routing, Öffnungszeiten, Homepage, E-Mail, vCard und Firmendaten.</t>
  </si>
  <si>
    <t>Marienstraße 3</t>
  </si>
  <si>
    <t>48.03093</t>
  </si>
  <si>
    <t>14.41781</t>
  </si>
  <si>
    <t>+437252510320</t>
  </si>
  <si>
    <t>+4372525103220</t>
  </si>
  <si>
    <t>ordination@dr-gegenhuber.at</t>
  </si>
  <si>
    <t>https://bilder.dasschnelle.at/DasSchnelle/50/5000/9878/044546/G_044546_P_906297172.adn.gif</t>
  </si>
  <si>
    <t>Apotheke u Drogerie • Losenstein • Oberösterreich</t>
  </si>
  <si>
    <t>Apotheken, Kosmetik • Apotheke u Drogerie, Eisenstraße 101, Losenstein • Kontakt über aktuelle Telefonnummern ☎ und Adressen ⚑ mit Karte, Routing, Öffnungszeiten, Homepage, E-Mail, vCard und Firmendaten.</t>
  </si>
  <si>
    <t>Eisenstraße 101</t>
  </si>
  <si>
    <t>47.9209</t>
  </si>
  <si>
    <t>14.44</t>
  </si>
  <si>
    <t>+4372556219</t>
  </si>
  <si>
    <t>pharma@apotheke-losenstein.at</t>
  </si>
  <si>
    <t>https://bilder.dasschnelle.at/DasSchnelle/50/5000/9878/042814/G_042814_P_906297175.adn.gif</t>
  </si>
  <si>
    <t>Hager, Andreas, Bohr- und Sägedienst • Ostermiething • Oberösterreich</t>
  </si>
  <si>
    <t>Bohrunternehmen • Hager, Andreas, Dietrichfeld 41, Ostermiething • Kontakt über aktuelle Telefonnummern ☎ und Adressen ⚑ mit Karte, Routing, Öffnungszeiten, Homepage, E-Mail, vCard und Firmendaten.</t>
  </si>
  <si>
    <t>Dietrichfeld 41</t>
  </si>
  <si>
    <t>48.04692</t>
  </si>
  <si>
    <t>12.82554</t>
  </si>
  <si>
    <t>+4362787310;+436644561753</t>
  </si>
  <si>
    <t>hagera@aon.at</t>
  </si>
  <si>
    <t>https://bilder.dasschnelle.at/DasSchnelle/50/5000/9914/044784/G_044784_P_906297279.adn.gif</t>
  </si>
  <si>
    <t>Scharnreitner, Otto, Dr.med., Kieferheilkunde • Losenstein • Oberösterreich</t>
  </si>
  <si>
    <t>Ärzte / Fachärzte f. Zahn-, Mund u. Kieferheilkunde, Ärzte / Zahnärzte • Scharnreitner, Otto, Dr.med., Eisenstraße 73, Losenstein • Kontakt über aktuelle Telefonnummern ☎ und Adressen ⚑ mit Karte, Routing, Öffnungszeiten, Homepage, E-Mail, vCard und Firmendaten.</t>
  </si>
  <si>
    <t>Eisenstraße 73</t>
  </si>
  <si>
    <t>47.9237</t>
  </si>
  <si>
    <t>14.43551</t>
  </si>
  <si>
    <t>+4372554329</t>
  </si>
  <si>
    <t>ordination@zahnteam-losenstein.at</t>
  </si>
  <si>
    <t>https://bilder.dasschnelle.at/DasSchnelle/50/5000/9878/042814/G_042814_P_906297780.adn.gif</t>
  </si>
  <si>
    <t>Bestattung Helminger GmbH • Bürmoos • Salzburg</t>
  </si>
  <si>
    <t>Bestattungsunternehmen • Bestattung Helminger GmbH, Friedhofstraße 6, Bürmoos • Kontakt über aktuelle Telefonnummern ☎ und Adressen ⚑ mit Karte, Routing, Öffnungszeiten, Homepage, E-Mail, vCard und Firmendaten.</t>
  </si>
  <si>
    <t>Friedhofstraße 6</t>
  </si>
  <si>
    <t>5111</t>
  </si>
  <si>
    <t>Bürmoos</t>
  </si>
  <si>
    <t>47.98087</t>
  </si>
  <si>
    <t>12.92501</t>
  </si>
  <si>
    <t>+436641002811</t>
  </si>
  <si>
    <t>office@bestattung-helminger.at</t>
  </si>
  <si>
    <t>https://bilder.dasschnelle.at/DasSchnelle/50/5000/9914/043604/G_043604_P_906297120.adn.gif</t>
  </si>
  <si>
    <t>Spatzenegger, Johann, Bau- u. Möbeltischlerei • Sankt Georgen • Salzburg</t>
  </si>
  <si>
    <t>Tischlereien • Spatzenegger, Johann, Tischlerstraße 22, Sankt Georgen • Kontakt über aktuelle Telefonnummern ☎ und Adressen ⚑ mit Karte, Routing, Öffnungszeiten, Homepage, E-Mail, vCard und Firmendaten.</t>
  </si>
  <si>
    <t>Tischlerstraße 22</t>
  </si>
  <si>
    <t>47.97619</t>
  </si>
  <si>
    <t>12.88532</t>
  </si>
  <si>
    <t>+4362728105</t>
  </si>
  <si>
    <t>spatzenegger.tischlerei@aon.at</t>
  </si>
  <si>
    <t>https://bilder.dasschnelle.at/DasSchnelle/50/5000/9914/043325/G_043325_P_906297122.adn.gif</t>
  </si>
  <si>
    <t>Tierarztpraxis Großraming, Tierarzt • Großraming • Oberösterreich</t>
  </si>
  <si>
    <t>Tierärzte • Tierarztpraxis Großraming, Aschasiedlung 18, Großraming • Kontakt über aktuelle Telefonnummern ☎ und Adressen ⚑ mit Karte, Routing, Öffnungszeiten, Homepage, E-Mail, vCard und Firmendaten.</t>
  </si>
  <si>
    <t>Aschasiedlung 18</t>
  </si>
  <si>
    <t>47.88801</t>
  </si>
  <si>
    <t>14.53987</t>
  </si>
  <si>
    <t>+4372547307;+436644939398</t>
  </si>
  <si>
    <t>office@kalkalpentieraerzte.at</t>
  </si>
  <si>
    <t>https://bilder.dasschnelle.at/DasSchnelle/50/5000/9878/042812/G_042812_P_906297327.adn.gif</t>
  </si>
  <si>
    <t>Geier, Herwig, Prim.Dr., FA f Innere Medizin • Steyr • Oberösterreich</t>
  </si>
  <si>
    <t>Ärzte / Fachärzte f. Innere Medizin • Geier, Herwig, Prim.Dr., Färbergasse 5, Steyr • Kontakt über aktuelle Telefonnummern ☎ und Adressen ⚑ mit Karte, Routing, Öffnungszeiten, Homepage, E-Mail, vCard und Firmendaten.</t>
  </si>
  <si>
    <t>Färbergasse 5</t>
  </si>
  <si>
    <t>48.04013</t>
  </si>
  <si>
    <t>14.42298</t>
  </si>
  <si>
    <t>+43725244644</t>
  </si>
  <si>
    <t>ordination@ihrinternist.at</t>
  </si>
  <si>
    <t>https://bilder.dasschnelle.at/DasSchnelle/50/5000/9878/044546/G_044546_P_906297334.adn.gif</t>
  </si>
  <si>
    <t>Spieler - Herzog Dach, Flachdachbau • Eibiswald • Steiermark</t>
  </si>
  <si>
    <t>Dachdeckereien • Spieler - Herzog Dach, Hörmsdorf 94, Eibiswald • Kontakt über aktuelle Telefonnummern ☎ und Adressen ⚑ mit Karte, Routing, Öffnungszeiten, Homepage, E-Mail, vCard und Firmendaten.</t>
  </si>
  <si>
    <t>Hörmsdorf 94</t>
  </si>
  <si>
    <t>46.6947737</t>
  </si>
  <si>
    <t>15.2632603</t>
  </si>
  <si>
    <t>+436645283571</t>
  </si>
  <si>
    <t>spieler.herzog-dach@gmx.at</t>
  </si>
  <si>
    <t>https://bilder.dasschnelle.at/DasSchnelle/50/5000/9875/061447/G_061447_P_906297456.adn.gif</t>
  </si>
  <si>
    <t>Samwald Christoph, Karosseriespengler • Kirchdorf an der Krems • Oberösterreich</t>
  </si>
  <si>
    <t>Spenglereien • Samwald Christoph, Am Anger 4, Kirchdorf an der Krems • Kontakt über aktuelle Telefonnummern ☎ und Adressen ⚑ mit Karte, Routing, Öffnungszeiten, Homepage, E-Mail, vCard und Firmendaten.</t>
  </si>
  <si>
    <t>Am Anger 4</t>
  </si>
  <si>
    <t>47.89965</t>
  </si>
  <si>
    <t>14.12728</t>
  </si>
  <si>
    <t>+436602465100</t>
  </si>
  <si>
    <t>car@samwald-lack.at</t>
  </si>
  <si>
    <t>https://bilder.dasschnelle.at/DasSchnelle/50/5000/9895/046082/G_046082_P_906297460.adn.gif</t>
  </si>
  <si>
    <t>Bestattungsinstitut Sporer • Braunau am Inn • Oberösterreich</t>
  </si>
  <si>
    <t>Bestattungsunternehmen • Bestattungsinstitut Sporer, Friedhofstraße 33 a, Braunau am Inn • Kontakt über aktuelle Telefonnummern ☎ und Adressen ⚑ mit Karte, Routing, Öffnungszeiten, Homepage, E-Mail, vCard und Firmendaten.</t>
  </si>
  <si>
    <t>Friedhofstraße 33 a</t>
  </si>
  <si>
    <t>48.2509559</t>
  </si>
  <si>
    <t>13.0316807</t>
  </si>
  <si>
    <t>+43772265465;+436766390029</t>
  </si>
  <si>
    <t>bestattung.sporer@gmx.at</t>
  </si>
  <si>
    <t>https://bilder.dasschnelle.at/DasSchnelle/50/5000/9872/044551/I_044551_P_906297890_L_0035969851_1.png</t>
  </si>
  <si>
    <t>https://bilder.dasschnelle.at/DasSchnelle/50/5000/9872/044551/G_044551_P_906297890.adn.gif</t>
  </si>
  <si>
    <t>BACK GmbH, Dachdeckerei-Spenglerei • Altheim • Oberösterreich</t>
  </si>
  <si>
    <t>Dachdeckereien • BACK GmbH, Finkenzellergasse 6, Altheim • Kontakt über aktuelle Telefonnummern ☎ und Adressen ⚑ mit Karte, Routing, Öffnungszeiten, Homepage, E-Mail, vCard und Firmendaten.</t>
  </si>
  <si>
    <t>Finkenzellergasse 6</t>
  </si>
  <si>
    <t>48.24784</t>
  </si>
  <si>
    <t>13.235</t>
  </si>
  <si>
    <t>+437723426120</t>
  </si>
  <si>
    <t>back@aon.at</t>
  </si>
  <si>
    <t>https://bilder.dasschnelle.at/DasSchnelle/50/5000/9872/044548/I_044548_P_906297893_L_0036233227_1.png</t>
  </si>
  <si>
    <t>https://bilder.dasschnelle.at/DasSchnelle/50/5000/9872/044548/I_044548_P_906297893_B_0036233227_1.gal.png?height=300&amp;width=435;https://bilder.dasschnelle.at/DasSchnelle/50/5000/9872/044548/I_044548_P_906297893_B_0036233227_2.gal.png?height=300&amp;width=435;https://bilder.dasschnelle.at/DasSchnelle/50/5000/9872/044548/I_044548_P_906297893_B_0036233227_3.gal.png?height=300&amp;width=435;https://bilder.dasschnelle.at/DasSchnelle/50/5000/9872/044548/I_044548_P_906297893_B_0036233227_4.gal.png?height=300&amp;width=435</t>
  </si>
  <si>
    <t>Hüttl, Herwig, Uhren • Traiskirchen • Niederösterreich</t>
  </si>
  <si>
    <t>Uhren u. Schmuck • Hüttl, Herwig, Wiesergasse 6, Traiskirchen • Kontakt über aktuelle Telefonnummern ☎ und Adressen ⚑ mit Karte, Routing, Öffnungszeiten, Homepage, E-Mail, vCard und Firmendaten.</t>
  </si>
  <si>
    <t>Wiesergasse 6</t>
  </si>
  <si>
    <t>48.01496</t>
  </si>
  <si>
    <t>16.29169</t>
  </si>
  <si>
    <t>+43225252203</t>
  </si>
  <si>
    <t>office@juwelier-huettl.at</t>
  </si>
  <si>
    <t>https://bilder.dasschnelle.at/DasSchnelle/50/5000/9870/041362/G_041362_P_906297895.adn.gif</t>
  </si>
  <si>
    <t>Metalltechnik Ramberger GesmbH, Metallbau • Traiskirchen • Niederösterreich</t>
  </si>
  <si>
    <t>Metallbau • Metalltechnik Ramberger GesmbH, Römerstraße 2 B, Traiskirchen • Kontakt über aktuelle Telefonnummern ☎ und Adressen ⚑ mit Karte, Routing, Öffnungszeiten, Homepage, E-Mail, vCard und Firmendaten.</t>
  </si>
  <si>
    <t>Römerstraße 2 B</t>
  </si>
  <si>
    <t>48.0287496</t>
  </si>
  <si>
    <t>16.2878129</t>
  </si>
  <si>
    <t>+43225223255</t>
  </si>
  <si>
    <t>ramberger@metalltechnik-baden.at</t>
  </si>
  <si>
    <t>https://bilder.dasschnelle.at/DasSchnelle/50/5000/9870/041362/G_041362_P_906297897.adn.gif</t>
  </si>
  <si>
    <t>Kubicek Autolackier GmbH • Pfaffstätten • Niederösterreich</t>
  </si>
  <si>
    <t>Autolackierereien • Kubicek Autolackier GmbH, Badener Straße 5, Pfaffstätten • Kontakt über aktuelle Telefonnummern ☎ und Adressen ⚑ mit Karte, Routing, Öffnungszeiten, Homepage, E-Mail, vCard und Firmendaten.</t>
  </si>
  <si>
    <t>Badener Straße 5</t>
  </si>
  <si>
    <t>48.01455</t>
  </si>
  <si>
    <t>16.25842</t>
  </si>
  <si>
    <t>+43225288355</t>
  </si>
  <si>
    <t>kubicek5@utanet.at</t>
  </si>
  <si>
    <t>https://bilder.dasschnelle.at/DasSchnelle/50/5000/9870/041353/I_041353_P_906297899_B_0036262401_1.gal.png?height=540&amp;width=720;https://bilder.dasschnelle.at/DasSchnelle/50/5000/9870/041353/I_041353_P_906297899_B_0036262401_2.gal.png?height=960&amp;width=720;https://bilder.dasschnelle.at/DasSchnelle/50/5000/9870/041353/I_041353_P_906297899_B_0036262401_3.gal.png?height=720&amp;width=540;https://bilder.dasschnelle.at/DasSchnelle/50/5000/9870/041353/I_041353_P_906297899_B_0036262401_4.gal.png?height=720&amp;width=540</t>
  </si>
  <si>
    <t>Mag. Dr. Mairitsch, Psychologin • Völkermarkt • Kärnten</t>
  </si>
  <si>
    <t>Psychotherapie • Mag. Dr. Mairitsch, Klagenfurter Str. 9a, Völkermarkt • Kontakt über aktuelle Telefonnummern ☎ und Adressen ⚑ mit Karte, Routing, Öffnungszeiten, Homepage, E-Mail, vCard und Firmendaten.</t>
  </si>
  <si>
    <t>Klagenfurter Str. 9a</t>
  </si>
  <si>
    <t>46.6599100</t>
  </si>
  <si>
    <t>14.6278800</t>
  </si>
  <si>
    <t>+436643946866</t>
  </si>
  <si>
    <t>e-mairitsch@mail.com</t>
  </si>
  <si>
    <t>Elektro GF GmbH • Oberwart • Burgenland</t>
  </si>
  <si>
    <t>Elektroinstallationsunternehmen • Elektro GF GmbH, Bahnhofstraße 15, Oberwart • Kontakt über aktuelle Telefonnummern ☎ und Adressen ⚑ mit Karte, Routing, Öffnungszeiten, Homepage, E-Mail, vCard und Firmendaten.</t>
  </si>
  <si>
    <t>47.2902900</t>
  </si>
  <si>
    <t>16.2121500</t>
  </si>
  <si>
    <t>+43335234750</t>
  </si>
  <si>
    <t>office@elektrogf.at</t>
  </si>
  <si>
    <t>https://bilder.dasschnelle.at/DasSchnelle/50/5000/9951/041373/I_041373_P_906297910_L_0039943985_1.png</t>
  </si>
  <si>
    <t>https://bilder.dasschnelle.at/DasSchnelle/50/5000/9951/041373/I_041373_P_906297910_B_0039943985_1.gal.png?height=450&amp;width=720;https://bilder.dasschnelle.at/DasSchnelle/50/5000/9951/041373/I_041373_P_906297910_B_0039943985_2.gal.png?height=458&amp;width=720;https://bilder.dasschnelle.at/DasSchnelle/50/5000/9951/041373/I_041373_P_906297910_B_0039943985_3.gal.png?height=539&amp;width=720;https://bilder.dasschnelle.at/DasSchnelle/50/5000/9951/041373/I_041373_P_906297910_B_0039943985_4.gal.png?height=539&amp;width=720;https://bilder.dasschnelle.at/DasSchnelle/50/5000/9951/041373/G_041373_P_906297910.adn.gif</t>
  </si>
  <si>
    <t>Praxis - Steinbock, Fußpflege und Kosmetik • Ternitz • Niederösterreich</t>
  </si>
  <si>
    <t>Fußpflege u. Kosmetik • Praxis - Steinbock, Th.Körner-Platz 6/1 /2, Ternitz • Kontakt über aktuelle Telefonnummern ☎ und Adressen ⚑ mit Karte, Routing, Öffnungszeiten, Homepage, E-Mail, vCard und Firmendaten.</t>
  </si>
  <si>
    <t>Th.Körner-Platz 6/1 /2</t>
  </si>
  <si>
    <t>+436766611900</t>
  </si>
  <si>
    <t>sist-cosmetics@gmail.com</t>
  </si>
  <si>
    <t>https://bilder.dasschnelle.at/DasSchnelle/50/5000/9913/041861/G_041861_P_906297534.adn.gif</t>
  </si>
  <si>
    <t>Burger, John, Kommunikationselektronik • Traiskirchen • Niederösterreich</t>
  </si>
  <si>
    <t>Kommunikationselektronik • Burger, John, Josef Ferschner-Straße 19, Traiskirchen • Kontakt über aktuelle Telefonnummern ☎ und Adressen ⚑ mit Karte, Routing, Öffnungszeiten, Homepage, E-Mail, vCard und Firmendaten.</t>
  </si>
  <si>
    <t>Josef Ferschner-Straße 19</t>
  </si>
  <si>
    <t>48.01736</t>
  </si>
  <si>
    <t>16.29201</t>
  </si>
  <si>
    <t>+432252508008</t>
  </si>
  <si>
    <t>office@burger-service.at</t>
  </si>
  <si>
    <t>https://bilder.dasschnelle.at/DasSchnelle/50/5000/9870/041362/I_041362_P_906297359_B_0036891828_1.gal.png?height=720&amp;width=426;https://bilder.dasschnelle.at/DasSchnelle/50/5000/9870/041362/I_041362_P_906297359_B_0036891828_2.gal.png?height=720&amp;width=462;https://bilder.dasschnelle.at/DasSchnelle/50/5000/9870/041362/I_041362_P_906297359_B_0036891828_3.gal.png?height=234&amp;width=720;https://bilder.dasschnelle.at/DasSchnelle/50/5000/9870/041362/G_041362_P_906297359.adn.gif</t>
  </si>
  <si>
    <t>Wachter, Iris, Kosmetik • Baden • Niederösterreich</t>
  </si>
  <si>
    <t>Fußpflege, Kosmetik, Massagen • Wachter, Iris, Peterhofgasse 3, Baden • Kontakt über aktuelle Telefonnummern ☎ und Adressen ⚑ mit Karte, Routing, Öffnungszeiten, Homepage, E-Mail, vCard und Firmendaten.</t>
  </si>
  <si>
    <t>Peterhofgasse 3</t>
  </si>
  <si>
    <t>48.04985</t>
  </si>
  <si>
    <t>16.5117</t>
  </si>
  <si>
    <t>+43225248340</t>
  </si>
  <si>
    <t>iriswachterrilk@gmail.com</t>
  </si>
  <si>
    <t>https://bilder.dasschnelle.at/DasSchnelle/50/5000/9870/041339/G_041339_P_906297363.adn.gif</t>
  </si>
  <si>
    <t>Purr, Kuno, Gasthof • Frauental an der Laßnitz • Steiermark</t>
  </si>
  <si>
    <t>Cafés, Gastgewerbe - Gasthöfe • Purr, Kuno, Grazer Straße 250, Frauental an der Laßnitz • Kontakt über aktuelle Telefonnummern ☎ und Adressen ⚑ mit Karte, Routing, Öffnungszeiten, Homepage, E-Mail, vCard und Firmendaten.</t>
  </si>
  <si>
    <t>Grazer Straße 250</t>
  </si>
  <si>
    <t>46.82515</t>
  </si>
  <si>
    <t>15.25543</t>
  </si>
  <si>
    <t>+4334622939</t>
  </si>
  <si>
    <t>info@frauentalerhof.at</t>
  </si>
  <si>
    <t>https://bilder.dasschnelle.at/DasSchnelle/50/5000/9875/045296/G_045296_P_906297365.adn.gif</t>
  </si>
  <si>
    <t>STIGLER GmbH, Bestattung • Steyr • Oberösterreich</t>
  </si>
  <si>
    <t>Bestattungsunternehmen • STIGLER GmbH, Enge Gasse 9, Steyr • Kontakt über aktuelle Telefonnummern ☎ und Adressen ⚑ mit Karte, Routing, Öffnungszeiten, Homepage, E-Mail, vCard und Firmendaten.</t>
  </si>
  <si>
    <t>Enge Gasse 9</t>
  </si>
  <si>
    <t>48.04159</t>
  </si>
  <si>
    <t>14.42091</t>
  </si>
  <si>
    <t>+437252521280</t>
  </si>
  <si>
    <t>bestattung@stigler.at</t>
  </si>
  <si>
    <t>https://bilder.dasschnelle.at/DasSchnelle/50/5000/9878/044546/G_044546_P_906297367.adn.gif</t>
  </si>
  <si>
    <t>Inh. Mast, Waffen- und Bogensport • Pölfing Brunn • Steiermark</t>
  </si>
  <si>
    <t>Waffen u. Munition • Inh. Mast, Hauptstraße 42, Pölfing Brunn • Kontakt über aktuelle Telefonnummern ☎ und Adressen ⚑ mit Karte, Routing, Öffnungszeiten, Homepage, E-Mail, vCard und Firmendaten.</t>
  </si>
  <si>
    <t>Pölfing Brunn</t>
  </si>
  <si>
    <t>46.72696</t>
  </si>
  <si>
    <t>15.28777</t>
  </si>
  <si>
    <t>+436644435648</t>
  </si>
  <si>
    <t>office@waffenundbogenstubn.at</t>
  </si>
  <si>
    <t>https://bilder.dasschnelle.at/DasSchnelle/50/5000/9875/045313/G_045313_P_906298291.adn.gif</t>
  </si>
  <si>
    <t>Hochleitner Rechtsanwälte GmbH • Eferding • Oberösterreich</t>
  </si>
  <si>
    <t>Rechtsanwälte • Hochleitner Rechtsanwälte GmbH, Kirchenplatz 8, Eferding • Kontakt über aktuelle Telefonnummern ☎ und Adressen ⚑ mit Karte, Routing, Öffnungszeiten, Homepage, E-Mail, vCard und Firmendaten.</t>
  </si>
  <si>
    <t>Kirchenplatz 8</t>
  </si>
  <si>
    <t>48.3112800</t>
  </si>
  <si>
    <t>14.0219700</t>
  </si>
  <si>
    <t>+4372722255</t>
  </si>
  <si>
    <t>office@iura.at</t>
  </si>
  <si>
    <t>https://bilder.dasschnelle.at/DasSchnelle/50/5000/9876/044805/G_044805_P_906298840.adn.gif</t>
  </si>
  <si>
    <t>Dr. Gerhard Racz, FA f. Innere Med. • Oberwart • Burgenland</t>
  </si>
  <si>
    <t>Ärzte / Fachärzte f. Innere Medizin • Dr. Gerhard Racz, Röntgengasse 28/5, Oberwart • Kontakt über aktuelle Telefonnummern ☎ und Adressen ⚑ mit Karte, Routing, Öffnungszeiten, Homepage, E-Mail, vCard und Firmendaten.</t>
  </si>
  <si>
    <t>Röntgengasse 28/5</t>
  </si>
  <si>
    <t>+43335231573</t>
  </si>
  <si>
    <t>https://bilder.dasschnelle.at/DasSchnelle/50/5000/9951/041373/G_041373_P_906298843.adn.gif</t>
  </si>
  <si>
    <t>Autohaus Forster • Braunau am Inn • Oberösterreich</t>
  </si>
  <si>
    <t>Autohandel • Autohaus Forster, Untere Hofmark 4, Braunau am Inn • Kontakt über aktuelle Telefonnummern ☎ und Adressen ⚑ mit Karte, Routing, Öffnungszeiten, Homepage, E-Mail, vCard und Firmendaten.</t>
  </si>
  <si>
    <t>Untere Hofmark 4</t>
  </si>
  <si>
    <t>5282</t>
  </si>
  <si>
    <t>48.23375</t>
  </si>
  <si>
    <t>13.01576</t>
  </si>
  <si>
    <t>+43772263404</t>
  </si>
  <si>
    <t>office@autohaus-forster.at</t>
  </si>
  <si>
    <t>https://bilder.dasschnelle.at/DasSchnelle/50/5000/9872/044551/G_044551_P_906298845.adn.gif</t>
  </si>
  <si>
    <t>Esterbauer, Franz, Solar-Haustechnik • Scheuhub • Oberösterreich</t>
  </si>
  <si>
    <t>Haustechnik, Solartechnik • Esterbauer, Franz, Scheuhub 4 A, Scheuhub • Kontakt über aktuelle Telefonnummern ☎ und Adressen ⚑ mit Karte, Routing, Öffnungszeiten, Homepage, E-Mail, vCard und Firmendaten.</t>
  </si>
  <si>
    <t>Scheuhub 4 A</t>
  </si>
  <si>
    <t>Scheuhub</t>
  </si>
  <si>
    <t>48.2279924</t>
  </si>
  <si>
    <t>12.9998984</t>
  </si>
  <si>
    <t>+43772262024</t>
  </si>
  <si>
    <t>info@haustechnik-esterbauer.at</t>
  </si>
  <si>
    <t>https://bilder.dasschnelle.at/DasSchnelle/50/5000/9872/044551/G_044551_P_906298954.adn.gif</t>
  </si>
  <si>
    <t>Forthuber Matthias e.U., Autohäuser • Uttendorf • Oberösterreich</t>
  </si>
  <si>
    <t>Autohäuser, Autoreparaturen • Forthuber Matthias e.U., Steinbruch 17, Uttendorf • Kontakt über aktuelle Telefonnummern ☎ und Adressen ⚑ mit Karte, Routing, Öffnungszeiten, Homepage, E-Mail, vCard und Firmendaten.</t>
  </si>
  <si>
    <t>Steinbruch 17</t>
  </si>
  <si>
    <t>48.1586538</t>
  </si>
  <si>
    <t>13.1175776</t>
  </si>
  <si>
    <t>+4377242467</t>
  </si>
  <si>
    <t>autohaus@auto-forthuber.at</t>
  </si>
  <si>
    <t>https://bilder.dasschnelle.at/DasSchnelle/50/5000/9872/044769/G_044769_P_906298846.adn.gif</t>
  </si>
  <si>
    <t>E-Technik Pabinger GmbH, Elektrotechnik • Oberndorf bei Salzburg • Salzburg</t>
  </si>
  <si>
    <t>Elektrotechnik • E-Technik Pabinger GmbH, Gaisbergstraße 19, Oberndorf bei Salzburg • Kontakt über aktuelle Telefonnummern ☎ und Adressen ⚑ mit Karte, Routing, Öffnungszeiten, Homepage, E-Mail, vCard und Firmendaten.</t>
  </si>
  <si>
    <t>Gaisbergstraße 19</t>
  </si>
  <si>
    <t>47.93872</t>
  </si>
  <si>
    <t>12.94372</t>
  </si>
  <si>
    <t>+4362724344</t>
  </si>
  <si>
    <t>office@etechnik.at</t>
  </si>
  <si>
    <t>https://bilder.dasschnelle.at/DasSchnelle/50/5000/9914/043322/G_043322_P_906298848.adn.gif</t>
  </si>
  <si>
    <t>Friseurstudio Stefanie Hainke • Bürmoos • Salzburg</t>
  </si>
  <si>
    <t>Friseure • Friseurstudio Stefanie Hainke, Ignaz Glaser Straße 42, Bürmoos • Kontakt über aktuelle Telefonnummern ☎ und Adressen ⚑ mit Karte, Routing, Öffnungszeiten, Homepage, E-Mail, vCard und Firmendaten.</t>
  </si>
  <si>
    <t>Ignaz Glaser Straße 42</t>
  </si>
  <si>
    <t>47.98267</t>
  </si>
  <si>
    <t>12.92232</t>
  </si>
  <si>
    <t>+43627420867</t>
  </si>
  <si>
    <t>hainkestefanie@gmail.com</t>
  </si>
  <si>
    <t>https://bilder.dasschnelle.at/DasSchnelle/50/5000/9914/043604/G_043604_P_906298850.adn.gif</t>
  </si>
  <si>
    <t>Eder, Martin, Gartengeräte • Lamprechtshausen • Salzburg</t>
  </si>
  <si>
    <t>Gartengeräte • Eder, Martin, Hauptstraße 1, Lamprechtshausen • Kontakt über aktuelle Telefonnummern ☎ und Adressen ⚑ mit Karte, Routing, Öffnungszeiten, Homepage, E-Mail, vCard und Firmendaten.</t>
  </si>
  <si>
    <t>Hauptstraße 1</t>
  </si>
  <si>
    <t>+43627420690</t>
  </si>
  <si>
    <t>martin.eder@sbg.at</t>
  </si>
  <si>
    <t>https://bilder.dasschnelle.at/DasSchnelle/50/5000/9914/043318/G_043318_P_906298852.adn.gif</t>
  </si>
  <si>
    <t>Baumarkt Maier GmbH, Baumarkt • Sankt Georgen bei Salzburg • Salzburg</t>
  </si>
  <si>
    <t>Baumärkte, Landesprodukte • Baumarkt Maier GmbH, Wetterkreuzstraße 27, Sankt Georgen bei Salzburg • Kontakt über aktuelle Telefonnummern ☎ und Adressen ⚑ mit Karte, Routing, Öffnungszeiten, Homepage, E-Mail, vCard und Firmendaten.</t>
  </si>
  <si>
    <t>Wetterkreuzstraße 27</t>
  </si>
  <si>
    <t>47.97616</t>
  </si>
  <si>
    <t>12.88356</t>
  </si>
  <si>
    <t>+436272815310</t>
  </si>
  <si>
    <t>office@baumarkt-maier.at</t>
  </si>
  <si>
    <t>https://bilder.dasschnelle.at/DasSchnelle/50/5000/9914/043325/G_043325_P_906298856.adn.gif</t>
  </si>
  <si>
    <t>Raumausstattung Hametner GmbH, Raumausstattung • Steyr • Oberösterreich</t>
  </si>
  <si>
    <t>Raumausstatter • Raumausstattung Hametner GmbH, Seitenstettner Straße 13, Steyr • Kontakt über aktuelle Telefonnummern ☎ und Adressen ⚑ mit Karte, Routing, Öffnungszeiten, Homepage, E-Mail, vCard und Firmendaten.</t>
  </si>
  <si>
    <t>Seitenstettner Straße 13</t>
  </si>
  <si>
    <t>14.44747</t>
  </si>
  <si>
    <t>+43725280108;+436767237608</t>
  </si>
  <si>
    <t>office@raumausstattung-hametner.at</t>
  </si>
  <si>
    <t>https://bilder.dasschnelle.at/DasSchnelle/50/5000/9878/044546/G_044546_P_906298860.adn.gif</t>
  </si>
  <si>
    <t>Taxi Huemer • Steyr • Oberösterreich</t>
  </si>
  <si>
    <t>Taxi • Taxi Huemer, Leopoldgasse 16, Steyr • Kontakt über aktuelle Telefonnummern ☎ und Adressen ⚑ mit Karte, Routing, Öffnungszeiten, Homepage, E-Mail, vCard und Firmendaten.</t>
  </si>
  <si>
    <t>Leopoldgasse 16</t>
  </si>
  <si>
    <t>48.04093</t>
  </si>
  <si>
    <t>14.40662</t>
  </si>
  <si>
    <t>+43725250050</t>
  </si>
  <si>
    <t>jasminkaiser001@gmail.com</t>
  </si>
  <si>
    <t>https://bilder.dasschnelle.at/DasSchnelle/50/5000/9878/044546/G_044546_P_906298863.adn.gif</t>
  </si>
  <si>
    <t>Stöllnberger GmbH, Tischlereien • Losenstein • Oberösterreich</t>
  </si>
  <si>
    <t>Raumausstatter, Tischlereien • Stöllnberger GmbH, Industriegebiet 2, Losenstein • Kontakt über aktuelle Telefonnummern ☎ und Adressen ⚑ mit Karte, Routing, Öffnungszeiten, Homepage, E-Mail, vCard und Firmendaten.</t>
  </si>
  <si>
    <t>Industriegebiet 2</t>
  </si>
  <si>
    <t>47.93029</t>
  </si>
  <si>
    <t>14.40486</t>
  </si>
  <si>
    <t>+4372554445</t>
  </si>
  <si>
    <t>+437255444535</t>
  </si>
  <si>
    <t>tischlerei@stoellnberger.com</t>
  </si>
  <si>
    <t>https://bilder.dasschnelle.at/DasSchnelle/50/5000/9878/042814/G_042814_P_906298867.adn.gif</t>
  </si>
  <si>
    <t>Haustechnik Pusch GmbH, Sanitär • Haibach ob der Donau • Oberösterreich</t>
  </si>
  <si>
    <t>Heizungen, Installationsunternehmen • Haustechnik Pusch GmbH, Moos 6, Haibach ob der Donau • Kontakt über aktuelle Telefonnummern ☎ und Adressen ⚑ mit Karte, Routing, Öffnungszeiten, Homepage, E-Mail, vCard und Firmendaten.</t>
  </si>
  <si>
    <t>Moos 6</t>
  </si>
  <si>
    <t>48.4058008</t>
  </si>
  <si>
    <t>13.8977435</t>
  </si>
  <si>
    <t>+436642044195</t>
  </si>
  <si>
    <t>office@haustechnik-pusch.at</t>
  </si>
  <si>
    <t>https://bilder.dasschnelle.at/DasSchnelle/50/5000/9876/044807/I_044807_P_906298870_L_0036256181_1.png</t>
  </si>
  <si>
    <t>Rausch, Christian, Gas-Wasser-Heizung • Michaelbeuern • Salzburg</t>
  </si>
  <si>
    <t>Gasinstallationen • Rausch, Christian, Michaelbeuern 60, Michaelbeuern • Kontakt über aktuelle Telefonnummern ☎ und Adressen ⚑ mit Karte, Routing, Öffnungszeiten, Homepage, E-Mail, vCard und Firmendaten.</t>
  </si>
  <si>
    <t>Michaelbeuern 60</t>
  </si>
  <si>
    <t>5152</t>
  </si>
  <si>
    <t>Michaelbeuern</t>
  </si>
  <si>
    <t>48.0195453</t>
  </si>
  <si>
    <t>13.0257257</t>
  </si>
  <si>
    <t>+43664746512</t>
  </si>
  <si>
    <t>rausch.gmbh@​aon.at</t>
  </si>
  <si>
    <t>https://bilder.dasschnelle.at/DasSchnelle/50/5000/9914/043605/G_043605_P_906299246.adn.gif</t>
  </si>
  <si>
    <t>Riedl Gase GmbH, Flüssiggas • Ternberg • Oberösterreich</t>
  </si>
  <si>
    <t>Autoersatzteile u. -zubehör • Riedl Gase GmbH, Redlgutstraße 20, Ternberg • Kontakt über aktuelle Telefonnummern ☎ und Adressen ⚑ mit Karte, Routing, Öffnungszeiten, Homepage, E-Mail, vCard und Firmendaten.</t>
  </si>
  <si>
    <t>Redlgutstraße 20</t>
  </si>
  <si>
    <t>47.94577</t>
  </si>
  <si>
    <t>14.32966</t>
  </si>
  <si>
    <t>+4372568037;+436641413314;+436642409436;+436645358303;+4369919803713;+4369919803714</t>
  </si>
  <si>
    <t>office@riedl-gas.at</t>
  </si>
  <si>
    <t>https://bilder.dasschnelle.at/DasSchnelle/50/5000/9878/042822/I_042822_P_906299353_L_0035970765_1.png</t>
  </si>
  <si>
    <t>https://bilder.dasschnelle.at/DasSchnelle/50/5000/9878/042822/I_042822_P_906299353_B_0035970765_1.gal.png?height=223&amp;width=720</t>
  </si>
  <si>
    <t>Fuchs Rohrtechnik und -service GmbH • Laussa • Oberösterreich</t>
  </si>
  <si>
    <t>Rohrsanierungen • Fuchs Rohrtechnik und -service GmbH, Brunngraben 10, Laussa • Kontakt über aktuelle Telefonnummern ☎ und Adressen ⚑ mit Karte, Routing, Öffnungszeiten, Homepage, E-Mail, vCard und Firmendaten.</t>
  </si>
  <si>
    <t>Brunngraben 10</t>
  </si>
  <si>
    <t>47.95187</t>
  </si>
  <si>
    <t>14.41941</t>
  </si>
  <si>
    <t>+436645357379</t>
  </si>
  <si>
    <t>office@rohrtechnik-fuchs.at</t>
  </si>
  <si>
    <t>https://bilder.dasschnelle.at/DasSchnelle/50/5000/9878/042813/G_042813_P_906299360.adn.gif</t>
  </si>
  <si>
    <t>Kerbl GmbH, Elektro • Reichraming • Oberösterreich</t>
  </si>
  <si>
    <t>Elektrowaren • Kerbl GmbH, Messingstraße 1, Reichraming • Kontakt über aktuelle Telefonnummern ☎ und Adressen ⚑ mit Karte, Routing, Öffnungszeiten, Homepage, E-Mail, vCard und Firmendaten.</t>
  </si>
  <si>
    <t>Messingstraße 1</t>
  </si>
  <si>
    <t>47.89022</t>
  </si>
  <si>
    <t>14.46034</t>
  </si>
  <si>
    <t>+4372556633;+436604223366</t>
  </si>
  <si>
    <t>technik@elektrokerbl.at</t>
  </si>
  <si>
    <t>https://bilder.dasschnelle.at/DasSchnelle/50/5000/9878/042817/G_042817_P_906299364.adn.gif</t>
  </si>
  <si>
    <t>Merzinger, Walter, Metzgerei • Sankt Georgen bei Salzburg • Salzburg</t>
  </si>
  <si>
    <t>Fleischhauereien, Gastgewerbe - Gasthöfe • Merzinger, Walter, Wetterkreuzstraße 34 -38, Sankt Georgen bei Salzburg • Kontakt über aktuelle Telefonnummern ☎ und Adressen ⚑ mit Karte, Routing, Öffnungszeiten, Homepage, E-Mail, vCard und Firmendaten.</t>
  </si>
  <si>
    <t>Wetterkreuzstraße 34 -38</t>
  </si>
  <si>
    <t>47.97652</t>
  </si>
  <si>
    <t>12.88338</t>
  </si>
  <si>
    <t>+4362728283</t>
  </si>
  <si>
    <t>office@landmetzgerei-merzinger.at</t>
  </si>
  <si>
    <t>https://bilder.dasschnelle.at/DasSchnelle/50/5000/9914/043325/G_043325_P_906301252.adn.gif</t>
  </si>
  <si>
    <t>Fugger, Andrea, Mag., Steuerberaterin • Baden • Niederösterreich</t>
  </si>
  <si>
    <t>Steuerberater • Fugger, Andrea, Mag., Hofackergasse 4, Baden • Kontakt über aktuelle Telefonnummern ☎ und Adressen ⚑ mit Karte, Routing, Öffnungszeiten, Homepage, E-Mail, vCard und Firmendaten.</t>
  </si>
  <si>
    <t>Hofackergasse 4</t>
  </si>
  <si>
    <t>48.0049</t>
  </si>
  <si>
    <t>16.25673</t>
  </si>
  <si>
    <t>+4369912808167</t>
  </si>
  <si>
    <t>kanzlei@afugger.at</t>
  </si>
  <si>
    <t>https://bilder.dasschnelle.at/DasSchnelle/50/5000/9870/041339/G_041339_P_906301254.adn.gif</t>
  </si>
  <si>
    <t>Wiesenberger, Helmut, Glaserei • Gmunden • Oberösterreich</t>
  </si>
  <si>
    <t>Glas u. Service, Glasbe- u. -verarbeitung • Wiesenberger, Helmut, Bräuhausstrasse 21, Gmunden • Kontakt über aktuelle Telefonnummern ☎ und Adressen ⚑ mit Karte, Routing, Öffnungszeiten, Homepage, E-Mail, vCard und Firmendaten.</t>
  </si>
  <si>
    <t>Bräuhausstrasse 21</t>
  </si>
  <si>
    <t>47.9284200</t>
  </si>
  <si>
    <t>13.7975600</t>
  </si>
  <si>
    <t>+43761265637</t>
  </si>
  <si>
    <t>office@traunsee-glas.at</t>
  </si>
  <si>
    <t>https://bilder.dasschnelle.at/DasSchnelle/50/5000/9886/041792/G_041792_P_906302105.adn.gif</t>
  </si>
  <si>
    <t>Mein Friseur • Gmunden • Oberösterreich</t>
  </si>
  <si>
    <t>Friseure • Mein Friseur, Bahnhofstraße 46, Gmunden • Kontakt über aktuelle Telefonnummern ☎ und Adressen ⚑ mit Karte, Routing, Öffnungszeiten, Homepage, E-Mail, vCard und Firmendaten.</t>
  </si>
  <si>
    <t>Bahnhofstraße 46</t>
  </si>
  <si>
    <t>47.9251000</t>
  </si>
  <si>
    <t>13.7875900</t>
  </si>
  <si>
    <t>+43761271281</t>
  </si>
  <si>
    <t>sandrapesendorfer@hotmail.com</t>
  </si>
  <si>
    <t>https://bilder.dasschnelle.at/DasSchnelle/50/5000/9886/041792/G_041792_P_906302107.adn.gif</t>
  </si>
  <si>
    <t>Leitner, Manfred, Bestattung • Laakirchen • Oberösterreich</t>
  </si>
  <si>
    <t>Bestattungsunternehmen • Leitner, Manfred, Dr. Wimberger-Straße 13, Laakirchen • Kontakt über aktuelle Telefonnummern ☎ und Adressen ⚑ mit Karte, Routing, Öffnungszeiten, Homepage, E-Mail, vCard und Firmendaten.</t>
  </si>
  <si>
    <t>Dr. Wimberger-Straße 13</t>
  </si>
  <si>
    <t>47.97962</t>
  </si>
  <si>
    <t>13.82888</t>
  </si>
  <si>
    <t>+4376133393;+436644720955</t>
  </si>
  <si>
    <t>info@bestattung-leitner.at</t>
  </si>
  <si>
    <t>https://bilder.dasschnelle.at/DasSchnelle/50/5000/9886/041798/G_041798_P_906302111.adn.gif</t>
  </si>
  <si>
    <t>TUI AUSTRIA Holding GmbH, Reisebüros • Gmunden • Oberösterreich</t>
  </si>
  <si>
    <t>Reisebüros • TUI AUSTRIA Holding GmbH, Am Graben 4, Gmunden • Kontakt über aktuelle Telefonnummern ☎ und Adressen ⚑ mit Karte, Routing, Öffnungszeiten, Homepage, E-Mail, vCard und Firmendaten.</t>
  </si>
  <si>
    <t>Am Graben 4</t>
  </si>
  <si>
    <t>47.9187</t>
  </si>
  <si>
    <t>13.79835</t>
  </si>
  <si>
    <t>+43761275120</t>
  </si>
  <si>
    <t>gmunden@tui.co.at</t>
  </si>
  <si>
    <t>https://bilder.dasschnelle.at/DasSchnelle/50/5000/9886/041792/G_041792_P_906302114.adn.gif</t>
  </si>
  <si>
    <t>Autohaus Pichelsberger GmbH • Gmunden • Oberösterreich</t>
  </si>
  <si>
    <t>Autohandel • Autohaus Pichelsberger GmbH, Koaserbauer-Straße 1, Gmunden • Kontakt über aktuelle Telefonnummern ☎ und Adressen ⚑ mit Karte, Routing, Öffnungszeiten, Homepage, E-Mail, vCard und Firmendaten.</t>
  </si>
  <si>
    <t>Koaserbauer-Straße 1</t>
  </si>
  <si>
    <t>47.92602</t>
  </si>
  <si>
    <t>13.81505</t>
  </si>
  <si>
    <t>+43761265467</t>
  </si>
  <si>
    <t>gmunden@pichelsberger.at</t>
  </si>
  <si>
    <t>https://bilder.dasschnelle.at/DasSchnelle/50/5000/9886/041792/G_041792_P_906302116.adn.gif</t>
  </si>
  <si>
    <t>Reisenberger, Kurt, Schlosserei • Pinsdorf • Oberösterreich</t>
  </si>
  <si>
    <t>Metallbau • Reisenberger, Kurt, Aurachtalstraße 158, Pinsdorf • Kontakt über aktuelle Telefonnummern ☎ und Adressen ⚑ mit Karte, Routing, Öffnungszeiten, Homepage, E-Mail, vCard und Firmendaten.</t>
  </si>
  <si>
    <t>Aurachtalstraße 158</t>
  </si>
  <si>
    <t>47.930723</t>
  </si>
  <si>
    <t>13.7548629</t>
  </si>
  <si>
    <t>+43761267309</t>
  </si>
  <si>
    <t>office@metallinform.com</t>
  </si>
  <si>
    <t>https://bilder.dasschnelle.at/DasSchnelle/50/5000/9886/041801/G_041801_P_906303265.adn.gif</t>
  </si>
  <si>
    <t>Deicker, Franz, Innenarchitektur • Gmunden • Oberösterreich</t>
  </si>
  <si>
    <t>Innenarchitekten • Deicker, Franz, Bahnhofstraße 24, Gmunden • Kontakt über aktuelle Telefonnummern ☎ und Adressen ⚑ mit Karte, Routing, Öffnungszeiten, Homepage, E-Mail, vCard und Firmendaten.</t>
  </si>
  <si>
    <t>Bahnhofstraße 24</t>
  </si>
  <si>
    <t>47.92209</t>
  </si>
  <si>
    <t>13.7918</t>
  </si>
  <si>
    <t>+43761271034</t>
  </si>
  <si>
    <t>kuba@fdw.cc</t>
  </si>
  <si>
    <t>https://bilder.dasschnelle.at/DasSchnelle/50/5000/9886/041792/I_041792_P_906303267_L_0035970715_1.png</t>
  </si>
  <si>
    <t>https://bilder.dasschnelle.at/DasSchnelle/50/5000/9886/041792/I_041792_P_906303267_B_0035970715_1.gal.png?height=450&amp;width=720;https://bilder.dasschnelle.at/DasSchnelle/50/5000/9886/041792/I_041792_P_906303267_B_0035970715_2.gal.png?height=451&amp;width=720;https://bilder.dasschnelle.at/DasSchnelle/50/5000/9886/041792/I_041792_P_906303267_B_0035970715_3.gal.png?height=451&amp;width=720;https://bilder.dasschnelle.at/DasSchnelle/50/5000/9886/041792/I_041792_P_906303267_B_0035970715_4.gal.png?height=448&amp;width=720</t>
  </si>
  <si>
    <t>Gebetsroither GmbH, Schwimmbäder • Neukirchen • Oberösterreich</t>
  </si>
  <si>
    <t>Schwimmbad u. Saunabau • Gebetsroither GmbH, Dauerbach 19, Neukirchen • Kontakt über aktuelle Telefonnummern ☎ und Adressen ⚑ mit Karte, Routing, Öffnungszeiten, Homepage, E-Mail, vCard und Firmendaten.</t>
  </si>
  <si>
    <t>Dauerbach 19</t>
  </si>
  <si>
    <t>4814</t>
  </si>
  <si>
    <t>Neukirchen</t>
  </si>
  <si>
    <t>47.8947800</t>
  </si>
  <si>
    <t>13.7196900</t>
  </si>
  <si>
    <t>+4376188263;+436642840900</t>
  </si>
  <si>
    <t>gebets.j@aon.at</t>
  </si>
  <si>
    <t>https://bilder.dasschnelle.at/DasSchnelle/50/5000/9886/041788/G_041788_P_906303355.adn.gif</t>
  </si>
  <si>
    <t>A.Pohlhammer Wasseraufbereitung • Pinsdorf • Oberösterreich</t>
  </si>
  <si>
    <t>Wassertechnik, Wasseraufbereitung u. -reinigung • A.Pohlhammer Wasseraufbereitung, Gmundner Straße 16, Pinsdorf • Kontakt über aktuelle Telefonnummern ☎ und Adressen ⚑ mit Karte, Routing, Öffnungszeiten, Homepage, E-Mail, vCard und Firmendaten.</t>
  </si>
  <si>
    <t>Gmundner Straße 16</t>
  </si>
  <si>
    <t>47.9292900</t>
  </si>
  <si>
    <t>13.7727600</t>
  </si>
  <si>
    <t>+43761266359</t>
  </si>
  <si>
    <t>info@lindsay-austria.at</t>
  </si>
  <si>
    <t>https://bilder.dasschnelle.at/DasSchnelle/50/5000/9886/041801/I_041801_P_906303273_B_0037558898_1.gal.png?height=738&amp;width=720;https://bilder.dasschnelle.at/DasSchnelle/50/5000/9886/041801/I_041801_P_906303273_B_0037558898_2.gal.png?height=720&amp;width=734;https://bilder.dasschnelle.at/DasSchnelle/50/5000/9886/041801/I_041801_P_906303273_B_0037558898_3.gal.png?height=701&amp;width=720;https://bilder.dasschnelle.at/DasSchnelle/50/5000/9886/041801/I_041801_P_906303273_B_0037558898_4.gal.png?height=721&amp;width=720</t>
  </si>
  <si>
    <t>Baggerungen Hauser • Pinsdorf • Oberösterreich</t>
  </si>
  <si>
    <t>Baggerungen u. Transporte • Baggerungen Hauser, Hauserweg 4, Pinsdorf • Kontakt über aktuelle Telefonnummern ☎ und Adressen ⚑ mit Karte, Routing, Öffnungszeiten, Homepage, E-Mail, vCard und Firmendaten.</t>
  </si>
  <si>
    <t>Hauserweg 4</t>
  </si>
  <si>
    <t>47.93085</t>
  </si>
  <si>
    <t>13.75667</t>
  </si>
  <si>
    <t>+436645000369</t>
  </si>
  <si>
    <t>baggerungen.hauser@gmx.at</t>
  </si>
  <si>
    <t>https://bilder.dasschnelle.at/DasSchnelle/50/5000/9886/041801/I_041801_P_906303622_L_0035970497_1.png</t>
  </si>
  <si>
    <t>https://bilder.dasschnelle.at/DasSchnelle/50/5000/9886/041801/I_041801_P_906303622_B_0035970497_1.gal.png?height=539&amp;width=720;https://bilder.dasschnelle.at/DasSchnelle/50/5000/9886/041801/I_041801_P_906303622_B_0035970497_2.gal.png?height=720&amp;width=520;https://bilder.dasschnelle.at/DasSchnelle/50/5000/9886/041801/I_041801_P_906303622_B_0035970497_3.gal.png?height=479&amp;width=720;https://bilder.dasschnelle.at/DasSchnelle/50/5000/9886/041801/I_041801_P_906303622_B_0035970497_4.gal.png?height=350&amp;width=720</t>
  </si>
  <si>
    <t>AE Sonnenschutzanlagen Arnold Erhardt Sonnenschutzanlagen • Laakirchen • Oberösterreich</t>
  </si>
  <si>
    <t>Sonnen u. Insektenschutz • AE Sonnenschutzanlagen Arnold Erhardt Sonnenschutzanlagen, Mitterweg 9, Laakirchen • Kontakt über aktuelle Telefonnummern ☎ und Adressen ⚑ mit Karte, Routing, Öffnungszeiten, Homepage, E-Mail, vCard und Firmendaten.</t>
  </si>
  <si>
    <t>Mitterweg 9</t>
  </si>
  <si>
    <t>47.96545</t>
  </si>
  <si>
    <t>13.80925</t>
  </si>
  <si>
    <t>+436643979224</t>
  </si>
  <si>
    <t>office@ae-sonneschutz.at</t>
  </si>
  <si>
    <t>https://bilder.dasschnelle.at/DasSchnelle/50/5000/9886/041798/I_041798_P_906303942_L_0036738752_1.png</t>
  </si>
  <si>
    <t>https://bilder.dasschnelle.at/DasSchnelle/50/5000/9886/041798/I_041798_P_906303942_B_0036738752_1.gal.png?height=413&amp;width=600;https://bilder.dasschnelle.at/DasSchnelle/50/5000/9886/041798/I_041798_P_906303942_B_0036738752_2.gal.png?height=400&amp;width=600;https://bilder.dasschnelle.at/DasSchnelle/50/5000/9886/041798/I_041798_P_906303942_B_0036738752_3.gal.png?height=600&amp;width=399</t>
  </si>
  <si>
    <t>Bachinger, Josef, Raumausstatter • Traunkirchen • Oberösterreich</t>
  </si>
  <si>
    <t>Raumausstatter • Bachinger, Josef, Mitterndorf 4, Traunkirchen • Kontakt über aktuelle Telefonnummern ☎ und Adressen ⚑ mit Karte, Routing, Öffnungszeiten, Homepage, E-Mail, vCard und Firmendaten.</t>
  </si>
  <si>
    <t>Mitterndorf 4</t>
  </si>
  <si>
    <t>47.85332</t>
  </si>
  <si>
    <t>13.77825</t>
  </si>
  <si>
    <t>+43761723560</t>
  </si>
  <si>
    <t>office@tapeziermeister-bachinger.at</t>
  </si>
  <si>
    <t>https://bilder.dasschnelle.at/DasSchnelle/50/5000/9886/041805/I_041805_P_906303947_L_0035970964_1.png</t>
  </si>
  <si>
    <t>Wechsellandtaxi Thier • Pinkafeld • Burgenland</t>
  </si>
  <si>
    <t>Taxi • Wechsellandtaxi Thier, Kroisegg 86, Pinkafeld • Kontakt über aktuelle Telefonnummern ☎ und Adressen ⚑ mit Karte, Routing, Öffnungszeiten, Homepage, E-Mail, vCard und Firmendaten.</t>
  </si>
  <si>
    <t>Kroisegg 86</t>
  </si>
  <si>
    <t>47.3773943</t>
  </si>
  <si>
    <t>16.0446218</t>
  </si>
  <si>
    <t>+436643123006</t>
  </si>
  <si>
    <t>office@wechsellandtaxi.at</t>
  </si>
  <si>
    <t>https://bilder.dasschnelle.at/DasSchnelle/50/5000/9951/041750/I_041750_P_906302767_L_0039971772_1.png</t>
  </si>
  <si>
    <t>https://bilder.dasschnelle.at/DasSchnelle/50/5000/9951/041750/I_041750_P_906302767_B_0039971772_1.gal.png?height=257&amp;width=720;https://bilder.dasschnelle.at/DasSchnelle/50/5000/9951/041750/I_041750_P_906302767_B_0039971772_2.gal.png?height=400&amp;width=600;https://bilder.dasschnelle.at/DasSchnelle/50/5000/9951/041750/I_041750_P_906302767_B_0039971772_3.gal.png?height=400&amp;width=600</t>
  </si>
  <si>
    <t>Schlederer, Bernadette, Dr., Tierarztpraxis • Kindberg • Steiermark</t>
  </si>
  <si>
    <t>Tierärzte • Schlederer, Bernadette, Dr., Berggasse 9, Kindberg • Kontakt über aktuelle Telefonnummern ☎ und Adressen ⚑ mit Karte, Routing, Öffnungszeiten, Homepage, E-Mail, vCard und Firmendaten.</t>
  </si>
  <si>
    <t>Berggasse 9</t>
  </si>
  <si>
    <t>47.51185</t>
  </si>
  <si>
    <t>15.45063</t>
  </si>
  <si>
    <t>+4338652269</t>
  </si>
  <si>
    <t>schlederer@tierarztpraxis-kindberg.at</t>
  </si>
  <si>
    <t>https://bilder.dasschnelle.at/DasSchnelle/50/5000/9911/061380/I_061380_P_906299337_L_0038577325_1.png</t>
  </si>
  <si>
    <t>https://bilder.dasschnelle.at/DasSchnelle/50/5000/9911/061380/I_061380_P_906299337_B_0038577325_1.gal.png?height=478&amp;width=720;https://bilder.dasschnelle.at/DasSchnelle/50/5000/9911/061380/I_061380_P_906299337_B_0038577325_2.gal.png?height=478&amp;width=720;https://bilder.dasschnelle.at/DasSchnelle/50/5000/9911/061380/I_061380_P_906299337_B_0038577325_3.gal.png?height=720&amp;width=539;https://bilder.dasschnelle.at/DasSchnelle/50/5000/9911/061380/G_061380_P_906299337.adn.gif</t>
  </si>
  <si>
    <t>Paar, David, Dr.med.dent., Ärzte / Fachärzte f Zahn-, Mund-u Kieferheilkunde • Kindberg • Steiermark</t>
  </si>
  <si>
    <t>Ärzte / Fachärzte f. Zahn-, Mund u. Kieferheilkunde • Paar, David, Dr.med.dent., Hauptstraße 13, Kindberg • Kontakt über aktuelle Telefonnummern ☎ und Adressen ⚑ mit Karte, Routing, Öffnungszeiten, Homepage, E-Mail, vCard und Firmendaten.</t>
  </si>
  <si>
    <t>Hauptstraße 13</t>
  </si>
  <si>
    <t>47.5066</t>
  </si>
  <si>
    <t>15.45026</t>
  </si>
  <si>
    <t>+43386522450</t>
  </si>
  <si>
    <t>david.paar@gmx.at</t>
  </si>
  <si>
    <t>https://bilder.dasschnelle.at/DasSchnelle/50/5000/9911/061380/I_061380_P_906299339_L_0036253173_1.png</t>
  </si>
  <si>
    <t>https://bilder.dasschnelle.at/DasSchnelle/50/5000/9911/061380/I_061380_P_906299339_B_0036253173_1.gal.png?height=297&amp;width=936;https://bilder.dasschnelle.at/DasSchnelle/50/5000/9911/061380/I_061380_P_906299339_B_0036253173_2.gal.png?height=298&amp;width=932;https://bilder.dasschnelle.at/DasSchnelle/50/5000/9911/061380/I_061380_P_906299339_B_0036253173_3.gal.png?height=299&amp;width=937</t>
  </si>
  <si>
    <t>TSD Brand- und Wasserschaden Sanierung Innviertel GmbH&amp;Co KG, Sanierungen • Höhnhart • Oberösterreich</t>
  </si>
  <si>
    <t>Sanierungen • TSD Brand- und Wasserschaden Sanierung Innviertel GmbH&amp;Co KG, Hub 13, Höhnhart • Kontakt über aktuelle Telefonnummern ☎ und Adressen ⚑ mit Karte, Routing, Öffnungszeiten, Homepage, E-Mail, vCard und Firmendaten.</t>
  </si>
  <si>
    <t>Hub 13</t>
  </si>
  <si>
    <t>48.1621861</t>
  </si>
  <si>
    <t>13.2598244</t>
  </si>
  <si>
    <t>+4366488187704</t>
  </si>
  <si>
    <t>schickbauer@tsd.at</t>
  </si>
  <si>
    <t>https://bilder.dasschnelle.at/DasSchnelle/50/5000/9872/044771/I_044771_P_906299343_L_0036262478_1.png</t>
  </si>
  <si>
    <t>https://bilder.dasschnelle.at/DasSchnelle/50/5000/9872/044771/I_044771_P_906299343_B_0036262478_1.gal.png?height=234&amp;width=600;https://bilder.dasschnelle.at/DasSchnelle/50/5000/9872/044771/I_044771_P_906299343_B_0036262478_2.gal.png?height=483&amp;width=720;https://bilder.dasschnelle.at/DasSchnelle/50/5000/9872/044771/I_044771_P_906299343_B_0036262478_3.gal.png?height=480&amp;width=720;https://bilder.dasschnelle.at/DasSchnelle/50/5000/9872/044771/I_044771_P_906299343_B_0036262478_4.gal.png?height=350&amp;width=350</t>
  </si>
  <si>
    <t>Sauer, Christian, Dr.med., FA f Zahn-, Mund- u Kieferheilkunde • Mürzzuschlag • Steiermark</t>
  </si>
  <si>
    <t>Ärzte / Fachärzte f. Zahn-, Mund u. Kieferheilkunde • Sauer, Christian, Dr.med., Sparkassen-Platz 1, Mürzzuschlag • Kontakt über aktuelle Telefonnummern ☎ und Adressen ⚑ mit Karte, Routing, Öffnungszeiten, Homepage, E-Mail, vCard und Firmendaten.</t>
  </si>
  <si>
    <t>Sparkassen-Platz 1</t>
  </si>
  <si>
    <t>47.60733</t>
  </si>
  <si>
    <t>15.67361</t>
  </si>
  <si>
    <t>+4338525158</t>
  </si>
  <si>
    <t>christian.sauer@medway.at</t>
  </si>
  <si>
    <t>https://bilder.dasschnelle.at/DasSchnelle/50/5000/9911/061431/G_061431_P_906301171.adn.gif</t>
  </si>
  <si>
    <t>Ennstaler Tischlerteam, Tischlerei • Reichraming • Oberösterreich</t>
  </si>
  <si>
    <t>Tischlereien • Ennstaler Tischlerteam, Am Ortsplatz 6, Reichraming • Kontakt über aktuelle Telefonnummern ☎ und Adressen ⚑ mit Karte, Routing, Öffnungszeiten, Homepage, E-Mail, vCard und Firmendaten.</t>
  </si>
  <si>
    <t>Am Ortsplatz 6</t>
  </si>
  <si>
    <t>47.88061</t>
  </si>
  <si>
    <t>14.45009</t>
  </si>
  <si>
    <t>+436645957444</t>
  </si>
  <si>
    <t>info@ennstaler-tischlerteam.at</t>
  </si>
  <si>
    <t>https://bilder.dasschnelle.at/DasSchnelle/50/5000/9878/042817/G_042817_P_906301173.adn.gif</t>
  </si>
  <si>
    <t>Dr. Bajlicz &amp; Partner, Notariat • Oberwart • Burgenland</t>
  </si>
  <si>
    <t>Notare • Dr. Bajlicz &amp; Partner, Hauptplatz 11 Atrium/Atrium, Oberwart • Kontakt über aktuelle Telefonnummern ☎ und Adressen ⚑ mit Karte, Routing, Öffnungszeiten, Homepage, E-Mail, vCard und Firmendaten.</t>
  </si>
  <si>
    <t>Hauptplatz 11 Atrium/Atrium</t>
  </si>
  <si>
    <t>+43335238214</t>
  </si>
  <si>
    <t>notariat@bajlicz.at</t>
  </si>
  <si>
    <t>https://bilder.dasschnelle.at/DasSchnelle/50/5000/9951/041373/G_041373_P_906301174.adn.gif</t>
  </si>
  <si>
    <t>Gruber, Thomas, Baggerunternehmen • Laussa • Oberösterreich</t>
  </si>
  <si>
    <t>Baggerunternehmen • Gruber, Thomas, Sonnberg 18, Laussa • Kontakt über aktuelle Telefonnummern ☎ und Adressen ⚑ mit Karte, Routing, Öffnungszeiten, Homepage, E-Mail, vCard und Firmendaten.</t>
  </si>
  <si>
    <t>Sonnberg 18</t>
  </si>
  <si>
    <t>47.9614809</t>
  </si>
  <si>
    <t>14.4849737</t>
  </si>
  <si>
    <t>+436801505676</t>
  </si>
  <si>
    <t>gt.minibagger@gmail.com</t>
  </si>
  <si>
    <t>https://bilder.dasschnelle.at/DasSchnelle/50/5000/9878/042813/G_042813_P_906301277.adn.gif</t>
  </si>
  <si>
    <t>Turner, Elvis, Dr., FA f. Orthopädie u Traumatologie • Braunau • Oberösterreich</t>
  </si>
  <si>
    <t>Ärzte / Fachärzte f. Orthopädie u. Orthopädische Chirurgie • Turner, Elvis, Dr., Stadtplatz 6, Braunau • Kontakt über aktuelle Telefonnummern ☎ und Adressen ⚑ mit Karte, Routing, Öffnungszeiten, Homepage, E-Mail, vCard und Firmendaten.</t>
  </si>
  <si>
    <t>+43772263053</t>
  </si>
  <si>
    <t>https://bilder.dasschnelle.at/DasSchnelle/50/5000/9872/044551/G_044551_P_906301279.adn.gif</t>
  </si>
  <si>
    <t>PAM Physikalisches Ambulatorium GesmbH • Mürzzuschlag • Steiermark</t>
  </si>
  <si>
    <t>Physikalische Medizin, Physiotherapie • PAM Physikalisches Ambulatorium GesmbH, Stadtplatz 1, Mürzzuschlag • Kontakt über aktuelle Telefonnummern ☎ und Adressen ⚑ mit Karte, Routing, Öffnungszeiten, Homepage, E-Mail, vCard und Firmendaten.</t>
  </si>
  <si>
    <t>Stadtplatz 1</t>
  </si>
  <si>
    <t>47.60692</t>
  </si>
  <si>
    <t>15.67242</t>
  </si>
  <si>
    <t>+43385246460</t>
  </si>
  <si>
    <t>pam_muerz@hotmail.com</t>
  </si>
  <si>
    <t>https://bilder.dasschnelle.at/DasSchnelle/50/5000/9911/061431/G_061431_P_906301679.adn.gif</t>
  </si>
  <si>
    <t>Lebitsch, Robert, Dr.med.univ., FA f Zahn- Mund- u Kieferheilkunde • Mürzzuschlag • Steiermark</t>
  </si>
  <si>
    <t>Ärzte / Fachärzte f. Mund-, Kiefer- u. Gesichtschirurgie, Ärzte / Fachärzte f. Zahn-, Mund u. Kieferheilkunde • Lebitsch, Robert, Dr.med.univ., Toni-Schruf-Gasse 16, Mürzzuschlag • Kontakt über aktuelle Telefonnummern ☎ und Adressen ⚑ mit Karte, Routing, Öffnungszeiten, Homepage, E-Mail, vCard und Firmendaten.</t>
  </si>
  <si>
    <t>Toni-Schruf-Gasse 16</t>
  </si>
  <si>
    <t>47.60708</t>
  </si>
  <si>
    <t>15.67505</t>
  </si>
  <si>
    <t>+4338522381</t>
  </si>
  <si>
    <t>muerz.zahn@gmx.at</t>
  </si>
  <si>
    <t>https://bilder.dasschnelle.at/DasSchnelle/50/5000/9911/061431/I_061431_P_906301681_L_0036261543_1.png</t>
  </si>
  <si>
    <t>Dipl.-Ing. Christian Liebfahrt, Geometer • Edelsbach bei Graz • Steiermark</t>
  </si>
  <si>
    <t>Geometer • Dipl.-Ing. Christian Liebfahrt, Körblergasse 57, Edelsbach bei Graz • Kontakt über aktuelle Telefonnummern ☎ und Adressen ⚑ mit Karte, Routing, Öffnungszeiten, Homepage, E-Mail, vCard und Firmendaten.</t>
  </si>
  <si>
    <t>Körblergasse 57</t>
  </si>
  <si>
    <t>8010</t>
  </si>
  <si>
    <t>Edelsbach bei Graz</t>
  </si>
  <si>
    <t>47.08434</t>
  </si>
  <si>
    <t>15.44368</t>
  </si>
  <si>
    <t>+43316674892</t>
  </si>
  <si>
    <t>vermessung@liebfahrt.at</t>
  </si>
  <si>
    <t>https://bilder.dasschnelle.at/DasSchnelle/50/5000/9874/045284/G_045284_P_906301687.adn.gif</t>
  </si>
  <si>
    <t>Tierärzte Team Kapfenberg GmbH, Tierärzte • Kapfenberg • Steiermark</t>
  </si>
  <si>
    <t>Tierärzte • Tierärzte Team Kapfenberg GmbH, Schinitzgasse 7, Kapfenberg • Kontakt über aktuelle Telefonnummern ☎ und Adressen ⚑ mit Karte, Routing, Öffnungszeiten, Homepage, E-Mail, vCard und Firmendaten.</t>
  </si>
  <si>
    <t>Schinitzgasse 7</t>
  </si>
  <si>
    <t>47.43872</t>
  </si>
  <si>
    <t>15.29018</t>
  </si>
  <si>
    <t>+43386222449</t>
  </si>
  <si>
    <t>office@tieraerzteteam-kapfenberg.at</t>
  </si>
  <si>
    <t>https://bilder.dasschnelle.at/DasSchnelle/50/5000/9874/061367/G_061367_P_906301689.adn.gif</t>
  </si>
  <si>
    <t>Huber, Adolf, Spenglerei &amp; Dachdeckerei • Sankt Georgen bei Salzburg • Salzburg</t>
  </si>
  <si>
    <t>Dachdeckereien, Spenglereien • Huber, Adolf, Unterechinger Straße 21, Sankt Georgen bei Salzburg • Kontakt über aktuelle Telefonnummern ☎ und Adressen ⚑ mit Karte, Routing, Öffnungszeiten, Homepage, E-Mail, vCard und Firmendaten.</t>
  </si>
  <si>
    <t>Unterechinger Straße 21</t>
  </si>
  <si>
    <t>47.97436</t>
  </si>
  <si>
    <t>12.88429</t>
  </si>
  <si>
    <t>+43627273215</t>
  </si>
  <si>
    <t>adi.huber@gmx.at</t>
  </si>
  <si>
    <t>https://bilder.dasschnelle.at/DasSchnelle/50/5000/9914/043325/G_043325_P_906301693.adn.gif</t>
  </si>
  <si>
    <t>Fluch Mag Steuerberatungs GmbH, Wirtschaftstreuhänder / Steuerberater • Bruck an der Mur • Steiermark</t>
  </si>
  <si>
    <t>Wirtschaftstreuhänder / Steuerberater • Fluch Mag Steuerberatungs GmbH, Am Grazer Tor 1, Bruck an der Mur • Kontakt über aktuelle Telefonnummern ☎ und Adressen ⚑ mit Karte, Routing, Öffnungszeiten, Homepage, E-Mail, vCard und Firmendaten.</t>
  </si>
  <si>
    <t>Am Grazer Tor 1</t>
  </si>
  <si>
    <t>47.41043</t>
  </si>
  <si>
    <t>15.27361</t>
  </si>
  <si>
    <t>+43386251727;+43386257727</t>
  </si>
  <si>
    <t>+433862517275</t>
  </si>
  <si>
    <t>office@fluch-steuerberatung.at</t>
  </si>
  <si>
    <t>https://bilder.dasschnelle.at/DasSchnelle/50/5000/9874/061404/G_061404_P_906302141.adn.gif</t>
  </si>
  <si>
    <t>Paar, Nicole, Dr.med.dent., Zahnärztin • Kapfenberg • Steiermark</t>
  </si>
  <si>
    <t>Zahnärzte • Paar, Nicole, Dr.med.dent., Hugo-Wolf-Straße 2 B, Kapfenberg • Kontakt über aktuelle Telefonnummern ☎ und Adressen ⚑ mit Karte, Routing, Öffnungszeiten, Homepage, E-Mail, vCard und Firmendaten.</t>
  </si>
  <si>
    <t>Hugo-Wolf-Straße 2 B</t>
  </si>
  <si>
    <t>47.46481</t>
  </si>
  <si>
    <t>15.32885</t>
  </si>
  <si>
    <t>+43386232257</t>
  </si>
  <si>
    <t>paar.nicole@gmx.at</t>
  </si>
  <si>
    <t>https://bilder.dasschnelle.at/DasSchnelle/50/5000/9874/061367/G_061367_P_906302145.adn.gif</t>
  </si>
  <si>
    <t>Kitzler, Bernhard, Dr., FA f Unfallchirurgie • Gmunden • Oberösterreich</t>
  </si>
  <si>
    <t>Unfallchirurgie • Kitzler, Bernhard, Dr., Georgstraße 7, Gmunden • Kontakt über aktuelle Telefonnummern ☎ und Adressen ⚑ mit Karte, Routing, Öffnungszeiten, Homepage, E-Mail, vCard und Firmendaten.</t>
  </si>
  <si>
    <t>Georgstraße 7</t>
  </si>
  <si>
    <t>47.91832</t>
  </si>
  <si>
    <t>13.80486</t>
  </si>
  <si>
    <t>+436766420609</t>
  </si>
  <si>
    <t>kontakt@kniepraxis.com</t>
  </si>
  <si>
    <t>https://bilder.dasschnelle.at/DasSchnelle/50/5000/9886/041792/I_041792_P_906302150_L_0036738843_1.png</t>
  </si>
  <si>
    <t>https://bilder.dasschnelle.at/DasSchnelle/50/5000/9886/041792/I_041792_P_906302150_B_0036738843_1.gal.png?height=480&amp;width=720;https://bilder.dasschnelle.at/DasSchnelle/50/5000/9886/041792/I_041792_P_906302150_B_0036738843_2.gal.png?height=710&amp;width=720;https://bilder.dasschnelle.at/DasSchnelle/50/5000/9886/041792/I_041792_P_906302150_B_0036738843_3.gal.png?height=432&amp;width=720</t>
  </si>
  <si>
    <t>Lamprecht, Wolfgang, Dr., Rechtsanwalt • Braunau • Oberösterreich</t>
  </si>
  <si>
    <t>Rechtsanwälte • Lamprecht, Wolfgang, Dr., Talstraße 1, Braunau • Kontakt über aktuelle Telefonnummern ☎ und Adressen ⚑ mit Karte, Routing, Öffnungszeiten, Homepage, E-Mail, vCard und Firmendaten.</t>
  </si>
  <si>
    <t>Talstraße 1</t>
  </si>
  <si>
    <t>48.2551055</t>
  </si>
  <si>
    <t>13.0335877</t>
  </si>
  <si>
    <t>+437722624570</t>
  </si>
  <si>
    <t>mail@kanzlei-lamprecht.at</t>
  </si>
  <si>
    <t>https://bilder.dasschnelle.at/DasSchnelle/50/5000/9872/044551/I_044551_P_906302277_L_0037077594_1.png</t>
  </si>
  <si>
    <t>https://bilder.dasschnelle.at/DasSchnelle/50/5000/9872/044551/I_044551_P_906302277_B_0037077594_1.gal.png?height=280&amp;width=600;https://bilder.dasschnelle.at/DasSchnelle/50/5000/9872/044551/I_044551_P_906302277_B_0037077594_2.gal.png?height=450&amp;width=297;https://bilder.dasschnelle.at/DasSchnelle/50/5000/9872/044551/I_044551_P_906302277_B_0037077594_3.gal.png?height=50&amp;width=130;https://bilder.dasschnelle.at/DasSchnelle/50/5000/9872/044551/I_044551_P_906302277_B_0037077594_4.gal.png?height=400&amp;width=400</t>
  </si>
  <si>
    <t>Scharinger, Christian, Fahrschule • Ostermiething • Oberösterreich</t>
  </si>
  <si>
    <t>Fahrschulen • Scharinger, Christian, Gewerbegebiet 2, Ostermiething • Kontakt über aktuelle Telefonnummern ☎ und Adressen ⚑ mit Karte, Routing, Öffnungszeiten, Homepage, E-Mail, vCard und Firmendaten.</t>
  </si>
  <si>
    <t>48.04149</t>
  </si>
  <si>
    <t>12.83857</t>
  </si>
  <si>
    <t>+4362787575</t>
  </si>
  <si>
    <t>+436278757575</t>
  </si>
  <si>
    <t>buero@fahrschule-scharinger.at</t>
  </si>
  <si>
    <t>https://bilder.dasschnelle.at/DasSchnelle/50/5000/9872/044784/I_044784_P_906302282_L_0036738078_1.png</t>
  </si>
  <si>
    <t>https://bilder.dasschnelle.at/DasSchnelle/50/5000/9872/044784/I_044784_P_906302282_B_0036738078_1.gal.png?height=482&amp;width=638;https://bilder.dasschnelle.at/DasSchnelle/50/5000/9872/044784/I_044784_P_906302282_B_0036738078_2.gal.png?height=481&amp;width=644;https://bilder.dasschnelle.at/DasSchnelle/50/5000/9872/044784/I_044784_P_906302282_B_0036738078_3.gal.png?height=479&amp;width=634;https://bilder.dasschnelle.at/DasSchnelle/50/5000/9872/044784/I_044784_P_906302282_B_0036738078_4.gal.png?height=481&amp;width=638</t>
  </si>
  <si>
    <t>2Rad Sport Ondrey GmbH • Leobersdorf • Niederösterreich</t>
  </si>
  <si>
    <t>Radsport • 2Rad Sport Ondrey GmbH, Bahnhofplatz 1, Leobersdorf • Kontakt über aktuelle Telefonnummern ☎ und Adressen ⚑ mit Karte, Routing, Öffnungszeiten, Homepage, E-Mail, vCard und Firmendaten.</t>
  </si>
  <si>
    <t>47.9368</t>
  </si>
  <si>
    <t>16.2313</t>
  </si>
  <si>
    <t>+43225621502</t>
  </si>
  <si>
    <t>fahrrad@2rso.at</t>
  </si>
  <si>
    <t>https://bilder.dasschnelle.at/DasSchnelle/50/5000/9870/041350/I_041350_P_906302272_L_0037073422_1.png</t>
  </si>
  <si>
    <t>https://bilder.dasschnelle.at/DasSchnelle/50/5000/9870/041350/I_041350_P_906302272_B_0037073422_1.gal.png?height=300&amp;width=720;https://bilder.dasschnelle.at/DasSchnelle/50/5000/9870/041350/I_041350_P_906302272_B_0037073422_2.gal.png?height=300&amp;width=720;https://bilder.dasschnelle.at/DasSchnelle/50/5000/9870/041350/I_041350_P_906302272_B_0037073422_3.gal.png?height=300&amp;width=720;https://bilder.dasschnelle.at/DasSchnelle/50/5000/9870/041350/G_041350_P_906302272.adn.gif</t>
  </si>
  <si>
    <t>Neureiter, Michael, Schotterwerk • Sankt Georgen bei Salzburg • Salzburg</t>
  </si>
  <si>
    <t>Sand u. Schotter • Neureiter, Michael, St. Georgener Landesstraße 21, Sankt Georgen bei Salzburg • Kontakt über aktuelle Telefonnummern ☎ und Adressen ⚑ mit Karte, Routing, Öffnungszeiten, Homepage, E-Mail, vCard und Firmendaten.</t>
  </si>
  <si>
    <t>St. Georgener Landesstraße 21</t>
  </si>
  <si>
    <t>47.9898748</t>
  </si>
  <si>
    <t>12.8800116</t>
  </si>
  <si>
    <t>+43627281940</t>
  </si>
  <si>
    <t>neureiter-gmbh@aon.at</t>
  </si>
  <si>
    <t>https://bilder.dasschnelle.at/DasSchnelle/50/5000/9914/043325/G_043325_P_906302287.adn.gif</t>
  </si>
  <si>
    <t>Pinter, Oliver, Dr., FA f Augenheilkunde u Optometrie • Mürzzuschlag • Steiermark</t>
  </si>
  <si>
    <t>Ärzte / Fachärzte f. Augenheilkunde u. Optometrie • Pinter, Oliver, Dr., Wiener Straße 21, Mürzzuschlag • Kontakt über aktuelle Telefonnummern ☎ und Adressen ⚑ mit Karte, Routing, Öffnungszeiten, Homepage, E-Mail, vCard und Firmendaten.</t>
  </si>
  <si>
    <t>Wiener Straße 21</t>
  </si>
  <si>
    <t>47.60626</t>
  </si>
  <si>
    <t>15.67387</t>
  </si>
  <si>
    <t>+43385244550</t>
  </si>
  <si>
    <t>https://bilder.dasschnelle.at/DasSchnelle/50/5000/9911/061431/G_061431_P_906302651.adn.gif</t>
  </si>
  <si>
    <t>Weberstorfer, Elke, Dipl Physiotherapeutin • Gmunden • Oberösterreich</t>
  </si>
  <si>
    <t>Physikalische Therapie • Weberstorfer, Elke, Platz der Sudetendeutschen 8, Gmunden • Kontakt über aktuelle Telefonnummern ☎ und Adressen ⚑ mit Karte, Routing, Öffnungszeiten, Homepage, E-Mail, vCard und Firmendaten.</t>
  </si>
  <si>
    <t>Platz der Sudetendeutschen 8</t>
  </si>
  <si>
    <t>47.91876</t>
  </si>
  <si>
    <t>13.7881</t>
  </si>
  <si>
    <t>+436509633250</t>
  </si>
  <si>
    <t>webelke@gmx.at</t>
  </si>
  <si>
    <t>https://bilder.dasschnelle.at/DasSchnelle/50/5000/9886/041792/G_041792_P_906302653.adn.gif</t>
  </si>
  <si>
    <t>Schaufler Reifen GmbH • Oberndorf bei Salzburg • Salzburg</t>
  </si>
  <si>
    <t>Reifendienste • Schaufler Reifen GmbH, St. Georgener Straße 10, Oberndorf bei Salzburg • Kontakt über aktuelle Telefonnummern ☎ und Adressen ⚑ mit Karte, Routing, Öffnungszeiten, Homepage, E-Mail, vCard und Firmendaten.</t>
  </si>
  <si>
    <t>St. Georgener Straße 10</t>
  </si>
  <si>
    <t>47.95043</t>
  </si>
  <si>
    <t>12.93471</t>
  </si>
  <si>
    <t>+436641120720</t>
  </si>
  <si>
    <t>https://bilder.dasschnelle.at/DasSchnelle/50/5000/9914/043322/G_043322_P_906302655.adn.gif</t>
  </si>
  <si>
    <t>Notariat am Marktplatz - Loidl, Enzmann &amp; Partner OG • Gmunden • Oberösterreich</t>
  </si>
  <si>
    <t>Notare • Notariat am Marktplatz - Loidl, Enzmann &amp; Partner OG, Marktplatz 6, Gmunden • Kontakt über aktuelle Telefonnummern ☎ und Adressen ⚑ mit Karte, Routing, Öffnungszeiten, Homepage, E-Mail, vCard und Firmendaten.</t>
  </si>
  <si>
    <t>Marktplatz 6</t>
  </si>
  <si>
    <t>47.9195500</t>
  </si>
  <si>
    <t>13.8003500</t>
  </si>
  <si>
    <t>+43761274830</t>
  </si>
  <si>
    <t>notariat@loidl-gmunden.at</t>
  </si>
  <si>
    <t>https://bilder.dasschnelle.at/DasSchnelle/50/5000/9886/041792/G_041792_P_906303292.adn.gif</t>
  </si>
  <si>
    <t>Fußpflege Mißebner • Mürzzuschlag • Steiermark</t>
  </si>
  <si>
    <t>Fußpflege • Fußpflege Mißebner, Stadtplatz 2 A, Mürzzuschlag • Kontakt über aktuelle Telefonnummern ☎ und Adressen ⚑ mit Karte, Routing, Öffnungszeiten, Homepage, E-Mail, vCard und Firmendaten.</t>
  </si>
  <si>
    <t>+4338525056</t>
  </si>
  <si>
    <t>https://bilder.dasschnelle.at/DasSchnelle/50/5000/9911/061431/G_061431_P_906303297.adn.gif</t>
  </si>
  <si>
    <t>Danner Ernst GesmbH &amp; Co KG, Installationen • Altmünster • Oberösterreich</t>
  </si>
  <si>
    <t>Installationsunternehmen, Spenglereien • Danner Ernst GesmbH &amp; Co KG, Nachdemsee 56, Altmünster • Kontakt über aktuelle Telefonnummern ☎ und Adressen ⚑ mit Karte, Routing, Öffnungszeiten, Homepage, E-Mail, vCard und Firmendaten.</t>
  </si>
  <si>
    <t>Nachdemsee 56</t>
  </si>
  <si>
    <t>47.8786100</t>
  </si>
  <si>
    <t>13.7734800</t>
  </si>
  <si>
    <t>+43761287527</t>
  </si>
  <si>
    <t>+43761289040</t>
  </si>
  <si>
    <t>office@danner-dach.at</t>
  </si>
  <si>
    <t>https://bilder.dasschnelle.at/DasSchnelle/50/5000/9886/041788/I_041788_P_906303300_L_0036738870_1.png</t>
  </si>
  <si>
    <t>https://bilder.dasschnelle.at/DasSchnelle/50/5000/9886/041788/I_041788_P_906303300_B_0036738870_1.gal.png?height=369&amp;width=555;https://bilder.dasschnelle.at/DasSchnelle/50/5000/9886/041788/I_041788_P_906303300_B_0036738870_2.gal.png?height=370&amp;width=555;https://bilder.dasschnelle.at/DasSchnelle/50/5000/9886/041788/I_041788_P_906303300_B_0036738870_3.gal.png?height=368&amp;width=555;https://bilder.dasschnelle.at/DasSchnelle/50/5000/9886/041788/I_041788_P_906303300_B_0036738870_4.gal.png?height=370&amp;width=555</t>
  </si>
  <si>
    <t>Pizzeria San Angelo • Altmünster • Oberösterreich</t>
  </si>
  <si>
    <t>Pizza, Gastronomiebetriebe, Pizzerias • Pizzeria San Angelo, Nachdemsee 22, Altmünster • Kontakt über aktuelle Telefonnummern ☎ und Adressen ⚑ mit Karte, Routing, Öffnungszeiten, Homepage, E-Mail, vCard und Firmendaten.</t>
  </si>
  <si>
    <t>Nachdemsee 22</t>
  </si>
  <si>
    <t>47.8797971</t>
  </si>
  <si>
    <t>13.7749041</t>
  </si>
  <si>
    <t>+43761288409</t>
  </si>
  <si>
    <t>oemer.cifteci@gmail.com</t>
  </si>
  <si>
    <t>https://bilder.dasschnelle.at/DasSchnelle/50/5000/9886/041788/G_041788_P_906303336.adn.gif</t>
  </si>
  <si>
    <t>MR-INSTITUT GMUNDEN GmbH - Prim. Dr. Lindner &amp; Univ. Doz. Dr. Dirisamer • Gmunden • Oberösterreich</t>
  </si>
  <si>
    <t>Institute • MR-INSTITUT GMUNDEN GmbH - Prim. Dr. Lindner &amp; Univ. Doz. Dr. Dirisamer, Miller v. Aichholz-Straße 49 a, Gmunden • Kontakt über aktuelle Telefonnummern ☎ und Adressen ⚑ mit Karte, Routing, Öffnungszeiten, Homepage, E-Mail, vCard und Firmendaten.</t>
  </si>
  <si>
    <t>Miller v. Aichholz-Straße 49 a</t>
  </si>
  <si>
    <t>47.9161706</t>
  </si>
  <si>
    <t>13.7803279</t>
  </si>
  <si>
    <t>+43761266720</t>
  </si>
  <si>
    <t>office@mr-gmunden.at</t>
  </si>
  <si>
    <t>https://bilder.dasschnelle.at/DasSchnelle/50/5000/9886/041792/I_041792_P_906303337_L_0037558534_1.png</t>
  </si>
  <si>
    <t>https://bilder.dasschnelle.at/DasSchnelle/50/5000/9886/041792/I_041792_P_906303337_B_0037558534_1.gal.png?height=626&amp;width=720;https://bilder.dasschnelle.at/DasSchnelle/50/5000/9886/041792/I_041792_P_906303337_B_0037558534_2.gal.png?height=626&amp;width=720;https://bilder.dasschnelle.at/DasSchnelle/50/5000/9886/041792/I_041792_P_906303337_B_0037558534_3.gal.png?height=341&amp;width=720;https://bilder.dasschnelle.at/DasSchnelle/50/5000/9886/041792/I_041792_P_906303337_B_0037558534_4.gal.png?height=626&amp;width=720</t>
  </si>
  <si>
    <t>Höller, Günter, Installationen • Fraunsdorf • Oberösterreich</t>
  </si>
  <si>
    <t>Installationen • Höller, Günter, Windbüchelgasse 3, Fraunsdorf • Kontakt über aktuelle Telefonnummern ☎ und Adressen ⚑ mit Karte, Routing, Öffnungszeiten, Homepage, E-Mail, vCard und Firmendaten.</t>
  </si>
  <si>
    <t>Windbüchelgasse 3</t>
  </si>
  <si>
    <t>Fraunsdorf</t>
  </si>
  <si>
    <t>47.9377900</t>
  </si>
  <si>
    <t>13.7574500</t>
  </si>
  <si>
    <t>+43761262026</t>
  </si>
  <si>
    <t>jh@hoeller-gase.at</t>
  </si>
  <si>
    <t>https://bilder.dasschnelle.at/DasSchnelle/50/5000/9886/041801/I_041801_P_906302965_L_0036262485_1.png</t>
  </si>
  <si>
    <t>https://bilder.dasschnelle.at/DasSchnelle/50/5000/9886/041801/I_041801_P_906302965_B_0036262485_1.gal.png?height=480&amp;width=720;https://bilder.dasschnelle.at/DasSchnelle/50/5000/9886/041801/I_041801_P_906302965_B_0036262485_2.gal.png?height=478&amp;width=717;https://bilder.dasschnelle.at/DasSchnelle/50/5000/9886/041801/I_041801_P_906302965_B_0036262485_3.gal.png?height=400&amp;width=600;https://bilder.dasschnelle.at/DasSchnelle/50/5000/9886/041801/I_041801_P_906302965_B_0036262485_4.gal.png?height=400&amp;width=600;https://bilder.dasschnelle.at/DasSchnelle/50/5000/9886/041801/G_041801_P_906302965.adn.gif</t>
  </si>
  <si>
    <t>Sattelhacker, Tischlerei • Kapfenberg • Steiermark</t>
  </si>
  <si>
    <t>Tischlereien • Sattelhacker, Hafendorf 8a, Kapfenberg • Kontakt über aktuelle Telefonnummern ☎ und Adressen ⚑ mit Karte, Routing, Öffnungszeiten, Homepage, E-Mail, vCard und Firmendaten.</t>
  </si>
  <si>
    <t>Hafendorf 8a</t>
  </si>
  <si>
    <t>47.4562857</t>
  </si>
  <si>
    <t>15.3190223</t>
  </si>
  <si>
    <t>+43386234440</t>
  </si>
  <si>
    <t>office@sattelhacker.at</t>
  </si>
  <si>
    <t>https://bilder.dasschnelle.at/DasSchnelle/50/5000/9874/061367/G_061367_P_906303338.adn.gif</t>
  </si>
  <si>
    <t>Meisel Hermann GmbH, Tapezierer u Dekorateure • Pinsdorf • Oberösterreich</t>
  </si>
  <si>
    <t>Tapezierer u. Dekorateure • Meisel Hermann GmbH, Wiesenstraße 28, Pinsdorf • Kontakt über aktuelle Telefonnummern ☎ und Adressen ⚑ mit Karte, Routing, Öffnungszeiten, Homepage, E-Mail, vCard und Firmendaten.</t>
  </si>
  <si>
    <t>Wiesenstraße 28</t>
  </si>
  <si>
    <t>47.94902</t>
  </si>
  <si>
    <t>13.75033</t>
  </si>
  <si>
    <t>+43761262061</t>
  </si>
  <si>
    <t>+4376126206120</t>
  </si>
  <si>
    <t>hermann@planen-meisel.com</t>
  </si>
  <si>
    <t>https://bilder.dasschnelle.at/DasSchnelle/50/5000/9886/041801/G_041801_P_906303319.adn.gif</t>
  </si>
  <si>
    <t>Moravec, Andreas, Gartengestaltung • Gmunden • Oberösterreich</t>
  </si>
  <si>
    <t>Garten- und Landschaftsbau • Moravec, Andreas, Cumberlandstraße 10, Gmunden • Kontakt über aktuelle Telefonnummern ☎ und Adressen ⚑ mit Karte, Routing, Öffnungszeiten, Homepage, E-Mail, vCard und Firmendaten.</t>
  </si>
  <si>
    <t>Cumberlandstraße 10</t>
  </si>
  <si>
    <t>47.9250200</t>
  </si>
  <si>
    <t>13.8071700</t>
  </si>
  <si>
    <t>+43761262186</t>
  </si>
  <si>
    <t>kontakt@gruenzone.at</t>
  </si>
  <si>
    <t>https://bilder.dasschnelle.at/DasSchnelle/50/5000/9886/041792/I_041792_P_906303344_L_0036738883_1.png</t>
  </si>
  <si>
    <t>https://bilder.dasschnelle.at/DasSchnelle/50/5000/9886/041792/I_041792_P_906303344_B_0036738883_1.gal.png?height=374&amp;width=720;https://bilder.dasschnelle.at/DasSchnelle/50/5000/9886/041792/I_041792_P_906303344_B_0036738883_2.gal.png?height=374&amp;width=720;https://bilder.dasschnelle.at/DasSchnelle/50/5000/9886/041792/I_041792_P_906303344_B_0036738883_3.gal.png?height=374&amp;width=720;https://bilder.dasschnelle.at/DasSchnelle/50/5000/9886/041792/I_041792_P_906303344_B_0036738883_4.gal.png?height=374&amp;width=720</t>
  </si>
  <si>
    <t>Baumservice Bleier e.U. • Baden • Niederösterreich</t>
  </si>
  <si>
    <t>Baumschulen • Baumservice Bleier e.U., Johannesgasse 1 Tür 6, Baden • Kontakt über aktuelle Telefonnummern ☎ und Adressen ⚑ mit Karte, Routing, Öffnungszeiten, Homepage, E-Mail, vCard und Firmendaten.</t>
  </si>
  <si>
    <t>Johannesgasse 1 Tür 6</t>
  </si>
  <si>
    <t>48.00706</t>
  </si>
  <si>
    <t>16.22681</t>
  </si>
  <si>
    <t>+436649277170</t>
  </si>
  <si>
    <t>office@baumservice-bleier.at</t>
  </si>
  <si>
    <t>https://bilder.dasschnelle.at/DasSchnelle/50/5000/9870/041339/I_041339_P_906303345_L_0039975370_1.png</t>
  </si>
  <si>
    <t>https://bilder.dasschnelle.at/DasSchnelle/50/5000/9870/041339/I_041339_P_906303345_B_0039975370_1.gal.png?height=720&amp;width=720;https://bilder.dasschnelle.at/DasSchnelle/50/5000/9870/041339/I_041339_P_906303345_B_0039975370_2.gal.png?height=720&amp;width=576;https://bilder.dasschnelle.at/DasSchnelle/50/5000/9870/041339/I_041339_P_906303345_B_0039975370_3.gal.png?height=720&amp;width=576;https://bilder.dasschnelle.at/DasSchnelle/50/5000/9870/041339/I_041339_P_906303345_B_0039975370_4.gal.png?height=720&amp;width=576</t>
  </si>
  <si>
    <t>Gruber, Michaela, Blumen • Laakirchen • Oberösterreich</t>
  </si>
  <si>
    <t>Blumenhandel • Gruber, Michaela, Hauptstraße 54, Laakirchen • Kontakt über aktuelle Telefonnummern ☎ und Adressen ⚑ mit Karte, Routing, Öffnungszeiten, Homepage, E-Mail, vCard und Firmendaten.</t>
  </si>
  <si>
    <t>4662</t>
  </si>
  <si>
    <t>47.99172</t>
  </si>
  <si>
    <t>13.80677</t>
  </si>
  <si>
    <t>+436604100986</t>
  </si>
  <si>
    <t>office@muscari.at</t>
  </si>
  <si>
    <t>https://bilder.dasschnelle.at/DasSchnelle/50/5000/9886/041798/G_041798_P_906303347.adn.gif</t>
  </si>
  <si>
    <t>Scharrer Glaserei • Baden • Niederösterreich</t>
  </si>
  <si>
    <t>Glasereien • Scharrer Glaserei, Wassergasse 2, Baden • Kontakt über aktuelle Telefonnummern ☎ und Adressen ⚑ mit Karte, Routing, Öffnungszeiten, Homepage, E-Mail, vCard und Firmendaten.</t>
  </si>
  <si>
    <t>Wassergasse 2</t>
  </si>
  <si>
    <t>48.00722</t>
  </si>
  <si>
    <t>16.23491</t>
  </si>
  <si>
    <t>+43225244374</t>
  </si>
  <si>
    <t>office@glas-scharrer.at</t>
  </si>
  <si>
    <t>https://bilder.dasschnelle.at/DasSchnelle/50/5000/9870/041339/G_041339_P_906303348.adn.gif</t>
  </si>
  <si>
    <t>T-Dach GmbH, Spenglerei, Dachdeckerei • Ohlsdorf • Oberösterreich</t>
  </si>
  <si>
    <t>Dachdeckereien, Spenglereien • T-Dach GmbH, Kleinreith-Gewerbepark 12, Ohlsdorf • Kontakt über aktuelle Telefonnummern ☎ und Adressen ⚑ mit Karte, Routing, Öffnungszeiten, Homepage, E-Mail, vCard und Firmendaten.</t>
  </si>
  <si>
    <t>Ohlsdorf</t>
  </si>
  <si>
    <t>+43761265455;+4369911410310;+4369912254889</t>
  </si>
  <si>
    <t>https://bilder.dasschnelle.at/DasSchnelle/50/5000/9886/041800/I_041800_P_906303751_L_0035970798_1.png</t>
  </si>
  <si>
    <t>https://bilder.dasschnelle.at/DasSchnelle/50/5000/9886/041800/I_041800_P_906303751_B_0035970798_1.gal.png?height=404&amp;width=720;https://bilder.dasschnelle.at/DasSchnelle/50/5000/9886/041800/I_041800_P_906303751_B_0035970798_2.gal.png?height=407&amp;width=720;https://bilder.dasschnelle.at/DasSchnelle/50/5000/9886/041800/I_041800_P_906303751_B_0035970798_3.gal.png?height=408&amp;width=720;https://bilder.dasschnelle.at/DasSchnelle/50/5000/9886/041800/I_041800_P_906303751_B_0035970798_4.gal.png?height=437&amp;width=720</t>
  </si>
  <si>
    <t>Fidas Kindberg Steuerberatung GmbH • Kindberg • Steiermark</t>
  </si>
  <si>
    <t>Treuhand- u. Vermögensgesellschaften • Fidas Kindberg Steuerberatung GmbH, Hauptstraße 29, Kindberg • Kontakt über aktuelle Telefonnummern ☎ und Adressen ⚑ mit Karte, Routing, Öffnungszeiten, Homepage, E-Mail, vCard und Firmendaten.</t>
  </si>
  <si>
    <t>47.50595</t>
  </si>
  <si>
    <t>15.44977</t>
  </si>
  <si>
    <t>+4338652238</t>
  </si>
  <si>
    <t>+4338653646</t>
  </si>
  <si>
    <t>office@fidas-kindberg.at</t>
  </si>
  <si>
    <t>https://bilder.dasschnelle.at/DasSchnelle/50/5000/9911/061380/G_061380_P_906303759.adn.gif</t>
  </si>
  <si>
    <t>Eybl, G., Mag., Rechtsanwalt • Gmunden • Oberösterreich</t>
  </si>
  <si>
    <t>Rechtsanwälte • Eybl, G., Mag., Schlagenstraße 17, Gmunden • Kontakt über aktuelle Telefonnummern ☎ und Adressen ⚑ mit Karte, Routing, Öffnungszeiten, Homepage, E-Mail, vCard und Firmendaten.</t>
  </si>
  <si>
    <t>Schlagenstraße 17</t>
  </si>
  <si>
    <t>47.9178344</t>
  </si>
  <si>
    <t>13.8084111</t>
  </si>
  <si>
    <t>+43761277011</t>
  </si>
  <si>
    <t>office@ra-eybl.at</t>
  </si>
  <si>
    <t>https://bilder.dasschnelle.at/DasSchnelle/50/5000/9886/041792/I_041792_P_906303416_L_0037077710_1.png</t>
  </si>
  <si>
    <t>https://bilder.dasschnelle.at/DasSchnelle/50/5000/9886/041792/G_041792_P_906303416.adn.gif</t>
  </si>
  <si>
    <t>Bergthaler, Christoph, Gasthof Engelhof, Gasthaus • Gmunden • Oberösterreich</t>
  </si>
  <si>
    <t>Gastgewerbe - Gasthöfe • Bergthaler, Christoph, Gasthof Engelhof, Engelhofstraße 1, Gmunden • Kontakt über aktuelle Telefonnummern ☎ und Adressen ⚑ mit Karte, Routing, Öffnungszeiten, Homepage, E-Mail, vCard und Firmendaten.</t>
  </si>
  <si>
    <t>Engelhofstraße 1</t>
  </si>
  <si>
    <t>47.92553</t>
  </si>
  <si>
    <t>13.81797</t>
  </si>
  <si>
    <t>+43761264892</t>
  </si>
  <si>
    <t>bergthaler@engelhof.at</t>
  </si>
  <si>
    <t>https://bilder.dasschnelle.at/DasSchnelle/50/5000/9886/041792/G_041792_P_906303730.adn.gif</t>
  </si>
  <si>
    <t>Moshammer, Gasthaus • Wiesen • Oberösterreich</t>
  </si>
  <si>
    <t>Gastgewerbe - Gasthöfe • Moshammer, Wiesenstraße 12, Wiesen • Kontakt über aktuelle Telefonnummern ☎ und Adressen ⚑ mit Karte, Routing, Öffnungszeiten, Homepage, E-Mail, vCard und Firmendaten.</t>
  </si>
  <si>
    <t>Wiesenstraße 12</t>
  </si>
  <si>
    <t>Wiesen</t>
  </si>
  <si>
    <t>47.9473</t>
  </si>
  <si>
    <t>13.7522</t>
  </si>
  <si>
    <t>+43761263913</t>
  </si>
  <si>
    <t>moshammer@salzkammergut.at</t>
  </si>
  <si>
    <t>https://bilder.dasschnelle.at/DasSchnelle/50/5000/9886/041801/G_041801_P_906303740.adn.gif</t>
  </si>
  <si>
    <t>Amerhauser GmbH, Beton-Bohr- u. Sägedienst • Sankt Georgen bei Salzburg • Salzburg</t>
  </si>
  <si>
    <t>Erdbau, Säge- u. Hobelwerke, Transportunternehmen • Amerhauser GmbH, Holzhauser Straße 63, Sankt Georgen bei Salzburg • Kontakt über aktuelle Telefonnummern ☎ und Adressen ⚑ mit Karte, Routing, Öffnungszeiten, Homepage, E-Mail, vCard und Firmendaten.</t>
  </si>
  <si>
    <t>https://bilder.dasschnelle.at/DasSchnelle/50/5000/9914/043325/I_043325_P_906303755_B_0035971080_1.gal.png?height=540&amp;width=720;https://bilder.dasschnelle.at/DasSchnelle/50/5000/9914/043325/I_043325_P_906303755_B_0035971080_2.gal.png?height=540&amp;width=720;https://bilder.dasschnelle.at/DasSchnelle/50/5000/9914/043325/I_043325_P_906303755_B_0035971080_3.gal.png?height=405&amp;width=720;https://bilder.dasschnelle.at/DasSchnelle/50/5000/9914/043325/I_043325_P_906303755_B_0035971080_4.gal.png?height=405&amp;width=720</t>
  </si>
  <si>
    <t>Scheuringer, Gerhard, Gastgewerbe - Gasthöfe • Gmunden • Oberösterreich</t>
  </si>
  <si>
    <t>Gastgewerbe - Gasthöfe • Scheuringer, Gerhard, Ohlsdorferstraße 50, Gmunden • Kontakt über aktuelle Telefonnummern ☎ und Adressen ⚑ mit Karte, Routing, Öffnungszeiten, Homepage, E-Mail, vCard und Firmendaten.</t>
  </si>
  <si>
    <t>Ohlsdorferstraße 50</t>
  </si>
  <si>
    <t>47.93809</t>
  </si>
  <si>
    <t>13.79632</t>
  </si>
  <si>
    <t>+43761264262</t>
  </si>
  <si>
    <t>info@gasthof-altmuehl.at</t>
  </si>
  <si>
    <t>https://bilder.dasschnelle.at/DasSchnelle/50/5000/9886/041792/G_041792_P_906303888.adn.gif</t>
  </si>
  <si>
    <t>Fischer, Lucia, Friseurein • Pinsdorf • Oberösterreich</t>
  </si>
  <si>
    <t>Friseure • Fischer, Lucia, Moosweg 11, Pinsdorf • Kontakt über aktuelle Telefonnummern ☎ und Adressen ⚑ mit Karte, Routing, Öffnungszeiten, Homepage, E-Mail, vCard und Firmendaten.</t>
  </si>
  <si>
    <t>Moosweg 11</t>
  </si>
  <si>
    <t>47.9296635</t>
  </si>
  <si>
    <t>13.7683282</t>
  </si>
  <si>
    <t>+436605420056</t>
  </si>
  <si>
    <t>lucia.fischer76@gmx.at</t>
  </si>
  <si>
    <t>https://bilder.dasschnelle.at/DasSchnelle/50/5000/9886/041801/I_041801_P_906303890_L_0038797270_1.png</t>
  </si>
  <si>
    <t>https://bilder.dasschnelle.at/DasSchnelle/50/5000/9886/041801/I_041801_P_906303890_B_0038797270_1.gal.png?height=720&amp;width=540;https://bilder.dasschnelle.at/DasSchnelle/50/5000/9886/041801/I_041801_P_906303890_B_0038797270_2.gal.png?height=576&amp;width=720;https://bilder.dasschnelle.at/DasSchnelle/50/5000/9886/041801/I_041801_P_906303890_B_0038797270_3.gal.png?height=720&amp;width=540;https://bilder.dasschnelle.at/DasSchnelle/50/5000/9886/041801/I_041801_P_906303890_B_0038797270_4.gal.png?height=720&amp;width=576</t>
  </si>
  <si>
    <t>Aigner, Christian, Mag., Rechtsanwalt • Gmunden • Oberösterreich</t>
  </si>
  <si>
    <t>Rechtsanwälte • Aigner, Christian, Mag., Schlagenstraße 17, Gmunden • Kontakt über aktuelle Telefonnummern ☎ und Adressen ⚑ mit Karte, Routing, Öffnungszeiten, Homepage, E-Mail, vCard und Firmendaten.</t>
  </si>
  <si>
    <t>+4376127701110</t>
  </si>
  <si>
    <t>office@aigner-ra.at</t>
  </si>
  <si>
    <t>https://bilder.dasschnelle.at/DasSchnelle/50/5000/9886/041792/I_041792_P_906305153_L_0037992544_1.png</t>
  </si>
  <si>
    <t>E &amp; M Eiblmaier - Mayrhofer OG, Balkone • St. Peter am Hart • Oberösterreich</t>
  </si>
  <si>
    <t>Balkon-, Loggien- u. Terrassenverbaue, Zäune u. Einfriedungen • E &amp; M Eiblmaier - Mayrhofer OG, An der Mattig 40, St. Peter am Hart • Kontakt über aktuelle Telefonnummern ☎ und Adressen ⚑ mit Karte, Routing, Öffnungszeiten, Homepage, E-Mail, vCard und Firmendaten.</t>
  </si>
  <si>
    <t>An der Mattig 40</t>
  </si>
  <si>
    <t>4963</t>
  </si>
  <si>
    <t>St. Peter am Hart</t>
  </si>
  <si>
    <t>48.24635</t>
  </si>
  <si>
    <t>13.07374</t>
  </si>
  <si>
    <t>+43772262675</t>
  </si>
  <si>
    <t>emzaeune@gmx.at</t>
  </si>
  <si>
    <t>https://bilder.dasschnelle.at/DasSchnelle/50/5000/9872/044794/I_044794_P_906299317_L_0036738120_1.png</t>
  </si>
  <si>
    <t>https://bilder.dasschnelle.at/DasSchnelle/50/5000/9872/044794/I_044794_P_906299317_B_0036738120_1.gal.png?height=450&amp;width=600;https://bilder.dasschnelle.at/DasSchnelle/50/5000/9872/044794/I_044794_P_906299317_B_0036738120_2.gal.png?height=400&amp;width=600;https://bilder.dasschnelle.at/DasSchnelle/50/5000/9872/044794/I_044794_P_906299317_B_0036738120_3.gal.png?height=400&amp;width=600;https://bilder.dasschnelle.at/DasSchnelle/50/5000/9872/044794/I_044794_P_906299317_B_0036738120_4.gal.png?height=400&amp;width=600</t>
  </si>
  <si>
    <t>Gurtner, Michaela, Friseur • Braunau am Inn • Oberösterreich</t>
  </si>
  <si>
    <t>Friseure • Gurtner, Michaela, Adalbert Stifter-Straße 22, Braunau am Inn • Kontakt über aktuelle Telefonnummern ☎ und Adressen ⚑ mit Karte, Routing, Öffnungszeiten, Homepage, E-Mail, vCard und Firmendaten.</t>
  </si>
  <si>
    <t>Adalbert Stifter-Straße 22</t>
  </si>
  <si>
    <t>48.2501329</t>
  </si>
  <si>
    <t>13.0317188</t>
  </si>
  <si>
    <t>+43772262925</t>
  </si>
  <si>
    <t>info@famos-haarstudio.at</t>
  </si>
  <si>
    <t>https://bilder.dasschnelle.at/DasSchnelle/50/5000/9872/044551/G_044551_P_906299319.adn.gif</t>
  </si>
  <si>
    <t>Ziegler Gesellschaft m.b.H., Installateur • Ternitz • Niederösterreich</t>
  </si>
  <si>
    <t>Installationsunternehmen • Ziegler Gesellschaft m.b.H., Zwischeng. 13, Ternitz • Kontakt über aktuelle Telefonnummern ☎ und Adressen ⚑ mit Karte, Routing, Öffnungszeiten, Homepage, E-Mail, vCard und Firmendaten.</t>
  </si>
  <si>
    <t>Zwischeng. 13</t>
  </si>
  <si>
    <t>47.7178</t>
  </si>
  <si>
    <t>16.03554</t>
  </si>
  <si>
    <t>+43263038591</t>
  </si>
  <si>
    <t>office@installateur-ziegler.at</t>
  </si>
  <si>
    <t>https://bilder.dasschnelle.at/DasSchnelle/50/5000/9913/041861/G_041861_P_906299320.adn.gif</t>
  </si>
  <si>
    <t>Franz, Michael, Tapezierermeister • Leobersdorf • Niederösterreich</t>
  </si>
  <si>
    <t>Raumausstatter • Franz, Michael, Hauptstraße 31 B, Leobersdorf • Kontakt über aktuelle Telefonnummern ☎ und Adressen ⚑ mit Karte, Routing, Öffnungszeiten, Homepage, E-Mail, vCard und Firmendaten.</t>
  </si>
  <si>
    <t>Hauptstraße 31 B</t>
  </si>
  <si>
    <t>47.9273173</t>
  </si>
  <si>
    <t>16.2163496</t>
  </si>
  <si>
    <t>+43225662467</t>
  </si>
  <si>
    <t>+4322566246715</t>
  </si>
  <si>
    <t>office@tapezierer-franz.at</t>
  </si>
  <si>
    <t>https://bilder.dasschnelle.at/DasSchnelle/50/5000/9870/041350/G_041350_P_906299325.adn.gif</t>
  </si>
  <si>
    <t>Wallner Elektrotechnik GmbH • Bad Vöslau • Niederösterreich</t>
  </si>
  <si>
    <t>Elektrotechnik • Wallner Elektrotechnik GmbH, Energiestraße 12 b, Bad Vöslau • Kontakt über aktuelle Telefonnummern ☎ und Adressen ⚑ mit Karte, Routing, Öffnungszeiten, Homepage, E-Mail, vCard und Firmendaten.</t>
  </si>
  <si>
    <t>Energiestraße 12 b</t>
  </si>
  <si>
    <t>47.9669</t>
  </si>
  <si>
    <t>16.24106</t>
  </si>
  <si>
    <t>+432252700067</t>
  </si>
  <si>
    <t>info@wallner-et.at</t>
  </si>
  <si>
    <t>https://bilder.dasschnelle.at/DasSchnelle/50/5000/9870/041338/I_041338_P_906299378_L_0035970505_1.png</t>
  </si>
  <si>
    <t>https://bilder.dasschnelle.at/DasSchnelle/50/5000/9870/041338/G_041338_P_906299378.adn.gif</t>
  </si>
  <si>
    <t>Promberger Elektrotechnik GmbH • Bad Ischl • Oberösterreich</t>
  </si>
  <si>
    <t>Elektrotechnik • Promberger Elektrotechnik GmbH, Sulzbacherstraße 12, Bad Ischl • Kontakt über aktuelle Telefonnummern ☎ und Adressen ⚑ mit Karte, Routing, Öffnungszeiten, Homepage, E-Mail, vCard und Firmendaten.</t>
  </si>
  <si>
    <t>Sulzbacherstraße 12</t>
  </si>
  <si>
    <t>47.69776</t>
  </si>
  <si>
    <t>13.62225</t>
  </si>
  <si>
    <t>+43613227664</t>
  </si>
  <si>
    <t>office@promberger.at</t>
  </si>
  <si>
    <t>https://bilder.dasschnelle.at/DasSchnelle/50/5000/9868/041790/I_041790_P_906299379_L_0038791756_1.png</t>
  </si>
  <si>
    <t>https://bilder.dasschnelle.at/DasSchnelle/50/5000/9868/041790/I_041790_P_906299379_B_0038791756_1.gal.png?height=302&amp;width=720;https://bilder.dasschnelle.at/DasSchnelle/50/5000/9868/041790/I_041790_P_906299379_B_0038791756_2.gal.png?height=303&amp;width=720;https://bilder.dasschnelle.at/DasSchnelle/50/5000/9868/041790/I_041790_P_906299379_B_0038791756_3.gal.png?height=302&amp;width=720;https://bilder.dasschnelle.at/DasSchnelle/50/5000/9868/041790/I_041790_P_906299379_B_0038791756_4.gal.png?height=302&amp;width=720</t>
  </si>
  <si>
    <t>Salletmayr, Josef H., Dr.med., FA f Zahn-, Mund- u Kieferheilkunde • Wilhering • Oberösterreich</t>
  </si>
  <si>
    <t>Ärzte / Fachärzte f. Zahn-, Mund u. Kieferheilkunde • Salletmayr, Josef H., Dr.med., Eferdinger Straße 20, Wilhering • Kontakt über aktuelle Telefonnummern ☎ und Adressen ⚑ mit Karte, Routing, Öffnungszeiten, Homepage, E-Mail, vCard und Firmendaten.</t>
  </si>
  <si>
    <t>Eferdinger Straße 20</t>
  </si>
  <si>
    <t>48.30016</t>
  </si>
  <si>
    <t>14.16647</t>
  </si>
  <si>
    <t>+43722620680</t>
  </si>
  <si>
    <t>ordination@salletmayr.at</t>
  </si>
  <si>
    <t>https://bilder.dasschnelle.at/DasSchnelle/50/5000/9876/046121/G_046121_P_906299855.adn.gif</t>
  </si>
  <si>
    <t>Trieb, Rainer, Dr., Fachärzte f Augenheilkunde u Optometrie alle Kassen • Kapfenberg • Steiermark</t>
  </si>
  <si>
    <t>Ärzte / Fachärzte f. Augenheilkunde u. Optometrie • Trieb, Rainer, Dr., Wiener Straße 28, Kapfenberg • Kontakt über aktuelle Telefonnummern ☎ und Adressen ⚑ mit Karte, Routing, Öffnungszeiten, Homepage, E-Mail, vCard und Firmendaten.</t>
  </si>
  <si>
    <t>Wiener Straße 28</t>
  </si>
  <si>
    <t>47.44284</t>
  </si>
  <si>
    <t>15.29005</t>
  </si>
  <si>
    <t>+43386223933</t>
  </si>
  <si>
    <t>+433862239339</t>
  </si>
  <si>
    <t>https://bilder.dasschnelle.at/DasSchnelle/50/5000/9874/061367/G_061367_P_906299859.adn.gif</t>
  </si>
  <si>
    <t>Schönberger, Paul, Bad-Wasser-Heizung • Schalchen • Oberösterreich</t>
  </si>
  <si>
    <t>Installationsmaterialien • Schönberger, Paul, Häuslberg 2, Schalchen • Kontakt über aktuelle Telefonnummern ☎ und Adressen ⚑ mit Karte, Routing, Öffnungszeiten, Homepage, E-Mail, vCard und Firmendaten.</t>
  </si>
  <si>
    <t>Häuslberg 2</t>
  </si>
  <si>
    <t>48.1090683</t>
  </si>
  <si>
    <t>13.1737493</t>
  </si>
  <si>
    <t>+4377422911</t>
  </si>
  <si>
    <t>office@wohlig-warm.at</t>
  </si>
  <si>
    <t>https://bilder.dasschnelle.at/DasSchnelle/50/5000/9872/044797/I_044797_P_906299862_L_0035970674_1.png</t>
  </si>
  <si>
    <t>https://bilder.dasschnelle.at/DasSchnelle/50/5000/9872/044797/I_044797_P_906299862_B_0035970674_1.gal.png?height=448&amp;width=600;https://bilder.dasschnelle.at/DasSchnelle/50/5000/9872/044797/I_044797_P_906299862_B_0035970674_2.gal.png?height=299&amp;width=448;https://bilder.dasschnelle.at/DasSchnelle/50/5000/9872/044797/I_044797_P_906299862_B_0035970674_3.gal.png?height=299&amp;width=448;https://bilder.dasschnelle.at/DasSchnelle/50/5000/9872/044797/I_044797_P_906299862_B_0035970674_4.gal.png?height=433&amp;width=600</t>
  </si>
  <si>
    <t>Hütter, Helmut, Tischlerei • Uttendorf • Oberösterreich</t>
  </si>
  <si>
    <t>Holzfachmärkte • Hütter, Helmut, Sonnleiten 19, Uttendorf • Kontakt über aktuelle Telefonnummern ☎ und Adressen ⚑ mit Karte, Routing, Öffnungszeiten, Homepage, E-Mail, vCard und Firmendaten.</t>
  </si>
  <si>
    <t>Sonnleiten 19</t>
  </si>
  <si>
    <t>48.1593272</t>
  </si>
  <si>
    <t>13.1798407</t>
  </si>
  <si>
    <t>+43774320001</t>
  </si>
  <si>
    <t>huetter-holz@aon.at</t>
  </si>
  <si>
    <t>https://bilder.dasschnelle.at/DasSchnelle/50/5000/9872/044769/G_044769_P_906299865.adn.gif</t>
  </si>
  <si>
    <t>Bestattung Gangoly • Oberwart • Burgenland</t>
  </si>
  <si>
    <t>Bestattungsunternehmen, Ingenieurbüros • Bestattung Gangoly, Steinamangerer Straße 24, Oberwart • Kontakt über aktuelle Telefonnummern ☎ und Adressen ⚑ mit Karte, Routing, Öffnungszeiten, Homepage, E-Mail, vCard und Firmendaten.</t>
  </si>
  <si>
    <t>Steinamangerer Straße 24</t>
  </si>
  <si>
    <t>47.2852800</t>
  </si>
  <si>
    <t>16.2157500</t>
  </si>
  <si>
    <t>+43335232433</t>
  </si>
  <si>
    <t>office@ing-gangoly.at</t>
  </si>
  <si>
    <t>https://bilder.dasschnelle.at/DasSchnelle/50/5000/9951/041373/G_041373_P_906299866.adn.gif</t>
  </si>
  <si>
    <t>Friseur Johanna • Lamprechtshausen • Salzburg</t>
  </si>
  <si>
    <t>Friseure • Friseur Johanna, Franz Xaver Gruber-Straße 11, Lamprechtshausen • Kontakt über aktuelle Telefonnummern ☎ und Adressen ⚑ mit Karte, Routing, Öffnungszeiten, Homepage, E-Mail, vCard und Firmendaten.</t>
  </si>
  <si>
    <t>Franz Xaver Gruber-Straße 11</t>
  </si>
  <si>
    <t>47.9926</t>
  </si>
  <si>
    <t>12.95983</t>
  </si>
  <si>
    <t>+436603469651</t>
  </si>
  <si>
    <t>j.preisenschuh@gmail.com</t>
  </si>
  <si>
    <t>https://bilder.dasschnelle.at/DasSchnelle/50/5000/9914/043318/G_043318_P_906299869.adn.gif</t>
  </si>
  <si>
    <t>Holzner, Christoph, Kfz-Handel • Weyer • Oberösterreich</t>
  </si>
  <si>
    <t>Autohandel • Holzner, Christoph, Waidhofner Straße 77, Weyer • Kontakt über aktuelle Telefonnummern ☎ und Adressen ⚑ mit Karte, Routing, Öffnungszeiten, Homepage, E-Mail, vCard und Firmendaten.</t>
  </si>
  <si>
    <t>Waidhofner Straße 77</t>
  </si>
  <si>
    <t>47.86896</t>
  </si>
  <si>
    <t>14.67438</t>
  </si>
  <si>
    <t>+4373557775;+436641916703</t>
  </si>
  <si>
    <t>holzner.tuning@utanet.at</t>
  </si>
  <si>
    <t>https://bilder.dasschnelle.at/DasSchnelle/50/5000/9878/042825/G_042825_P_906299873.adn.gif</t>
  </si>
  <si>
    <t>Erdbewegung  • Mining • Oberösterreich</t>
  </si>
  <si>
    <t>Erdbewegungen • Erdbewegung, Amberg 22, Mining • Kontakt über aktuelle Telefonnummern ☎ und Adressen ⚑ mit Karte, Routing, Öffnungszeiten, Homepage, E-Mail, vCard und Firmendaten.</t>
  </si>
  <si>
    <t>Amberg 22</t>
  </si>
  <si>
    <t>48.2706209</t>
  </si>
  <si>
    <t>13.1839326</t>
  </si>
  <si>
    <t>+436641778844</t>
  </si>
  <si>
    <t>markus.fuggersberger@gmx.at</t>
  </si>
  <si>
    <t>Neumayr, Peter, Neumayer KG, Bauspenglerei • Baden • Niederösterreich</t>
  </si>
  <si>
    <t>Bauspenglereien, Dachdeckereien • Neumayr, Peter, Neumayer KG, Weilburgstraße 4 A, Baden • Kontakt über aktuelle Telefonnummern ☎ und Adressen ⚑ mit Karte, Routing, Öffnungszeiten, Homepage, E-Mail, vCard und Firmendaten.</t>
  </si>
  <si>
    <t>Weilburgstraße 4 A</t>
  </si>
  <si>
    <t>48.00595</t>
  </si>
  <si>
    <t>16.23085</t>
  </si>
  <si>
    <t>+43225241690</t>
  </si>
  <si>
    <t>faneumayer@aon.at</t>
  </si>
  <si>
    <t>https://bilder.dasschnelle.at/DasSchnelle/50/5000/9870/041339/G_041339_P_906300638.adn.gif</t>
  </si>
  <si>
    <t>Spitzenberger, Klaus, KFZ Werkstatt • Bürmoos • Salzburg</t>
  </si>
  <si>
    <t>Autoreparaturen • Spitzenberger, Klaus, Wahastraße 13, Bürmoos • Kontakt über aktuelle Telefonnummern ☎ und Adressen ⚑ mit Karte, Routing, Öffnungszeiten, Homepage, E-Mail, vCard und Firmendaten.</t>
  </si>
  <si>
    <t>Wahastraße 13</t>
  </si>
  <si>
    <t>47.98597</t>
  </si>
  <si>
    <t>12.93027</t>
  </si>
  <si>
    <t>+43627464950</t>
  </si>
  <si>
    <t>office@kfz-spitzenberger.at</t>
  </si>
  <si>
    <t>https://bilder.dasschnelle.at/DasSchnelle/50/5000/9914/043604/G_043604_P_906300640.adn.gif</t>
  </si>
  <si>
    <t>ETR Elektrotechnik Roider KG, Elektrotechnik • Sankt Georgen bei Salzburg • Salzburg</t>
  </si>
  <si>
    <t>Elektrotechnik • ETR Elektrotechnik Roider KG, Pladenbachstraße 44, Sankt Georgen bei Salzburg • Kontakt über aktuelle Telefonnummern ☎ und Adressen ⚑ mit Karte, Routing, Öffnungszeiten, Homepage, E-Mail, vCard und Firmendaten.</t>
  </si>
  <si>
    <t>Pladenbachstraße 44</t>
  </si>
  <si>
    <t>47.97295</t>
  </si>
  <si>
    <t>12.88761</t>
  </si>
  <si>
    <t>+4369912565978</t>
  </si>
  <si>
    <t>etr.keg@aon.at</t>
  </si>
  <si>
    <t>https://bilder.dasschnelle.at/DasSchnelle/50/5000/9914/043325/G_043325_P_906300644.adn.gif</t>
  </si>
  <si>
    <t>Torprofi Heise, Heise Mario • St.Josef • Steiermark</t>
  </si>
  <si>
    <t>Tore • Torprofi Heise, Heise Mario, St.Josef 44 A, St.Josef • Kontakt über aktuelle Telefonnummern ☎ und Adressen ⚑ mit Karte, Routing, Öffnungszeiten, Homepage, E-Mail, vCard und Firmendaten.</t>
  </si>
  <si>
    <t>St.Josef 44 A</t>
  </si>
  <si>
    <t>+436645571723</t>
  </si>
  <si>
    <t>office@torprofi-heise.at</t>
  </si>
  <si>
    <t>Hutter, Josef, Dr., FA f Allgemeinmedizin • Aschach an der Steyr • Oberösterreich</t>
  </si>
  <si>
    <t>Ärzte / f Allgemeinmedizin • Hutter, Josef, Dr., Saaßstraße 66, Aschach an der Steyr • Kontakt über aktuelle Telefonnummern ☎ und Adressen ⚑ mit Karte, Routing, Öffnungszeiten, Homepage, E-Mail, vCard und Firmendaten.</t>
  </si>
  <si>
    <t>Saaßstraße 66</t>
  </si>
  <si>
    <t>4421</t>
  </si>
  <si>
    <t>Aschach an der Steyr</t>
  </si>
  <si>
    <t>48.02272</t>
  </si>
  <si>
    <t>14.36365</t>
  </si>
  <si>
    <t>+43725221038</t>
  </si>
  <si>
    <t>ordination@vitalogikum.at</t>
  </si>
  <si>
    <t>https://bilder.dasschnelle.at/DasSchnelle/50/5000/9878/042807/G_042807_P_906300652.adn.gif</t>
  </si>
  <si>
    <t>Meier, Marcel, Malermeister • Bad Vöslau • Niederösterreich</t>
  </si>
  <si>
    <t>Malereibetriebe • Meier, Marcel, Industriestraße 11, Bad Vöslau • Kontakt über aktuelle Telefonnummern ☎ und Adressen ⚑ mit Karte, Routing, Öffnungszeiten, Homepage, E-Mail, vCard und Firmendaten.</t>
  </si>
  <si>
    <t>Industriestraße 11</t>
  </si>
  <si>
    <t>47.97463</t>
  </si>
  <si>
    <t>16.22151</t>
  </si>
  <si>
    <t>+43225276090</t>
  </si>
  <si>
    <t>office@mm-meistermaler.at</t>
  </si>
  <si>
    <t>https://bilder.dasschnelle.at/DasSchnelle/50/5000/9870/041338/G_041338_P_906301214.adn.gif</t>
  </si>
  <si>
    <t>Malerei Weichhardt • Sankt Georgen bei Salzburg • Oberösterreich</t>
  </si>
  <si>
    <t>Malereibetriebe • Malerei Weichhardt, Oberndorfer Landesstraße 14, Sankt Georgen bei Salzburg • Kontakt über aktuelle Telefonnummern ☎ und Adressen ⚑ mit Karte, Routing, Öffnungszeiten, Homepage, E-Mail, vCard und Firmendaten.</t>
  </si>
  <si>
    <t>Oberndorfer Landesstraße 14</t>
  </si>
  <si>
    <t>48.0223351</t>
  </si>
  <si>
    <t>12.8507695</t>
  </si>
  <si>
    <t>+436763937598</t>
  </si>
  <si>
    <t>malerei.weichhardt@gmx.at</t>
  </si>
  <si>
    <t>https://bilder.dasschnelle.at/DasSchnelle/50/5000/9914/044793/G_044793_P_906301362.adn.gif</t>
  </si>
  <si>
    <t>Schörkhuber Montage &amp; Handel GmbH • Laussa • Oberösterreich</t>
  </si>
  <si>
    <t>Handelsunternehmen • Schörkhuber Montage &amp; Handel GmbH, Stoderstraße 5, Laussa • Kontakt über aktuelle Telefonnummern ☎ und Adressen ⚑ mit Karte, Routing, Öffnungszeiten, Homepage, E-Mail, vCard und Firmendaten.</t>
  </si>
  <si>
    <t>Stoderstraße 5</t>
  </si>
  <si>
    <t>47.9533132</t>
  </si>
  <si>
    <t>14.4569046</t>
  </si>
  <si>
    <t>+436643815951</t>
  </si>
  <si>
    <t>schoerkhuber@montage-handel.at</t>
  </si>
  <si>
    <t>https://bilder.dasschnelle.at/DasSchnelle/50/5000/9878/042813/I_042813_P_906301851_L_0037538857_1.png</t>
  </si>
  <si>
    <t>https://bilder.dasschnelle.at/DasSchnelle/50/5000/9878/042813/I_042813_P_906301851_B_0037538857_1.gal.png?height=720&amp;width=540;https://bilder.dasschnelle.at/DasSchnelle/50/5000/9878/042813/I_042813_P_906301851_B_0037538857_2.gal.png?height=405&amp;width=720;https://bilder.dasschnelle.at/DasSchnelle/50/5000/9878/042813/I_042813_P_906301851_B_0037538857_3.gal.png?height=540&amp;width=720;https://bilder.dasschnelle.at/DasSchnelle/50/5000/9878/042813/I_042813_P_906301851_B_0037538857_4.gal.png?height=540&amp;width=720</t>
  </si>
  <si>
    <t>Moosleitner Beton Salzburg GmbH • Lamprechtshausen • Salzburg</t>
  </si>
  <si>
    <t>Betonbohr- u. -schneidedienst • Moosleitner Beton Salzburg GmbH, Bürmooser Straße 20, Lamprechtshausen • Kontakt über aktuelle Telefonnummern ☎ und Adressen ⚑ mit Karte, Routing, Öffnungszeiten, Homepage, E-Mail, vCard und Firmendaten.</t>
  </si>
  <si>
    <t>Bürmooser Straße 20</t>
  </si>
  <si>
    <t>47.99123</t>
  </si>
  <si>
    <t>12.94576</t>
  </si>
  <si>
    <t>+43627440300</t>
  </si>
  <si>
    <t>office@moosleitner.eu</t>
  </si>
  <si>
    <t>https://bilder.dasschnelle.at/DasSchnelle/50/5000/9914/043318/G_043318_P_906302270.adn.gif</t>
  </si>
  <si>
    <t>Reinhold Rettenbacher e.U., Elektrotechnik • Sankt Koloman • Salzburg</t>
  </si>
  <si>
    <t>Elektrotechnik • Reinhold Rettenbacher e.U., Urbanötzweg 411, Sankt Koloman • Kontakt über aktuelle Telefonnummern ☎ und Adressen ⚑ mit Karte, Routing, Öffnungszeiten, Homepage, E-Mail, vCard und Firmendaten.</t>
  </si>
  <si>
    <t>Urbanötzweg 411</t>
  </si>
  <si>
    <t>47.64967</t>
  </si>
  <si>
    <t>13.18185</t>
  </si>
  <si>
    <t>+436641544254</t>
  </si>
  <si>
    <t>office@set-rettenbacher.at</t>
  </si>
  <si>
    <t>https://bilder.dasschnelle.at/DasSchnelle/50/5000/9889/043597/G_043597_P_906302529.adn.gif</t>
  </si>
  <si>
    <t>Mag. Philip Schönauer, Rechtsanwalt • Oberndorf • Salzburg</t>
  </si>
  <si>
    <t>Rechtsanwälte • Mag. Philip Schönauer, Gaisbergstraße 8, Oberndorf • Kontakt über aktuelle Telefonnummern ☎ und Adressen ⚑ mit Karte, Routing, Öffnungszeiten, Homepage, E-Mail, vCard und Firmendaten.</t>
  </si>
  <si>
    <t>Gaisbergstraße 8</t>
  </si>
  <si>
    <t>47.93913</t>
  </si>
  <si>
    <t>12.94345</t>
  </si>
  <si>
    <t>+43627220295</t>
  </si>
  <si>
    <t>office@ra-schoenauer.at</t>
  </si>
  <si>
    <t>https://bilder.dasschnelle.at/DasSchnelle/50/5000/9914/043322/G_043322_P_906303307.adn.gif</t>
  </si>
  <si>
    <t>PICHLER KLAUS BESTATTUNG e.U. • Gmunden • Oberösterreich</t>
  </si>
  <si>
    <t>Bestattungsunternehmen • PICHLER KLAUS BESTATTUNG e.U., Burgfriedweg 1, Gmunden • Kontakt über aktuelle Telefonnummern ☎ und Adressen ⚑ mit Karte, Routing, Öffnungszeiten, Homepage, E-Mail, vCard und Firmendaten.</t>
  </si>
  <si>
    <t>Burgfriedweg 1</t>
  </si>
  <si>
    <t>47.92536</t>
  </si>
  <si>
    <t>13.79593</t>
  </si>
  <si>
    <t>+437612749310</t>
  </si>
  <si>
    <t>office@bestattung-pichler.at</t>
  </si>
  <si>
    <t>https://bilder.dasschnelle.at/DasSchnelle/50/5000/9886/041792/G_041792_P_906303309.adn.gif</t>
  </si>
  <si>
    <t>Raffelsberger, Alois, Hafnermeister, Öfen • Ohlsdorf • Oberösterreich</t>
  </si>
  <si>
    <t>Hafner • Raffelsberger, Alois, Obere Hochleithen 3, Ohlsdorf • Kontakt über aktuelle Telefonnummern ☎ und Adressen ⚑ mit Karte, Routing, Öffnungszeiten, Homepage, E-Mail, vCard und Firmendaten.</t>
  </si>
  <si>
    <t>Obere Hochleithen 3</t>
  </si>
  <si>
    <t>47.94887</t>
  </si>
  <si>
    <t>13.79216</t>
  </si>
  <si>
    <t>+43761264081;+436641006445;+436643023409</t>
  </si>
  <si>
    <t>design.raffelsberger@gmx.at</t>
  </si>
  <si>
    <t>https://bilder.dasschnelle.at/DasSchnelle/50/5000/9886/041800/G_041800_P_906303357.adn.gif</t>
  </si>
  <si>
    <t>Running Sushi Bamboo, Restaurants • Gmunden • Oberösterreich</t>
  </si>
  <si>
    <t>Restaurants • Running Sushi Bamboo, Druckereistraße 3, Gmunden • Kontakt über aktuelle Telefonnummern ☎ und Adressen ⚑ mit Karte, Routing, Öffnungszeiten, Homepage, E-Mail, vCard und Firmendaten.</t>
  </si>
  <si>
    <t>47.92519</t>
  </si>
  <si>
    <t>13.78812</t>
  </si>
  <si>
    <t>+43761266055</t>
  </si>
  <si>
    <t>asiarestaurant@gmx.at</t>
  </si>
  <si>
    <t>Ford Steckbauer GmbH • Prambachkirchen • Oberösterreich</t>
  </si>
  <si>
    <t>Autohandel, Autoreparaturen • Ford Steckbauer GmbH, Passauer Str. 11, Prambachkirchen • Kontakt über aktuelle Telefonnummern ☎ und Adressen ⚑ mit Karte, Routing, Öffnungszeiten, Homepage, E-Mail, vCard und Firmendaten.</t>
  </si>
  <si>
    <t>Passauer Str. 11</t>
  </si>
  <si>
    <t>4731</t>
  </si>
  <si>
    <t>Prambachkirchen</t>
  </si>
  <si>
    <t>48.32053</t>
  </si>
  <si>
    <t>13.89011</t>
  </si>
  <si>
    <t>+4372777141</t>
  </si>
  <si>
    <t>office@ford-steckbauer.at</t>
  </si>
  <si>
    <t>https://bilder.dasschnelle.at/DasSchnelle/50/5000/9876/044810/G_044810_P_906300329.adn.gif</t>
  </si>
  <si>
    <t>Johannes Wunderler, Installationsunternehmen • Rechnitz • Burgenland</t>
  </si>
  <si>
    <t>Installationsunternehmen • Johannes Wunderler, Bahnhofstraße 29, Rechnitz • Kontakt über aktuelle Telefonnummern ☎ und Adressen ⚑ mit Karte, Routing, Öffnungszeiten, Homepage, E-Mail, vCard und Firmendaten.</t>
  </si>
  <si>
    <t>Bahnhofstraße 29</t>
  </si>
  <si>
    <t>47.2995900</t>
  </si>
  <si>
    <t>16.4445900</t>
  </si>
  <si>
    <t>+436766361795</t>
  </si>
  <si>
    <t>office@wunderler.at</t>
  </si>
  <si>
    <t>https://bilder.dasschnelle.at/DasSchnelle/50/5000/9951/041375/G_041375_P_906300341.adn.gif</t>
  </si>
  <si>
    <t>Gemüsebetrieb Sieburg • Eferding • Oberösterreich</t>
  </si>
  <si>
    <t>Gemüse, Obst u. Gemüse • Gemüsebetrieb Sieburg, Taubenbrunn 20, Eferding • Kontakt über aktuelle Telefonnummern ☎ und Adressen ⚑ mit Karte, Routing, Öffnungszeiten, Homepage, E-Mail, vCard und Firmendaten.</t>
  </si>
  <si>
    <t>Taubenbrunn 20</t>
  </si>
  <si>
    <t>48.3054659</t>
  </si>
  <si>
    <t>14.0410073</t>
  </si>
  <si>
    <t>+4372726435</t>
  </si>
  <si>
    <t>peter.sieburg@gmx.at</t>
  </si>
  <si>
    <t>https://bilder.dasschnelle.at/DasSchnelle/50/5000/9876/044811/G_044811_P_906301394.adn.gif</t>
  </si>
  <si>
    <t>Scholda, Michaela, Mag., Steuerberatung • Pfaffstätten • Niederösterreich</t>
  </si>
  <si>
    <t>Steuerberater • Scholda, Michaela, Mag., Stiftgasse 1, Pfaffstätten • Kontakt über aktuelle Telefonnummern ☎ und Adressen ⚑ mit Karte, Routing, Öffnungszeiten, Homepage, E-Mail, vCard und Firmendaten.</t>
  </si>
  <si>
    <t>Stiftgasse 1</t>
  </si>
  <si>
    <t>48.0163400</t>
  </si>
  <si>
    <t>16.2622600</t>
  </si>
  <si>
    <t>+432252254666;+436769770176</t>
  </si>
  <si>
    <t>mag.scholda@meinsteuerberater.co.at</t>
  </si>
  <si>
    <t>https://bilder.dasschnelle.at/DasSchnelle/50/5000/9870/041339/I_041339_P_906301399_L_0036263629_1.png</t>
  </si>
  <si>
    <t>https://bilder.dasschnelle.at/DasSchnelle/50/5000/9870/041339/I_041339_P_906301399_B_0036263629_1.gal.png?height=405&amp;width=720;https://bilder.dasschnelle.at/DasSchnelle/50/5000/9870/041339/I_041339_P_906301399_B_0036263629_2.gal.png?height=480&amp;width=720;https://bilder.dasschnelle.at/DasSchnelle/50/5000/9870/041339/I_041339_P_906301399_B_0036263629_3.gal.png?height=405&amp;width=720;https://bilder.dasschnelle.at/DasSchnelle/50/5000/9870/041339/I_041339_P_906301399_B_0036263629_4.gal.png?height=405&amp;width=720;https://bilder.dasschnelle.at/DasSchnelle/50/5000/9870/041339/G_041339_P_906301399.adn.gif</t>
  </si>
  <si>
    <t>Diakoniezentrum Oberwart • Oberwart • Burgenland</t>
  </si>
  <si>
    <t>Pflegeheim • Diakoniezentrum Oberwart, Evangelische Kirchengasse 8-10, Oberwart • Kontakt über aktuelle Telefonnummern ☎ und Adressen ⚑ mit Karte, Routing, Öffnungszeiten, Homepage, E-Mail, vCard und Firmendaten.</t>
  </si>
  <si>
    <t>Evangelische Kirchengasse 8-10</t>
  </si>
  <si>
    <t>47.2880217</t>
  </si>
  <si>
    <t>16.2092702</t>
  </si>
  <si>
    <t>+43335231200</t>
  </si>
  <si>
    <t>diz.oberwart@diakonie-suedburgenland.at</t>
  </si>
  <si>
    <t>https://bilder.dasschnelle.at/DasSchnelle/50/5000/9951/041373/G_041373_P_906299904.adn.gif</t>
  </si>
  <si>
    <t>Reifen Fischer • Alkoven • Oberösterreich</t>
  </si>
  <si>
    <t>Autohandel • Reifen Fischer, Weidach 4, Alkoven • Kontakt über aktuelle Telefonnummern ☎ und Adressen ⚑ mit Karte, Routing, Öffnungszeiten, Homepage, E-Mail, vCard und Firmendaten.</t>
  </si>
  <si>
    <t>+4372747718</t>
  </si>
  <si>
    <t>reifen.fischer@aon.at</t>
  </si>
  <si>
    <t>https://bilder.dasschnelle.at/DasSchnelle/50/5000/9876/044803/G_044803_P_906299902.adn.gif</t>
  </si>
  <si>
    <t>Helis KFz´Z, Autoaufbereitung • Deutschlandsberg • Steiermark</t>
  </si>
  <si>
    <t>KFZ-Werkstätte u. Handel • Helis KFz´Z, Mostbauerstraße 1, Deutschlandsberg • Kontakt über aktuelle Telefonnummern ☎ und Adressen ⚑ mit Karte, Routing, Öffnungszeiten, Homepage, E-Mail, vCard und Firmendaten.</t>
  </si>
  <si>
    <t>Mostbauerstraße 1</t>
  </si>
  <si>
    <t>46.8265000</t>
  </si>
  <si>
    <t>15.2359200</t>
  </si>
  <si>
    <t>+436642325125</t>
  </si>
  <si>
    <t>heli@helis-kfz-reinigung.at</t>
  </si>
  <si>
    <t>https://bilder.dasschnelle.at/DasSchnelle/50/5000/9875/061379/G_061379_P_906300374.adn.gif</t>
  </si>
  <si>
    <t>Schmidhuber Karl GmbH &amp; Co. KG • Aschach an der Steyr • Oberösterreich</t>
  </si>
  <si>
    <t>Landtechnik • Schmidhuber Karl GmbH &amp; Co. KG, Schulstraße 31, Aschach an der Steyr • Kontakt über aktuelle Telefonnummern ☎ und Adressen ⚑ mit Karte, Routing, Öffnungszeiten, Homepage, E-Mail, vCard und Firmendaten.</t>
  </si>
  <si>
    <t>Schulstraße 31</t>
  </si>
  <si>
    <t>48.0061600</t>
  </si>
  <si>
    <t>14.3352000</t>
  </si>
  <si>
    <t>+4372593497</t>
  </si>
  <si>
    <t>office@landtechnik-schmidhuber.at</t>
  </si>
  <si>
    <t>https://bilder.dasschnelle.at/DasSchnelle/50/5000/9878/042807/G_042807_P_906301853.adn.gif</t>
  </si>
  <si>
    <t>Gasthof Seefeldmühle  • Adnet • Salzburg</t>
  </si>
  <si>
    <t>Gastgewerbe - Gasthöfe, Zimmervermietung • Gasthof Seefeldmühle, Seefeldmühle 68, Adnet • Kontakt über aktuelle Telefonnummern ☎ und Adressen ⚑ mit Karte, Routing, Öffnungszeiten, Homepage, E-Mail, vCard und Firmendaten.</t>
  </si>
  <si>
    <t>Seefeldmühle 68</t>
  </si>
  <si>
    <t>47.7089560</t>
  </si>
  <si>
    <t>13.1319910</t>
  </si>
  <si>
    <t>+43624583224</t>
  </si>
  <si>
    <t>office@seefeldmuehle.com</t>
  </si>
  <si>
    <t>Tierambulatorium St. Lorenzen • Sankt Lorenzen • Steiermark</t>
  </si>
  <si>
    <t>Tierärzte • Tierambulatorium St. Lorenzen, Hauptstraße 1 - Zehent, Sankt Lorenzen • Kontakt über aktuelle Telefonnummern ☎ und Adressen ⚑ mit Karte, Routing, Öffnungszeiten, Homepage, E-Mail, vCard und Firmendaten.</t>
  </si>
  <si>
    <t>Hauptstraße 1 - Zehent</t>
  </si>
  <si>
    <t>Sankt Lorenzen</t>
  </si>
  <si>
    <t>47.4718767</t>
  </si>
  <si>
    <t>15.3603433</t>
  </si>
  <si>
    <t>+43496649245420</t>
  </si>
  <si>
    <t>sandra_maurer@gmx.at</t>
  </si>
  <si>
    <t>https://bilder.dasschnelle.at/DasSchnelle/50/5000/9874/045287/G_045287_P_906303493.adn.gif</t>
  </si>
  <si>
    <t>Optik Past • Seekirchen • Salzburg</t>
  </si>
  <si>
    <t>Optik • Optik Past, Hauptstraße 29, Seekirchen • Kontakt über aktuelle Telefonnummern ☎ und Adressen ⚑ mit Karte, Routing, Öffnungszeiten, Homepage, E-Mail, vCard und Firmendaten.</t>
  </si>
  <si>
    <t>47.8941378</t>
  </si>
  <si>
    <t>13.1252312</t>
  </si>
  <si>
    <t>+4362127610</t>
  </si>
  <si>
    <t>seekirchen@optik-past.at</t>
  </si>
  <si>
    <t>https://bilder.dasschnelle.at/DasSchnelle/50/5000/9931/043333/G_043333_P_906303494.adn.gif</t>
  </si>
  <si>
    <t>Druckenthaner, Kurt, Arbeitsbühnen • Pinsdorf • Oberösterreich</t>
  </si>
  <si>
    <t>Arbeitsbühnen • Druckenthaner, Kurt, Leherbauernweg 8, Pinsdorf • Kontakt über aktuelle Telefonnummern ☎ und Adressen ⚑ mit Karte, Routing, Öffnungszeiten, Homepage, E-Mail, vCard und Firmendaten.</t>
  </si>
  <si>
    <t>Leherbauernweg 8</t>
  </si>
  <si>
    <t>47.9422700</t>
  </si>
  <si>
    <t>13.7560500</t>
  </si>
  <si>
    <t>+436765709303</t>
  </si>
  <si>
    <t>office@hd2.at</t>
  </si>
  <si>
    <t>https://bilder.dasschnelle.at/DasSchnelle/50/5000/9886/041801/I_041801_P_906303848_L_0038792817_1.png</t>
  </si>
  <si>
    <t>https://bilder.dasschnelle.at/DasSchnelle/50/5000/9886/041801/I_041801_P_906303848_B_0038792817_1.gal.png?height=540&amp;width=720;https://bilder.dasschnelle.at/DasSchnelle/50/5000/9886/041801/I_041801_P_906303848_B_0038792817_2.gal.png?height=720&amp;width=540;https://bilder.dasschnelle.at/DasSchnelle/50/5000/9886/041801/I_041801_P_906303848_B_0038792817_3.gal.png?height=720&amp;width=671;https://bilder.dasschnelle.at/DasSchnelle/50/5000/9886/041801/I_041801_P_906303848_B_0038792817_4.gal.png?height=316&amp;width=720</t>
  </si>
  <si>
    <t>Stena Stone, Naturstein- und Fliesenhandel • Uttendorf • Oberösterreich</t>
  </si>
  <si>
    <t>Fliesenfachhandel • Stena Stone, Nr. 7, Uttendorf • Kontakt über aktuelle Telefonnummern ☎ und Adressen ⚑ mit Karte, Routing, Öffnungszeiten, Homepage, E-Mail, vCard und Firmendaten.</t>
  </si>
  <si>
    <t>Nr. 7</t>
  </si>
  <si>
    <t>48.1559700</t>
  </si>
  <si>
    <t>13.1182400</t>
  </si>
  <si>
    <t>+436604759875</t>
  </si>
  <si>
    <t>nr.stenastone@outlook.com</t>
  </si>
  <si>
    <t>https://bilder.dasschnelle.at/DasSchnelle/50/5000/9872/044551/G_044551_P_906300230.adn.gif</t>
  </si>
  <si>
    <t>M. Partsch, Kraftfahrzeugwerkstättenbetriebe • Neunkirchen • Niederösterreich</t>
  </si>
  <si>
    <t>Autoreparaturen • M. Partsch, Am Spitz 2, Neunkirchen • Kontakt über aktuelle Telefonnummern ☎ und Adressen ⚑ mit Karte, Routing, Öffnungszeiten, Homepage, E-Mail, vCard und Firmendaten.</t>
  </si>
  <si>
    <t>Am Spitz 2</t>
  </si>
  <si>
    <t>47.71834</t>
  </si>
  <si>
    <t>16.06745</t>
  </si>
  <si>
    <t>+43263567297</t>
  </si>
  <si>
    <t>partsch@partsch.at</t>
  </si>
  <si>
    <t>https://bilder.dasschnelle.at/DasSchnelle/50/5000/9913/041844/G_041844_P_906300231.adn.gif</t>
  </si>
  <si>
    <t>INDRAS PLANET • Gloggnitz • Niederösterreich</t>
  </si>
  <si>
    <t>Biologische Produkte • INDRAS PLANET, Novatzigasse 3, Gloggnitz • Kontakt über aktuelle Telefonnummern ☎ und Adressen ⚑ mit Karte, Routing, Öffnungszeiten, Homepage, E-Mail, vCard und Firmendaten.</t>
  </si>
  <si>
    <t>Novatzigasse 3</t>
  </si>
  <si>
    <t>47.6738100</t>
  </si>
  <si>
    <t>15.9429800</t>
  </si>
  <si>
    <t>+436645470131</t>
  </si>
  <si>
    <t>indrasplanet.neunkirchen@gmail.com</t>
  </si>
  <si>
    <t>https://bilder.dasschnelle.at/DasSchnelle/50/5000/9913/041837/G_041837_P_906300328.adn.gif</t>
  </si>
  <si>
    <t>Adler Trans, Erdbau • Henndorf • Salzburg</t>
  </si>
  <si>
    <t>Dachdeckerei u. Spenglerei • Adler Trans, Landestraße 10, Henndorf • Kontakt über aktuelle Telefonnummern ☎ und Adressen ⚑ mit Karte, Routing, Öffnungszeiten, Homepage, E-Mail, vCard und Firmendaten.</t>
  </si>
  <si>
    <t>Landestraße 10</t>
  </si>
  <si>
    <t>Henndorf</t>
  </si>
  <si>
    <t>47.8904800</t>
  </si>
  <si>
    <t>13.1816800</t>
  </si>
  <si>
    <t>+436767620210</t>
  </si>
  <si>
    <t>adlertrans@hotmail.com</t>
  </si>
  <si>
    <t>Meier, Hubert, Elektroinstallation • Oberarnsdorf • Salzburg</t>
  </si>
  <si>
    <t>Elektrogeräte u. -bedarf, Elektrotechnik • Meier, Hubert, Holzleiten 11, Oberarnsdorf • Kontakt über aktuelle Telefonnummern ☎ und Adressen ⚑ mit Karte, Routing, Öffnungszeiten, Homepage, E-Mail, vCard und Firmendaten.</t>
  </si>
  <si>
    <t>Holzleiten 11</t>
  </si>
  <si>
    <t>Oberarnsdorf</t>
  </si>
  <si>
    <t>47.97624</t>
  </si>
  <si>
    <t>12.9527</t>
  </si>
  <si>
    <t>+4362747542;+436641449803</t>
  </si>
  <si>
    <t>office@elektro-meier-hubert.at</t>
  </si>
  <si>
    <t>https://bilder.dasschnelle.at/DasSchnelle/50/5000/9914/043318/I_043318_P_906300236_L_0037076204_1.png</t>
  </si>
  <si>
    <t>https://bilder.dasschnelle.at/DasSchnelle/50/5000/9914/043318/I_043318_P_906300236_B_0037076204_1.gal.png?height=450&amp;width=309;https://bilder.dasschnelle.at/DasSchnelle/50/5000/9914/043318/I_043318_P_906300236_B_0037076204_2.gal.png?height=450&amp;width=298;https://bilder.dasschnelle.at/DasSchnelle/50/5000/9914/043318/I_043318_P_906300236_B_0037076204_3.gal.png?height=396&amp;width=600;https://bilder.dasschnelle.at/DasSchnelle/50/5000/9914/043318/I_043318_P_906300236_B_0037076204_4.gal.png?height=392&amp;width=600</t>
  </si>
  <si>
    <t>Klaro Bau GmbH • Sankt Georgen bei Salzburg • Salzburg</t>
  </si>
  <si>
    <t>Bauunternehmen • Klaro Bau GmbH, Siedlungsstraße 7, Sankt Georgen bei Salzburg • Kontakt über aktuelle Telefonnummern ☎ und Adressen ⚑ mit Karte, Routing, Öffnungszeiten, Homepage, E-Mail, vCard und Firmendaten.</t>
  </si>
  <si>
    <t>Siedlungsstraße 7</t>
  </si>
  <si>
    <t>47.9912124</t>
  </si>
  <si>
    <t>12.8858273</t>
  </si>
  <si>
    <t>+4362728534;+436642602819</t>
  </si>
  <si>
    <t>klaro@sbg.at</t>
  </si>
  <si>
    <t>https://bilder.dasschnelle.at/DasSchnelle/50/5000/9914/043325/G_043325_P_906300241.adn.gif</t>
  </si>
  <si>
    <t>Frank, Gerald, Glaserei - Glasschleiferei • Laufen</t>
  </si>
  <si>
    <t>Glasereien, Schleifereien • Frank, Gerald, Teisendorfer Straße 55, Laufen • Kontakt über aktuelle Telefonnummern ☎ und Adressen ⚑ mit Karte, Routing, Öffnungszeiten, Homepage, E-Mail, vCard und Firmendaten.</t>
  </si>
  <si>
    <t>Teisendorfer Straße 55</t>
  </si>
  <si>
    <t>83410</t>
  </si>
  <si>
    <t>Laufen</t>
  </si>
  <si>
    <t>-338102</t>
  </si>
  <si>
    <t>181188</t>
  </si>
  <si>
    <t>+43498682402</t>
  </si>
  <si>
    <t>+4386827330</t>
  </si>
  <si>
    <t>info@glaserei-frank.de</t>
  </si>
  <si>
    <t>https://bilder.dasschnelle.at/DasSchnelle/50/5000/9914/043322/G_043322_P_906300246.adn.gif</t>
  </si>
  <si>
    <t>Musteralpe Plansee, Karin Ratz, Gasthaus • Breitenwang • Tirol</t>
  </si>
  <si>
    <t>Gastgewerbe - Gasthöfe • Musteralpe Plansee, Karin Ratz, Planseestraße 1, Breitenwang • Kontakt über aktuelle Telefonnummern ☎ und Adressen ⚑ mit Karte, Routing, Öffnungszeiten, Homepage, E-Mail, vCard und Firmendaten.</t>
  </si>
  <si>
    <t>Planseestraße 1</t>
  </si>
  <si>
    <t>47.48827</t>
  </si>
  <si>
    <t>10.72709</t>
  </si>
  <si>
    <t>+43567278</t>
  </si>
  <si>
    <t>ratz.meusburger@gmx.at</t>
  </si>
  <si>
    <t>https://bilder.dasschnelle.at/DasSchnelle/50/5000/9921/044841/G_044841_P_906300248.adn.gif</t>
  </si>
  <si>
    <t>Meyrhuber Albert Stroheimer Hof KG, Gasthof • Stroheim • Oberösterreich</t>
  </si>
  <si>
    <t>Gastgewerbe - Gasthöfe • Meyrhuber Albert Stroheimer Hof KG, Stroheim 1, Stroheim • Kontakt über aktuelle Telefonnummern ☎ und Adressen ⚑ mit Karte, Routing, Öffnungszeiten, Homepage, E-Mail, vCard und Firmendaten.</t>
  </si>
  <si>
    <t>Stroheim 1</t>
  </si>
  <si>
    <t>48.3381377</t>
  </si>
  <si>
    <t>13.9571138</t>
  </si>
  <si>
    <t>+4372726217</t>
  </si>
  <si>
    <t>office@stroheimerhof.at</t>
  </si>
  <si>
    <t>https://bilder.dasschnelle.at/DasSchnelle/50/5000/9876/044814/G_044814_P_906300250.adn.gif</t>
  </si>
  <si>
    <t>Nosek GmbH, Installationsunternehmen • Baden • Niederösterreich</t>
  </si>
  <si>
    <t>Installationsunternehmen • Nosek GmbH, Vöslauer Straße 11, Baden • Kontakt über aktuelle Telefonnummern ☎ und Adressen ⚑ mit Karte, Routing, Öffnungszeiten, Homepage, E-Mail, vCard und Firmendaten.</t>
  </si>
  <si>
    <t>Vöslauer Straße 11</t>
  </si>
  <si>
    <t>48.00324</t>
  </si>
  <si>
    <t>16.23145</t>
  </si>
  <si>
    <t>+43225285920</t>
  </si>
  <si>
    <t>+43225281801</t>
  </si>
  <si>
    <t>office@nosek.at</t>
  </si>
  <si>
    <t>https://bilder.dasschnelle.at/DasSchnelle/50/5000/9870/041339/G_041339_P_906302884.adn.gif</t>
  </si>
  <si>
    <t>Reitsberger, Ludwig, Bohr-, Beton- u Sägearbeiten • Lamprechtshausen • Salzburg</t>
  </si>
  <si>
    <t>Betonbohr- u. -schneidedienst • Reitsberger, Ludwig, Reit 4, Lamprechtshausen • Kontakt über aktuelle Telefonnummern ☎ und Adressen ⚑ mit Karte, Routing, Öffnungszeiten, Homepage, E-Mail, vCard und Firmendaten.</t>
  </si>
  <si>
    <t>Reit 4</t>
  </si>
  <si>
    <t>47.9729374</t>
  </si>
  <si>
    <t>12.9447503</t>
  </si>
  <si>
    <t>+4362744441</t>
  </si>
  <si>
    <t>l.reitsberger@gmx.at</t>
  </si>
  <si>
    <t>https://bilder.dasschnelle.at/DasSchnelle/50/5000/9914/043318/G_043318_P_906302887.adn.gif</t>
  </si>
  <si>
    <t>Wilthoner, Klaus, Prim.Dr., FA für Innere Medizin • Ohlsdorf • Oberösterreich</t>
  </si>
  <si>
    <t>Innere Medizin • Wilthoner, Klaus, Prim.Dr., Hauptstraße 9, Ohlsdorf • Kontakt über aktuelle Telefonnummern ☎ und Adressen ⚑ mit Karte, Routing, Öffnungszeiten, Homepage, E-Mail, vCard und Firmendaten.</t>
  </si>
  <si>
    <t>47.95966</t>
  </si>
  <si>
    <t>13.79057</t>
  </si>
  <si>
    <t>+436644386748</t>
  </si>
  <si>
    <t>internist-wilthoner@traunseenet.at</t>
  </si>
  <si>
    <t>https://bilder.dasschnelle.at/DasSchnelle/50/5000/9886/041800/G_041800_P_906304148.adn.gif</t>
  </si>
  <si>
    <t>Klaps, Alexander, Zimmereien • Baden • Niederösterreich</t>
  </si>
  <si>
    <t>Zimmereien • Klaps, Alexander, Friedrich Schiller-Platz 4, Baden • Kontakt über aktuelle Telefonnummern ☎ und Adressen ⚑ mit Karte, Routing, Öffnungszeiten, Homepage, E-Mail, vCard und Firmendaten.</t>
  </si>
  <si>
    <t>Friedrich Schiller-Platz 4</t>
  </si>
  <si>
    <t>48.0014700</t>
  </si>
  <si>
    <t>16.2171700</t>
  </si>
  <si>
    <t>+43225244491</t>
  </si>
  <si>
    <t>+43225223884</t>
  </si>
  <si>
    <t>zimdach@klaps.at</t>
  </si>
  <si>
    <t>https://bilder.dasschnelle.at/DasSchnelle/50/5000/9870/041339/G_041339_P_906304652.adn.gif</t>
  </si>
  <si>
    <t>Degeorgi, Franz, Bauspenglerei • Tribuswinkel • Niederösterreich</t>
  </si>
  <si>
    <t>Bauspenglereien • Degeorgi, Franz, Gewerbestraße 9, Tribuswinkel • Kontakt über aktuelle Telefonnummern ☎ und Adressen ⚑ mit Karte, Routing, Öffnungszeiten, Homepage, E-Mail, vCard und Firmendaten.</t>
  </si>
  <si>
    <t>47.9834</t>
  </si>
  <si>
    <t>16.28487</t>
  </si>
  <si>
    <t>+43225282566</t>
  </si>
  <si>
    <t>+43225223151</t>
  </si>
  <si>
    <t>office@spenglerei-degeorgi.at</t>
  </si>
  <si>
    <t>https://bilder.dasschnelle.at/DasSchnelle/50/5000/9870/041362/I_041362_P_906304657_L_0035971070_1.png</t>
  </si>
  <si>
    <t>https://bilder.dasschnelle.at/DasSchnelle/50/5000/9870/041362/I_041362_P_906304657_B_0035971070_1.gal.png?height=300&amp;width=600;https://bilder.dasschnelle.at/DasSchnelle/50/5000/9870/041362/I_041362_P_906304657_B_0035971070_2.gal.png?height=300&amp;width=600;https://bilder.dasschnelle.at/DasSchnelle/50/5000/9870/041362/I_041362_P_906304657_B_0035971070_3.gal.png?height=300&amp;width=600;https://bilder.dasschnelle.at/DasSchnelle/50/5000/9870/041362/I_041362_P_906304657_B_0035971070_4.gal.png?height=300&amp;width=600</t>
  </si>
  <si>
    <t>secutek sicherheitstüren gmbH • Baden • Niederösterreich</t>
  </si>
  <si>
    <t>Sicherheitstechnik • secutek sicherheitstüren gmbH, Wassergasse 22 -26, Baden • Kontakt über aktuelle Telefonnummern ☎ und Adressen ⚑ mit Karte, Routing, Öffnungszeiten, Homepage, E-Mail, vCard und Firmendaten.</t>
  </si>
  <si>
    <t>+436604041542</t>
  </si>
  <si>
    <t>office@secutek.at</t>
  </si>
  <si>
    <t>JV Entsorgungs GmbH • Altmünster • Oberösterreich</t>
  </si>
  <si>
    <t>Abfallentsorgung u. -verwertung • JV Entsorgungs GmbH, Römerstraße 9, Altmünster • Kontakt über aktuelle Telefonnummern ☎ und Adressen ⚑ mit Karte, Routing, Öffnungszeiten, Homepage, E-Mail, vCard und Firmendaten.</t>
  </si>
  <si>
    <t>Römerstraße 9</t>
  </si>
  <si>
    <t>47.90446</t>
  </si>
  <si>
    <t>13.75979</t>
  </si>
  <si>
    <t>+4369916700633</t>
  </si>
  <si>
    <t>office@mistweg.at</t>
  </si>
  <si>
    <t>https://bilder.dasschnelle.at/DasSchnelle/50/5000/9886/041788/I_041788_P_906304661_L_0036738722_1.png</t>
  </si>
  <si>
    <t>https://bilder.dasschnelle.at/DasSchnelle/50/5000/9886/041788/I_041788_P_906304661_B_0036738722_1.gal.png?height=540&amp;width=720;https://bilder.dasschnelle.at/DasSchnelle/50/5000/9886/041788/I_041788_P_906304661_B_0036738722_2.gal.png?height=600&amp;width=800;https://bilder.dasschnelle.at/DasSchnelle/50/5000/9886/041788/I_041788_P_906304661_B_0036738722_3.gal.png?height=540&amp;width=720;https://bilder.dasschnelle.at/DasSchnelle/50/5000/9886/041788/I_041788_P_906304661_B_0036738722_4.gal.png?height=540&amp;width=720</t>
  </si>
  <si>
    <t>Forstservice Hufnagl • Altmünster • Oberösterreich</t>
  </si>
  <si>
    <t>Forstservice • Forstservice Hufnagl, Eck 8, Altmünster • Kontakt über aktuelle Telefonnummern ☎ und Adressen ⚑ mit Karte, Routing, Öffnungszeiten, Homepage, E-Mail, vCard und Firmendaten.</t>
  </si>
  <si>
    <t>Eck 8</t>
  </si>
  <si>
    <t>47.9141959</t>
  </si>
  <si>
    <t>13.7721612</t>
  </si>
  <si>
    <t>+4366475012135</t>
  </si>
  <si>
    <t>hufi.max@gmx.at</t>
  </si>
  <si>
    <t>https://bilder.dasschnelle.at/DasSchnelle/50/5000/9886/041788/I_041788_P_906304662_L_0038793406_1.png</t>
  </si>
  <si>
    <t>https://bilder.dasschnelle.at/DasSchnelle/50/5000/9886/041788/I_041788_P_906304662_B_0038793406_1.gal.png?height=720&amp;width=540;https://bilder.dasschnelle.at/DasSchnelle/50/5000/9886/041788/I_041788_P_906304662_B_0038793406_2.gal.png?height=640&amp;width=426;https://bilder.dasschnelle.at/DasSchnelle/50/5000/9886/041788/I_041788_P_906304662_B_0038793406_3.gal.png?height=405&amp;width=720;https://bilder.dasschnelle.at/DasSchnelle/50/5000/9886/041788/I_041788_P_906304662_B_0038793406_4.gal.png?height=720&amp;width=540</t>
  </si>
  <si>
    <t>Seehotel Schwan Gmunden Josef Nöstlinger KG • Gmunden • Oberösterreich</t>
  </si>
  <si>
    <t>Hotels • Seehotel Schwan Gmunden Josef Nöstlinger KG, Rathausplatz 8, Gmunden • Kontakt über aktuelle Telefonnummern ☎ und Adressen ⚑ mit Karte, Routing, Öffnungszeiten, Homepage, E-Mail, vCard und Firmendaten.</t>
  </si>
  <si>
    <t>Rathausplatz 8</t>
  </si>
  <si>
    <t>47.91821</t>
  </si>
  <si>
    <t>13.80042</t>
  </si>
  <si>
    <t>+437612633910</t>
  </si>
  <si>
    <t>+437612633918</t>
  </si>
  <si>
    <t>office@seehotel-schwan.at</t>
  </si>
  <si>
    <t>https://bilder.dasschnelle.at/DasSchnelle/50/5000/9886/041792/G_041792_P_906304663.adn.gif</t>
  </si>
  <si>
    <t>Autengruber Metalldesign GmbH • Pinsdorf • Oberösterreich</t>
  </si>
  <si>
    <t>Metallbau • Autengruber Metalldesign GmbH, Leherbauernweg 6, Pinsdorf • Kontakt über aktuelle Telefonnummern ☎ und Adressen ⚑ mit Karte, Routing, Öffnungszeiten, Homepage, E-Mail, vCard und Firmendaten.</t>
  </si>
  <si>
    <t>Leherbauernweg 6</t>
  </si>
  <si>
    <t>47.94183</t>
  </si>
  <si>
    <t>13.75615</t>
  </si>
  <si>
    <t>+436642520154</t>
  </si>
  <si>
    <t>office@autengruber-metall.at</t>
  </si>
  <si>
    <t>https://bilder.dasschnelle.at/DasSchnelle/50/5000/9886/041801/I_041801_P_906304667_L_0036262526_1.png</t>
  </si>
  <si>
    <t>https://bilder.dasschnelle.at/DasSchnelle/50/5000/9886/041801/I_041801_P_906304667_B_0036262526_1.gal.png?height=574&amp;width=720;https://bilder.dasschnelle.at/DasSchnelle/50/5000/9886/041801/I_041801_P_906304667_B_0036262526_2.gal.png?height=574&amp;width=720;https://bilder.dasschnelle.at/DasSchnelle/50/5000/9886/041801/I_041801_P_906304667_B_0036262526_3.gal.png?height=576&amp;width=720;https://bilder.dasschnelle.at/DasSchnelle/50/5000/9886/041801/I_041801_P_906304667_B_0036262526_4.gal.png?height=576&amp;width=720</t>
  </si>
  <si>
    <t>Schafleitner Fenster u Sonnenschutz GmbH • Straßwalchen • Salzburg</t>
  </si>
  <si>
    <t>Fenster u. Türen, Sonnen u. Insektenschutz • Schafleitner Fenster u Sonnenschutz GmbH, Mondseerstraße 4, Straßwalchen • Kontakt über aktuelle Telefonnummern ☎ und Adressen ⚑ mit Karte, Routing, Öffnungszeiten, Homepage, E-Mail, vCard und Firmendaten.</t>
  </si>
  <si>
    <t>Mondseerstraße 4</t>
  </si>
  <si>
    <t>47.9763</t>
  </si>
  <si>
    <t>13.2555</t>
  </si>
  <si>
    <t>+4362156504;+436644489225</t>
  </si>
  <si>
    <t>office@schafleitner.at</t>
  </si>
  <si>
    <t>https://bilder.dasschnelle.at/DasSchnelle/50/5000/9935/043329/I_043329_P_906307367_L_0036420739_1.png</t>
  </si>
  <si>
    <t>https://bilder.dasschnelle.at/DasSchnelle/50/5000/9935/043329/I_043329_P_906307367_B_0036420739_1.gal.png?height=720&amp;width=720;https://bilder.dasschnelle.at/DasSchnelle/50/5000/9935/043329/I_043329_P_906307367_B_0036420739_2.gal.png?height=720&amp;width=720;https://bilder.dasschnelle.at/DasSchnelle/50/5000/9935/043329/I_043329_P_906307367_B_0036420739_3.gal.png?height=468&amp;width=720;https://bilder.dasschnelle.at/DasSchnelle/50/5000/9935/043329/G_043329_P_906307367.adn.gif</t>
  </si>
  <si>
    <t>A.D.L. Estrich • Regau • Oberösterreich</t>
  </si>
  <si>
    <t>Estriche • A.D.L. Estrich, Am Agersteg 22, Regau • Kontakt über aktuelle Telefonnummern ☎ und Adressen ⚑ mit Karte, Routing, Öffnungszeiten, Homepage, E-Mail, vCard und Firmendaten.</t>
  </si>
  <si>
    <t>Am Agersteg 22</t>
  </si>
  <si>
    <t>48.00325</t>
  </si>
  <si>
    <t>13.65702</t>
  </si>
  <si>
    <t>+436766489045</t>
  </si>
  <si>
    <t>info@adl-estrich.at</t>
  </si>
  <si>
    <t>https://bilder.dasschnelle.at/DasSchnelle/50/5000/9886/041788/I_043555_P_906307369_L_0039977003_1.png</t>
  </si>
  <si>
    <t>https://bilder.dasschnelle.at/DasSchnelle/50/5000/9886/041788/I_043555_P_906307369_B_0039977003_1.gal.png?height=540&amp;width=720;https://bilder.dasschnelle.at/DasSchnelle/50/5000/9886/041788/I_043555_P_906307369_B_0039977003_2.gal.png?height=540&amp;width=720;https://bilder.dasschnelle.at/DasSchnelle/50/5000/9886/041788/I_043555_P_906307369_B_0039977003_3.gal.png?height=405&amp;width=720;https://bilder.dasschnelle.at/DasSchnelle/50/5000/9886/041788/I_043555_P_906307369_B_0039977003_4.gal.png?height=540&amp;width=720</t>
  </si>
  <si>
    <t>Dosti, Karin, Dr. • Pottendorf • Niederösterreich</t>
  </si>
  <si>
    <t>Ärzte / Fachärzte f. Zahn-, Mund u. Kieferheilkunde, Zahnärzte • Dosti, Karin, Dr., Marktplatz 5, Pottendorf • Kontakt über aktuelle Telefonnummern ☎ und Adressen ⚑ mit Karte, Routing, Öffnungszeiten, Homepage, E-Mail, vCard und Firmendaten.</t>
  </si>
  <si>
    <t>Marktplatz 5</t>
  </si>
  <si>
    <t>2486</t>
  </si>
  <si>
    <t>Pottendorf</t>
  </si>
  <si>
    <t>47.91005</t>
  </si>
  <si>
    <t>16.38912</t>
  </si>
  <si>
    <t>+43262373853</t>
  </si>
  <si>
    <t>kdosti@gmail.com</t>
  </si>
  <si>
    <t>https://bilder.dasschnelle.at/DasSchnelle/50/5000/9870/041354/I_041354_P_906308935_L_0037301065_1.png</t>
  </si>
  <si>
    <t>https://bilder.dasschnelle.at/DasSchnelle/50/5000/9870/041354/I_041354_P_906308935_B_0037301065_1.gal.png?height=308&amp;width=720;https://bilder.dasschnelle.at/DasSchnelle/50/5000/9870/041354/I_041354_P_906308935_B_0037301065_2.gal.png?height=480&amp;width=720;https://bilder.dasschnelle.at/DasSchnelle/50/5000/9870/041354/I_041354_P_906308935_B_0037301065_3.gal.png?height=480&amp;width=720;https://bilder.dasschnelle.at/DasSchnelle/50/5000/9870/041354/I_041354_P_906308935_B_0037301065_4.gal.png?height=306&amp;width=720</t>
  </si>
  <si>
    <t>Falkner, Christian, Dr., Rechtsanwalt • Baden • Niederösterreich</t>
  </si>
  <si>
    <t>Rechtsanwälte • Falkner, Christian, Dr., Marchetstraße 6, Baden • Kontakt über aktuelle Telefonnummern ☎ und Adressen ⚑ mit Karte, Routing, Öffnungszeiten, Homepage, E-Mail, vCard und Firmendaten.</t>
  </si>
  <si>
    <t>Marchetstraße 6</t>
  </si>
  <si>
    <t>48.0093863</t>
  </si>
  <si>
    <t>16.2307769</t>
  </si>
  <si>
    <t>+432252252600</t>
  </si>
  <si>
    <t>office@ra-falkner.at</t>
  </si>
  <si>
    <t>https://bilder.dasschnelle.at/DasSchnelle/50/5000/9870/041339/G_041339_P_906303725.adn.gif</t>
  </si>
  <si>
    <t>Katzenschlager GesmbH, KFZ-Werkstatt • Tribuswinkel • Niederösterreich</t>
  </si>
  <si>
    <t>Autoreparaturen, Spenglereien • Katzenschlager GesmbH, Sochorgasse 4, Tribuswinkel • Kontakt über aktuelle Telefonnummern ☎ und Adressen ⚑ mit Karte, Routing, Öffnungszeiten, Homepage, E-Mail, vCard und Firmendaten.</t>
  </si>
  <si>
    <t>Sochorgasse 4</t>
  </si>
  <si>
    <t>47.98445</t>
  </si>
  <si>
    <t>16.2893</t>
  </si>
  <si>
    <t>+432252862500</t>
  </si>
  <si>
    <t>office@kfz-katzenschlager.at</t>
  </si>
  <si>
    <t>https://bilder.dasschnelle.at/DasSchnelle/50/5000/9870/041362/I_041362_P_906303956_L_0036738864_1.png</t>
  </si>
  <si>
    <t>https://bilder.dasschnelle.at/DasSchnelle/50/5000/9870/041362/I_041362_P_906303956_B_0036738864_1.gal.png?height=255&amp;width=720;https://bilder.dasschnelle.at/DasSchnelle/50/5000/9870/041362/I_041362_P_906303956_B_0036738864_2.gal.png?height=489&amp;width=720;https://bilder.dasschnelle.at/DasSchnelle/50/5000/9870/041362/I_041362_P_906303956_B_0036738864_3.gal.png?height=501&amp;width=720</t>
  </si>
  <si>
    <t>Erdbau Franz Eder GmbH &amp; Co KG • Lamprechtshausen • Salzburg</t>
  </si>
  <si>
    <t>Erdarbeiten • Erdbau Franz Eder GmbH &amp; Co KG, Käsereistraße 3, Lamprechtshausen • Kontakt über aktuelle Telefonnummern ☎ und Adressen ⚑ mit Karte, Routing, Öffnungszeiten, Homepage, E-Mail, vCard und Firmendaten.</t>
  </si>
  <si>
    <t>Käsereistraße 3</t>
  </si>
  <si>
    <t>47.99006</t>
  </si>
  <si>
    <t>12.96598</t>
  </si>
  <si>
    <t>+4362746413;+436643375951</t>
  </si>
  <si>
    <t>office@erdbau-eder.at</t>
  </si>
  <si>
    <t>https://bilder.dasschnelle.at/DasSchnelle/50/5000/9914/043318/I_043318_P_906303962_L_0037079639_1.png</t>
  </si>
  <si>
    <t>https://bilder.dasschnelle.at/DasSchnelle/50/5000/9914/043318/I_043318_P_906303962_B_0037079639_1.gal.png?height=403&amp;width=720;https://bilder.dasschnelle.at/DasSchnelle/50/5000/9914/043318/I_043318_P_906303962_B_0037079639_2.gal.png?height=541&amp;width=716;https://bilder.dasschnelle.at/DasSchnelle/50/5000/9914/043318/I_043318_P_906303962_B_0037079639_3.gal.png?height=651&amp;width=720;https://bilder.dasschnelle.at/DasSchnelle/50/5000/9914/043318/I_043318_P_906303962_B_0037079639_4.gal.png?height=538&amp;width=720</t>
  </si>
  <si>
    <t>Wunderlich &amp; Schott Haustechnik OG • Tribuswinkel • Niederösterreich</t>
  </si>
  <si>
    <t>Haustechnik • Wunderlich &amp; Schott Haustechnik OG, Sängerhofgasse 30 B, Tribuswinkel • Kontakt über aktuelle Telefonnummern ☎ und Adressen ⚑ mit Karte, Routing, Öffnungszeiten, Homepage, E-Mail, vCard und Firmendaten.</t>
  </si>
  <si>
    <t>Sängerhofgasse 30 B</t>
  </si>
  <si>
    <t>48.004912</t>
  </si>
  <si>
    <t>16.266698</t>
  </si>
  <si>
    <t>+436763547340</t>
  </si>
  <si>
    <t>office@ws-haustechnik.at</t>
  </si>
  <si>
    <t>https://bilder.dasschnelle.at/DasSchnelle/50/5000/9870/041362/G_041362_P_906304256.adn.gif</t>
  </si>
  <si>
    <t>Leitner, Florian, Tischler • Neukirchen • Oberösterreich</t>
  </si>
  <si>
    <t>Tischlereien • Leitner, Florian, Neukirchen 52, Neukirchen • Kontakt über aktuelle Telefonnummern ☎ und Adressen ⚑ mit Karte, Routing, Öffnungszeiten, Homepage, E-Mail, vCard und Firmendaten.</t>
  </si>
  <si>
    <t>Neukirchen 52</t>
  </si>
  <si>
    <t>47.8721800</t>
  </si>
  <si>
    <t>13.7051600</t>
  </si>
  <si>
    <t>+4369915076148</t>
  </si>
  <si>
    <t>office@leitner-tischler.at</t>
  </si>
  <si>
    <t>https://bilder.dasschnelle.at/DasSchnelle/50/5000/9886/041788/G_041788_P_906304263.adn.gif</t>
  </si>
  <si>
    <t>Spitzwieser, Hermann, Vollwärmeschutz u Fassaden • Michaelbeuern • Salzburg</t>
  </si>
  <si>
    <t>Vollwärmeschutz • Spitzwieser, Hermann, Vorau 76, Michaelbeuern • Kontakt über aktuelle Telefonnummern ☎ und Adressen ⚑ mit Karte, Routing, Öffnungszeiten, Homepage, E-Mail, vCard und Firmendaten.</t>
  </si>
  <si>
    <t>Vorau 76</t>
  </si>
  <si>
    <t>48.0091451</t>
  </si>
  <si>
    <t>13.0287994</t>
  </si>
  <si>
    <t>+436643935081;+436641523380</t>
  </si>
  <si>
    <t>+4362748528</t>
  </si>
  <si>
    <t>spietzwieser.vws@sbg.at</t>
  </si>
  <si>
    <t>https://bilder.dasschnelle.at/DasSchnelle/50/5000/9914/043605/G_043605_P_906306094.adn.gif</t>
  </si>
  <si>
    <t>Lukas Breitfuß, Dr. med. dent. • Oberndorf • Salzburg</t>
  </si>
  <si>
    <t>Zahnärzte • Lukas Breitfuß, Dr. med. dent., Franz-Xaver-Grimm-Straße 2, Oberndorf • Kontakt über aktuelle Telefonnummern ☎ und Adressen ⚑ mit Karte, Routing, Öffnungszeiten, Homepage, E-Mail, vCard und Firmendaten.</t>
  </si>
  <si>
    <t>Franz-Xaver-Grimm-Straße 2</t>
  </si>
  <si>
    <t>47.94062</t>
  </si>
  <si>
    <t>12.94302</t>
  </si>
  <si>
    <t>+4362725446</t>
  </si>
  <si>
    <t>ordination@zahnarzt-oberndorf.at</t>
  </si>
  <si>
    <t>https://bilder.dasschnelle.at/DasSchnelle/50/5000/9914/043322/G_043322_P_906306097.adn.gif</t>
  </si>
  <si>
    <t>Üblagger, Gert, DDr., FA f Zahn-, Mund- u Kieferheilkunde • Seekirchen • Salzburg</t>
  </si>
  <si>
    <t>Ärzte / Fachärzte f. Zahn-, Mund u. Kieferheilkunde • Üblagger, Gert, DDr., Mathias-Bayrhammer-Straße 22, Seekirchen • Kontakt über aktuelle Telefonnummern ☎ und Adressen ⚑ mit Karte, Routing, Öffnungszeiten, Homepage, E-Mail, vCard und Firmendaten.</t>
  </si>
  <si>
    <t>Mathias-Bayrhammer-Straße 22</t>
  </si>
  <si>
    <t>47.8931660</t>
  </si>
  <si>
    <t>13.1230485</t>
  </si>
  <si>
    <t>+4362122252</t>
  </si>
  <si>
    <t>gueb@gmx.net</t>
  </si>
  <si>
    <t>https://bilder.dasschnelle.at/DasSchnelle/50/5000/9931/043333/G_043333_P_906306099.adn.gif</t>
  </si>
  <si>
    <t>Apotheke zum Erlöser Mag. pharm. Ilse Wunderlich-Polzer • Bad Vöslau • Niederösterreich</t>
  </si>
  <si>
    <t>Apotheken • Apotheke zum Erlöser Mag. pharm. Ilse Wunderlich-Polzer, Hochstraße 25, Bad Vöslau • Kontakt über aktuelle Telefonnummern ☎ und Adressen ⚑ mit Karte, Routing, Öffnungszeiten, Homepage, E-Mail, vCard und Firmendaten.</t>
  </si>
  <si>
    <t>Hochstraße 25</t>
  </si>
  <si>
    <t>47.96442</t>
  </si>
  <si>
    <t>16.20913</t>
  </si>
  <si>
    <t>+43225276285</t>
  </si>
  <si>
    <t>+43225274688</t>
  </si>
  <si>
    <t>apo.erloeser@aon.at</t>
  </si>
  <si>
    <t>https://bilder.dasschnelle.at/DasSchnelle/50/5000/9870/041338/G_041338_P_906306103.adn.gif</t>
  </si>
  <si>
    <t>Skalnik, Martin, Physiotherapie • Baden • Niederösterreich</t>
  </si>
  <si>
    <t>Physiotherapie • Skalnik, Martin, Helenenstraße 58, Baden • Kontakt über aktuelle Telefonnummern ☎ und Adressen ⚑ mit Karte, Routing, Öffnungszeiten, Homepage, E-Mail, vCard und Firmendaten.</t>
  </si>
  <si>
    <t>Helenenstraße 58</t>
  </si>
  <si>
    <t>48.00794</t>
  </si>
  <si>
    <t>16.21248</t>
  </si>
  <si>
    <t>+432252206930</t>
  </si>
  <si>
    <t>rtz.helenental@aon.at</t>
  </si>
  <si>
    <t>https://bilder.dasschnelle.at/DasSchnelle/50/5000/9870/041339/G_041339_P_906306108.adn.gif</t>
  </si>
  <si>
    <t>Andi Bau e.U. • Desselbrunn • Oberösterreich</t>
  </si>
  <si>
    <t>Bauunternehmen • Andi Bau e.U., Deutenham 47, Desselbrunn • Kontakt über aktuelle Telefonnummern ☎ und Adressen ⚑ mit Karte, Routing, Öffnungszeiten, Homepage, E-Mail, vCard und Firmendaten.</t>
  </si>
  <si>
    <t>Deutenham 47</t>
  </si>
  <si>
    <t>47.9580774</t>
  </si>
  <si>
    <t>13.7519339</t>
  </si>
  <si>
    <t>+436763155213</t>
  </si>
  <si>
    <t>office@andi-erdbau.at</t>
  </si>
  <si>
    <t>https://bilder.dasschnelle.at/DasSchnelle/50/5000/9886/041800/I_041800_P_906306110_L_0039976840_1.png</t>
  </si>
  <si>
    <t>https://bilder.dasschnelle.at/DasSchnelle/50/5000/9886/041800/I_041800_P_906306110_B_0039976840_1.gal.png?height=537&amp;width=720;https://bilder.dasschnelle.at/DasSchnelle/50/5000/9886/041800/I_041800_P_906306110_B_0039976840_2.gal.png?height=720&amp;width=540;https://bilder.dasschnelle.at/DasSchnelle/50/5000/9886/041800/I_041800_P_906306110_B_0039976840_3.gal.png?height=534&amp;width=720;https://bilder.dasschnelle.at/DasSchnelle/50/5000/9886/041800/I_041800_P_906306110_B_0039976840_4.gal.png?height=522&amp;width=720</t>
  </si>
  <si>
    <t>Waltenberger Kurt • Vorchdorf • Oberösterreich</t>
  </si>
  <si>
    <t>Bodenbeläge • Waltenberger Kurt, Eichham 2, Vorchdorf • Kontakt über aktuelle Telefonnummern ☎ und Adressen ⚑ mit Karte, Routing, Öffnungszeiten, Homepage, E-Mail, vCard und Firmendaten.</t>
  </si>
  <si>
    <t>Eichham 2</t>
  </si>
  <si>
    <t>47.9804202</t>
  </si>
  <si>
    <t>13.9204754</t>
  </si>
  <si>
    <t>+436641144595</t>
  </si>
  <si>
    <t>office@boden-parkett.at</t>
  </si>
  <si>
    <t>https://bilder.dasschnelle.at/DasSchnelle/50/5000/9886/041807/I_041807_P_906306112_L_0038395252_1.png</t>
  </si>
  <si>
    <t>https://bilder.dasschnelle.at/DasSchnelle/50/5000/9886/041807/I_041807_P_906306112_B_0038395252_1.gal.png?height=537&amp;width=720;https://bilder.dasschnelle.at/DasSchnelle/50/5000/9886/041807/I_041807_P_906306112_B_0038395252_2.gal.png?height=720&amp;width=535;https://bilder.dasschnelle.at/DasSchnelle/50/5000/9886/041807/I_041807_P_906306112_B_0038395252_3.gal.png?height=538&amp;width=720;https://bilder.dasschnelle.at/DasSchnelle/50/5000/9886/041807/I_041807_P_906306112_B_0038395252_4.gal.png?height=571&amp;width=720</t>
  </si>
  <si>
    <t>Ernst Winninger GmbH, Kälte - Klima - Gastro - Technik • Regau • Oberösterreich</t>
  </si>
  <si>
    <t>Klimatechnik • Ernst Winninger GmbH, Handelsstrasse 10, Regau • Kontakt über aktuelle Telefonnummern ☎ und Adressen ⚑ mit Karte, Routing, Öffnungszeiten, Homepage, E-Mail, vCard und Firmendaten.</t>
  </si>
  <si>
    <t>Handelsstrasse 10</t>
  </si>
  <si>
    <t>47.9959947</t>
  </si>
  <si>
    <t>13.6853017</t>
  </si>
  <si>
    <t>+43767272725</t>
  </si>
  <si>
    <t>office@winninger.at</t>
  </si>
  <si>
    <t>https://bilder.dasschnelle.at/DasSchnelle/50/5000/9886/041792/I_043097_P_906306113_L_0035999544_1.png</t>
  </si>
  <si>
    <t>https://bilder.dasschnelle.at/DasSchnelle/50/5000/9886/041792/I_043097_P_906306113_B_0035999544_1.gal.png?height=720&amp;width=720;https://bilder.dasschnelle.at/DasSchnelle/50/5000/9886/041792/I_043097_P_906306113_B_0035999544_2.gal.png?height=720&amp;width=720;https://bilder.dasschnelle.at/DasSchnelle/50/5000/9886/041792/I_043097_P_906306113_B_0035999544_3.gal.png?height=720&amp;width=720;https://bilder.dasschnelle.at/DasSchnelle/50/5000/9886/041792/I_043097_P_906306113_B_0035999544_4.gal.png?height=720&amp;width=720</t>
  </si>
  <si>
    <t>Montagearbeiten Senfter • Gmunden • Oberösterreich</t>
  </si>
  <si>
    <t>Montagearbeiten, Schlossereien • Montagearbeiten Senfter, Neuhofenstrasse 37, Gmunden • Kontakt über aktuelle Telefonnummern ☎ und Adressen ⚑ mit Karte, Routing, Öffnungszeiten, Homepage, E-Mail, vCard und Firmendaten.</t>
  </si>
  <si>
    <t>Neuhofenstrasse 37</t>
  </si>
  <si>
    <t>47.93195</t>
  </si>
  <si>
    <t>13.78093</t>
  </si>
  <si>
    <t>+436765164282</t>
  </si>
  <si>
    <t>info@montagearbeiten-senfter.at</t>
  </si>
  <si>
    <t>https://bilder.dasschnelle.at/DasSchnelle/50/5000/9886/041801/I_041801_P_906307310_L_0038797033_1.png</t>
  </si>
  <si>
    <t>https://bilder.dasschnelle.at/DasSchnelle/50/5000/9886/041801/I_041801_P_906307310_B_0038797033_1.gal.png?height=480&amp;width=720;https://bilder.dasschnelle.at/DasSchnelle/50/5000/9886/041801/I_041801_P_906307310_B_0038797033_2.gal.png?height=480&amp;width=720;https://bilder.dasschnelle.at/DasSchnelle/50/5000/9886/041801/I_041801_P_906307310_B_0038797033_3.gal.png?height=480&amp;width=720;https://bilder.dasschnelle.at/DasSchnelle/50/5000/9886/041801/I_041801_P_906307310_B_0038797033_4.gal.png?height=427&amp;width=640</t>
  </si>
  <si>
    <t>Bures, Andreas, Sonnenschutz, Jalousien &amp; Markisen • Kottingbrunn • Niederösterreich</t>
  </si>
  <si>
    <t>Sonnenschutzanlagen • Bures, Andreas, Lessinggasse 6, Kottingbrunn • Kontakt über aktuelle Telefonnummern ☎ und Adressen ⚑ mit Karte, Routing, Öffnungszeiten, Homepage, E-Mail, vCard und Firmendaten.</t>
  </si>
  <si>
    <t>Lessinggasse 6</t>
  </si>
  <si>
    <t>47.94394</t>
  </si>
  <si>
    <t>16.23746</t>
  </si>
  <si>
    <t>+43225286505</t>
  </si>
  <si>
    <t>andreas@bures.co.at</t>
  </si>
  <si>
    <t>https://bilder.dasschnelle.at/DasSchnelle/50/5000/9870/041349/G_041349_P_906308381.adn.gif</t>
  </si>
  <si>
    <t>AT Elektrotechnik Tugrul Arslan • Traiskirchen • Niederösterreich</t>
  </si>
  <si>
    <t>Elektro • AT Elektrotechnik Tugrul Arslan, Tribuswinkler Straße 30, Traiskirchen • Kontakt über aktuelle Telefonnummern ☎ und Adressen ⚑ mit Karte, Routing, Öffnungszeiten, Homepage, E-Mail, vCard und Firmendaten.</t>
  </si>
  <si>
    <t>Tribuswinkler Straße 30</t>
  </si>
  <si>
    <t>48.0117532</t>
  </si>
  <si>
    <t>16.2842370</t>
  </si>
  <si>
    <t>+432252505715</t>
  </si>
  <si>
    <t>office@atelektrotechnik.at</t>
  </si>
  <si>
    <t>https://bilder.dasschnelle.at/DasSchnelle/50/5000/9870/041362/I_041362_P_906308627_L_0039972564_1.png</t>
  </si>
  <si>
    <t>https://bilder.dasschnelle.at/DasSchnelle/50/5000/9870/041362/I_041362_P_906308627_B_0039972564_1.gal.png?height=399&amp;width=720;https://bilder.dasschnelle.at/DasSchnelle/50/5000/9870/041362/I_041362_P_906308627_B_0039972564_2.gal.png?height=360&amp;width=720;https://bilder.dasschnelle.at/DasSchnelle/50/5000/9870/041362/I_041362_P_906308627_B_0039972564_3.gal.png?height=360&amp;width=720;https://bilder.dasschnelle.at/DasSchnelle/50/5000/9870/041362/I_041362_P_906308627_B_0039972564_4.gal.png?height=360&amp;width=720</t>
  </si>
  <si>
    <t>Mika, Rainer, KFZ-Technik u. Mechanik • Günselsdorf • Niederösterreich</t>
  </si>
  <si>
    <t>Autowerkstätten • Mika, Rainer, Leobersdorferstraße 18, Günselsdorf • Kontakt über aktuelle Telefonnummern ☎ und Adressen ⚑ mit Karte, Routing, Öffnungszeiten, Homepage, E-Mail, vCard und Firmendaten.</t>
  </si>
  <si>
    <t>Leobersdorferstraße 18</t>
  </si>
  <si>
    <t>2525</t>
  </si>
  <si>
    <t>Günselsdorf</t>
  </si>
  <si>
    <t>47.94343</t>
  </si>
  <si>
    <t>16.25108</t>
  </si>
  <si>
    <t>+436766044293</t>
  </si>
  <si>
    <t>kfz.rainer.mika@aon.at</t>
  </si>
  <si>
    <t>https://bilder.dasschnelle.at/DasSchnelle/50/5000/9870/041344/I_041344_P_906308385_L_0035970104_1.png</t>
  </si>
  <si>
    <t>https://bilder.dasschnelle.at/DasSchnelle/50/5000/9870/041344/I_041344_P_906308385_B_0035970104_1.gal.png?height=540&amp;width=720;https://bilder.dasschnelle.at/DasSchnelle/50/5000/9870/041344/I_041344_P_906308385_B_0035970104_2.gal.png?height=540&amp;width=720;https://bilder.dasschnelle.at/DasSchnelle/50/5000/9870/041344/I_041344_P_906308385_B_0035970104_3.gal.png?height=540&amp;width=720;https://bilder.dasschnelle.at/DasSchnelle/50/5000/9870/041344/I_041344_P_906308385_B_0035970104_4.gal.png?height=540&amp;width=720</t>
  </si>
  <si>
    <t>Writzmann &amp; Partner Steuerberatungsgesellschaft mbH • Baden • Niederösterreich</t>
  </si>
  <si>
    <t>Steuerberater, Wirtschaftstreuhänder / Steuerberater • Writzmann &amp; Partner Steuerberatungsgesellschaft mbH, Wassergasse 22 -26, Baden • Kontakt über aktuelle Telefonnummern ☎ und Adressen ⚑ mit Karte, Routing, Öffnungszeiten, Homepage, E-Mail, vCard und Firmendaten.</t>
  </si>
  <si>
    <t>https://bilder.dasschnelle.at/DasSchnelle/50/5000/9870/041339/G_041339_P_906308389.adn.gif</t>
  </si>
  <si>
    <t>Immo Zelzer GmbH, Remax Immobillien, Immobilien • Leibnitz • Steiermark</t>
  </si>
  <si>
    <t>Immobilien • Immo Zelzer GmbH, Remax Immobillien, Marburger Straße 42, Leibnitz • Kontakt über aktuelle Telefonnummern ☎ und Adressen ⚑ mit Karte, Routing, Öffnungszeiten, Homepage, E-Mail, vCard und Firmendaten.</t>
  </si>
  <si>
    <t>Marburger Straße 42</t>
  </si>
  <si>
    <t>46.77311</t>
  </si>
  <si>
    <t>15.55328</t>
  </si>
  <si>
    <t>+43345282243</t>
  </si>
  <si>
    <t>andrea.oettl@remax-leibnitz.at</t>
  </si>
  <si>
    <t>https://bilder.dasschnelle.at/DasSchnelle/50/5000/9920/061432/G_061432_P_906308829.adn.gif</t>
  </si>
  <si>
    <t>Pichler, Thomas, Parkettböden • Weinburg am Saßbach • Steiermark</t>
  </si>
  <si>
    <t>Türen • Pichler, Thomas, Weinburg am Saßbach • Kontakt über aktuelle Telefonnummern ☎ und Adressen ⚑ mit Karte, Routing, Öffnungszeiten, Homepage, E-Mail, vCard und Firmendaten.</t>
  </si>
  <si>
    <t>8481</t>
  </si>
  <si>
    <t>Weinburg am Saßbach</t>
  </si>
  <si>
    <t>46.7583008</t>
  </si>
  <si>
    <t>15.7091559</t>
  </si>
  <si>
    <t>+43347230531</t>
  </si>
  <si>
    <t>thomas.pichler@pichler-parkett.at</t>
  </si>
  <si>
    <t>https://bilder.dasschnelle.at/DasSchnelle/50/5000/9920/061410/I_061410_P_906308831_L_0035969976_1.png</t>
  </si>
  <si>
    <t>https://bilder.dasschnelle.at/DasSchnelle/50/5000/9920/061410/I_061410_P_906308831_B_0035969976_1.gal.png?height=399&amp;width=600;https://bilder.dasschnelle.at/DasSchnelle/50/5000/9920/061410/I_061410_P_906308831_B_0035969976_2.gal.png?height=450&amp;width=600;https://bilder.dasschnelle.at/DasSchnelle/50/5000/9920/061410/I_061410_P_906308831_B_0035969976_3.gal.png?height=399&amp;width=600;https://bilder.dasschnelle.at/DasSchnelle/50/5000/9920/061410/I_061410_P_906308831_B_0035969976_4.gal.png?height=337&amp;width=600</t>
  </si>
  <si>
    <t>Kern, Peter, Dr. • Baden • Niederösterreich</t>
  </si>
  <si>
    <t>Ärzte / f Allgemeinmedizin • Kern, Peter, Dr., Emil Kraft-Gasse 12, Baden • Kontakt über aktuelle Telefonnummern ☎ und Adressen ⚑ mit Karte, Routing, Öffnungszeiten, Homepage, E-Mail, vCard und Firmendaten.</t>
  </si>
  <si>
    <t>Emil Kraft-Gasse 12</t>
  </si>
  <si>
    <t>48.01032</t>
  </si>
  <si>
    <t>16.25311</t>
  </si>
  <si>
    <t>+43225288502</t>
  </si>
  <si>
    <t>ordination.peter.kern@outlook.com</t>
  </si>
  <si>
    <t>https://bilder.dasschnelle.at/DasSchnelle/50/5000/9870/041339/G_041339_P_906309139.adn.gif</t>
  </si>
  <si>
    <t>Stefan Haan, Kunstschmiede • Vorchdorf • Oberösterreich</t>
  </si>
  <si>
    <t>Kunstschmieden, Schlossereien • Stefan Haan, Oberhörbach 12, Vorchdorf • Kontakt über aktuelle Telefonnummern ☎ und Adressen ⚑ mit Karte, Routing, Öffnungszeiten, Homepage, E-Mail, vCard und Firmendaten.</t>
  </si>
  <si>
    <t>Oberhörbach 12</t>
  </si>
  <si>
    <t>48.0088436</t>
  </si>
  <si>
    <t>13.8963829</t>
  </si>
  <si>
    <t>+4376146611</t>
  </si>
  <si>
    <t>schmiede@stefan-haan.at</t>
  </si>
  <si>
    <t>https://bilder.dasschnelle.at/DasSchnelle/50/5000/9886/041807/I_041807_P_906310041_L_0036263802_1.png</t>
  </si>
  <si>
    <t>https://bilder.dasschnelle.at/DasSchnelle/50/5000/9886/041807/I_041807_P_906310041_B_0036263802_1.gal.png?height=479&amp;width=720;https://bilder.dasschnelle.at/DasSchnelle/50/5000/9886/041807/I_041807_P_906310041_B_0036263802_2.gal.png?height=479&amp;width=720;https://bilder.dasschnelle.at/DasSchnelle/50/5000/9886/041807/I_041807_P_906310041_B_0036263802_3.gal.png?height=542&amp;width=720;https://bilder.dasschnelle.at/DasSchnelle/50/5000/9886/041807/I_041807_P_906310041_B_0036263802_4.gal.png?height=478&amp;width=720</t>
  </si>
  <si>
    <t>M Bauteile GmbH, Fenster, Türen, Holzböden • Gmunden • Oberösterreich</t>
  </si>
  <si>
    <t>Fensterhandel u. diverse Montagen • M Bauteile GmbH, Bahnhofstraße 60, Gmunden • Kontakt über aktuelle Telefonnummern ☎ und Adressen ⚑ mit Karte, Routing, Öffnungszeiten, Homepage, E-Mail, vCard und Firmendaten.</t>
  </si>
  <si>
    <t>Bahnhofstraße 60</t>
  </si>
  <si>
    <t>47.92652</t>
  </si>
  <si>
    <t>13.78598</t>
  </si>
  <si>
    <t>+43761266628</t>
  </si>
  <si>
    <t>office@mida.at</t>
  </si>
  <si>
    <t>https://bilder.dasschnelle.at/DasSchnelle/50/5000/9886/041792/I_041792_P_906310053_L_0039975592_1.png</t>
  </si>
  <si>
    <t>https://bilder.dasschnelle.at/DasSchnelle/50/5000/9886/041792/I_041792_P_906310053_B_0039975592_1.gal.png?height=480&amp;width=720;https://bilder.dasschnelle.at/DasSchnelle/50/5000/9886/041792/I_041792_P_906310053_B_0039975592_2.gal.png?height=720&amp;width=720;https://bilder.dasschnelle.at/DasSchnelle/50/5000/9886/041792/I_041792_P_906310053_B_0039975592_3.gal.png?height=480&amp;width=720;https://bilder.dasschnelle.at/DasSchnelle/50/5000/9886/041792/I_041792_P_906310053_B_0039975592_4.gal.png?height=720&amp;width=720;https://bilder.dasschnelle.at/DasSchnelle/50/5000/9886/041792/G_041792_P_906310053.adn.gif</t>
  </si>
  <si>
    <t>Performance Factory • Gmunden • Oberösterreich</t>
  </si>
  <si>
    <t>Autoreparaturen • Performance Factory, Cumberlandstrasse 66, Gmunden • Kontakt über aktuelle Telefonnummern ☎ und Adressen ⚑ mit Karte, Routing, Öffnungszeiten, Homepage, E-Mail, vCard und Firmendaten.</t>
  </si>
  <si>
    <t>Cumberlandstrasse 66</t>
  </si>
  <si>
    <t>47.97883</t>
  </si>
  <si>
    <t>13.79147</t>
  </si>
  <si>
    <t>+4369910337224</t>
  </si>
  <si>
    <t>performance-factory@gmx.at</t>
  </si>
  <si>
    <t>https://bilder.dasschnelle.at/DasSchnelle/50/5000/9886/041800/I_041800_P_906310062_L_0035992806_1.png</t>
  </si>
  <si>
    <t>https://bilder.dasschnelle.at/DasSchnelle/50/5000/9886/041800/I_041800_P_906310062_B_0035992806_1.gal.png?height=380&amp;width=600;https://bilder.dasschnelle.at/DasSchnelle/50/5000/9886/041800/I_041800_P_906310062_B_0035992806_2.gal.png?height=380&amp;width=600;https://bilder.dasschnelle.at/DasSchnelle/50/5000/9886/041800/I_041800_P_906310062_B_0035992806_3.gal.png?height=380&amp;width=600</t>
  </si>
  <si>
    <t>Delemenschnig Steinmetzmeister, Steinmetzmeister • Groß Sankt Florian • Steiermark</t>
  </si>
  <si>
    <t>Steinmetzbetriebe • Delemenschnig Steinmetzmeister, Grazerstraße 3, Groß Sankt Florian • Kontakt über aktuelle Telefonnummern ☎ und Adressen ⚑ mit Karte, Routing, Öffnungszeiten, Homepage, E-Mail, vCard und Firmendaten.</t>
  </si>
  <si>
    <t>46.82481</t>
  </si>
  <si>
    <t>15.31799</t>
  </si>
  <si>
    <t>+4334642391;+436649210794</t>
  </si>
  <si>
    <t>stein@delemeschnig.com</t>
  </si>
  <si>
    <t>https://bilder.dasschnelle.at/DasSchnelle/50/5000/9875/061469/I_061469_P_906320179_L_0035969700_1.png</t>
  </si>
  <si>
    <t>https://bilder.dasschnelle.at/DasSchnelle/50/5000/9875/061469/I_061469_P_906320179_B_0035969700_1.gal.png?height=325&amp;width=831;https://bilder.dasschnelle.at/DasSchnelle/50/5000/9875/061469/I_061469_P_906320179_B_0035969700_2.gal.png?height=325&amp;width=831;https://bilder.dasschnelle.at/DasSchnelle/50/5000/9875/061469/I_061469_P_906320179_B_0035969700_3.gal.png?height=325&amp;width=831;https://bilder.dasschnelle.at/DasSchnelle/50/5000/9875/061469/I_061469_P_906320179_B_0035969700_4.gal.png?height=325&amp;width=831</t>
  </si>
  <si>
    <t>Erdbau Gschaider GmbH • Pernitz • Niederösterreich</t>
  </si>
  <si>
    <t>Erdbau • Erdbau Gschaider GmbH, Thal 6, Pernitz • Kontakt über aktuelle Telefonnummern ☎ und Adressen ⚑ mit Karte, Routing, Öffnungszeiten, Homepage, E-Mail, vCard und Firmendaten.</t>
  </si>
  <si>
    <t>Thal 6</t>
  </si>
  <si>
    <t>47.9189435</t>
  </si>
  <si>
    <t>15.9230755</t>
  </si>
  <si>
    <t>+436766211806</t>
  </si>
  <si>
    <t>office@gschaider-erdbau.at</t>
  </si>
  <si>
    <t>https://bilder.dasschnelle.at/DasSchnelle/50/5000/9946/044288/G_044288_P_906324191.adn.gif</t>
  </si>
  <si>
    <t>Glas Bauer GmbH, Glasereien • Münzkirchen • Oberösterreich</t>
  </si>
  <si>
    <t>Glasereien • Glas Bauer GmbH, Passauer Straße 6, Münzkirchen • Kontakt über aktuelle Telefonnummern ☎ und Adressen ⚑ mit Karte, Routing, Öffnungszeiten, Homepage, E-Mail, vCard und Firmendaten.</t>
  </si>
  <si>
    <t>Passauer Straße 6</t>
  </si>
  <si>
    <t>Münzkirchen</t>
  </si>
  <si>
    <t>48.48231</t>
  </si>
  <si>
    <t>13.55218</t>
  </si>
  <si>
    <t>+4377166498</t>
  </si>
  <si>
    <t>+4377166499</t>
  </si>
  <si>
    <t>info@glas-bauer.at</t>
  </si>
  <si>
    <t>https://bilder.dasschnelle.at/DasSchnelle/50/5000/9926/042788/G_042788_P_906328916.adn.gif</t>
  </si>
  <si>
    <t>Orthopädie Obermeissner, Orthopädieschuhtechnik • Stockerau • Niederösterreich</t>
  </si>
  <si>
    <t>Orthopäden, Orthopädische Schuhe • Orthopädie Obermeissner, Hauptstraße 56, Stockerau • Kontakt über aktuelle Telefonnummern ☎ und Adressen ⚑ mit Karte, Routing, Öffnungszeiten, Homepage, E-Mail, vCard und Firmendaten.</t>
  </si>
  <si>
    <t>Hauptstraße 56</t>
  </si>
  <si>
    <t>48.38584</t>
  </si>
  <si>
    <t>16.2162</t>
  </si>
  <si>
    <t>+43226666134</t>
  </si>
  <si>
    <t>info@allesgeht.at</t>
  </si>
  <si>
    <t>https://bilder.dasschnelle.at/DasSchnelle/50/5000/9898/041484/G_041484_P_906328921.adn.gif</t>
  </si>
  <si>
    <t>Orthopädie Obermeissner, Orthopädieschuhtechnik • Wien • Wien</t>
  </si>
  <si>
    <t>Orthopädische Schuhe • Orthopädie Obermeissner, Heiligenstädter Straße 137, Wien • Kontakt über aktuelle Telefonnummern ☎ und Adressen ⚑ mit Karte, Routing, Öffnungszeiten, Homepage, E-Mail, vCard und Firmendaten.</t>
  </si>
  <si>
    <t>Heiligenstädter Straße 137</t>
  </si>
  <si>
    <t>1190</t>
  </si>
  <si>
    <t>48.2515500</t>
  </si>
  <si>
    <t>16.3633400</t>
  </si>
  <si>
    <t>wien19@allesgeht.at</t>
  </si>
  <si>
    <t>https://bilder.dasschnelle.at/DasSchnelle/50/5000/9874/061404/G_061404_P_906328923.adn.gif</t>
  </si>
  <si>
    <t>Hochetlinger, Gerold, Kinesiologie • Tragwein • Oberösterreich</t>
  </si>
  <si>
    <t>Isolierungen • Hochetlinger, Gerold, Neumühlstraße 26, Tragwein • Kontakt über aktuelle Telefonnummern ☎ und Adressen ⚑ mit Karte, Routing, Öffnungszeiten, Homepage, E-Mail, vCard und Firmendaten.</t>
  </si>
  <si>
    <t>Neumühlstraße 26</t>
  </si>
  <si>
    <t>4284</t>
  </si>
  <si>
    <t>Tragwein</t>
  </si>
  <si>
    <t>48.32659</t>
  </si>
  <si>
    <t>14.62727</t>
  </si>
  <si>
    <t>+43726386040</t>
  </si>
  <si>
    <t>office@hochetlinger.at</t>
  </si>
  <si>
    <t>https://bilder.dasschnelle.at/DasSchnelle/50/5000/9882/041780/G_041780_P_906328823.adn.gif</t>
  </si>
  <si>
    <t>Weglehner Holzbau GmbH, Holzbau • Rainbach im Mühlkreis • Oberösterreich</t>
  </si>
  <si>
    <t>Holzbau • Weglehner Holzbau GmbH, Gewerbepark 8, Rainbach im Mühlkreis • Kontakt über aktuelle Telefonnummern ☎ und Adressen ⚑ mit Karte, Routing, Öffnungszeiten, Homepage, E-Mail, vCard und Firmendaten.</t>
  </si>
  <si>
    <t>Gewerbepark 8</t>
  </si>
  <si>
    <t>48.53492</t>
  </si>
  <si>
    <t>14.48798</t>
  </si>
  <si>
    <t>+43794275378;+436644022451</t>
  </si>
  <si>
    <t>firma@holzbau-weglehner.at</t>
  </si>
  <si>
    <t>https://bilder.dasschnelle.at/DasSchnelle/50/5000/9882/041775/G_041775_P_906328927.adn.gif</t>
  </si>
  <si>
    <t>Ramazon GmbH, Dachdeckerei • Mittersill • Salzburg</t>
  </si>
  <si>
    <t>Dachdeckereien • Ramazon GmbH, Zellerstraße 26, Mittersill • Kontakt über aktuelle Telefonnummern ☎ und Adressen ⚑ mit Karte, Routing, Öffnungszeiten, Homepage, E-Mail, vCard und Firmendaten.</t>
  </si>
  <si>
    <t>Zellerstraße 26</t>
  </si>
  <si>
    <t>5730</t>
  </si>
  <si>
    <t>Mittersill</t>
  </si>
  <si>
    <t>47.28734</t>
  </si>
  <si>
    <t>12.4955</t>
  </si>
  <si>
    <t>+436642321745</t>
  </si>
  <si>
    <t>office@ramazan-dach.at</t>
  </si>
  <si>
    <t>https://bilder.dasschnelle.at/DasSchnelle/50/5000/9918/045572/G_045572_P_906330077.adn.gif</t>
  </si>
  <si>
    <t>LIDL-ZT GmbH, Geometer • Mondsee • Oberösterreich</t>
  </si>
  <si>
    <t>Geometer • LIDL-ZT GmbH, Dr. Emanuel Jörgner-Straße 11, Mondsee • Kontakt über aktuelle Telefonnummern ☎ und Adressen ⚑ mit Karte, Routing, Öffnungszeiten, Homepage, E-Mail, vCard und Firmendaten.</t>
  </si>
  <si>
    <t>Dr. Emanuel Jörgner-Straße 11</t>
  </si>
  <si>
    <t>47.85841</t>
  </si>
  <si>
    <t>13.34415</t>
  </si>
  <si>
    <t>+4362325061;+4362325062</t>
  </si>
  <si>
    <t>office@vermessung-lidl.at</t>
  </si>
  <si>
    <t>https://bilder.dasschnelle.at/DasSchnelle/50/5000/9868/041790/G_041790_P_906331451.adn.gif</t>
  </si>
  <si>
    <t>Barth, Augenoptik, Kontaktlinsen, Uhren, Schmuck • Neuhaus</t>
  </si>
  <si>
    <t>Uhren u. Schmuck • Barth, Passauer Straße 19, Neuhaus • Kontakt über aktuelle Telefonnummern ☎ und Adressen ⚑ mit Karte, Routing, Öffnungszeiten, Homepage, E-Mail, vCard und Firmendaten.</t>
  </si>
  <si>
    <t>Passauer Straße 19</t>
  </si>
  <si>
    <t>94152</t>
  </si>
  <si>
    <t>Neuhaus</t>
  </si>
  <si>
    <t>-278041</t>
  </si>
  <si>
    <t>215965</t>
  </si>
  <si>
    <t>+43498503252</t>
  </si>
  <si>
    <t>mail@barth-uhren-optik.de</t>
  </si>
  <si>
    <t>https://bilder.dasschnelle.at/DasSchnelle/50/5000/9926/506075/G_506075_P_906331994.adn.gif</t>
  </si>
  <si>
    <t>EBK - Erdbau Kreuzer • Oberwang • Oberösterreich</t>
  </si>
  <si>
    <t>Erdbau • EBK - Erdbau Kreuzer, Forsthaussiedlung 14/6, Oberwang • Kontakt über aktuelle Telefonnummern ☎ und Adressen ⚑ mit Karte, Routing, Öffnungszeiten, Homepage, E-Mail, vCard und Firmendaten.</t>
  </si>
  <si>
    <t>Forsthaussiedlung 14/6</t>
  </si>
  <si>
    <t>47.86975</t>
  </si>
  <si>
    <t>13.42294</t>
  </si>
  <si>
    <t>+436645889379</t>
  </si>
  <si>
    <t>office@erdbau-kreuzer.at</t>
  </si>
  <si>
    <t>https://bilder.dasschnelle.at/DasSchnelle/50/5000/9909/043087/G_043087_P_906331999.adn.gif</t>
  </si>
  <si>
    <t>Der-Poolbauer GmbH Mario Grabner • Pottenstein • Niederösterreich</t>
  </si>
  <si>
    <t>Schwimmbäder, Baubetreuung, Planungsbüros • Der-Poolbauer GmbH Mario Grabner, Bundesstraße 26, Pottenstein • Kontakt über aktuelle Telefonnummern ☎ und Adressen ⚑ mit Karte, Routing, Öffnungszeiten, Homepage, E-Mail, vCard und Firmendaten.</t>
  </si>
  <si>
    <t>Bundesstraße 26</t>
  </si>
  <si>
    <t>2563</t>
  </si>
  <si>
    <t>Pottenstein</t>
  </si>
  <si>
    <t>47.9613800</t>
  </si>
  <si>
    <t>16.0934800</t>
  </si>
  <si>
    <t>+43267285450</t>
  </si>
  <si>
    <t>office@grabner-pool.at</t>
  </si>
  <si>
    <t>https://bilder.dasschnelle.at/DasSchnelle/50/5000/9871/041355/G_041355_P_906332053.adn.gif</t>
  </si>
  <si>
    <t>Hell Alfred Tankstelle &amp; Mineralölhandel e.U. • Schärding • Oberösterreich</t>
  </si>
  <si>
    <t>Tankstellen • Hell Alfred Tankstelle &amp; Mineralölhandel e.U., Linzer Straße 52, Schärding • Kontakt über aktuelle Telefonnummern ☎ und Adressen ⚑ mit Karte, Routing, Öffnungszeiten, Homepage, E-Mail, vCard und Firmendaten.</t>
  </si>
  <si>
    <t>Linzer Straße 52</t>
  </si>
  <si>
    <t>48.45113</t>
  </si>
  <si>
    <t>13.43595</t>
  </si>
  <si>
    <t>+4377122194</t>
  </si>
  <si>
    <t>bp@hell-alfred.at</t>
  </si>
  <si>
    <t>https://bilder.dasschnelle.at/DasSchnelle/50/5000/9926/042797/G_042797_P_906332008.adn.gif</t>
  </si>
  <si>
    <t>Psotka Franz GmbH &amp; Co KG, Autohandel • Brunnenthal • Oberösterreich</t>
  </si>
  <si>
    <t>Autohandel • Psotka Franz GmbH &amp; Co KG, Haraberg 12, Brunnenthal • Kontakt über aktuelle Telefonnummern ☎ und Adressen ⚑ mit Karte, Routing, Öffnungszeiten, Homepage, E-Mail, vCard und Firmendaten.</t>
  </si>
  <si>
    <t>Haraberg 12</t>
  </si>
  <si>
    <t>4786</t>
  </si>
  <si>
    <t>Brunnenthal</t>
  </si>
  <si>
    <t>48.4652986</t>
  </si>
  <si>
    <t>13.4455975</t>
  </si>
  <si>
    <t>+43771226470</t>
  </si>
  <si>
    <t>+437712264715</t>
  </si>
  <si>
    <t>psotka@ford-psotka.at</t>
  </si>
  <si>
    <t>https://bilder.dasschnelle.at/DasSchnelle/50/5000/9926/042304/G_042304_P_906332012.adn.gif</t>
  </si>
  <si>
    <t>Mulser, Klaus, Kachelöfen-Herde-Kamine • Gutau • Oberösterreich</t>
  </si>
  <si>
    <t>Kachelöfen • Mulser, Klaus, Erdmannsdorf 43, Gutau • Kontakt über aktuelle Telefonnummern ☎ und Adressen ⚑ mit Karte, Routing, Öffnungszeiten, Homepage, E-Mail, vCard und Firmendaten.</t>
  </si>
  <si>
    <t>Erdmannsdorf 43</t>
  </si>
  <si>
    <t>Gutau</t>
  </si>
  <si>
    <t>48.4473057</t>
  </si>
  <si>
    <t>14.6053489</t>
  </si>
  <si>
    <t>+43794620079;+436641167517</t>
  </si>
  <si>
    <t>klaus.mulser@aon.at</t>
  </si>
  <si>
    <t>https://bilder.dasschnelle.at/DasSchnelle/50/5000/9882/044817/G_044817_P_906332039.adn.gif</t>
  </si>
  <si>
    <t>ELEKTRO HEISSENBERGER OG • Litschau • Niederösterreich</t>
  </si>
  <si>
    <t>Elektrotechnik • ELEKTRO HEISSENBERGER OG, Stadtplatz 95, Litschau • Kontakt über aktuelle Telefonnummern ☎ und Adressen ⚑ mit Karte, Routing, Öffnungszeiten, Homepage, E-Mail, vCard und Firmendaten.</t>
  </si>
  <si>
    <t>Stadtplatz 95</t>
  </si>
  <si>
    <t>48.94455</t>
  </si>
  <si>
    <t>15.04224</t>
  </si>
  <si>
    <t>+432865382</t>
  </si>
  <si>
    <t>info@elektro-heissenberger.at</t>
  </si>
  <si>
    <t>https://bilder.dasschnelle.at/DasSchnelle/50/5000/9885/045085/G_045085_P_906332627.adn.gif</t>
  </si>
  <si>
    <t>Scharnböck, Lisa, Ihr Friseur • Freinberg • Oberösterreich</t>
  </si>
  <si>
    <t>Friseure • Scharnböck, Lisa, Haibach 80, Freinberg • Kontakt über aktuelle Telefonnummern ☎ und Adressen ⚑ mit Karte, Routing, Öffnungszeiten, Homepage, E-Mail, vCard und Firmendaten.</t>
  </si>
  <si>
    <t>Haibach 80</t>
  </si>
  <si>
    <t>4785</t>
  </si>
  <si>
    <t>Freinberg</t>
  </si>
  <si>
    <t>48.5664992</t>
  </si>
  <si>
    <t>13.4932459</t>
  </si>
  <si>
    <t>+43771320733</t>
  </si>
  <si>
    <t>lisastyle80@gmail.com</t>
  </si>
  <si>
    <t>https://bilder.dasschnelle.at/DasSchnelle/50/5000/9926/042785/G_042785_P_906332640.adn.gif</t>
  </si>
  <si>
    <t>Hahn GmbH, Installationen • Langschlag • Niederösterreich</t>
  </si>
  <si>
    <t>Installationsunternehmen • Hahn GmbH, Franz Diebl-Straße 89, Langschlag • Kontakt über aktuelle Telefonnummern ☎ und Adressen ⚑ mit Karte, Routing, Öffnungszeiten, Homepage, E-Mail, vCard und Firmendaten.</t>
  </si>
  <si>
    <t>Franz Diebl-Straße 89</t>
  </si>
  <si>
    <t>3921</t>
  </si>
  <si>
    <t>Langschlag</t>
  </si>
  <si>
    <t>48.57492</t>
  </si>
  <si>
    <t>14.89026</t>
  </si>
  <si>
    <t>+43281482230</t>
  </si>
  <si>
    <t>info@wasserhahn.at</t>
  </si>
  <si>
    <t>https://bilder.dasschnelle.at/DasSchnelle/50/5000/9950/044533/G_044533_P_906332642.adn.gif</t>
  </si>
  <si>
    <t>Der Druckladen e.U., Druckerei • Münzkirchen • Oberösterreich</t>
  </si>
  <si>
    <t>Druckereien • Der Druckladen e.U., Ludham 5, Münzkirchen • Kontakt über aktuelle Telefonnummern ☎ und Adressen ⚑ mit Karte, Routing, Öffnungszeiten, Homepage, E-Mail, vCard und Firmendaten.</t>
  </si>
  <si>
    <t>Ludham 5</t>
  </si>
  <si>
    <t>48.4631796</t>
  </si>
  <si>
    <t>13.5974258</t>
  </si>
  <si>
    <t>+43771671400</t>
  </si>
  <si>
    <t>office@derdruckladen.at</t>
  </si>
  <si>
    <t>https://bilder.dasschnelle.at/DasSchnelle/50/5000/9926/042788/G_042788_P_906332644.adn.gif</t>
  </si>
  <si>
    <t>Masser Bäckerei &amp; Cafe • Sankt Johann im Saggautal • Steiermark</t>
  </si>
  <si>
    <t>Bäckereien, Cafés • Masser Bäckerei &amp; Cafe, Sankt Johann im Saggautal 88, Sankt Johann im Saggautal • Kontakt über aktuelle Telefonnummern ☎ und Adressen ⚑ mit Karte, Routing, Öffnungszeiten, Homepage, E-Mail, vCard und Firmendaten.</t>
  </si>
  <si>
    <t>Sankt Johann im Saggautal 88</t>
  </si>
  <si>
    <t>8453</t>
  </si>
  <si>
    <t>Sankt Johann im Saggautal</t>
  </si>
  <si>
    <t>46.7009473</t>
  </si>
  <si>
    <t>15.3998429</t>
  </si>
  <si>
    <t>+43345560182</t>
  </si>
  <si>
    <t>office@baeckerei-masser.at</t>
  </si>
  <si>
    <t>https://bilder.dasschnelle.at/DasSchnelle/50/5000/9904/044309/G_044309_P_906332677.adn.gif</t>
  </si>
  <si>
    <t>Grabler, Doris, Massagen • Frankenmarkt • Oberösterreich</t>
  </si>
  <si>
    <t>Massagen • Grabler, Doris, Piereth 2 A, Frankenmarkt • Kontakt über aktuelle Telefonnummern ☎ und Adressen ⚑ mit Karte, Routing, Öffnungszeiten, Homepage, E-Mail, vCard und Firmendaten.</t>
  </si>
  <si>
    <t>Piereth 2 A</t>
  </si>
  <si>
    <t>48.0045116</t>
  </si>
  <si>
    <t>13.4294714</t>
  </si>
  <si>
    <t>+436769538377</t>
  </si>
  <si>
    <t>dorisgrabler@gmx.at</t>
  </si>
  <si>
    <t>Landgasthof Schardenberg Zum Kirchenwirt Fam. Hofbauer • Schardenberg • Oberösterreich</t>
  </si>
  <si>
    <t>Gastgewerbe - Gasthöfe • Landgasthof Schardenberg Zum Kirchenwirt Fam. Hofbauer, Kirchenplatz 1, Schardenberg • Kontakt über aktuelle Telefonnummern ☎ und Adressen ⚑ mit Karte, Routing, Öffnungszeiten, Homepage, E-Mail, vCard und Firmendaten.</t>
  </si>
  <si>
    <t>48.52012</t>
  </si>
  <si>
    <t>13.49901</t>
  </si>
  <si>
    <t>+4377136022</t>
  </si>
  <si>
    <t>+4377137395</t>
  </si>
  <si>
    <t>info@kirchenwirt-schardenberg.at</t>
  </si>
  <si>
    <t>https://bilder.dasschnelle.at/DasSchnelle/50/5000/9926/042798/I_042798_P_906332622_L_0035992899_1.png</t>
  </si>
  <si>
    <t>https://bilder.dasschnelle.at/DasSchnelle/50/5000/9926/042798/I_042798_P_906332622_B_0035992899_1.gal.png?height=480&amp;width=720;https://bilder.dasschnelle.at/DasSchnelle/50/5000/9926/042798/I_042798_P_906332622_B_0035992899_2.gal.png?height=480&amp;width=720;https://bilder.dasschnelle.at/DasSchnelle/50/5000/9926/042798/I_042798_P_906332622_B_0035992899_3.gal.png?height=480&amp;width=720;https://bilder.dasschnelle.at/DasSchnelle/50/5000/9926/042798/I_042798_P_906332622_B_0035992899_4.gal.png?height=480&amp;width=720;https://bilder.dasschnelle.at/DasSchnelle/50/5000/9926/042798/G_042798_P_906332622.adn.gif</t>
  </si>
  <si>
    <t>Grasmeier, Alois jun., Malereibetrieb • Brunnenthal • Oberösterreich</t>
  </si>
  <si>
    <t>Malereibetriebe • Grasmeier, Alois jun., Wallensham 2, Brunnenthal • Kontakt über aktuelle Telefonnummern ☎ und Adressen ⚑ mit Karte, Routing, Öffnungszeiten, Homepage, E-Mail, vCard und Firmendaten.</t>
  </si>
  <si>
    <t>Wallensham 2</t>
  </si>
  <si>
    <t>48.4815563</t>
  </si>
  <si>
    <t>13.5047727</t>
  </si>
  <si>
    <t>+4377126675;+4377123811</t>
  </si>
  <si>
    <t>malerei@grasmeier.at</t>
  </si>
  <si>
    <t>https://bilder.dasschnelle.at/DasSchnelle/50/5000/9926/042304/G_042304_P_906332702.adn.gif</t>
  </si>
  <si>
    <t>Schreinerei Eichinger GmbH • Neuhaus am Inn</t>
  </si>
  <si>
    <t>Tischlereien • Schreinerei Eichinger GmbH, Rothof 33, Neuhaus am Inn • Kontakt über aktuelle Telefonnummern ☎ und Adressen ⚑ mit Karte, Routing, Öffnungszeiten, Homepage, E-Mail, vCard und Firmendaten.</t>
  </si>
  <si>
    <t>Rothof 33</t>
  </si>
  <si>
    <t>Neuhaus am Inn</t>
  </si>
  <si>
    <t>48.4833900</t>
  </si>
  <si>
    <t>13.4205300</t>
  </si>
  <si>
    <t>+434985031594</t>
  </si>
  <si>
    <t>info@eicor.de</t>
  </si>
  <si>
    <t>https://bilder.dasschnelle.at/DasSchnelle/50/5000/9926/506075/G_506075_P_906332705.adn.gif</t>
  </si>
  <si>
    <t>Marchhart, Günter, Dr., FA f. Orthopädie u. orthopädische Chirurgie • Gmünd • Niederösterreich</t>
  </si>
  <si>
    <t>Ärzte / Fachärzte f. Orthopädie u. Orthopädische Chirurgie • Marchhart, Günter, Dr., Conrathstraße 14, Gmünd • Kontakt über aktuelle Telefonnummern ☎ und Adressen ⚑ mit Karte, Routing, Öffnungszeiten, Homepage, E-Mail, vCard und Firmendaten.</t>
  </si>
  <si>
    <t>+432852530120</t>
  </si>
  <si>
    <t>+4328525301215</t>
  </si>
  <si>
    <t>ordimarch@telebox.at</t>
  </si>
  <si>
    <t>https://bilder.dasschnelle.at/DasSchnelle/50/5000/9885/045075/G_045075_P_906332655.adn.gif</t>
  </si>
  <si>
    <t>Tierärztliche Gemeinschaftspraxis Mag. H. Bruggraber u. Mag. R. Waschnig • Deutschfeistritz • Steiermark</t>
  </si>
  <si>
    <t>Tierärzte • Tierärztliche Gemeinschaftspraxis Mag. H. Bruggraber u. Mag. R. Waschnig, Grazer Straße 15, Deutschfeistritz • Kontakt über aktuelle Telefonnummern ☎ und Adressen ⚑ mit Karte, Routing, Öffnungszeiten, Homepage, E-Mail, vCard und Firmendaten.</t>
  </si>
  <si>
    <t>Grazer Straße 15</t>
  </si>
  <si>
    <t>8121</t>
  </si>
  <si>
    <t>Deutschfeistritz</t>
  </si>
  <si>
    <t>47.19818</t>
  </si>
  <si>
    <t>15.33671</t>
  </si>
  <si>
    <t>+436643818924</t>
  </si>
  <si>
    <t>bruggraber.waschnig@aon.at</t>
  </si>
  <si>
    <t>https://bilder.dasschnelle.at/DasSchnelle/50/5000/9883/061364/G_061364_P_906332658.adn.gif</t>
  </si>
  <si>
    <t>Vischer, Hans-Martin, MR Dr.med., FA f Chirurgie • Gmünd • Niederösterreich</t>
  </si>
  <si>
    <t>Ärzte / Fachärzte f. Chirurgie • Vischer, Hans-Martin, MR Dr.med., Stadtplatz 52, Gmünd • Kontakt über aktuelle Telefonnummern ☎ und Adressen ⚑ mit Karte, Routing, Öffnungszeiten, Homepage, E-Mail, vCard und Firmendaten.</t>
  </si>
  <si>
    <t>Stadtplatz 52</t>
  </si>
  <si>
    <t>48.7732300</t>
  </si>
  <si>
    <t>14.9875300</t>
  </si>
  <si>
    <t>+43285251444</t>
  </si>
  <si>
    <t>rezeption@dr-vischer.at</t>
  </si>
  <si>
    <t>https://bilder.dasschnelle.at/DasSchnelle/50/5000/9885/045075/G_045075_P_906332660.adn.gif</t>
  </si>
  <si>
    <t>Kahr GmbH &amp; Co KG, Steinmetzbetrieb • Fürstenfeld • Steiermark</t>
  </si>
  <si>
    <t>Steinmetzbetriebe • Kahr GmbH &amp; Co KG, Burgauer Straße 26 D, Fürstenfeld • Kontakt über aktuelle Telefonnummern ☎ und Adressen ⚑ mit Karte, Routing, Öffnungszeiten, Homepage, E-Mail, vCard und Firmendaten.</t>
  </si>
  <si>
    <t>Burgauer Straße 26 D</t>
  </si>
  <si>
    <t>8280</t>
  </si>
  <si>
    <t>Fürstenfeld</t>
  </si>
  <si>
    <t>47.0616043</t>
  </si>
  <si>
    <t>16.0766515</t>
  </si>
  <si>
    <t>+43338251545;+436641144640;+436644420313</t>
  </si>
  <si>
    <t>k.steinmetzbetrieb@aon.at</t>
  </si>
  <si>
    <t>https://bilder.dasschnelle.at/DasSchnelle/50/5000/9884/061368/G_061368_P_906332726.adn.gif</t>
  </si>
  <si>
    <t>Greifeneder, Markus, Friseursalon • Niederthalheim • Oberösterreich</t>
  </si>
  <si>
    <t>Friseure • Greifeneder, Markus, Hauptstraße 13, Niederthalheim • Kontakt über aktuelle Telefonnummern ☎ und Adressen ⚑ mit Karte, Routing, Öffnungszeiten, Homepage, E-Mail, vCard und Firmendaten.</t>
  </si>
  <si>
    <t>4692</t>
  </si>
  <si>
    <t>Niederthalheim</t>
  </si>
  <si>
    <t>48.09718</t>
  </si>
  <si>
    <t>13.77062</t>
  </si>
  <si>
    <t>+4376737084</t>
  </si>
  <si>
    <t>greifeneder.markus@gmx.at</t>
  </si>
  <si>
    <t>Blumen Beatrix Grabenwarter, Blumen • Gratkorn • Steiermark</t>
  </si>
  <si>
    <t>Blumenhandel • Blumen Beatrix Grabenwarter, Brucker Straße 23, Gratkorn • Kontakt über aktuelle Telefonnummern ☎ und Adressen ⚑ mit Karte, Routing, Öffnungszeiten, Homepage, E-Mail, vCard und Firmendaten.</t>
  </si>
  <si>
    <t>Brucker Straße 23</t>
  </si>
  <si>
    <t>47.13702</t>
  </si>
  <si>
    <t>15.32902</t>
  </si>
  <si>
    <t>+43312425198</t>
  </si>
  <si>
    <t>https://bilder.dasschnelle.at/DasSchnelle/50/5000/9883/042322/I_042322_P_906009356_L_0035999624_1.png</t>
  </si>
  <si>
    <t>https://bilder.dasschnelle.at/DasSchnelle/50/5000/9883/042322/I_042322_P_906009356_B_0035999624_1.gal.png?height=679&amp;width=1002;https://bilder.dasschnelle.at/DasSchnelle/50/5000/9883/042322/I_042322_P_906009356_B_0035999624_2.gal.png?height=780&amp;width=603;https://bilder.dasschnelle.at/DasSchnelle/50/5000/9883/042322/I_042322_P_906009356_B_0035999624_3.gal.png?height=502&amp;width=720;https://bilder.dasschnelle.at/DasSchnelle/50/5000/9883/042322/I_042322_P_906009356_B_0035999624_4.gal.png?height=364&amp;width=720;https://bilder.dasschnelle.at/DasSchnelle/50/5000/9883/042322/G_042322_P_906009356.adn.gif</t>
  </si>
  <si>
    <t>Friseurstudio NIVA OG • Sankt Oswald bei Plankenwarth • Steiermark</t>
  </si>
  <si>
    <t>Friseure • Friseurstudio NIVA OG, Sankt Oswald bei Plankenwarth 100, Sankt Oswald bei Plankenwarth • Kontakt über aktuelle Telefonnummern ☎ und Adressen ⚑ mit Karte, Routing, Öffnungszeiten, Homepage, E-Mail, vCard und Firmendaten.</t>
  </si>
  <si>
    <t>+4331233204</t>
  </si>
  <si>
    <t>friseurstudio.niva@gmx.at</t>
  </si>
  <si>
    <t>https://bilder.dasschnelle.at/DasSchnelle/50/5000/9883/042349/G_042349_P_906012741.adn.gif</t>
  </si>
  <si>
    <t>Team Oblasser KG, Fußpflege - Kosmetikinstitut • Judendorf • Steiermark</t>
  </si>
  <si>
    <t>Fußpflege, Kosmetik • Team Oblasser KG, Im Herrgottswinkel 4, Judendorf • Kontakt über aktuelle Telefonnummern ☎ und Adressen ⚑ mit Karte, Routing, Öffnungszeiten, Homepage, E-Mail, vCard und Firmendaten.</t>
  </si>
  <si>
    <t>Im Herrgottswinkel 4</t>
  </si>
  <si>
    <t>Judendorf</t>
  </si>
  <si>
    <t>47.11404</t>
  </si>
  <si>
    <t>15.34417</t>
  </si>
  <si>
    <t>+43312452250</t>
  </si>
  <si>
    <t>team.oblasser@kosmetikerin.at</t>
  </si>
  <si>
    <t>https://bilder.dasschnelle.at/DasSchnelle/50/5000/9883/061359/I_061359_P_906020804_L_0035999485_1.png</t>
  </si>
  <si>
    <t>https://bilder.dasschnelle.at/DasSchnelle/50/5000/9883/061359/I_061359_P_906020804_B_0035999485_1.gal.png?height=472&amp;width=714;https://bilder.dasschnelle.at/DasSchnelle/50/5000/9883/061359/I_061359_P_906020804_B_0035999485_2.gal.png?height=442&amp;width=831;https://bilder.dasschnelle.at/DasSchnelle/50/5000/9883/061359/I_061359_P_906020804_B_0035999485_3.gal.png?height=480&amp;width=720;https://bilder.dasschnelle.at/DasSchnelle/50/5000/9883/061359/I_061359_P_906020804_B_0035999485_4.gal.png?height=480&amp;width=720;https://bilder.dasschnelle.at/DasSchnelle/50/5000/9883/061359/G_061359_P_906020804.adn.gif</t>
  </si>
  <si>
    <t>Poglitsch Michael e.U. Bestattung Übelbach • Markt-Übelbach • Steiermark</t>
  </si>
  <si>
    <t>Bestattungsunternehmen • Poglitsch Michael e.U. Bestattung Übelbach, Alter Markt 170, Markt-Übelbach • Kontakt über aktuelle Telefonnummern ☎ und Adressen ⚑ mit Karte, Routing, Öffnungszeiten, Homepage, E-Mail, vCard und Firmendaten.</t>
  </si>
  <si>
    <t>Alter Markt 170</t>
  </si>
  <si>
    <t>8124</t>
  </si>
  <si>
    <t>Markt-Übelbach</t>
  </si>
  <si>
    <t>47.22594</t>
  </si>
  <si>
    <t>15.23656</t>
  </si>
  <si>
    <t>+43312522220</t>
  </si>
  <si>
    <t>bestattung@poglitsch.at</t>
  </si>
  <si>
    <t>https://bilder.dasschnelle.at/DasSchnelle/50/5000/9883/042359/G_042359_P_906038097.adn.gif</t>
  </si>
  <si>
    <t>Papst, Günter, Bars • Frohnleiten • Steiermark</t>
  </si>
  <si>
    <t>Bars • Papst, Günter, Laufnitzdorf 21, Frohnleiten • Kontakt über aktuelle Telefonnummern ☎ und Adressen ⚑ mit Karte, Routing, Öffnungszeiten, Homepage, E-Mail, vCard und Firmendaten.</t>
  </si>
  <si>
    <t>Laufnitzdorf 21</t>
  </si>
  <si>
    <t>47.2915476</t>
  </si>
  <si>
    <t>15.3202640</t>
  </si>
  <si>
    <t>+43312651199</t>
  </si>
  <si>
    <t>office@trend-lokal.at</t>
  </si>
  <si>
    <t>https://bilder.dasschnelle.at/DasSchnelle/50/5000/9883/061362/G_061362_P_906039126.adn.gif</t>
  </si>
  <si>
    <t>Mühlböck Raumausstattung Büro &amp; Werkstatt • Zell an der Pram • Oberösterreich</t>
  </si>
  <si>
    <t>Malereibetriebe, Raumausstatter • Mühlböck Raumausstattung Büro &amp; Werkstatt, Am Wassen 52, Zell an der Pram • Kontakt über aktuelle Telefonnummern ☎ und Adressen ⚑ mit Karte, Routing, Öffnungszeiten, Homepage, E-Mail, vCard und Firmendaten.</t>
  </si>
  <si>
    <t>Am Wassen 52</t>
  </si>
  <si>
    <t>4755</t>
  </si>
  <si>
    <t>Zell an der Pram</t>
  </si>
  <si>
    <t>48.31408</t>
  </si>
  <si>
    <t>13.62228</t>
  </si>
  <si>
    <t>+4377646539</t>
  </si>
  <si>
    <t>office@wohnen-muehlboeck.at</t>
  </si>
  <si>
    <t>https://bilder.dasschnelle.at/DasSchnelle/50/5000/9926/042805/I_042805_P_906039227_L_0035993459_1.png</t>
  </si>
  <si>
    <t>https://bilder.dasschnelle.at/DasSchnelle/50/5000/9926/042805/I_042805_P_906039227_B_0035993459_1.gal.png?height=388&amp;width=831;https://bilder.dasschnelle.at/DasSchnelle/50/5000/9926/042805/I_042805_P_906039227_B_0035993459_2.gal.png?height=386&amp;width=831;https://bilder.dasschnelle.at/DasSchnelle/50/5000/9926/042805/I_042805_P_906039227_B_0035993459_3.gal.png?height=383&amp;width=831;https://bilder.dasschnelle.at/DasSchnelle/50/5000/9926/042805/G_042805_P_906039227.adn.gif</t>
  </si>
  <si>
    <t>Pagitsch, Edith, Immobilien • Straßengel • Steiermark</t>
  </si>
  <si>
    <t>Immobilien • Pagitsch, Edith, Hauptplatz 6, Straßengel • Kontakt über aktuelle Telefonnummern ☎ und Adressen ⚑ mit Karte, Routing, Öffnungszeiten, Homepage, E-Mail, vCard und Firmendaten.</t>
  </si>
  <si>
    <t>Straßengel</t>
  </si>
  <si>
    <t>47.1146</t>
  </si>
  <si>
    <t>15.33694</t>
  </si>
  <si>
    <t>+43312453828</t>
  </si>
  <si>
    <t>info@sonnenschutz-fieder.at</t>
  </si>
  <si>
    <t>https://bilder.dasschnelle.at/DasSchnelle/50/5000/9883/061359/I_061359_P_906042174_L_0035999054_1.png</t>
  </si>
  <si>
    <t>https://bilder.dasschnelle.at/DasSchnelle/50/5000/9883/061359/I_061359_P_906042174_B_0035999054_1.gal.png?height=918&amp;width=919;https://bilder.dasschnelle.at/DasSchnelle/50/5000/9883/061359/I_061359_P_906042174_B_0035999054_2.gal.png?height=676&amp;width=1013;https://bilder.dasschnelle.at/DasSchnelle/50/5000/9883/061359/I_061359_P_906042174_B_0035999054_3.gal.png?height=338&amp;width=1012;https://bilder.dasschnelle.at/DasSchnelle/50/5000/9883/061359/I_061359_P_906042174_B_0035999054_4.gal.png?height=315&amp;width=1017</t>
  </si>
  <si>
    <t>Gerauer, Ingeburg, Lebensmittel • St. Florian am Inn • Oberösterreich</t>
  </si>
  <si>
    <t>Lebensmittel • Gerauer, Ingeburg, Sankt Florian am Inn 52, St. Florian am Inn • Kontakt über aktuelle Telefonnummern ☎ und Adressen ⚑ mit Karte, Routing, Öffnungszeiten, Homepage, E-Mail, vCard und Firmendaten.</t>
  </si>
  <si>
    <t>Sankt Florian am Inn 52</t>
  </si>
  <si>
    <t>4782</t>
  </si>
  <si>
    <t>St. Florian am Inn</t>
  </si>
  <si>
    <t>48.4416800</t>
  </si>
  <si>
    <t>13.4451300</t>
  </si>
  <si>
    <t>+4377124757</t>
  </si>
  <si>
    <t>i.gerauer@gmx.at</t>
  </si>
  <si>
    <t>https://bilder.dasschnelle.at/DasSchnelle/50/5000/9926/042793/G_042793_P_906045181.adn.gif</t>
  </si>
  <si>
    <t>Hitzinger, Michael, Weinheuriger • St. Florian am Inn • Oberösterreich</t>
  </si>
  <si>
    <t>Gastgewerbe - Gasthöfe • Hitzinger, Michael, Bubing 2, St. Florian am Inn • Kontakt über aktuelle Telefonnummern ☎ und Adressen ⚑ mit Karte, Routing, Öffnungszeiten, Homepage, E-Mail, vCard und Firmendaten.</t>
  </si>
  <si>
    <t>Bubing 2</t>
  </si>
  <si>
    <t>48.454</t>
  </si>
  <si>
    <t>13.45872</t>
  </si>
  <si>
    <t>+436604309700</t>
  </si>
  <si>
    <t>hutsteiner1@gmx.at</t>
  </si>
  <si>
    <t>https://bilder.dasschnelle.at/DasSchnelle/50/5000/9926/042793/G_042793_P_906045182.adn.gif</t>
  </si>
  <si>
    <t>Karosserie &amp; Lack Neuburger • Groß-Siegharts • Niederösterreich</t>
  </si>
  <si>
    <t>Karosseriebau • Karosserie &amp; Lack Neuburger, Franz Hiess-Straße 4, Groß-Siegharts • Kontakt über aktuelle Telefonnummern ☎ und Adressen ⚑ mit Karte, Routing, Öffnungszeiten, Homepage, E-Mail, vCard und Firmendaten.</t>
  </si>
  <si>
    <t>Franz Hiess-Straße 4</t>
  </si>
  <si>
    <t>3812</t>
  </si>
  <si>
    <t>Groß-Siegharts</t>
  </si>
  <si>
    <t>48.79748</t>
  </si>
  <si>
    <t>15.41184</t>
  </si>
  <si>
    <t>+43284740202</t>
  </si>
  <si>
    <t>office@​lack-neuburger.at</t>
  </si>
  <si>
    <t>https://bilder.dasschnelle.at/DasSchnelle/50/5000/9885/044256/G_044256_P_906052976.adn.gif</t>
  </si>
  <si>
    <t>Fleischhaker Thomas e.U. • Groß-Siegharts • Niederösterreich</t>
  </si>
  <si>
    <t>Partyservice • Fleischhaker Thomas e.U., Roseggergasse 14, Groß-Siegharts • Kontakt über aktuelle Telefonnummern ☎ und Adressen ⚑ mit Karte, Routing, Öffnungszeiten, Homepage, E-Mail, vCard und Firmendaten.</t>
  </si>
  <si>
    <t>Roseggergasse 14</t>
  </si>
  <si>
    <t>48.7940194</t>
  </si>
  <si>
    <t>15.4049047</t>
  </si>
  <si>
    <t>+4328473501</t>
  </si>
  <si>
    <t>fleischhaker@hotmail.com</t>
  </si>
  <si>
    <t>https://bilder.dasschnelle.at/DasSchnelle/50/5000/9885/044256/G_044256_P_906052986.adn.gif</t>
  </si>
  <si>
    <t>Hörmanseder Meisterbetrieb Kachelofen u. Fliesen, Stefan • Zell an der Pram • Oberösterreich</t>
  </si>
  <si>
    <t>Fliesenfachhandel, Kachelöfen • Hörmanseder Meisterbetrieb Kachelofen u. Fliesen, Stefan, Kranzlweg 5, Zell an der Pram • Kontakt über aktuelle Telefonnummern ☎ und Adressen ⚑ mit Karte, Routing, Öffnungszeiten, Homepage, E-Mail, vCard und Firmendaten.</t>
  </si>
  <si>
    <t>Kranzlweg 5</t>
  </si>
  <si>
    <t>48.31472</t>
  </si>
  <si>
    <t>13.62798</t>
  </si>
  <si>
    <t>+4377646149</t>
  </si>
  <si>
    <t>+43776461495</t>
  </si>
  <si>
    <t>office@hoermanseder.co.at</t>
  </si>
  <si>
    <t>https://bilder.dasschnelle.at/DasSchnelle/50/5000/9926/042805/G_042805_P_906052965.adn.gif</t>
  </si>
  <si>
    <t>Allianz Agenturen Pirstinger &amp; Stampler OG • Frohnleiten • Steiermark</t>
  </si>
  <si>
    <t>Versicherungsagentur • Allianz Agenturen Pirstinger &amp; Stampler OG, Mauritzener Hauptstraße 5, Frohnleiten • Kontakt über aktuelle Telefonnummern ☎ und Adressen ⚑ mit Karte, Routing, Öffnungszeiten, Homepage, E-Mail, vCard und Firmendaten.</t>
  </si>
  <si>
    <t>Mauritzener Hauptstraße 5</t>
  </si>
  <si>
    <t>47.26782</t>
  </si>
  <si>
    <t>15.32627</t>
  </si>
  <si>
    <t>+43312647550</t>
  </si>
  <si>
    <t>reinhard.stampler@allianz.at</t>
  </si>
  <si>
    <t>https://bilder.dasschnelle.at/DasSchnelle/50/5000/9883/061362/I_061362_P_906050318_L_0035999017_1.png</t>
  </si>
  <si>
    <t>https://bilder.dasschnelle.at/DasSchnelle/50/5000/9883/061362/I_061362_P_906050318_B_0035999017_1.gal.png?height=529&amp;width=720;https://bilder.dasschnelle.at/DasSchnelle/50/5000/9883/061362/I_061362_P_906050318_B_0035999017_2.gal.png?height=540&amp;width=720;https://bilder.dasschnelle.at/DasSchnelle/50/5000/9883/061362/I_061362_P_906050318_B_0035999017_3.gal.png?height=540&amp;width=720;https://bilder.dasschnelle.at/DasSchnelle/50/5000/9883/061362/I_061362_P_906050318_B_0035999017_4.gal.png?height=720&amp;width=537;https://bilder.dasschnelle.at/DasSchnelle/50/5000/9883/061362/G_061362_P_906050318.adn.gif</t>
  </si>
  <si>
    <t>Paar, Matthias, Installationen • Groß-Siegharts • Niederösterreich</t>
  </si>
  <si>
    <t>Installationsunternehmen • Paar, Matthias, Raabserstraße 14, Groß-Siegharts • Kontakt über aktuelle Telefonnummern ☎ und Adressen ⚑ mit Karte, Routing, Öffnungszeiten, Homepage, E-Mail, vCard und Firmendaten.</t>
  </si>
  <si>
    <t>Raabserstraße 14</t>
  </si>
  <si>
    <t>48.79251</t>
  </si>
  <si>
    <t>15.40504</t>
  </si>
  <si>
    <t>+4328472289</t>
  </si>
  <si>
    <t>matthias.paar@aon.at</t>
  </si>
  <si>
    <t>https://bilder.dasschnelle.at/DasSchnelle/50/5000/9885/044256/G_044256_P_906055573.adn.gif</t>
  </si>
  <si>
    <t>Lenz, Norbert, Spenglerei • Loibes • Niederösterreich</t>
  </si>
  <si>
    <t>Spenglereien • Lenz, Norbert, Loibes 24, Loibes • Kontakt über aktuelle Telefonnummern ☎ und Adressen ⚑ mit Karte, Routing, Öffnungszeiten, Homepage, E-Mail, vCard und Firmendaten.</t>
  </si>
  <si>
    <t>Loibes 24</t>
  </si>
  <si>
    <t>Loibes</t>
  </si>
  <si>
    <t>48.8392044</t>
  </si>
  <si>
    <t>15.3870704</t>
  </si>
  <si>
    <t>+43284784064;+436646331719;+436641801827</t>
  </si>
  <si>
    <t>norbert.lenz@utanet.at</t>
  </si>
  <si>
    <t>https://bilder.dasschnelle.at/DasSchnelle/50/5000/9950/044545/I_044545_P_906055715_L_0035970745_1.png</t>
  </si>
  <si>
    <t>https://bilder.dasschnelle.at/DasSchnelle/50/5000/9950/044545/I_044545_P_906055715_B_0035970745_1.gal.png?height=502&amp;width=506;https://bilder.dasschnelle.at/DasSchnelle/50/5000/9950/044545/I_044545_P_906055715_B_0035970745_2.gal.png?height=501&amp;width=502;https://bilder.dasschnelle.at/DasSchnelle/50/5000/9950/044545/I_044545_P_906055715_B_0035970745_3.gal.png?height=820&amp;width=823;https://bilder.dasschnelle.at/DasSchnelle/50/5000/9950/044545/I_044545_P_906055715_B_0035970745_4.gal.png?height=503&amp;width=503</t>
  </si>
  <si>
    <t>Pöppl, Bernhard, Hausservice • Waldreichs • Niederösterreich</t>
  </si>
  <si>
    <t>Entrümpelungen • Pöppl, Bernhard, Kreuzackergasse 8, Waldreichs • Kontakt über aktuelle Telefonnummern ☎ und Adressen ⚑ mit Karte, Routing, Öffnungszeiten, Homepage, E-Mail, vCard und Firmendaten.</t>
  </si>
  <si>
    <t>Kreuzackergasse 8</t>
  </si>
  <si>
    <t>Waldreichs</t>
  </si>
  <si>
    <t>48.7982</t>
  </si>
  <si>
    <t>15.40133</t>
  </si>
  <si>
    <t>+436644472144</t>
  </si>
  <si>
    <t>office@poeppl.at</t>
  </si>
  <si>
    <t>https://bilder.dasschnelle.at/DasSchnelle/50/5000/9885/044256/G_044256_P_906056496.adn.gif</t>
  </si>
  <si>
    <t>Fritz Bischof Grabanlagen-Natursteine • Münzkirchen • Oberösterreich</t>
  </si>
  <si>
    <t>Grabsteine u. -denkmäler • Fritz Bischof Grabanlagen-Natursteine, Passauer Straße 4, Münzkirchen • Kontakt über aktuelle Telefonnummern ☎ und Adressen ⚑ mit Karte, Routing, Öffnungszeiten, Homepage, E-Mail, vCard und Firmendaten.</t>
  </si>
  <si>
    <t>Passauer Straße 4</t>
  </si>
  <si>
    <t>48.4819475</t>
  </si>
  <si>
    <t>13.5532162</t>
  </si>
  <si>
    <t>+436645362263</t>
  </si>
  <si>
    <t>fritz@steinmetz-bischof.at</t>
  </si>
  <si>
    <t>https://bilder.dasschnelle.at/DasSchnelle/50/5000/9926/042788/G_042788_P_906055620.adn.gif</t>
  </si>
  <si>
    <t>STÖCKL ALOIS GmbH Baumschulen • Zell an der Pram • Oberösterreich</t>
  </si>
  <si>
    <t>Baumschulen • STÖCKL ALOIS GmbH Baumschulen, Stöckl-Allee 6, Zell an der Pram • Kontakt über aktuelle Telefonnummern ☎ und Adressen ⚑ mit Karte, Routing, Öffnungszeiten, Homepage, E-Mail, vCard und Firmendaten.</t>
  </si>
  <si>
    <t>Stöckl-Allee 6</t>
  </si>
  <si>
    <t>48.31247</t>
  </si>
  <si>
    <t>13.62934</t>
  </si>
  <si>
    <t>+43776483350</t>
  </si>
  <si>
    <t>office@baumschule-stoeckl.at</t>
  </si>
  <si>
    <t>https://bilder.dasschnelle.at/DasSchnelle/50/5000/9926/042791/G_042791_P_906055622.adn.gif</t>
  </si>
  <si>
    <t>Tischlerei Egger GmbH • Seeboden • Kärnten</t>
  </si>
  <si>
    <t>Fenster u. Türen, Tischlereien • Tischlerei Egger GmbH, Seestraße 5, Seeboden • Kontakt über aktuelle Telefonnummern ☎ und Adressen ⚑ mit Karte, Routing, Öffnungszeiten, Homepage, E-Mail, vCard und Firmendaten.</t>
  </si>
  <si>
    <t>Seestraße 5</t>
  </si>
  <si>
    <t>9871</t>
  </si>
  <si>
    <t>Seeboden</t>
  </si>
  <si>
    <t>46.81866</t>
  </si>
  <si>
    <t>13.52187</t>
  </si>
  <si>
    <t>+43476281161</t>
  </si>
  <si>
    <t>office@tischlereiegger.at</t>
  </si>
  <si>
    <t>https://bilder.dasschnelle.at/DasSchnelle/50/5000/9933/042152/G_042152_P_906059782.adn.gif</t>
  </si>
  <si>
    <t>Happl, Hana, Steinmetzbetrieb • Raabs an der Thaya • Niederösterreich</t>
  </si>
  <si>
    <t>Steinmetzbetriebe • Happl, Hana, Puchheimstraße 17, Raabs an der Thaya • Kontakt über aktuelle Telefonnummern ☎ und Adressen ⚑ mit Karte, Routing, Öffnungszeiten, Homepage, E-Mail, vCard und Firmendaten.</t>
  </si>
  <si>
    <t>Puchheimstraße 17</t>
  </si>
  <si>
    <t>3820</t>
  </si>
  <si>
    <t>Raabs an der Thaya</t>
  </si>
  <si>
    <t>48.85016</t>
  </si>
  <si>
    <t>15.49075</t>
  </si>
  <si>
    <t>+436643436913</t>
  </si>
  <si>
    <t>office@happl.at</t>
  </si>
  <si>
    <t>https://bilder.dasschnelle.at/DasSchnelle/50/5000/9885/044261/G_044261_P_906058621.adn.gif</t>
  </si>
  <si>
    <t>Wia z'haus Kern, Gasthaus • Alt-Dietmanns • Niederösterreich</t>
  </si>
  <si>
    <t>Gastgewerbe - Gasthöfe • Wia z'haus Kern, Hauptstraße 83, Alt-Dietmanns • Kontakt über aktuelle Telefonnummern ☎ und Adressen ⚑ mit Karte, Routing, Öffnungszeiten, Homepage, E-Mail, vCard und Firmendaten.</t>
  </si>
  <si>
    <t>3813</t>
  </si>
  <si>
    <t>Alt-Dietmanns</t>
  </si>
  <si>
    <t>48.7930000</t>
  </si>
  <si>
    <t>15.3814500</t>
  </si>
  <si>
    <t>+4328472396</t>
  </si>
  <si>
    <t>info@wiazhaus-kern.at</t>
  </si>
  <si>
    <t>https://bilder.dasschnelle.at/DasSchnelle/50/5000/9885/044253/G_044253_P_906058777.adn.gif</t>
  </si>
  <si>
    <t>Morscher Elektro GmbH, Elektrounternehmen • Waidhofen an der Thaya • Niederösterreich</t>
  </si>
  <si>
    <t>Elektrounternehmen • Morscher Elektro GmbH, Bahnhofstraße 1 -7, Waidhofen an der Thaya • Kontakt über aktuelle Telefonnummern ☎ und Adressen ⚑ mit Karte, Routing, Öffnungszeiten, Homepage, E-Mail, vCard und Firmendaten.</t>
  </si>
  <si>
    <t>Bahnhofstraße 1 -7</t>
  </si>
  <si>
    <t>48.81384</t>
  </si>
  <si>
    <t>15.2835</t>
  </si>
  <si>
    <t>+432842519000;+436643379525;+436644332717</t>
  </si>
  <si>
    <t>+4328425190018</t>
  </si>
  <si>
    <t>office@elektro-morscher.at</t>
  </si>
  <si>
    <t>https://bilder.dasschnelle.at/DasSchnelle/50/5000/9885/044264/G_044264_P_906060760.adn.gif</t>
  </si>
  <si>
    <t>Autohaus Hofstetter GmbH, Autohandel • Waidhofen an der Thaya • Niederösterreich</t>
  </si>
  <si>
    <t>Autohandel • Autohaus Hofstetter GmbH, Thayastraße 12, Waidhofen an der Thaya • Kontakt über aktuelle Telefonnummern ☎ und Adressen ⚑ mit Karte, Routing, Öffnungszeiten, Homepage, E-Mail, vCard und Firmendaten.</t>
  </si>
  <si>
    <t>Thayastraße 12</t>
  </si>
  <si>
    <t>48.82047</t>
  </si>
  <si>
    <t>15.28278</t>
  </si>
  <si>
    <t>+43284252224</t>
  </si>
  <si>
    <t>office@kfz-hofstetter.at</t>
  </si>
  <si>
    <t>https://bilder.dasschnelle.at/DasSchnelle/50/5000/9885/044264/G_044264_P_906061851.adn.gif</t>
  </si>
  <si>
    <t>Hauer-Fenster GmbH • Waidhofen an der Thaya • Niederösterreich</t>
  </si>
  <si>
    <t>Fenster u. Türen • Hauer-Fenster GmbH, Wienerstraße 86, Waidhofen an der Thaya • Kontakt über aktuelle Telefonnummern ☎ und Adressen ⚑ mit Karte, Routing, Öffnungszeiten, Homepage, E-Mail, vCard und Firmendaten.</t>
  </si>
  <si>
    <t>Wienerstraße 86</t>
  </si>
  <si>
    <t>48.81105</t>
  </si>
  <si>
    <t>15.29702</t>
  </si>
  <si>
    <t>+43284252481</t>
  </si>
  <si>
    <t>office@hauer-windows.com</t>
  </si>
  <si>
    <t>https://bilder.dasschnelle.at/DasSchnelle/50/5000/9885/044264/G_044264_P_906061857.adn.gif</t>
  </si>
  <si>
    <t>Schuecker KG, Land.- &amp; Forstwirtschaftliche Lohnarbeiten • Waidhofen a. d. Thaya • Niederösterreich</t>
  </si>
  <si>
    <t>Landwirtschaftliche Hilfsdienste • Schuecker KG, Pfaffenschlag 28, Waidhofen a. d. Thaya • Kontakt über aktuelle Telefonnummern ☎ und Adressen ⚑ mit Karte, Routing, Öffnungszeiten, Homepage, E-Mail, vCard und Firmendaten.</t>
  </si>
  <si>
    <t>Pfaffenschlag 28</t>
  </si>
  <si>
    <t>3834</t>
  </si>
  <si>
    <t>Waidhofen a. d. Thaya</t>
  </si>
  <si>
    <t>48.8438060</t>
  </si>
  <si>
    <t>15.1931963</t>
  </si>
  <si>
    <t>+436641457399</t>
  </si>
  <si>
    <t>office@​schuecker.eu</t>
  </si>
  <si>
    <t>https://bilder.dasschnelle.at/DasSchnelle/50/5000/9885/044260/G_044260_P_906061865.adn.gif</t>
  </si>
  <si>
    <t>Olsacher Werner Karosserie-Reparaturen-Lackierungen e.U. • Treffling • Kärnten</t>
  </si>
  <si>
    <t>Autohandel, Lackierereien • Olsacher Werner Karosserie-Reparaturen-Lackierungen e.U., Treffling • Kontakt über aktuelle Telefonnummern ☎ und Adressen ⚑ mit Karte, Routing, Öffnungszeiten, Homepage, E-Mail, vCard und Firmendaten.</t>
  </si>
  <si>
    <t>Treffling</t>
  </si>
  <si>
    <t>46.8373515</t>
  </si>
  <si>
    <t>13.5238034</t>
  </si>
  <si>
    <t>+43476281792;+436506924596</t>
  </si>
  <si>
    <t>buero@auto-olsacher.at</t>
  </si>
  <si>
    <t>https://bilder.dasschnelle.at/DasSchnelle/50/5000/9933/042152/G_042152_P_906061820.adn.gif</t>
  </si>
  <si>
    <t>Wühl, Gerhard, Windschutzscheiben • Waidhofen an der Thaya • Niederösterreich</t>
  </si>
  <si>
    <t>Glasereien • Wühl, Gerhard, Thayastraße 1, Waidhofen an der Thaya • Kontakt über aktuelle Telefonnummern ☎ und Adressen ⚑ mit Karte, Routing, Öffnungszeiten, Homepage, E-Mail, vCard und Firmendaten.</t>
  </si>
  <si>
    <t>Thayastraße 1</t>
  </si>
  <si>
    <t>48.9173231</t>
  </si>
  <si>
    <t>15.2429328</t>
  </si>
  <si>
    <t>+43286426241</t>
  </si>
  <si>
    <t>windwuehl@aon.at</t>
  </si>
  <si>
    <t>Franz Sajowitz KG, Dachdeckerei u Spenglerei • Mariazell • Steiermark</t>
  </si>
  <si>
    <t>Dachdeckerei u. Spenglerei • Franz Sajowitz KG, Friedhofgasse 4, Mariazell • Kontakt über aktuelle Telefonnummern ☎ und Adressen ⚑ mit Karte, Routing, Öffnungszeiten, Homepage, E-Mail, vCard und Firmendaten.</t>
  </si>
  <si>
    <t>Friedhofgasse 4</t>
  </si>
  <si>
    <t>Mariazell</t>
  </si>
  <si>
    <t>47.77262</t>
  </si>
  <si>
    <t>15.3144</t>
  </si>
  <si>
    <t>+43388223200</t>
  </si>
  <si>
    <t>https://bilder.dasschnelle.at/DasSchnelle/50/5000/9906/061453/I_061453_P_906160896_L_0035970048_1.png</t>
  </si>
  <si>
    <t>https://bilder.dasschnelle.at/DasSchnelle/50/5000/9906/061453/I_061453_P_906160896_B_0035970048_1.gal.png?height=400&amp;width=533;https://bilder.dasschnelle.at/DasSchnelle/50/5000/9906/061453/I_061453_P_906160896_B_0035970048_2.gal.png?height=400&amp;width=533;https://bilder.dasschnelle.at/DasSchnelle/50/5000/9906/061453/I_061453_P_906160896_B_0035970048_3.gal.png?height=400&amp;width=533;https://bilder.dasschnelle.at/DasSchnelle/50/5000/9906/061453/I_061453_P_906160896_B_0035970048_4.gal.png?height=400&amp;width=533</t>
  </si>
  <si>
    <t>Siebler, Günther, Busunternehmen • Simmerlach • Kärnten</t>
  </si>
  <si>
    <t>Autobusunternehmen, Taxi • Siebler, Günther, Simmerlach 101, Simmerlach • Kontakt über aktuelle Telefonnummern ☎ und Adressen ⚑ mit Karte, Routing, Öffnungszeiten, Homepage, E-Mail, vCard und Firmendaten.</t>
  </si>
  <si>
    <t>Simmerlach 101</t>
  </si>
  <si>
    <t>9781</t>
  </si>
  <si>
    <t>Simmerlach</t>
  </si>
  <si>
    <t>46.7506562</t>
  </si>
  <si>
    <t>12.9941650</t>
  </si>
  <si>
    <t>+4347102356</t>
  </si>
  <si>
    <t>+43471023564</t>
  </si>
  <si>
    <t>der.drautaler@gmx.at</t>
  </si>
  <si>
    <t>https://bilder.dasschnelle.at/DasSchnelle/50/5000/9933/042138/G_042138_P_906062312.adn.gif</t>
  </si>
  <si>
    <t>Kurzmann, Werner, Holz • Weitra • Niederösterreich</t>
  </si>
  <si>
    <t>Holzfachmärkte • Kurzmann, Werner, Wilhelm-Szabo-Straße 230, Weitra • Kontakt über aktuelle Telefonnummern ☎ und Adressen ⚑ mit Karte, Routing, Öffnungszeiten, Homepage, E-Mail, vCard und Firmendaten.</t>
  </si>
  <si>
    <t>Wilhelm-Szabo-Straße 230</t>
  </si>
  <si>
    <t>48.6502648</t>
  </si>
  <si>
    <t>14.9421406</t>
  </si>
  <si>
    <t>+436649720598</t>
  </si>
  <si>
    <t>kurzmannw@yahoo.de</t>
  </si>
  <si>
    <t>https://bilder.dasschnelle.at/DasSchnelle/50/5000/9885/045078/G_045078_P_906062316.adn.gif</t>
  </si>
  <si>
    <t>Holzbau Willibald Longin Gmbh • Dobersberg • Niederösterreich</t>
  </si>
  <si>
    <t>Holzbau • Holzbau Willibald Longin Gmbh, Siedlungsgasse 4, Dobersberg • Kontakt über aktuelle Telefonnummern ☎ und Adressen ⚑ mit Karte, Routing, Öffnungszeiten, Homepage, E-Mail, vCard und Firmendaten.</t>
  </si>
  <si>
    <t>Siedlungsgasse 4</t>
  </si>
  <si>
    <t>3843</t>
  </si>
  <si>
    <t>Dobersberg</t>
  </si>
  <si>
    <t>48.9197200</t>
  </si>
  <si>
    <t>15.3205500</t>
  </si>
  <si>
    <t>+4328432243</t>
  </si>
  <si>
    <t>holzbau@longin.at</t>
  </si>
  <si>
    <t>https://bilder.dasschnelle.at/DasSchnelle/50/5000/9885/044254/G_044254_P_906063810.adn.gif</t>
  </si>
  <si>
    <t>Eggenberger, Jürgen, Zimmermeister • Gastern • Niederösterreich</t>
  </si>
  <si>
    <t>Holzbau, Zimmereien • Eggenberger, Jürgen, Wiesmaden 12, Gastern • Kontakt über aktuelle Telefonnummern ☎ und Adressen ⚑ mit Karte, Routing, Öffnungszeiten, Homepage, E-Mail, vCard und Firmendaten.</t>
  </si>
  <si>
    <t>Wiesmaden 12</t>
  </si>
  <si>
    <t>3852</t>
  </si>
  <si>
    <t>Gastern</t>
  </si>
  <si>
    <t>48.8837997</t>
  </si>
  <si>
    <t>15.1919752</t>
  </si>
  <si>
    <t>+4328642537</t>
  </si>
  <si>
    <t>buero@holzbau-eggenberger.at</t>
  </si>
  <si>
    <t>https://bilder.dasschnelle.at/DasSchnelle/50/5000/9885/044255/G_044255_P_906063819.adn.gif</t>
  </si>
  <si>
    <t>Hager, Ingeborg, Deichgräberei - Erdbau • Pleßberg • Niederösterreich</t>
  </si>
  <si>
    <t>Deichgräber, Erdbau • Hager, Ingeborg, Pleßberg 58, Pleßberg • Kontakt über aktuelle Telefonnummern ☎ und Adressen ⚑ mit Karte, Routing, Öffnungszeiten, Homepage, E-Mail, vCard und Firmendaten.</t>
  </si>
  <si>
    <t>Pleßberg 58</t>
  </si>
  <si>
    <t>3851</t>
  </si>
  <si>
    <t>Pleßberg</t>
  </si>
  <si>
    <t>48.9141820</t>
  </si>
  <si>
    <t>15.2557790</t>
  </si>
  <si>
    <t>+4328642948;+436641344931</t>
  </si>
  <si>
    <t>i.hager@aon.at</t>
  </si>
  <si>
    <t>https://bilder.dasschnelle.at/DasSchnelle/50/5000/9885/044258/G_044258_P_906063852.adn.gif</t>
  </si>
  <si>
    <t>Schuh, Silvia, Friseursalon • Waidhofen an der Thaya • Niederösterreich</t>
  </si>
  <si>
    <t>Friseure • Schuh, Silvia, Vitiserstraße 7, Waidhofen an der Thaya • Kontakt über aktuelle Telefonnummern ☎ und Adressen ⚑ mit Karte, Routing, Öffnungszeiten, Homepage, E-Mail, vCard und Firmendaten.</t>
  </si>
  <si>
    <t>Vitiserstraße 7</t>
  </si>
  <si>
    <t>48.81224</t>
  </si>
  <si>
    <t>15.28061</t>
  </si>
  <si>
    <t>+43284251590</t>
  </si>
  <si>
    <t>office@friseur-wellness.at</t>
  </si>
  <si>
    <t>https://bilder.dasschnelle.at/DasSchnelle/50/5000/9885/044264/G_044264_P_906064394.adn.gif</t>
  </si>
  <si>
    <t>Wohnträume Hauer GmbH, Tischlerei &amp; Einrichtungsstudio • Waidhofen/Thaya • Niederösterreich</t>
  </si>
  <si>
    <t>Einrichtungsstudios, Tischlereien • Wohnträume Hauer GmbH, Südtiroler Straße 6, Waidhofen/Thaya • Kontakt über aktuelle Telefonnummern ☎ und Adressen ⚑ mit Karte, Routing, Öffnungszeiten, Homepage, E-Mail, vCard und Firmendaten.</t>
  </si>
  <si>
    <t>Südtiroler Straße 6</t>
  </si>
  <si>
    <t>Waidhofen/Thaya</t>
  </si>
  <si>
    <t>48.8148938</t>
  </si>
  <si>
    <t>15.2792933</t>
  </si>
  <si>
    <t>+43284253965</t>
  </si>
  <si>
    <t>office@​hauer-wohntraum.at</t>
  </si>
  <si>
    <t>https://bilder.dasschnelle.at/DasSchnelle/50/5000/9885/044264/G_044264_P_906064397.adn.gif</t>
  </si>
  <si>
    <t>Restaurant Burgstüberl • Heidenreichstein • Niederösterreich</t>
  </si>
  <si>
    <t>Gastgewerbe - Gasthöfe • Restaurant Burgstüberl, Waidhofener Straße 1, Heidenreichstein • Kontakt über aktuelle Telefonnummern ☎ und Adressen ⚑ mit Karte, Routing, Öffnungszeiten, Homepage, E-Mail, vCard und Firmendaten.</t>
  </si>
  <si>
    <t>Waidhofener Straße 1</t>
  </si>
  <si>
    <t>3860</t>
  </si>
  <si>
    <t>Heidenreichstein</t>
  </si>
  <si>
    <t>48.86513</t>
  </si>
  <si>
    <t>15.12237</t>
  </si>
  <si>
    <t>+43286258993</t>
  </si>
  <si>
    <t>info@burgstueberl.at</t>
  </si>
  <si>
    <t>https://bilder.dasschnelle.at/DasSchnelle/50/5000/9885/045081/G_045081_P_906064528.adn.gif</t>
  </si>
  <si>
    <t>Dely, Christian, Sandstrahlen • Stockerau • Niederösterreich</t>
  </si>
  <si>
    <t>Sandstrahlarbeiten • Dely, Christian, Anna Grundschober-Gasse 14, Stockerau • Kontakt über aktuelle Telefonnummern ☎ und Adressen ⚑ mit Karte, Routing, Öffnungszeiten, Homepage, E-Mail, vCard und Firmendaten.</t>
  </si>
  <si>
    <t>Anna Grundschober-Gasse 14</t>
  </si>
  <si>
    <t>48.38372</t>
  </si>
  <si>
    <t>16.18493</t>
  </si>
  <si>
    <t>+43226667924</t>
  </si>
  <si>
    <t>sandstrahlen-stockerau@gmx.at</t>
  </si>
  <si>
    <t>https://bilder.dasschnelle.at/DasSchnelle/50/5000/9898/041484/G_041484_P_906063800.adn.gif</t>
  </si>
  <si>
    <t>Weinlinger GesmbH, Erdbewegungen • Unterzögersdorf • Niederösterreich</t>
  </si>
  <si>
    <t>Erdbewegungen • Weinlinger GesmbH, Am Anger 8, Unterzögersdorf • Kontakt über aktuelle Telefonnummern ☎ und Adressen ⚑ mit Karte, Routing, Öffnungszeiten, Homepage, E-Mail, vCard und Firmendaten.</t>
  </si>
  <si>
    <t>Am Anger 8</t>
  </si>
  <si>
    <t>Unterzögersdorf</t>
  </si>
  <si>
    <t>48.37993</t>
  </si>
  <si>
    <t>16.17486</t>
  </si>
  <si>
    <t>+43226662077;+436649012657</t>
  </si>
  <si>
    <t>office@weinlinger.com</t>
  </si>
  <si>
    <t>https://bilder.dasschnelle.at/DasSchnelle/50/5000/9898/041484/I_041484_P_906063879_L_0037076210_1.png</t>
  </si>
  <si>
    <t>https://bilder.dasschnelle.at/DasSchnelle/50/5000/9898/041484/I_041484_P_906063879_B_0037076210_1.gal.png?height=382&amp;width=945;https://bilder.dasschnelle.at/DasSchnelle/50/5000/9898/041484/I_041484_P_906063879_B_0037076210_2.gal.png?height=368&amp;width=945;https://bilder.dasschnelle.at/DasSchnelle/50/5000/9898/041484/I_041484_P_906063879_B_0037076210_3.gal.png?height=373&amp;width=945;https://bilder.dasschnelle.at/DasSchnelle/50/5000/9898/041484/I_041484_P_906063879_B_0037076210_4.gal.png?height=414&amp;width=842</t>
  </si>
  <si>
    <t>Wieser, Andreas, Gartengestaltung • Steinfeld • Kärnten</t>
  </si>
  <si>
    <t>Garten- u. Landschaftsgestaltung • Wieser, Andreas, Lindenweg 7, Steinfeld • Kontakt über aktuelle Telefonnummern ☎ und Adressen ⚑ mit Karte, Routing, Öffnungszeiten, Homepage, E-Mail, vCard und Firmendaten.</t>
  </si>
  <si>
    <t>Lindenweg 7</t>
  </si>
  <si>
    <t>9754</t>
  </si>
  <si>
    <t>Steinfeld</t>
  </si>
  <si>
    <t>46.75538</t>
  </si>
  <si>
    <t>13.24661</t>
  </si>
  <si>
    <t>+43471720564;+4369919544167</t>
  </si>
  <si>
    <t>info@andreaswieser.at</t>
  </si>
  <si>
    <t>https://bilder.dasschnelle.at/DasSchnelle/50/5000/9933/042155/I_042155_P_906064503_L_0035992985_1.png</t>
  </si>
  <si>
    <t>https://bilder.dasschnelle.at/DasSchnelle/50/5000/9933/042155/I_042155_P_906064503_B_0035992985_1.gal.png?height=372&amp;width=557;https://bilder.dasschnelle.at/DasSchnelle/50/5000/9933/042155/I_042155_P_906064503_B_0035992985_2.gal.png?height=371&amp;width=562;https://bilder.dasschnelle.at/DasSchnelle/50/5000/9933/042155/I_042155_P_906064503_B_0035992985_3.gal.png?height=374&amp;width=560;https://bilder.dasschnelle.at/DasSchnelle/50/5000/9933/042155/I_042155_P_906064503_B_0035992985_4.gal.png?height=728&amp;width=1093;https://bilder.dasschnelle.at/DasSchnelle/50/5000/9933/042155/G_042155_P_906064503.adn.gif</t>
  </si>
  <si>
    <t>Jarusch, Johann, Dr., FA f Kinder- u Jugendheilkunde • Mondsee • Oberösterreich</t>
  </si>
  <si>
    <t>Ärzte / Fachärzte f. Kinder u. Jugendheilkunde • Jarusch, Johann, Dr., Herzog Odilo-Straße 52, Mondsee • Kontakt über aktuelle Telefonnummern ☎ und Adressen ⚑ mit Karte, Routing, Öffnungszeiten, Homepage, E-Mail, vCard und Firmendaten.</t>
  </si>
  <si>
    <t>Herzog Odilo-Straße 52</t>
  </si>
  <si>
    <t>47.85886</t>
  </si>
  <si>
    <t>13.34664</t>
  </si>
  <si>
    <t>+4362324004</t>
  </si>
  <si>
    <t>johann.jarusch@aon.at</t>
  </si>
  <si>
    <t>https://bilder.dasschnelle.at/DasSchnelle/50/5000/9909/043081/G_043081_P_906065115.adn.gif</t>
  </si>
  <si>
    <t>Studio Hairstyle Anibas &amp; Anibas OG • Heidwenreichstein • Niederösterreich</t>
  </si>
  <si>
    <t>Friseure, Frisiersalon • Studio Hairstyle Anibas &amp; Anibas OG, Schremser Straße 24, Heidwenreichstein • Kontakt über aktuelle Telefonnummern ☎ und Adressen ⚑ mit Karte, Routing, Öffnungszeiten, Homepage, E-Mail, vCard und Firmendaten.</t>
  </si>
  <si>
    <t>Schremser Straße 24</t>
  </si>
  <si>
    <t>Heidwenreichstein</t>
  </si>
  <si>
    <t>48.86683</t>
  </si>
  <si>
    <t>15.12115</t>
  </si>
  <si>
    <t>+43286252425</t>
  </si>
  <si>
    <t>Studio-Hairstyle@gmx​.at</t>
  </si>
  <si>
    <t>https://bilder.dasschnelle.at/DasSchnelle/50/5000/9885/045081/G_045081_P_906065124.adn.gif</t>
  </si>
  <si>
    <t>KFZ-Technik Christian Schwab GmbH • Bischofshofen • Salzburg</t>
  </si>
  <si>
    <t>Kfz-Werkstätte • KFZ-Technik Christian Schwab GmbH, Bundesstraße 1, Bischofshofen • Kontakt über aktuelle Telefonnummern ☎ und Adressen ⚑ mit Karte, Routing, Öffnungszeiten, Homepage, E-Mail, vCard und Firmendaten.</t>
  </si>
  <si>
    <t>Bundesstraße 1</t>
  </si>
  <si>
    <t>5500</t>
  </si>
  <si>
    <t>Bischofshofen</t>
  </si>
  <si>
    <t>47.39603</t>
  </si>
  <si>
    <t>13.22249</t>
  </si>
  <si>
    <t>+43646232933</t>
  </si>
  <si>
    <t>office@kfz-schwab.at</t>
  </si>
  <si>
    <t>https://bilder.dasschnelle.at/DasSchnelle/50/5000/9919/043337/G_043337_P_906065922.adn.gif</t>
  </si>
  <si>
    <t>Huber, Wolfgang, Computer • Sankt Johann im Pongau • Salzburg</t>
  </si>
  <si>
    <t>Computerfachhandel • Huber, Wolfgang, Gerbergasse 12, Sankt Johann im Pongau • Kontakt über aktuelle Telefonnummern ☎ und Adressen ⚑ mit Karte, Routing, Öffnungszeiten, Homepage, E-Mail, vCard und Firmendaten.</t>
  </si>
  <si>
    <t>Gerbergasse 12</t>
  </si>
  <si>
    <t>5600</t>
  </si>
  <si>
    <t>Sankt Johann im Pongau</t>
  </si>
  <si>
    <t>47.35338</t>
  </si>
  <si>
    <t>13.19544</t>
  </si>
  <si>
    <t>+43641241935</t>
  </si>
  <si>
    <t>office@itixpert.at</t>
  </si>
  <si>
    <t>https://bilder.dasschnelle.at/DasSchnelle/50/5000/9919/043351/G_043351_P_906065924.adn.gif</t>
  </si>
  <si>
    <t>Knoth - Autoreparatur- u HandelsgesmbH • Stockerau • Niederösterreich</t>
  </si>
  <si>
    <t>Autoreparaturen • Knoth - Autoreparatur- u HandelsgesmbH, Ing. Josef Heckl-Straße 1, Stockerau • Kontakt über aktuelle Telefonnummern ☎ und Adressen ⚑ mit Karte, Routing, Öffnungszeiten, Homepage, E-Mail, vCard und Firmendaten.</t>
  </si>
  <si>
    <t>Ing. Josef Heckl-Straße 1</t>
  </si>
  <si>
    <t>48.3885968</t>
  </si>
  <si>
    <t>16.1879468</t>
  </si>
  <si>
    <t>+432266626800;+43226662028</t>
  </si>
  <si>
    <t>office1@autohaus-knoth.at</t>
  </si>
  <si>
    <t>https://bilder.dasschnelle.at/DasSchnelle/50/5000/9898/041484/G_041484_P_906066028.adn.gif</t>
  </si>
  <si>
    <t>Baudesign Immobilien GmbH, Inh. Michael Ryba • Korneuburg • Niederösterreich</t>
  </si>
  <si>
    <t>Immobilien • Baudesign Immobilien GmbH, Inh. Michael Ryba, Salzstraße 16, Korneuburg • Kontakt über aktuelle Telefonnummern ☎ und Adressen ⚑ mit Karte, Routing, Öffnungszeiten, Homepage, E-Mail, vCard und Firmendaten.</t>
  </si>
  <si>
    <t>Salzstraße 16</t>
  </si>
  <si>
    <t>48.3447031</t>
  </si>
  <si>
    <t>16.3343313</t>
  </si>
  <si>
    <t>+43226262515</t>
  </si>
  <si>
    <t>office@baudesign-immobilien.at</t>
  </si>
  <si>
    <t>https://bilder.dasschnelle.at/DasSchnelle/50/5000/9898/041413/G_041413_P_906066031.adn.gif</t>
  </si>
  <si>
    <t>Expert Nordwaldcenter, Elektro • Bad Großpertholz • Niederösterreich</t>
  </si>
  <si>
    <t>Elektroinstallationsunternehmen • Expert Nordwaldcenter, Bad Großpertholz 285, Bad Großpertholz • Kontakt über aktuelle Telefonnummern ☎ und Adressen ⚑ mit Karte, Routing, Öffnungszeiten, Homepage, E-Mail, vCard und Firmendaten.</t>
  </si>
  <si>
    <t>Bad Großpertholz 285</t>
  </si>
  <si>
    <t>3972</t>
  </si>
  <si>
    <t>Bad Großpertholz</t>
  </si>
  <si>
    <t>48.6260263</t>
  </si>
  <si>
    <t>14.8328756</t>
  </si>
  <si>
    <t>+43285725300</t>
  </si>
  <si>
    <t>office@nordwaldcenter.at</t>
  </si>
  <si>
    <t>https://bilder.dasschnelle.at/DasSchnelle/50/5000/9885/045077/G_045077_P_906066728.adn.gif</t>
  </si>
  <si>
    <t>Klaus Auto Lackier und Spengler GesmbH, Fachwerkstätte • Tresdorf • Niederösterreich</t>
  </si>
  <si>
    <t>Autolackierereien • Klaus Auto Lackier und Spengler GesmbH, Korneuburger Straße 8, Tresdorf • Kontakt über aktuelle Telefonnummern ☎ und Adressen ⚑ mit Karte, Routing, Öffnungszeiten, Homepage, E-Mail, vCard und Firmendaten.</t>
  </si>
  <si>
    <t>Korneuburger Straße 8</t>
  </si>
  <si>
    <t>2111</t>
  </si>
  <si>
    <t>Tresdorf</t>
  </si>
  <si>
    <t>48.3930000</t>
  </si>
  <si>
    <t>16.3712000</t>
  </si>
  <si>
    <t>+43226420155</t>
  </si>
  <si>
    <t>hermann.klaus@aon.at</t>
  </si>
  <si>
    <t>https://bilder.dasschnelle.at/DasSchnelle/50/5000/9898/041416/G_041416_P_906066748.adn.gif</t>
  </si>
  <si>
    <t>Reiter Maler GmbH • Raab • Oberösterreich</t>
  </si>
  <si>
    <t>Farben u. Lacke • Reiter Maler GmbH, Marktstraße 10, Raab • Kontakt über aktuelle Telefonnummern ☎ und Adressen ⚑ mit Karte, Routing, Öffnungszeiten, Homepage, E-Mail, vCard und Firmendaten.</t>
  </si>
  <si>
    <t>Marktstraße 10</t>
  </si>
  <si>
    <t>48.3519</t>
  </si>
  <si>
    <t>13.64726</t>
  </si>
  <si>
    <t>+43776222450</t>
  </si>
  <si>
    <t>office@reiter-maler.at</t>
  </si>
  <si>
    <t>https://bilder.dasschnelle.at/DasSchnelle/50/5000/9926/042789/G_042789_P_906066750.adn.gif</t>
  </si>
  <si>
    <t>Gelbmann, Werner, Rauchfangkehrerbetrieb • Spittal • Kärnten</t>
  </si>
  <si>
    <t>Rauchfangkehrer • Gelbmann, Werner, Aichergasse 20, Spittal • Kontakt über aktuelle Telefonnummern ☎ und Adressen ⚑ mit Karte, Routing, Öffnungszeiten, Homepage, E-Mail, vCard und Firmendaten.</t>
  </si>
  <si>
    <t>Aichergasse 20</t>
  </si>
  <si>
    <t>46.7952176</t>
  </si>
  <si>
    <t>13.5001931</t>
  </si>
  <si>
    <t>+4347622483</t>
  </si>
  <si>
    <t>schwarzermann@gmx.at</t>
  </si>
  <si>
    <t>https://bilder.dasschnelle.at/DasSchnelle/50/5000/9933/042153/G_042153_P_906065936.adn.gif</t>
  </si>
  <si>
    <t>Hermann Haag, Reparatur aller Marken, Service - Havariedienst - Tuning • Harmannsdorf • Niederösterreich</t>
  </si>
  <si>
    <t>Autohandel, Autoreparaturen • Hermann Haag, Harmannsdorfer Straße 13, Harmannsdorf • Kontakt über aktuelle Telefonnummern ☎ und Adressen ⚑ mit Karte, Routing, Öffnungszeiten, Homepage, E-Mail, vCard und Firmendaten.</t>
  </si>
  <si>
    <t>Harmannsdorfer Straße 13</t>
  </si>
  <si>
    <t>Harmannsdorf</t>
  </si>
  <si>
    <t>48.3897075</t>
  </si>
  <si>
    <t>16.3687648</t>
  </si>
  <si>
    <t>+4322647238</t>
  </si>
  <si>
    <t>office@kfz-haag.at</t>
  </si>
  <si>
    <t>https://bilder.dasschnelle.at/DasSchnelle/50/5000/9898/041411/I_041411_P_906065235_L_0037082169_1.png</t>
  </si>
  <si>
    <t>https://bilder.dasschnelle.at/DasSchnelle/50/5000/9898/041411/I_041411_P_906065235_B_0037082169_1.gal.png?height=427&amp;width=600;https://bilder.dasschnelle.at/DasSchnelle/50/5000/9898/041411/I_041411_P_906065235_B_0037082169_2.gal.png?height=436&amp;width=600;https://bilder.dasschnelle.at/DasSchnelle/50/5000/9898/041411/I_041411_P_906065235_B_0037082169_3.gal.png?height=400&amp;width=600;https://bilder.dasschnelle.at/DasSchnelle/50/5000/9898/041411/I_041411_P_906065235_B_0037082169_4.gal.png?height=400&amp;width=600</t>
  </si>
  <si>
    <t>Leonhartsberger, Andreas, Vollwärmeschutz • Pierbach • Oberösterreich</t>
  </si>
  <si>
    <t>Putzereien • Leonhartsberger, Andreas, Höfnerberg 46, Pierbach • Kontakt über aktuelle Telefonnummern ☎ und Adressen ⚑ mit Karte, Routing, Öffnungszeiten, Homepage, E-Mail, vCard und Firmendaten.</t>
  </si>
  <si>
    <t>Höfnerberg 46</t>
  </si>
  <si>
    <t>4282</t>
  </si>
  <si>
    <t>Pierbach</t>
  </si>
  <si>
    <t>48.3435277</t>
  </si>
  <si>
    <t>14.7289151</t>
  </si>
  <si>
    <t>+436644217176</t>
  </si>
  <si>
    <t>le.verputze@gmail.com</t>
  </si>
  <si>
    <t>https://bilder.dasschnelle.at/DasSchnelle/50/5000/9916/041773/G_041773_P_906065965.adn.gif</t>
  </si>
  <si>
    <t>Lechner, Karl, Ing., Gartenbau • Heidenreichstein • Niederösterreich</t>
  </si>
  <si>
    <t>Gartenbau • Lechner, Karl, Ing., Bahnhofstraße 1, Heidenreichstein • Kontakt über aktuelle Telefonnummern ☎ und Adressen ⚑ mit Karte, Routing, Öffnungszeiten, Homepage, E-Mail, vCard und Firmendaten.</t>
  </si>
  <si>
    <t>48.86304</t>
  </si>
  <si>
    <t>15.11913</t>
  </si>
  <si>
    <t>+43286252296</t>
  </si>
  <si>
    <t>office@blumen-lechner.at</t>
  </si>
  <si>
    <t>https://bilder.dasschnelle.at/DasSchnelle/50/5000/9885/045081/G_045081_P_906065311.adn.gif</t>
  </si>
  <si>
    <t>Schachner, Christian, Erdbau • Obervellach • Kärnten</t>
  </si>
  <si>
    <t>Baumaschinen u. -geräte, Erdbau • Schachner, Christian, Obervellach 49, Obervellach • Kontakt über aktuelle Telefonnummern ☎ und Adressen ⚑ mit Karte, Routing, Öffnungszeiten, Homepage, E-Mail, vCard und Firmendaten.</t>
  </si>
  <si>
    <t>Obervellach 49</t>
  </si>
  <si>
    <t>9821</t>
  </si>
  <si>
    <t>Obervellach</t>
  </si>
  <si>
    <t>46.9384352</t>
  </si>
  <si>
    <t>13.1870589</t>
  </si>
  <si>
    <t>+436769622268</t>
  </si>
  <si>
    <t>office@maschinenverleih.eu</t>
  </si>
  <si>
    <t>https://bilder.dasschnelle.at/DasSchnelle/50/5000/9933/042147/I_042147_P_906068101_L_0037084220_1.png</t>
  </si>
  <si>
    <t>https://bilder.dasschnelle.at/DasSchnelle/50/5000/9933/042147/I_042147_P_906068101_B_0037084220_1.gal.png?height=539&amp;width=720;https://bilder.dasschnelle.at/DasSchnelle/50/5000/9933/042147/I_042147_P_906068101_B_0037084220_2.gal.png?height=538&amp;width=720;https://bilder.dasschnelle.at/DasSchnelle/50/5000/9933/042147/I_042147_P_906068101_B_0037084220_3.gal.png?height=538&amp;width=720;https://bilder.dasschnelle.at/DasSchnelle/50/5000/9933/042147/I_042147_P_906068101_B_0037084220_4.gal.png?height=540&amp;width=720</t>
  </si>
  <si>
    <t>Schwaiger &amp; Lettner, Steuerberatung • Salzburg • Oberösterreich</t>
  </si>
  <si>
    <t>Steuerberater, Wirtschaftstreuhänder / Steuerberater • Schwaiger &amp; Lettner, Rottfeld 7, Salzburg • Kontakt über aktuelle Telefonnummern ☎ und Adressen ⚑ mit Karte, Routing, Öffnungszeiten, Homepage, E-Mail, vCard und Firmendaten.</t>
  </si>
  <si>
    <t>Rottfeld 7</t>
  </si>
  <si>
    <t>5020</t>
  </si>
  <si>
    <t>47.85159</t>
  </si>
  <si>
    <t>13.33573</t>
  </si>
  <si>
    <t>+43623237118</t>
  </si>
  <si>
    <t>office@finanzensteuern.at</t>
  </si>
  <si>
    <t>https://bilder.dasschnelle.at/DasSchnelle/50/5000/9909/043551/I_043551_P_906068102_L_0038799280_1.png</t>
  </si>
  <si>
    <t>https://bilder.dasschnelle.at/DasSchnelle/50/5000/9909/043551/I_043551_P_906068102_B_0038799280_1.gal.png?height=538&amp;width=600</t>
  </si>
  <si>
    <t>Fleischerei Pierer • Frohnleiten • Steiermark</t>
  </si>
  <si>
    <t>Fleischhauereien • Fleischerei Pierer, Brucker Straße 15, Frohnleiten • Kontakt über aktuelle Telefonnummern ☎ und Adressen ⚑ mit Karte, Routing, Öffnungszeiten, Homepage, E-Mail, vCard und Firmendaten.</t>
  </si>
  <si>
    <t>Brucker Straße 15</t>
  </si>
  <si>
    <t>47.28103</t>
  </si>
  <si>
    <t>+4331262301;+436645841698</t>
  </si>
  <si>
    <t>frohnleiten@fleischerei-pierer.at</t>
  </si>
  <si>
    <t>Koch, Peter, Ing., Kundendienste • Falkendorf • Niederösterreich</t>
  </si>
  <si>
    <t>Kundendienste • Koch, Peter, Ing., Feldgasse 17, Falkendorf • Kontakt über aktuelle Telefonnummern ☎ und Adressen ⚑ mit Karte, Routing, Öffnungszeiten, Homepage, E-Mail, vCard und Firmendaten.</t>
  </si>
  <si>
    <t>Feldgasse 17</t>
  </si>
  <si>
    <t>3872</t>
  </si>
  <si>
    <t>Falkendorf</t>
  </si>
  <si>
    <t>48.83333</t>
  </si>
  <si>
    <t>15.07408</t>
  </si>
  <si>
    <t>+43286252901;+436641080020</t>
  </si>
  <si>
    <t>koch.junkers@gmx.at</t>
  </si>
  <si>
    <t>https://bilder.dasschnelle.at/DasSchnelle/50/5000/9885/045071/G_045071_P_906068108.adn.gif</t>
  </si>
  <si>
    <t>Schiener E vorm Müllner, Textilwaren, Strickerei • Litschau • Niederösterreich</t>
  </si>
  <si>
    <t>Textilwaren • Schiener E vorm Müllner, Hörmannser Straße 7, Litschau • Kontakt über aktuelle Telefonnummern ☎ und Adressen ⚑ mit Karte, Routing, Öffnungszeiten, Homepage, E-Mail, vCard und Firmendaten.</t>
  </si>
  <si>
    <t>Hörmannser Straße 7</t>
  </si>
  <si>
    <t>48.94675</t>
  </si>
  <si>
    <t>15.04919</t>
  </si>
  <si>
    <t>+432865218</t>
  </si>
  <si>
    <t>fam.schiener@aon.at</t>
  </si>
  <si>
    <t>https://bilder.dasschnelle.at/DasSchnelle/50/5000/9885/045085/G_045085_P_906068686.adn.gif</t>
  </si>
  <si>
    <t>Jöbstl GmbH, Kfz Technik • Althofen • Kärnten</t>
  </si>
  <si>
    <t>Kfz-Werkstätte • Jöbstl GmbH, Marktstraße 1, Althofen • Kontakt über aktuelle Telefonnummern ☎ und Adressen ⚑ mit Karte, Routing, Öffnungszeiten, Homepage, E-Mail, vCard und Firmendaten.</t>
  </si>
  <si>
    <t>Marktstraße 1</t>
  </si>
  <si>
    <t>Althofen</t>
  </si>
  <si>
    <t>46.8611</t>
  </si>
  <si>
    <t>14.47143</t>
  </si>
  <si>
    <t>+4366475140882</t>
  </si>
  <si>
    <t>manuelapirker.kfz@gmail.com</t>
  </si>
  <si>
    <t>https://bilder.dasschnelle.at/DasSchnelle/50/5000/9925/042109/G_042109_P_906068663.adn.gif</t>
  </si>
  <si>
    <t>Hober, Wilhelm / • Leitzersdorf • Niederösterreich</t>
  </si>
  <si>
    <t>Installationsunternehmen • Hober, Wilhelm /, Ahornstraße 24, Leitzersdorf • Kontakt über aktuelle Telefonnummern ☎ und Adressen ⚑ mit Karte, Routing, Öffnungszeiten, Homepage, E-Mail, vCard und Firmendaten.</t>
  </si>
  <si>
    <t>Ahornstraße 24</t>
  </si>
  <si>
    <t>2003</t>
  </si>
  <si>
    <t>Leitzersdorf</t>
  </si>
  <si>
    <t>48.4143200</t>
  </si>
  <si>
    <t>16.2465700</t>
  </si>
  <si>
    <t>+436605281091</t>
  </si>
  <si>
    <t>office@hober.co.at</t>
  </si>
  <si>
    <t>https://bilder.dasschnelle.at/DasSchnelle/50/5000/9898/041415/I_041415_P_906068669_L_0037077643_1.png</t>
  </si>
  <si>
    <t>https://bilder.dasschnelle.at/DasSchnelle/50/5000/9898/041415/I_041415_P_906068669_B_0037077643_1.gal.png?height=180&amp;width=120;https://bilder.dasschnelle.at/DasSchnelle/50/5000/9898/041415/I_041415_P_906068669_B_0037077643_2.gal.png?height=89&amp;width=134;https://bilder.dasschnelle.at/DasSchnelle/50/5000/9898/041415/I_041415_P_906068669_B_0037077643_3.gal.png?height=200&amp;width=300;https://bilder.dasschnelle.at/DasSchnelle/50/5000/9898/041415/I_041415_P_906068669_B_0037077643_4.gal.png?height=156&amp;width=279</t>
  </si>
  <si>
    <t>Marcellos Schnittstelle, Friseursalon • Korneuburg • Niederösterreich</t>
  </si>
  <si>
    <t>Friseure • Marcellos Schnittstelle, Lebzeltergasse 8, Korneuburg • Kontakt über aktuelle Telefonnummern ☎ und Adressen ⚑ mit Karte, Routing, Öffnungszeiten, Homepage, E-Mail, vCard und Firmendaten.</t>
  </si>
  <si>
    <t>Lebzeltergasse 8</t>
  </si>
  <si>
    <t>48.34535</t>
  </si>
  <si>
    <t>16.33294</t>
  </si>
  <si>
    <t>+43226262697</t>
  </si>
  <si>
    <t>salon@schnittstelle.cc</t>
  </si>
  <si>
    <t>https://bilder.dasschnelle.at/DasSchnelle/50/5000/9898/041413/G_041413_P_906068705.adn.gif</t>
  </si>
  <si>
    <t>Kfz Eibensteiner, Mazda-Gebrauchtteile • Alt-Nagelberg • Niederösterreich</t>
  </si>
  <si>
    <t>Autoersatzteile u. -zubehör • Kfz Eibensteiner, Hauptstraße 222, Alt-Nagelberg • Kontakt über aktuelle Telefonnummern ☎ und Adressen ⚑ mit Karte, Routing, Öffnungszeiten, Homepage, E-Mail, vCard und Firmendaten.</t>
  </si>
  <si>
    <t>Hauptstraße 222</t>
  </si>
  <si>
    <t>3871</t>
  </si>
  <si>
    <t>Alt-Nagelberg</t>
  </si>
  <si>
    <t>48.8472</t>
  </si>
  <si>
    <t>14.99849</t>
  </si>
  <si>
    <t>+4328597220</t>
  </si>
  <si>
    <t>office@kfz-eibensteiner.at</t>
  </si>
  <si>
    <t>https://bilder.dasschnelle.at/DasSchnelle/50/5000/9885/045072/G_045072_P_906068181.adn.gif</t>
  </si>
  <si>
    <t>Andreas Bartl, Glasbau • Langegg • Niederösterreich</t>
  </si>
  <si>
    <t>Glasbau • Andreas Bartl, Hauptstraße 143, Langegg • Kontakt über aktuelle Telefonnummern ☎ und Adressen ⚑ mit Karte, Routing, Öffnungszeiten, Homepage, E-Mail, vCard und Firmendaten.</t>
  </si>
  <si>
    <t>Hauptstraße 143</t>
  </si>
  <si>
    <t>Langegg</t>
  </si>
  <si>
    <t>48.8362500</t>
  </si>
  <si>
    <t>15.0927500</t>
  </si>
  <si>
    <t>+432862525080</t>
  </si>
  <si>
    <t>glas-bartl@wavenet.at</t>
  </si>
  <si>
    <t>https://bilder.dasschnelle.at/DasSchnelle/50/5000/9885/044253/G_044253_P_906068183.adn.gif</t>
  </si>
  <si>
    <t>MALEREI-ML, Inh. Mario Lijesnic • Langenzersdorf • Niederösterreich</t>
  </si>
  <si>
    <t>Malereibetriebe • MALEREI-ML, Inh. Mario Lijesnic, Plantagenstraße 5, Langenzersdorf • Kontakt über aktuelle Telefonnummern ☎ und Adressen ⚑ mit Karte, Routing, Öffnungszeiten, Homepage, E-Mail, vCard und Firmendaten.</t>
  </si>
  <si>
    <t>Plantagenstraße 5</t>
  </si>
  <si>
    <t>48.2898316</t>
  </si>
  <si>
    <t>16.3691656</t>
  </si>
  <si>
    <t>+436641582209</t>
  </si>
  <si>
    <t>office@malerei-ml.at</t>
  </si>
  <si>
    <t>https://bilder.dasschnelle.at/DasSchnelle/50/5000/9898/041414/I_041414_P_906069517_L_0038799937_1.png</t>
  </si>
  <si>
    <t>https://bilder.dasschnelle.at/DasSchnelle/50/5000/9898/041414/I_041414_P_906069517_B_0038799937_1.gal.png?height=328&amp;width=450;https://bilder.dasschnelle.at/DasSchnelle/50/5000/9898/041414/I_041414_P_906069517_B_0038799937_2.gal.png?height=337&amp;width=450;https://bilder.dasschnelle.at/DasSchnelle/50/5000/9898/041414/I_041414_P_906069517_B_0038799937_3.gal.png?height=337&amp;width=450;https://bilder.dasschnelle.at/DasSchnelle/50/5000/9898/041414/I_041414_P_906069517_B_0038799937_4.gal.png?height=337&amp;width=450</t>
  </si>
  <si>
    <t>HTL Hollabrunn • Hollabrunn • Niederösterreich</t>
  </si>
  <si>
    <t>Schulen • HTL Hollabrunn, Anton Ehrenfried Straße 10, Hollabrunn • Kontakt über aktuelle Telefonnummern ☎ und Adressen ⚑ mit Karte, Routing, Öffnungszeiten, Homepage, E-Mail, vCard und Firmendaten.</t>
  </si>
  <si>
    <t>Anton Ehrenfried Straße 10</t>
  </si>
  <si>
    <t>48.5599</t>
  </si>
  <si>
    <t>16.06939</t>
  </si>
  <si>
    <t>+43295233610</t>
  </si>
  <si>
    <t>office@htl-hl.ac.at</t>
  </si>
  <si>
    <t>https://bilder.dasschnelle.at/DasSchnelle/50/5000/9892/045551/G_045551_P_906069260.adn.gif</t>
  </si>
  <si>
    <t>Trügler Raumausstattung GmbH &amp; Co KG • Althofen • Kärnten</t>
  </si>
  <si>
    <t>Malereibetriebe, Möbelhäuser, Raumausstatter • Trügler Raumausstattung GmbH &amp; Co KG, Türkenstraße 2, Althofen • Kontakt über aktuelle Telefonnummern ☎ und Adressen ⚑ mit Karte, Routing, Öffnungszeiten, Homepage, E-Mail, vCard und Firmendaten.</t>
  </si>
  <si>
    <t>Türkenstraße 2</t>
  </si>
  <si>
    <t>46.87258</t>
  </si>
  <si>
    <t>14.46779</t>
  </si>
  <si>
    <t>+4342623133</t>
  </si>
  <si>
    <t>+434262313320</t>
  </si>
  <si>
    <t>office@truegler.at</t>
  </si>
  <si>
    <t>https://bilder.dasschnelle.at/DasSchnelle/50/5000/9925/042109/G_042109_P_906070146.adn.gif</t>
  </si>
  <si>
    <t>Petrasch, Roswitha, Friseur • Litschau • Niederösterreich</t>
  </si>
  <si>
    <t>Friseure • Petrasch, Roswitha, Stadtplatz 92, Litschau • Kontakt über aktuelle Telefonnummern ☎ und Adressen ⚑ mit Karte, Routing, Öffnungszeiten, Homepage, E-Mail, vCard und Firmendaten.</t>
  </si>
  <si>
    <t>Stadtplatz 92</t>
  </si>
  <si>
    <t>15.04273</t>
  </si>
  <si>
    <t>+432865412</t>
  </si>
  <si>
    <t>coiffeur.roswitha@speeed.at</t>
  </si>
  <si>
    <t>https://bilder.dasschnelle.at/DasSchnelle/50/5000/9885/045085/G_045085_P_906069287.adn.gif</t>
  </si>
  <si>
    <t>Miedler Kfz-Technik • Gmünd • Niederösterreich</t>
  </si>
  <si>
    <t>Technische Büros • Miedler Kfz-Technik, Industriestraße 15, Gmünd • Kontakt über aktuelle Telefonnummern ☎ und Adressen ⚑ mit Karte, Routing, Öffnungszeiten, Homepage, E-Mail, vCard und Firmendaten.</t>
  </si>
  <si>
    <t>Industriestraße 15</t>
  </si>
  <si>
    <t>48.93851</t>
  </si>
  <si>
    <t>15.03999</t>
  </si>
  <si>
    <t>+4328655696</t>
  </si>
  <si>
    <t>office@miedlercc.at</t>
  </si>
  <si>
    <t>https://bilder.dasschnelle.at/DasSchnelle/50/5000/9885/045075/G_045075_P_906070106.adn.gif</t>
  </si>
  <si>
    <t>Maier, Rupert, Pflasterbau • Flachau • Salzburg</t>
  </si>
  <si>
    <t>Pflaster u. Pflasterungen • Maier, Rupert, Unterberggasse 148, Flachau • Kontakt über aktuelle Telefonnummern ☎ und Adressen ⚑ mit Karte, Routing, Öffnungszeiten, Homepage, E-Mail, vCard und Firmendaten.</t>
  </si>
  <si>
    <t>Unterberggasse 148</t>
  </si>
  <si>
    <t>Flachau</t>
  </si>
  <si>
    <t>47.37078</t>
  </si>
  <si>
    <t>13.38612</t>
  </si>
  <si>
    <t>+436644110791</t>
  </si>
  <si>
    <t>office@pflasterbau-ruap.at</t>
  </si>
  <si>
    <t>https://bilder.dasschnelle.at/DasSchnelle/50/5000/9919/043341/I_043341_P_906070109_L_0036007908_1.png</t>
  </si>
  <si>
    <t>https://bilder.dasschnelle.at/DasSchnelle/50/5000/9919/043341/I_043341_P_906070109_B_0036007908_1.gal.png?height=475&amp;width=1020;https://bilder.dasschnelle.at/DasSchnelle/50/5000/9919/043341/I_043341_P_906070109_B_0036007908_2.gal.png?height=769&amp;width=1023;https://bilder.dasschnelle.at/DasSchnelle/50/5000/9919/043341/I_043341_P_906070109_B_0036007908_3.gal.png?height=758&amp;width=1019;https://bilder.dasschnelle.at/DasSchnelle/50/5000/9919/043341/I_043341_P_906070109_B_0036007908_4.gal.png?height=919&amp;width=691</t>
  </si>
  <si>
    <t>Pollak, Silvia, Fußpflege • Weitra • Niederösterreich</t>
  </si>
  <si>
    <t>Fußpflege • Pollak, Silvia, Sparkasseplatz 161, Weitra • Kontakt über aktuelle Telefonnummern ☎ und Adressen ⚑ mit Karte, Routing, Öffnungszeiten, Homepage, E-Mail, vCard und Firmendaten.</t>
  </si>
  <si>
    <t>Sparkasseplatz 161</t>
  </si>
  <si>
    <t>48.7012000</t>
  </si>
  <si>
    <t>14.8963100</t>
  </si>
  <si>
    <t>+436603422866</t>
  </si>
  <si>
    <t>silvi.a@gmx.net</t>
  </si>
  <si>
    <t>https://bilder.dasschnelle.at/DasSchnelle/50/5000/9885/045541/G_045541_P_906070659.adn.gif</t>
  </si>
  <si>
    <t>Für Ihr Wohlsein Jauk-Rezac, Sandra, Mag.rer.nat, Massagepraxis • Hitzendorf • Steiermark</t>
  </si>
  <si>
    <t>Massagen • Für Ihr Wohlsein Jauk-Rezac, Sandra, Mag.rer.nat, Oberberg 128, Hitzendorf • Kontakt über aktuelle Telefonnummern ☎ und Adressen ⚑ mit Karte, Routing, Öffnungszeiten, Homepage, E-Mail, vCard und Firmendaten.</t>
  </si>
  <si>
    <t>Oberberg 128</t>
  </si>
  <si>
    <t>47.0675361</t>
  </si>
  <si>
    <t>15.3229899</t>
  </si>
  <si>
    <t>+4369981185538</t>
  </si>
  <si>
    <t>sjr@fuer-ihr-wohlsein.at</t>
  </si>
  <si>
    <t>https://bilder.dasschnelle.at/DasSchnelle/50/5000/9883/061360/G_061360_P_906071739.adn.gif</t>
  </si>
  <si>
    <t>Kohl, Josef, KFZ Elektrik • Fürstenfeld • Steiermark</t>
  </si>
  <si>
    <t>Autoelektrik u. -ersatzteile • Kohl, Josef, Mozartstraße 1, Fürstenfeld • Kontakt über aktuelle Telefonnummern ☎ und Adressen ⚑ mit Karte, Routing, Öffnungszeiten, Homepage, E-Mail, vCard und Firmendaten.</t>
  </si>
  <si>
    <t>Mozartstraße 1</t>
  </si>
  <si>
    <t>47.05274</t>
  </si>
  <si>
    <t>16.06812</t>
  </si>
  <si>
    <t>+43338252387</t>
  </si>
  <si>
    <t>kfzelektrik.kohl@gmx.at</t>
  </si>
  <si>
    <t>https://bilder.dasschnelle.at/DasSchnelle/50/5000/9884/061368/G_061368_P_906071846.adn.gif</t>
  </si>
  <si>
    <t>Style Lounge Michaela Köck, Friseur • Waidhofen an der Thaya • Niederösterreich</t>
  </si>
  <si>
    <t>Friseure • Style Lounge Michaela Köck, Vestenpoppen 52, Waidhofen an der Thaya • Kontakt über aktuelle Telefonnummern ☎ und Adressen ⚑ mit Karte, Routing, Öffnungszeiten, Homepage, E-Mail, vCard und Firmendaten.</t>
  </si>
  <si>
    <t>Vestenpoppen 52</t>
  </si>
  <si>
    <t>48.79547</t>
  </si>
  <si>
    <t>15.30125</t>
  </si>
  <si>
    <t>+43284251407</t>
  </si>
  <si>
    <t>office@style-lounge.at</t>
  </si>
  <si>
    <t>https://bilder.dasschnelle.at/DasSchnelle/50/5000/9885/044265/G_044265_P_906071852.adn.gif</t>
  </si>
  <si>
    <t>Elisabeth's Beautystudio, Kosmetikinstitut • Rudersdorf • Burgenland</t>
  </si>
  <si>
    <t>Kosmetikstudios • Elisabeth's Beautystudio, Hauptstraße 10, Rudersdorf • Kontakt über aktuelle Telefonnummern ☎ und Adressen ⚑ mit Karte, Routing, Öffnungszeiten, Homepage, E-Mail, vCard und Firmendaten.</t>
  </si>
  <si>
    <t>Hauptstraße 10</t>
  </si>
  <si>
    <t>7571</t>
  </si>
  <si>
    <t>Rudersdorf</t>
  </si>
  <si>
    <t>47.05052</t>
  </si>
  <si>
    <t>16.12001</t>
  </si>
  <si>
    <t>+436765016316</t>
  </si>
  <si>
    <t>office@elisabeth-beauty.at</t>
  </si>
  <si>
    <t>https://bilder.dasschnelle.at/DasSchnelle/50/5000/9884/041579/G_041579_P_906072543.adn.gif</t>
  </si>
  <si>
    <t>SORGER GmbH &amp; Co KG, Metalltechnik • Loipersdorf bei Fürstenfeld • Steiermark</t>
  </si>
  <si>
    <t>Landmaschinen, Schlossereien • SORGER GmbH &amp; Co KG, Loipersdorfer Hauptstraße 180, Loipersdorf bei Fürstenfeld • Kontakt über aktuelle Telefonnummern ☎ und Adressen ⚑ mit Karte, Routing, Öffnungszeiten, Homepage, E-Mail, vCard und Firmendaten.</t>
  </si>
  <si>
    <t>Loipersdorfer Hauptstraße 180</t>
  </si>
  <si>
    <t>8282</t>
  </si>
  <si>
    <t>Loipersdorf bei Fürstenfeld</t>
  </si>
  <si>
    <t>47.0162521</t>
  </si>
  <si>
    <t>16.1028302</t>
  </si>
  <si>
    <t>+43338282380;+436648223299;+436645314466;+436645314460</t>
  </si>
  <si>
    <t>info@schlosserei-sorger.at</t>
  </si>
  <si>
    <t>https://bilder.dasschnelle.at/DasSchnelle/50/5000/9884/061394/G_061394_P_906072557.adn.gif</t>
  </si>
  <si>
    <t>Baumdienst Hofer, Stefan, Garten- u Landschaftsgestaltung • Hausmening • Niederösterreich</t>
  </si>
  <si>
    <t>Garten- u. Landschaftsgestaltung • Baumdienst Hofer, Stefan, Schulstraße 15, Hausmening • Kontakt über aktuelle Telefonnummern ☎ und Adressen ⚑ mit Karte, Routing, Öffnungszeiten, Homepage, E-Mail, vCard und Firmendaten.</t>
  </si>
  <si>
    <t>Schulstraße 15</t>
  </si>
  <si>
    <t>Hausmening</t>
  </si>
  <si>
    <t>48.07909</t>
  </si>
  <si>
    <t>14.81906</t>
  </si>
  <si>
    <t>+43747553486</t>
  </si>
  <si>
    <t>office@grabmaier.com</t>
  </si>
  <si>
    <t>https://bilder.dasschnelle.at/DasSchnelle/50/5000/9866/042062/G_042062_P_906072564.adn.gif</t>
  </si>
  <si>
    <t>Paap Transporte GmbH, Baggerungen • Frankenmarkt • Oberösterreich</t>
  </si>
  <si>
    <t>Baggerungen u. Transporte • Paap Transporte GmbH, Kühschinken 55, Frankenmarkt • Kontakt über aktuelle Telefonnummern ☎ und Adressen ⚑ mit Karte, Routing, Öffnungszeiten, Homepage, E-Mail, vCard und Firmendaten.</t>
  </si>
  <si>
    <t>Kühschinken 55</t>
  </si>
  <si>
    <t>47.9779894</t>
  </si>
  <si>
    <t>13.4112189</t>
  </si>
  <si>
    <t>+4376848764</t>
  </si>
  <si>
    <t>+43768420203</t>
  </si>
  <si>
    <t>office@paap.at</t>
  </si>
  <si>
    <t>https://bilder.dasschnelle.at/DasSchnelle/50/5000/9881/043076/I_043076_P_906072628_L_0035994797_1.png</t>
  </si>
  <si>
    <t>https://bilder.dasschnelle.at/DasSchnelle/50/5000/9881/043076/I_043076_P_906072628_B_0035994797_1.gal.png?height=338&amp;width=540;https://bilder.dasschnelle.at/DasSchnelle/50/5000/9881/043076/I_043076_P_906072628_B_0035994797_2.gal.png?height=338&amp;width=540;https://bilder.dasschnelle.at/DasSchnelle/50/5000/9881/043076/I_043076_P_906072628_B_0035994797_3.gal.png?height=338&amp;width=540;https://bilder.dasschnelle.at/DasSchnelle/50/5000/9881/043076/I_043076_P_906072628_B_0035994797_4.gal.png?height=338&amp;width=540;https://bilder.dasschnelle.at/DasSchnelle/50/5000/9881/043076/G_043076_P_906072628.adn.gif</t>
  </si>
  <si>
    <t>Haberhauer, Wolfgang, Dachdeckerei • Amstetten • Niederösterreich</t>
  </si>
  <si>
    <t>Dachdeckereien • Haberhauer, Wolfgang, Dieselstraße 9 A, Amstetten • Kontakt über aktuelle Telefonnummern ☎ und Adressen ⚑ mit Karte, Routing, Öffnungszeiten, Homepage, E-Mail, vCard und Firmendaten.</t>
  </si>
  <si>
    <t>Dieselstraße 9 A</t>
  </si>
  <si>
    <t>3362</t>
  </si>
  <si>
    <t>48.1044141</t>
  </si>
  <si>
    <t>14.8261090</t>
  </si>
  <si>
    <t>+43747262838;+436644418851</t>
  </si>
  <si>
    <t>+43747263377</t>
  </si>
  <si>
    <t>office@dach-haberhauer.at</t>
  </si>
  <si>
    <t>https://bilder.dasschnelle.at/DasSchnelle/50/5000/9866/042062/G_042062_P_906072635.adn.gif</t>
  </si>
  <si>
    <t>Kreiter, Gerald, Tischlerei • Brückl • Kärnten</t>
  </si>
  <si>
    <t>Bestattungsunternehmen, Tischlereien • Kreiter, Gerald, Wulfeniastraße 7, Brückl • Kontakt über aktuelle Telefonnummern ☎ und Adressen ⚑ mit Karte, Routing, Öffnungszeiten, Homepage, E-Mail, vCard und Firmendaten.</t>
  </si>
  <si>
    <t>Wulfeniastraße 7</t>
  </si>
  <si>
    <t>9371</t>
  </si>
  <si>
    <t>Brückl</t>
  </si>
  <si>
    <t>46.75036</t>
  </si>
  <si>
    <t>14.53242</t>
  </si>
  <si>
    <t>+4342142301</t>
  </si>
  <si>
    <t>+43421423014</t>
  </si>
  <si>
    <t>tischlerei-kreiter@speed.at</t>
  </si>
  <si>
    <t>https://bilder.dasschnelle.at/DasSchnelle/50/5000/9925/042110/G_042110_P_906072668.adn.gif</t>
  </si>
  <si>
    <t>HK Metalltechnik, Metalltechnik • Reichenthal • Oberösterreich</t>
  </si>
  <si>
    <t>Metallbau • HK Metalltechnik, Summerauerstraße 9, Reichenthal • Kontakt über aktuelle Telefonnummern ☎ und Adressen ⚑ mit Karte, Routing, Öffnungszeiten, Homepage, E-Mail, vCard und Firmendaten.</t>
  </si>
  <si>
    <t>Summerauerstraße 9</t>
  </si>
  <si>
    <t>4193</t>
  </si>
  <si>
    <t>Reichenthal</t>
  </si>
  <si>
    <t>48.54531</t>
  </si>
  <si>
    <t>14.38939</t>
  </si>
  <si>
    <t>+436644275632</t>
  </si>
  <si>
    <t>office@hoffelner-metalltechnik.at</t>
  </si>
  <si>
    <t>https://bilder.dasschnelle.at/DasSchnelle/50/5000/9882/044815/I_043059_P_906071666_L_0035993227_1.png</t>
  </si>
  <si>
    <t>https://bilder.dasschnelle.at/DasSchnelle/50/5000/9882/044815/I_043059_P_906071666_B_0035993227_1.gal.png?height=709&amp;width=504;https://bilder.dasschnelle.at/DasSchnelle/50/5000/9882/044815/I_043059_P_906071666_B_0035993227_2.gal.png?height=611&amp;width=1000;https://bilder.dasschnelle.at/DasSchnelle/50/5000/9882/044815/I_043059_P_906071666_B_0035993227_3.gal.png?height=692&amp;width=529;https://bilder.dasschnelle.at/DasSchnelle/50/5000/9882/044815/G_044815_P_906071666.adn.gif</t>
  </si>
  <si>
    <t>Stern Naturstein &amp; Pflasterbau OG • Rainbach im Mühlkreis • Oberösterreich</t>
  </si>
  <si>
    <t>Pflaster u. Pflasterungen • Stern Naturstein &amp; Pflasterbau OG, Freistädter Straße 11 A, Rainbach im Mühlkreis • Kontakt über aktuelle Telefonnummern ☎ und Adressen ⚑ mit Karte, Routing, Öffnungszeiten, Homepage, E-Mail, vCard und Firmendaten.</t>
  </si>
  <si>
    <t>Freistädter Straße 11 A</t>
  </si>
  <si>
    <t>48.55265</t>
  </si>
  <si>
    <t>14.48482</t>
  </si>
  <si>
    <t>+436609501491</t>
  </si>
  <si>
    <t>info@pflasterbau-stern.at</t>
  </si>
  <si>
    <t>https://bilder.dasschnelle.at/DasSchnelle/50/5000/9882/041775/I_041775_P_906072603_L_0035999278_1.png</t>
  </si>
  <si>
    <t>https://bilder.dasschnelle.at/DasSchnelle/50/5000/9882/041775/I_041775_P_906072603_B_0035999278_1.gal.png?height=466&amp;width=939;https://bilder.dasschnelle.at/DasSchnelle/50/5000/9882/041775/I_041775_P_906072603_B_0035999278_2.gal.png?height=448&amp;width=928;https://bilder.dasschnelle.at/DasSchnelle/50/5000/9882/041775/I_041775_P_906072603_B_0035999278_3.gal.png?height=551&amp;width=831;https://bilder.dasschnelle.at/DasSchnelle/50/5000/9882/041775/I_041775_P_906072603_B_0035999278_4.gal.png?height=724&amp;width=804</t>
  </si>
  <si>
    <t>Ried, Günter, Bestattung • Korneuburg • Niederösterreich</t>
  </si>
  <si>
    <t>Bestattungsunternehmen • Ried, Günter, Donaustraße 24, Korneuburg • Kontakt über aktuelle Telefonnummern ☎ und Adressen ⚑ mit Karte, Routing, Öffnungszeiten, Homepage, E-Mail, vCard und Firmendaten.</t>
  </si>
  <si>
    <t>Donaustraße 24</t>
  </si>
  <si>
    <t>48.3425</t>
  </si>
  <si>
    <t>16.33145</t>
  </si>
  <si>
    <t>+43226221928;+43226272908</t>
  </si>
  <si>
    <t>bestattung@trauerfeier.info</t>
  </si>
  <si>
    <t>https://bilder.dasschnelle.at/DasSchnelle/50/5000/9898/041413/G_041413_P_906071901.adn.gif</t>
  </si>
  <si>
    <t>Scharm, Helmut, Elektro • Eberstein • Kärnten</t>
  </si>
  <si>
    <t>Elektrotechnik, Elektrounternehmen • Scharm, Helmut, Unterer Platz 20, Eberstein • Kontakt über aktuelle Telefonnummern ☎ und Adressen ⚑ mit Karte, Routing, Öffnungszeiten, Homepage, E-Mail, vCard und Firmendaten.</t>
  </si>
  <si>
    <t>Unterer Platz 20</t>
  </si>
  <si>
    <t>9372</t>
  </si>
  <si>
    <t>Eberstein</t>
  </si>
  <si>
    <t>46.80722</t>
  </si>
  <si>
    <t>14.55822</t>
  </si>
  <si>
    <t>+4342648167</t>
  </si>
  <si>
    <t>elektro.scharm@aon.at</t>
  </si>
  <si>
    <t>https://bilder.dasschnelle.at/DasSchnelle/50/5000/9925/042112/G_042112_P_906072471.adn.gif</t>
  </si>
  <si>
    <t>Hotel B3 GmbH • Mauthausen • Oberösterreich</t>
  </si>
  <si>
    <t>Malereibetriebe, Raumausstatter • Hotel B3 GmbH, Kaplanstraße 1, Mauthausen • Kontakt über aktuelle Telefonnummern ☎ und Adressen ⚑ mit Karte, Routing, Öffnungszeiten, Homepage, E-Mail, vCard und Firmendaten.</t>
  </si>
  <si>
    <t>Kaplanstraße 1</t>
  </si>
  <si>
    <t>48.24388</t>
  </si>
  <si>
    <t>14.55001</t>
  </si>
  <si>
    <t>+4372385100;+43723820999;+436643085860</t>
  </si>
  <si>
    <t>office@malerei-gusenbauer.at</t>
  </si>
  <si>
    <t>https://bilder.dasschnelle.at/DasSchnelle/50/5000/9916/042523/G_042523_P_906072580.adn.gif</t>
  </si>
  <si>
    <t>Haslinger, Ernst, Elektrotechnik • Mauthausen • Oberösterreich</t>
  </si>
  <si>
    <t>Elektrohandel, Elektrotechnik • Haslinger, Ernst, Machlandstraße 2, Mauthausen • Kontakt über aktuelle Telefonnummern ☎ und Adressen ⚑ mit Karte, Routing, Öffnungszeiten, Homepage, E-Mail, vCard und Firmendaten.</t>
  </si>
  <si>
    <t>Machlandstraße 2</t>
  </si>
  <si>
    <t>48.2428400</t>
  </si>
  <si>
    <t>14.5337600</t>
  </si>
  <si>
    <t>+4372382447</t>
  </si>
  <si>
    <t>elektro-haslinger@utanet.at</t>
  </si>
  <si>
    <t>https://bilder.dasschnelle.at/DasSchnelle/50/5000/9916/042523/I_042523_P_906072586_L_0036003217_1.png</t>
  </si>
  <si>
    <t>https://bilder.dasschnelle.at/DasSchnelle/50/5000/9916/042523/I_042523_P_906072586_B_0036003217_1.gal.png?height=194&amp;width=600;https://bilder.dasschnelle.at/DasSchnelle/50/5000/9916/042523/I_042523_P_906072586_B_0036003217_2.gal.png?height=337&amp;width=600;https://bilder.dasschnelle.at/DasSchnelle/50/5000/9916/042523/I_042523_P_906072586_B_0036003217_3.gal.png?height=188&amp;width=600;https://bilder.dasschnelle.at/DasSchnelle/50/5000/9916/042523/I_042523_P_906072586_B_0036003217_4.gal.png?height=196&amp;width=600;https://bilder.dasschnelle.at/DasSchnelle/50/5000/9916/042523/G_042523_P_906072586.adn.gif</t>
  </si>
  <si>
    <t>Klingler, Meinrad, Autohäuser • Straß in Steiermark • Steiermark</t>
  </si>
  <si>
    <t>Autohäuser, Autoreparaturen • Klingler, Meinrad, Bundesstraße 38, Straß in Steiermark • Kontakt über aktuelle Telefonnummern ☎ und Adressen ⚑ mit Karte, Routing, Öffnungszeiten, Homepage, E-Mail, vCard und Firmendaten.</t>
  </si>
  <si>
    <t>Bundesstraße 38</t>
  </si>
  <si>
    <t>8472</t>
  </si>
  <si>
    <t>Straß in Steiermark</t>
  </si>
  <si>
    <t>46.7083110</t>
  </si>
  <si>
    <t>15.6342970</t>
  </si>
  <si>
    <t>+4334534105</t>
  </si>
  <si>
    <t>autohaus.klingler@aon.at</t>
  </si>
  <si>
    <t>https://bilder.dasschnelle.at/DasSchnelle/50/5000/9904/061461/G_061461_P_906072676.adn.gif</t>
  </si>
  <si>
    <t>Bestattung Sterzl GmbH, Bestattungsunternehmen • Sankt Johann im Pongau • Salzburg</t>
  </si>
  <si>
    <t>Bestattungsunternehmen • Bestattung Sterzl GmbH, Kirchengasse 3, Sankt Johann im Pongau • Kontakt über aktuelle Telefonnummern ☎ und Adressen ⚑ mit Karte, Routing, Öffnungszeiten, Homepage, E-Mail, vCard und Firmendaten.</t>
  </si>
  <si>
    <t>Kirchengasse 3</t>
  </si>
  <si>
    <t>47.3481120</t>
  </si>
  <si>
    <t>13.2048587</t>
  </si>
  <si>
    <t>+4364124266</t>
  </si>
  <si>
    <t>bestattung@sterzl.at</t>
  </si>
  <si>
    <t>https://bilder.dasschnelle.at/DasSchnelle/50/5000/9919/043351/G_043351_P_906073419.adn.gif</t>
  </si>
  <si>
    <t>Leitner InstallationsgesmbH, Hilde, Installateur • Allhartsberg • Niederösterreich</t>
  </si>
  <si>
    <t>Installationsunternehmen • Leitner InstallationsgesmbH, Hilde, Graben 47, Allhartsberg • Kontakt über aktuelle Telefonnummern ☎ und Adressen ⚑ mit Karte, Routing, Öffnungszeiten, Homepage, E-Mail, vCard und Firmendaten.</t>
  </si>
  <si>
    <t>Graben 47</t>
  </si>
  <si>
    <t>3365</t>
  </si>
  <si>
    <t>Allhartsberg</t>
  </si>
  <si>
    <t>48.02485</t>
  </si>
  <si>
    <t>14.78318</t>
  </si>
  <si>
    <t>+4374482496</t>
  </si>
  <si>
    <t>office@leitner-installationen.at</t>
  </si>
  <si>
    <t>https://bilder.dasschnelle.at/DasSchnelle/50/5000/9866/042061/I_042061_P_906073423_L_0035974165_1.png</t>
  </si>
  <si>
    <t>https://bilder.dasschnelle.at/DasSchnelle/50/5000/9866/042061/I_042061_P_906073423_B_0035974165_1.gal.png?height=264&amp;width=555;https://bilder.dasschnelle.at/DasSchnelle/50/5000/9866/042061/I_042061_P_906073423_B_0035974165_2.gal.png?height=264&amp;width=555;https://bilder.dasschnelle.at/DasSchnelle/50/5000/9866/042061/I_042061_P_906073423_B_0035974165_3.gal.png?height=264&amp;width=555;https://bilder.dasschnelle.at/DasSchnelle/50/5000/9866/042061/I_042061_P_906073423_B_0035974165_4.gal.png?height=264&amp;width=555</t>
  </si>
  <si>
    <t>Taxi Kleiner, Sabina • Neumarkt am Wallersee • Salzburg</t>
  </si>
  <si>
    <t>Taxi • Taxi Kleiner, Sabina, Wallbachstraße 22, Neumarkt am Wallersee • Kontakt über aktuelle Telefonnummern ☎ und Adressen ⚑ mit Karte, Routing, Öffnungszeiten, Homepage, E-Mail, vCard und Firmendaten.</t>
  </si>
  <si>
    <t>Wallbachstraße 22</t>
  </si>
  <si>
    <t>https://bilder.dasschnelle.at/DasSchnelle/50/5000/9881/043092/G_043092_P_906073494.adn.gif</t>
  </si>
  <si>
    <t>Höfferer, Michael, Installationen • Klein St. Paul • Kärnten</t>
  </si>
  <si>
    <t>Installationsunternehmen • Höfferer, Michael, Marktstraße 22, Klein St. Paul • Kontakt über aktuelle Telefonnummern ☎ und Adressen ⚑ mit Karte, Routing, Öffnungszeiten, Homepage, E-Mail, vCard und Firmendaten.</t>
  </si>
  <si>
    <t>Marktstraße 22</t>
  </si>
  <si>
    <t>9373</t>
  </si>
  <si>
    <t>Klein St. Paul</t>
  </si>
  <si>
    <t>46.83545</t>
  </si>
  <si>
    <t>14.54096</t>
  </si>
  <si>
    <t>+436604657224</t>
  </si>
  <si>
    <t>installationstechnik.hoefferer@gmail.com</t>
  </si>
  <si>
    <t>https://bilder.dasschnelle.at/DasSchnelle/50/5000/9925/042119/G_042119_P_906073534.adn.gif</t>
  </si>
  <si>
    <t>Haller, Hermann, Fensterservice • Flandorf • Niederösterreich</t>
  </si>
  <si>
    <t>Fensterrenovierungen u. -reparaturen • Haller, Hermann, Kreuzweg 6, Flandorf • Kontakt über aktuelle Telefonnummern ☎ und Adressen ⚑ mit Karte, Routing, Öffnungszeiten, Homepage, E-Mail, vCard und Firmendaten.</t>
  </si>
  <si>
    <t>Kreuzweg 6</t>
  </si>
  <si>
    <t>48.34805</t>
  </si>
  <si>
    <t>16.38196</t>
  </si>
  <si>
    <t>+43226271048</t>
  </si>
  <si>
    <t>fensters.haller@aon.at</t>
  </si>
  <si>
    <t>https://bilder.dasschnelle.at/DasSchnelle/50/5000/9898/041410/I_041410_P_906073538_B_0035970731_1.gal.png?height=960&amp;width=720;https://bilder.dasschnelle.at/DasSchnelle/50/5000/9898/041410/I_041410_P_906073538_B_0035970731_2.gal.png?height=960&amp;width=720;https://bilder.dasschnelle.at/DasSchnelle/50/5000/9898/041410/I_041410_P_906073538_B_0035970731_3.gal.png?height=960&amp;width=720;https://bilder.dasschnelle.at/DasSchnelle/50/5000/9898/041410/I_041410_P_906073538_B_0035970731_4.gal.png?height=960&amp;width=720;https://bilder.dasschnelle.at/DasSchnelle/50/5000/9898/041410/G_041410_P_906073538.adn.gif</t>
  </si>
  <si>
    <t>expert Prommegger e.U., Radio- u Fernsehtechniker • Großarl • Salzburg</t>
  </si>
  <si>
    <t>Fernsehservice • expert Prommegger e.U., Marktstraße 41, Großarl • Kontakt über aktuelle Telefonnummern ☎ und Adressen ⚑ mit Karte, Routing, Öffnungszeiten, Homepage, E-Mail, vCard und Firmendaten.</t>
  </si>
  <si>
    <t>Marktstraße 41</t>
  </si>
  <si>
    <t>5611</t>
  </si>
  <si>
    <t>Großarl</t>
  </si>
  <si>
    <t>47.24088</t>
  </si>
  <si>
    <t>13.2003</t>
  </si>
  <si>
    <t>+4364146330</t>
  </si>
  <si>
    <t>+4364146334</t>
  </si>
  <si>
    <t>office@expert-prommegger.at</t>
  </si>
  <si>
    <t>https://bilder.dasschnelle.at/DasSchnelle/50/5000/9919/043344/I_043344_P_906074048_L_0036008109_1.png</t>
  </si>
  <si>
    <t>https://bilder.dasschnelle.at/DasSchnelle/50/5000/9919/043344/I_043344_P_906074048_B_0036008109_1.gal.png?height=625&amp;width=543;https://bilder.dasschnelle.at/DasSchnelle/50/5000/9919/043344/I_043344_P_906074048_B_0036008109_2.gal.png?height=553&amp;width=831;https://bilder.dasschnelle.at/DasSchnelle/50/5000/9919/043344/I_043344_P_906074048_B_0036008109_3.gal.png?height=625&amp;width=543;https://bilder.dasschnelle.at/DasSchnelle/50/5000/9919/043344/I_043344_P_906074048_B_0036008109_4.gal.png?height=399&amp;width=624</t>
  </si>
  <si>
    <t>Ihr Frisör MARION, Friseure • Bad Großpertholz • Niederösterreich</t>
  </si>
  <si>
    <t>Friseure • Ihr Frisör MARION, Bad Großpertholz 72, Bad Großpertholz • Kontakt über aktuelle Telefonnummern ☎ und Adressen ⚑ mit Karte, Routing, Öffnungszeiten, Homepage, E-Mail, vCard und Firmendaten.</t>
  </si>
  <si>
    <t>Bad Großpertholz 72</t>
  </si>
  <si>
    <t>48.6286300</t>
  </si>
  <si>
    <t>14.8213706</t>
  </si>
  <si>
    <t>+436641014546</t>
  </si>
  <si>
    <t>bernhard.wagner74@gmx.at</t>
  </si>
  <si>
    <t>https://bilder.dasschnelle.at/DasSchnelle/50/5000/9885/045077/G_045077_P_906074076.adn.gif</t>
  </si>
  <si>
    <t>Holzbau Gastinger GmbH • Vitis • Niederösterreich</t>
  </si>
  <si>
    <t>Holzbau • Holzbau Gastinger GmbH, Eschenau 33, Vitis • Kontakt über aktuelle Telefonnummern ☎ und Adressen ⚑ mit Karte, Routing, Öffnungszeiten, Homepage, E-Mail, vCard und Firmendaten.</t>
  </si>
  <si>
    <t>Eschenau 33</t>
  </si>
  <si>
    <t>3902</t>
  </si>
  <si>
    <t>Vitis</t>
  </si>
  <si>
    <t>48.7800745</t>
  </si>
  <si>
    <t>15.2346696</t>
  </si>
  <si>
    <t>+436601651698</t>
  </si>
  <si>
    <t>office@holzbau-gastinger.at</t>
  </si>
  <si>
    <t>https://bilder.dasschnelle.at/DasSchnelle/50/5000/9885/044263/G_044263_P_906074078.adn.gif</t>
  </si>
  <si>
    <t>Singer, Birgit, Tankstellen • Pregarten • Oberösterreich</t>
  </si>
  <si>
    <t>Tankstellen • Singer, Birgit, Tragweiner Straße 31, Pregarten • Kontakt über aktuelle Telefonnummern ☎ und Adressen ⚑ mit Karte, Routing, Öffnungszeiten, Homepage, E-Mail, vCard und Firmendaten.</t>
  </si>
  <si>
    <t>Tragweiner Straße 31</t>
  </si>
  <si>
    <t>4230</t>
  </si>
  <si>
    <t>Pregarten</t>
  </si>
  <si>
    <t>48.35345</t>
  </si>
  <si>
    <t>14.53583</t>
  </si>
  <si>
    <t>+4372362230;+436644430911</t>
  </si>
  <si>
    <t>j.singer@aon.at</t>
  </si>
  <si>
    <t>https://bilder.dasschnelle.at/DasSchnelle/50/5000/9882/041774/G_041774_P_906294873.adn.gif</t>
  </si>
  <si>
    <t>EGGER INSTALLATIONEN GMBH &amp; Co KG, Installationsunternehmen • Sankt Veit • Kärnten</t>
  </si>
  <si>
    <t>Installationsunternehmen • EGGER INSTALLATIONEN GMBH &amp; Co KG, Villacher Straße 24, Sankt Veit • Kontakt über aktuelle Telefonnummern ☎ und Adressen ⚑ mit Karte, Routing, Öffnungszeiten, Homepage, E-Mail, vCard und Firmendaten.</t>
  </si>
  <si>
    <t>Villacher Straße 24</t>
  </si>
  <si>
    <t>Sankt Veit</t>
  </si>
  <si>
    <t>46.7644300</t>
  </si>
  <si>
    <t>14.3523400</t>
  </si>
  <si>
    <t>+43421224100;+436642410999</t>
  </si>
  <si>
    <t>+434212241017</t>
  </si>
  <si>
    <t>office@egger-installationen.at</t>
  </si>
  <si>
    <t>https://bilder.dasschnelle.at/DasSchnelle/50/5000/9925/042125/I_042125_P_906074053_L_0035974361_1.png</t>
  </si>
  <si>
    <t>https://bilder.dasschnelle.at/DasSchnelle/50/5000/9925/042125/I_042125_P_906074053_B_0035974361_1.gal.png?height=240&amp;width=420;https://bilder.dasschnelle.at/DasSchnelle/50/5000/9925/042125/I_042125_P_906074053_B_0035974361_2.gal.png?height=240&amp;width=420;https://bilder.dasschnelle.at/DasSchnelle/50/5000/9925/042125/I_042125_P_906074053_B_0035974361_3.gal.png?height=240&amp;width=420;https://bilder.dasschnelle.at/DasSchnelle/50/5000/9925/042125/I_042125_P_906074053_B_0035974361_4.gal.png?height=240&amp;width=420</t>
  </si>
  <si>
    <t>Höher G. Steinmetzbetrieb GesmbH &amp; Co KG • Hermagor • Kärnten</t>
  </si>
  <si>
    <t>Steinmetzbetriebe • Höher G. Steinmetzbetrieb GesmbH &amp; Co KG, Bürgerfeldstraße 7, Hermagor • Kontakt über aktuelle Telefonnummern ☎ und Adressen ⚑ mit Karte, Routing, Öffnungszeiten, Homepage, E-Mail, vCard und Firmendaten.</t>
  </si>
  <si>
    <t>Bürgerfeldstraße 7</t>
  </si>
  <si>
    <t>46.6291247</t>
  </si>
  <si>
    <t>13.3798053</t>
  </si>
  <si>
    <t>+4342822891</t>
  </si>
  <si>
    <t>hermagor@hoeher.at</t>
  </si>
  <si>
    <t>https://bilder.dasschnelle.at/DasSchnelle/50/5000/9933/042129/G_042129_P_906074059.adn.gif</t>
  </si>
  <si>
    <t>Malerwerkstätte Schrammel, Maler- u Anstreichermstr • Bisamberg • Niederösterreich</t>
  </si>
  <si>
    <t>Maler, Anstreicher u. Lackierer • Malerwerkstätte Schrammel, Gewerbestraße 14, Bisamberg • Kontakt über aktuelle Telefonnummern ☎ und Adressen ⚑ mit Karte, Routing, Öffnungszeiten, Homepage, E-Mail, vCard und Firmendaten.</t>
  </si>
  <si>
    <t>48.34373</t>
  </si>
  <si>
    <t>16.36695</t>
  </si>
  <si>
    <t>+43226275974</t>
  </si>
  <si>
    <t>office@maler-schrammel.at</t>
  </si>
  <si>
    <t>https://bilder.dasschnelle.at/DasSchnelle/50/5000/9898/041405/G_041405_P_906074103.adn.gif</t>
  </si>
  <si>
    <t>Schimautz, Josef, Taxiunternehmen • Gamlitz • Steiermark</t>
  </si>
  <si>
    <t>Taxi • Schimautz, Josef, Josef-Zierer-Weg 288, Gamlitz • Kontakt über aktuelle Telefonnummern ☎ und Adressen ⚑ mit Karte, Routing, Öffnungszeiten, Homepage, E-Mail, vCard und Firmendaten.</t>
  </si>
  <si>
    <t>Josef-Zierer-Weg 288</t>
  </si>
  <si>
    <t>46.71882</t>
  </si>
  <si>
    <t>15.55268</t>
  </si>
  <si>
    <t>+4334533742</t>
  </si>
  <si>
    <t>office@taxi-schimautz.at</t>
  </si>
  <si>
    <t>https://bilder.dasschnelle.at/DasSchnelle/50/5000/9904/061448/G_061448_P_906078162.adn.gif</t>
  </si>
  <si>
    <t>Hans Hörmann Heizung, Wasser • Gleinstätten • Steiermark</t>
  </si>
  <si>
    <t>Heizung u. Sanitär • Hans Hörmann Heizung, Wasser, STRASSE FUER ORTE OHNE STRASSEN 6, Gleinstätten • Kontakt über aktuelle Telefonnummern ☎ und Adressen ⚑ mit Karte, Routing, Öffnungszeiten, Homepage, E-Mail, vCard und Firmendaten.</t>
  </si>
  <si>
    <t>STRASSE FUER ORTE OHNE STRASSEN 6</t>
  </si>
  <si>
    <t>8443</t>
  </si>
  <si>
    <t>Gleinstätten</t>
  </si>
  <si>
    <t>46.7547500</t>
  </si>
  <si>
    <t>15.3671300</t>
  </si>
  <si>
    <t>+43345740330</t>
  </si>
  <si>
    <t>office@heizung-hoermann.at</t>
  </si>
  <si>
    <t>https://bilder.dasschnelle.at/DasSchnelle/50/5000/9904/061450/G_061450_P_906078163.adn.gif</t>
  </si>
  <si>
    <t>Petritz, Herbert, Mag. Dr., Wirtschaftsprüfer und Steuerberater • Feldkirchen • Kärnten</t>
  </si>
  <si>
    <t>Steuerberater, Wirtschaftstreuhänder / Steuerberater • Petritz, Herbert, Mag. Dr., 10.-Oktober-Straße 24 /I, Feldkirchen • Kontakt über aktuelle Telefonnummern ☎ und Adressen ⚑ mit Karte, Routing, Öffnungszeiten, Homepage, E-Mail, vCard und Firmendaten.</t>
  </si>
  <si>
    <t>10.-Oktober-Straße 24 /I</t>
  </si>
  <si>
    <t>46.7230913</t>
  </si>
  <si>
    <t>14.0955935</t>
  </si>
  <si>
    <t>+43427647220</t>
  </si>
  <si>
    <t>office@petritz.at</t>
  </si>
  <si>
    <t>https://bilder.dasschnelle.at/DasSchnelle/50/5000/9880/042048/G_042048_P_906078165.adn.gif</t>
  </si>
  <si>
    <t>Pontilli, Markus, Dachdecker • Kolbnitz • Kärnten</t>
  </si>
  <si>
    <t>Dachdeckereien • Pontilli, Markus, Preisdorf 5, Kolbnitz • Kontakt über aktuelle Telefonnummern ☎ und Adressen ⚑ mit Karte, Routing, Öffnungszeiten, Homepage, E-Mail, vCard und Firmendaten.</t>
  </si>
  <si>
    <t>Preisdorf 5</t>
  </si>
  <si>
    <t>9815</t>
  </si>
  <si>
    <t>Kolbnitz</t>
  </si>
  <si>
    <t>46.8841840</t>
  </si>
  <si>
    <t>13.2950339</t>
  </si>
  <si>
    <t>+4369910197521</t>
  </si>
  <si>
    <t>office@pontilli-dachmeister.at</t>
  </si>
  <si>
    <t>https://bilder.dasschnelle.at/DasSchnelle/50/5000/9933/042161/G_042161_P_906078777.adn.gif</t>
  </si>
  <si>
    <t>Fuchs, Andreas, Malerei-Anstrich • Hirschbach • Niederösterreich</t>
  </si>
  <si>
    <t>Maler, Anstreicher u. Lackierer • Fuchs, Andreas, Hirschbach 223, Hirschbach • Kontakt über aktuelle Telefonnummern ☎ und Adressen ⚑ mit Karte, Routing, Öffnungszeiten, Homepage, E-Mail, vCard und Firmendaten.</t>
  </si>
  <si>
    <t>Hirschbach 223</t>
  </si>
  <si>
    <t>3942</t>
  </si>
  <si>
    <t>Hirschbach</t>
  </si>
  <si>
    <t>48.7427840</t>
  </si>
  <si>
    <t>15.1221861</t>
  </si>
  <si>
    <t>+4328546637</t>
  </si>
  <si>
    <t>malerei.fuchs@gmx.at</t>
  </si>
  <si>
    <t>https://bilder.dasschnelle.at/DasSchnelle/50/5000/9885/044253/G_044253_P_906078147.adn.gif</t>
  </si>
  <si>
    <t>Bestattung Urschler, Bestattung • Fürstenfeld • Steiermark</t>
  </si>
  <si>
    <t>Bestattungsunternehmen • Bestattung Urschler, Buchwaldstraße 5, Fürstenfeld • Kontakt über aktuelle Telefonnummern ☎ und Adressen ⚑ mit Karte, Routing, Öffnungszeiten, Homepage, E-Mail, vCard und Firmendaten.</t>
  </si>
  <si>
    <t>Buchwaldstraße 5</t>
  </si>
  <si>
    <t>47.05226</t>
  </si>
  <si>
    <t>16.07052</t>
  </si>
  <si>
    <t>+43338255885</t>
  </si>
  <si>
    <t>office@bestattung-urschler.at</t>
  </si>
  <si>
    <t>https://bilder.dasschnelle.at/DasSchnelle/50/5000/9884/061368/G_061368_P_906078712.adn.gif</t>
  </si>
  <si>
    <t>Elekrtotechnik Fritz • Mühlbach am Hochkönig • Salzburg</t>
  </si>
  <si>
    <t>Elektrotechnik • Elekrtotechnik Fritz, Bundesstraße 236, Mühlbach am Hochkönig • Kontakt über aktuelle Telefonnummern ☎ und Adressen ⚑ mit Karte, Routing, Öffnungszeiten, Homepage, E-Mail, vCard und Firmendaten.</t>
  </si>
  <si>
    <t>Bundesstraße 236</t>
  </si>
  <si>
    <t>5505</t>
  </si>
  <si>
    <t>Mühlbach am Hochkönig</t>
  </si>
  <si>
    <t>47.3797500</t>
  </si>
  <si>
    <t>13.1447800</t>
  </si>
  <si>
    <t>+436502025483</t>
  </si>
  <si>
    <t>office@elektrofritz.at</t>
  </si>
  <si>
    <t>https://bilder.dasschnelle.at/DasSchnelle/50/5000/9919/043348/G_043348_P_906078714.adn.gif</t>
  </si>
  <si>
    <t>Bäckerei Birchbauer GmbH &amp; Co KG, Bäckerei • Fürstenfeld • Steiermark</t>
  </si>
  <si>
    <t>Bäckereien • Bäckerei Birchbauer GmbH &amp; Co KG, Flurstraße 61, Fürstenfeld • Kontakt über aktuelle Telefonnummern ☎ und Adressen ⚑ mit Karte, Routing, Öffnungszeiten, Homepage, E-Mail, vCard und Firmendaten.</t>
  </si>
  <si>
    <t>Flurstraße 61</t>
  </si>
  <si>
    <t>47.03722</t>
  </si>
  <si>
    <t>16.09234</t>
  </si>
  <si>
    <t>+43338252201</t>
  </si>
  <si>
    <t>+4333825220130</t>
  </si>
  <si>
    <t>office@baeckerei-birchbauer.at</t>
  </si>
  <si>
    <t>https://bilder.dasschnelle.at/DasSchnelle/50/5000/9884/061368/G_061368_P_906078720.adn.gif</t>
  </si>
  <si>
    <t>Holfeld, Richard, Malereibetriebe • Bischofshofen • Salzburg</t>
  </si>
  <si>
    <t>Malereibetriebe • Holfeld, Richard, Bahnhofgasse 1 A, Bischofshofen • Kontakt über aktuelle Telefonnummern ☎ und Adressen ⚑ mit Karte, Routing, Öffnungszeiten, Homepage, E-Mail, vCard und Firmendaten.</t>
  </si>
  <si>
    <t>Bahnhofgasse 1 A</t>
  </si>
  <si>
    <t>47.41526</t>
  </si>
  <si>
    <t>13.21924</t>
  </si>
  <si>
    <t>+4364622467</t>
  </si>
  <si>
    <t>holfeld@sbg.at</t>
  </si>
  <si>
    <t>https://bilder.dasschnelle.at/DasSchnelle/50/5000/9919/043337/G_043337_P_906078724.adn.gif</t>
  </si>
  <si>
    <t>Land- &amp; KFZ-Handel • Neuhofen an der Ybbs • Niederösterreich</t>
  </si>
  <si>
    <t>KFZ-Werkstätte u. Handel, Landtechnik • Land- &amp; KFZ-Handel, Hauptstraße 12, Neuhofen an der Ybbs • Kontakt über aktuelle Telefonnummern ☎ und Adressen ⚑ mit Karte, Routing, Öffnungszeiten, Homepage, E-Mail, vCard und Firmendaten.</t>
  </si>
  <si>
    <t>3364</t>
  </si>
  <si>
    <t>Neuhofen an der Ybbs</t>
  </si>
  <si>
    <t>48.0571500</t>
  </si>
  <si>
    <t>14.8518200</t>
  </si>
  <si>
    <t>+436766609788</t>
  </si>
  <si>
    <t>mrcars77@gmail.com</t>
  </si>
  <si>
    <t>https://bilder.dasschnelle.at/DasSchnelle/50/5000/9866/041317/G_041317_P_906078824.adn.gif</t>
  </si>
  <si>
    <t>ERTL GLAS AG, Glas • Zell-Markt • Niederösterreich</t>
  </si>
  <si>
    <t>Glas u. Service • ERTL GLAS AG, Urltalstraße 13, Zell-Markt • Kontakt über aktuelle Telefonnummern ☎ und Adressen ⚑ mit Karte, Routing, Öffnungszeiten, Homepage, E-Mail, vCard und Firmendaten.</t>
  </si>
  <si>
    <t>Urltalstraße 13</t>
  </si>
  <si>
    <t>Zell-Markt</t>
  </si>
  <si>
    <t>47.96429</t>
  </si>
  <si>
    <t>14.77655</t>
  </si>
  <si>
    <t>+437442525680</t>
  </si>
  <si>
    <t>+437442525688</t>
  </si>
  <si>
    <t>office@ertl-glas.at</t>
  </si>
  <si>
    <t>https://bilder.dasschnelle.at/DasSchnelle/50/5000/9866/042059/G_042059_P_906078828.adn.gif</t>
  </si>
  <si>
    <t>KLUG IM GARTEN, Gartengestaltung • Schwertberg • Oberösterreich</t>
  </si>
  <si>
    <t>Garten- u. Landschaftsgestaltung • KLUG IM GARTEN, Doppl 6, Schwertberg • Kontakt über aktuelle Telefonnummern ☎ und Adressen ⚑ mit Karte, Routing, Öffnungszeiten, Homepage, E-Mail, vCard und Firmendaten.</t>
  </si>
  <si>
    <t>Doppl 6</t>
  </si>
  <si>
    <t>48.2814475</t>
  </si>
  <si>
    <t>14.5696507</t>
  </si>
  <si>
    <t>+436502200825</t>
  </si>
  <si>
    <t>office@klug-im-garten.at</t>
  </si>
  <si>
    <t>https://bilder.dasschnelle.at/DasSchnelle/50/5000/9916/042536/G_042536_P_906079412.adn.gif</t>
  </si>
  <si>
    <t>Aufsperrdienst Mailänder • Spittal an der Drau • Kärnten</t>
  </si>
  <si>
    <t>Aufsperrdienste, Schlüssel u. Aufsperrdienste • Aufsperrdienst Mailänder, Villacher Straße 51, Spittal an der Drau • Kontakt über aktuelle Telefonnummern ☎ und Adressen ⚑ mit Karte, Routing, Öffnungszeiten, Homepage, E-Mail, vCard und Firmendaten.</t>
  </si>
  <si>
    <t>Villacher Straße 51</t>
  </si>
  <si>
    <t>Spittal an der Drau</t>
  </si>
  <si>
    <t>46.7924400</t>
  </si>
  <si>
    <t>13.5088800</t>
  </si>
  <si>
    <t>+434762365110</t>
  </si>
  <si>
    <t>office@mailaender-sicherheitstechnik.at</t>
  </si>
  <si>
    <t>https://bilder.dasschnelle.at/DasSchnelle/50/5000/9933/042153/G_042153_P_906079422.adn.gif</t>
  </si>
  <si>
    <t>Bestattung Baar KG, Bestattung • Krobotek • Burgenland</t>
  </si>
  <si>
    <t>Bestattungsunternehmen • Bestattung Baar KG, Krobotek 81, Krobotek • Kontakt über aktuelle Telefonnummern ☎ und Adressen ⚑ mit Karte, Routing, Öffnungszeiten, Homepage, E-Mail, vCard und Firmendaten.</t>
  </si>
  <si>
    <t>Krobotek 81</t>
  </si>
  <si>
    <t>8382</t>
  </si>
  <si>
    <t>Krobotek</t>
  </si>
  <si>
    <t>46.9722111</t>
  </si>
  <si>
    <t>16.2043121</t>
  </si>
  <si>
    <t>+436767806806</t>
  </si>
  <si>
    <t>claus.baar@aon.at</t>
  </si>
  <si>
    <t>https://bilder.dasschnelle.at/DasSchnelle/50/5000/9884/041575/I_041575_P_906079424_L_0037086810_1.png</t>
  </si>
  <si>
    <t>https://bilder.dasschnelle.at/DasSchnelle/50/5000/9884/041575/I_041575_P_906079424_B_0037086810_1.gal.png?height=450&amp;width=600;https://bilder.dasschnelle.at/DasSchnelle/50/5000/9884/041575/I_041575_P_906079424_B_0037086810_2.gal.png?height=450&amp;width=600;https://bilder.dasschnelle.at/DasSchnelle/50/5000/9884/041575/I_041575_P_906079424_B_0037086810_3.gal.png?height=450&amp;width=600;https://bilder.dasschnelle.at/DasSchnelle/50/5000/9884/041575/I_041575_P_906079424_B_0037086810_4.gal.png?height=450&amp;width=600</t>
  </si>
  <si>
    <t>Bestattung Baar KG • Mogersdorf • Burgenland</t>
  </si>
  <si>
    <t>Bestattungsunternehmen • Bestattung Baar KG, Krobotek 81, Mogersdorf • Kontakt über aktuelle Telefonnummern ☎ und Adressen ⚑ mit Karte, Routing, Öffnungszeiten, Homepage, E-Mail, vCard und Firmendaten.</t>
  </si>
  <si>
    <t>Mogersdorf</t>
  </si>
  <si>
    <t>https://bilder.dasschnelle.at/DasSchnelle/50/5000/9884/041577/I_041577_P_906079426_L_0037086810_1.png</t>
  </si>
  <si>
    <t>https://bilder.dasschnelle.at/DasSchnelle/50/5000/9884/041577/I_041577_P_906079426_B_0037086810_1.gal.png?height=450&amp;width=600;https://bilder.dasschnelle.at/DasSchnelle/50/5000/9884/041577/I_041577_P_906079426_B_0037086810_2.gal.png?height=450&amp;width=600;https://bilder.dasschnelle.at/DasSchnelle/50/5000/9884/041577/I_041577_P_906079426_B_0037086810_3.gal.png?height=450&amp;width=600;https://bilder.dasschnelle.at/DasSchnelle/50/5000/9884/041577/I_041577_P_906079426_B_0037086810_4.gal.png?height=450&amp;width=600</t>
  </si>
  <si>
    <t>TWS Heizung-Sanitär &amp; Service GmbH • Deutsch Kaltenbrunn • Burgenland</t>
  </si>
  <si>
    <t>Heizungen, Installationsunternehmen • TWS Heizung-Sanitär &amp; Service GmbH, Untere Marktstraße 2, Deutsch Kaltenbrunn • Kontakt über aktuelle Telefonnummern ☎ und Adressen ⚑ mit Karte, Routing, Öffnungszeiten, Homepage, E-Mail, vCard und Firmendaten.</t>
  </si>
  <si>
    <t>Untere Marktstraße 2</t>
  </si>
  <si>
    <t>47.08717</t>
  </si>
  <si>
    <t>16.1061</t>
  </si>
  <si>
    <t>+43338271576</t>
  </si>
  <si>
    <t>office@tws-heizung.at</t>
  </si>
  <si>
    <t>https://bilder.dasschnelle.at/DasSchnelle/50/5000/9884/041572/G_041572_P_906079428.adn.gif</t>
  </si>
  <si>
    <t>Hiesinger Karl Gesellschaft m.b.H., Transportunternehmen • Korneuburg • Niederösterreich</t>
  </si>
  <si>
    <t>Sand u. Schotter, Transportunternehmen, Abbruch - Containerdienst - Erdarbeiten • Hiesinger Karl Gesellschaft m.b.H., Bankmannring 44, Korneuburg • Kontakt über aktuelle Telefonnummern ☎ und Adressen ⚑ mit Karte, Routing, Öffnungszeiten, Homepage, E-Mail, vCard und Firmendaten.</t>
  </si>
  <si>
    <t>Bankmannring 44</t>
  </si>
  <si>
    <t>+43226275310</t>
  </si>
  <si>
    <t>info@hiesingerkarl.at</t>
  </si>
  <si>
    <t>https://bilder.dasschnelle.at/DasSchnelle/50/5000/9898/041416/I_041416_P_906080419_L_0035971062_1.png</t>
  </si>
  <si>
    <t>https://bilder.dasschnelle.at/DasSchnelle/50/5000/9898/041416/I_041416_P_906080419_B_0035971062_1.gal.png?height=595&amp;width=796;https://bilder.dasschnelle.at/DasSchnelle/50/5000/9898/041416/I_041416_P_906080419_B_0035971062_2.gal.png?height=521&amp;width=793;https://bilder.dasschnelle.at/DasSchnelle/50/5000/9898/041416/I_041416_P_906080419_B_0035971062_3.gal.png?height=462&amp;width=692;https://bilder.dasschnelle.at/DasSchnelle/50/5000/9898/041416/I_041416_P_906080419_B_0035971062_4.gal.png?height=597&amp;width=595</t>
  </si>
  <si>
    <t>Hotwagner, Karin, Dr., Tierarzt • St. Georgen im Attergau • Oberösterreich</t>
  </si>
  <si>
    <t>Tierärzte • Hotwagner, Karin, Dr., Attergaustraße 62, St. Georgen im Attergau • Kontakt über aktuelle Telefonnummern ☎ und Adressen ⚑ mit Karte, Routing, Öffnungszeiten, Homepage, E-Mail, vCard und Firmendaten.</t>
  </si>
  <si>
    <t>Attergaustraße 62</t>
  </si>
  <si>
    <t>47.93657</t>
  </si>
  <si>
    <t>13.48524</t>
  </si>
  <si>
    <t>+436504973841</t>
  </si>
  <si>
    <t>office@tierarzt-hotwagner.com</t>
  </si>
  <si>
    <t>https://bilder.dasschnelle.at/DasSchnelle/50/5000/9940/043100/I_043100_P_906080877_L_0035994104_1.png</t>
  </si>
  <si>
    <t>https://bilder.dasschnelle.at/DasSchnelle/50/5000/9940/043100/I_043100_P_906080877_B_0035994104_1.gal.png?height=429&amp;width=636;https://bilder.dasschnelle.at/DasSchnelle/50/5000/9940/043100/I_043100_P_906080877_B_0035994104_2.gal.png?height=371&amp;width=631;https://bilder.dasschnelle.at/DasSchnelle/50/5000/9940/043100/I_043100_P_906080877_B_0035994104_3.gal.png?height=273&amp;width=636;https://bilder.dasschnelle.at/DasSchnelle/50/5000/9940/043100/I_043100_P_906080877_B_0035994104_4.gal.png?height=908&amp;width=925</t>
  </si>
  <si>
    <t>STEIN Baumgartner GmbH, Steinmetz • Vöcklabruck • Oberösterreich</t>
  </si>
  <si>
    <t>Steinmetzbetriebe • STEIN Baumgartner GmbH, Karl Lötsch-Straße 7, Vöcklabruck • Kontakt über aktuelle Telefonnummern ☎ und Adressen ⚑ mit Karte, Routing, Öffnungszeiten, Homepage, E-Mail, vCard und Firmendaten.</t>
  </si>
  <si>
    <t>Karl Lötsch-Straße 7</t>
  </si>
  <si>
    <t>48.00678</t>
  </si>
  <si>
    <t>13.66411</t>
  </si>
  <si>
    <t>+43767272774;+436645129762;+436645129760;+436645129761;+436645129764;+436645129763</t>
  </si>
  <si>
    <t>office@stein-baumgartner.at</t>
  </si>
  <si>
    <t>https://bilder.dasschnelle.at/DasSchnelle/50/5000/9940/043555/I_043555_P_906080904_L_0035999590_1.png</t>
  </si>
  <si>
    <t>https://bilder.dasschnelle.at/DasSchnelle/50/5000/9940/043555/I_043555_P_906080904_B_0035999590_1.gal.png?height=622&amp;width=850;https://bilder.dasschnelle.at/DasSchnelle/50/5000/9940/043555/I_043555_P_906080904_B_0035999590_2.gal.png?height=567&amp;width=850;https://bilder.dasschnelle.at/DasSchnelle/50/5000/9940/043555/I_043555_P_906080904_B_0035999590_3.gal.png?height=390&amp;width=624;https://bilder.dasschnelle.at/DasSchnelle/50/5000/9940/043555/I_043555_P_906080904_B_0035999590_4.gal.png?height=929&amp;width=622</t>
  </si>
  <si>
    <t>Holzer-Putz u Fassaden e.U. • Pfarrwerfen • Salzburg</t>
  </si>
  <si>
    <t>Fassadenbau, Verputzarbeiten • Holzer-Putz u Fassaden e.U., Imlau 47, Pfarrwerfen • Kontakt über aktuelle Telefonnummern ☎ und Adressen ⚑ mit Karte, Routing, Öffnungszeiten, Homepage, E-Mail, vCard und Firmendaten.</t>
  </si>
  <si>
    <t>Imlau 47</t>
  </si>
  <si>
    <t>5452</t>
  </si>
  <si>
    <t>Pfarrwerfen</t>
  </si>
  <si>
    <t>47.4625548</t>
  </si>
  <si>
    <t>13.1932419</t>
  </si>
  <si>
    <t>+4364687588</t>
  </si>
  <si>
    <t>office@holzer-putz.cc</t>
  </si>
  <si>
    <t>https://bilder.dasschnelle.at/DasSchnelle/50/5000/9919/043357/I_043357_P_906080912_L_0035969855_1.png</t>
  </si>
  <si>
    <t>Gärtnerei Holzleitner • Vöcklabruck • Oberösterreich</t>
  </si>
  <si>
    <t>Blumenhandel, Gärtnereien • Gärtnerei Holzleitner, Parkstraße 17, Vöcklabruck • Kontakt über aktuelle Telefonnummern ☎ und Adressen ⚑ mit Karte, Routing, Öffnungszeiten, Homepage, E-Mail, vCard und Firmendaten.</t>
  </si>
  <si>
    <t>Parkstraße 17</t>
  </si>
  <si>
    <t>48.00967</t>
  </si>
  <si>
    <t>13.65352</t>
  </si>
  <si>
    <t>+43767223816</t>
  </si>
  <si>
    <t>verkauf@holzleitner.at</t>
  </si>
  <si>
    <t>https://bilder.dasschnelle.at/DasSchnelle/50/5000/9940/043555/I_043555_P_906080916_L_0035999153_1.png</t>
  </si>
  <si>
    <t>https://bilder.dasschnelle.at/DasSchnelle/50/5000/9940/043555/I_043555_P_906080916_B_0035999153_1.gal.png?height=500&amp;width=280;https://bilder.dasschnelle.at/DasSchnelle/50/5000/9940/043555/I_043555_P_906080916_B_0035999153_2.gal.png?height=500&amp;width=280;https://bilder.dasschnelle.at/DasSchnelle/50/5000/9940/043555/I_043555_P_906080916_B_0035999153_3.gal.png?height=500&amp;width=280;https://bilder.dasschnelle.at/DasSchnelle/50/5000/9940/043555/I_043555_P_906080916_B_0035999153_4.gal.png?height=500&amp;width=280</t>
  </si>
  <si>
    <t>Schachner GmbH, Elektrofahrzeuge • Seitenstetten • Niederösterreich</t>
  </si>
  <si>
    <t>Elektro- u. Solarfahrzeuge • Schachner GmbH, Gewerbepark Pölla 6, Seitenstetten • Kontakt über aktuelle Telefonnummern ☎ und Adressen ⚑ mit Karte, Routing, Öffnungszeiten, Homepage, E-Mail, vCard und Firmendaten.</t>
  </si>
  <si>
    <t>Gewerbepark Pölla 6</t>
  </si>
  <si>
    <t>48.04179</t>
  </si>
  <si>
    <t>14.63213</t>
  </si>
  <si>
    <t>+43747742973</t>
  </si>
  <si>
    <t>office@elektrobikes.com</t>
  </si>
  <si>
    <t>https://bilder.dasschnelle.at/DasSchnelle/50/5000/9866/041326/G_041326_P_906080919.adn.gif</t>
  </si>
  <si>
    <t>Elektro Beneder • Arbesbach • Niederösterreich</t>
  </si>
  <si>
    <t>Elektrogeräte u. -bedarf • Elektro Beneder, Linzer Straße 4, Arbesbach • Kontakt über aktuelle Telefonnummern ☎ und Adressen ⚑ mit Karte, Routing, Öffnungszeiten, Homepage, E-Mail, vCard und Firmendaten.</t>
  </si>
  <si>
    <t>3925</t>
  </si>
  <si>
    <t>Arbesbach</t>
  </si>
  <si>
    <t>48.4922678</t>
  </si>
  <si>
    <t>14.952175</t>
  </si>
  <si>
    <t>+432813234</t>
  </si>
  <si>
    <t>office@elektro-beneder.at</t>
  </si>
  <si>
    <t>Groß Dach, Dachdecker • Kalch • Burgenland</t>
  </si>
  <si>
    <t>Dachdeckereien • Groß Dach, Kalch 23, Kalch • Kontakt über aktuelle Telefonnummern ☎ und Adressen ⚑ mit Karte, Routing, Öffnungszeiten, Homepage, E-Mail, vCard und Firmendaten.</t>
  </si>
  <si>
    <t>Kalch 23</t>
  </si>
  <si>
    <t>8385</t>
  </si>
  <si>
    <t>Kalch</t>
  </si>
  <si>
    <t>46.8450237</t>
  </si>
  <si>
    <t>16.0143759</t>
  </si>
  <si>
    <t>+436642456029</t>
  </si>
  <si>
    <t>office@gross-dach.at</t>
  </si>
  <si>
    <t>https://bilder.dasschnelle.at/DasSchnelle/50/5000/9884/041578/I_041578_P_906080931_L_0036003014_1.png</t>
  </si>
  <si>
    <t>https://bilder.dasschnelle.at/DasSchnelle/50/5000/9884/041578/I_041578_P_906080931_B_0036003014_1.gal.png?height=399&amp;width=700;https://bilder.dasschnelle.at/DasSchnelle/50/5000/9884/041578/I_041578_P_906080931_B_0036003014_2.gal.png?height=395&amp;width=700;https://bilder.dasschnelle.at/DasSchnelle/50/5000/9884/041578/I_041578_P_906080931_B_0036003014_3.gal.png?height=403&amp;width=700;https://bilder.dasschnelle.at/DasSchnelle/50/5000/9884/041578/I_041578_P_906080931_B_0036003014_4.gal.png?height=423&amp;width=700;https://bilder.dasschnelle.at/DasSchnelle/50/5000/9884/041578/G_041578_P_906080931.adn.gif</t>
  </si>
  <si>
    <t>Leitner, David, Ing., Zimmereien • Metnitz • Kärnten</t>
  </si>
  <si>
    <t>Zimmereien • Leitner, David, Ing., Badstraße 32, Metnitz • Kontakt über aktuelle Telefonnummern ☎ und Adressen ⚑ mit Karte, Routing, Öffnungszeiten, Homepage, E-Mail, vCard und Firmendaten.</t>
  </si>
  <si>
    <t>Badstraße 32</t>
  </si>
  <si>
    <t>9363</t>
  </si>
  <si>
    <t>Metnitz</t>
  </si>
  <si>
    <t>46.9810200</t>
  </si>
  <si>
    <t>14.1992300</t>
  </si>
  <si>
    <t>+434267206</t>
  </si>
  <si>
    <t>office@leitner-holzbau.at</t>
  </si>
  <si>
    <t>https://bilder.dasschnelle.at/DasSchnelle/50/5000/9925/042121/I_042121_P_906080855_L_0035994790_1.png</t>
  </si>
  <si>
    <t>https://bilder.dasschnelle.at/DasSchnelle/50/5000/9925/042121/I_042121_P_906080855_B_0035994790_1.gal.png?height=440&amp;width=450;https://bilder.dasschnelle.at/DasSchnelle/50/5000/9925/042121/I_042121_P_906080855_B_0035994790_2.gal.png?height=365&amp;width=450;https://bilder.dasschnelle.at/DasSchnelle/50/5000/9925/042121/I_042121_P_906080855_B_0035994790_3.gal.png?height=487&amp;width=450;https://bilder.dasschnelle.at/DasSchnelle/50/5000/9925/042121/I_042121_P_906080855_B_0035994790_4.gal.png?height=478&amp;width=449</t>
  </si>
  <si>
    <t>Maringer, Dominik, Mag., RA • Vöcklabruck • Oberösterreich</t>
  </si>
  <si>
    <t>Rechtsanwälte • Maringer, Dominik, Mag., Salzburger Straße 4, Vöcklabruck • Kontakt über aktuelle Telefonnummern ☎ und Adressen ⚑ mit Karte, Routing, Öffnungszeiten, Homepage, E-Mail, vCard und Firmendaten.</t>
  </si>
  <si>
    <t>Salzburger Straße 4</t>
  </si>
  <si>
    <t>48.00734</t>
  </si>
  <si>
    <t>13.65277</t>
  </si>
  <si>
    <t>+437672226250</t>
  </si>
  <si>
    <t>office@ra-maringer.at</t>
  </si>
  <si>
    <t>https://bilder.dasschnelle.at/DasSchnelle/50/5000/9940/043555/G_043555_P_906081727.adn.gif</t>
  </si>
  <si>
    <t>SV-Steuerberatung GmbH, Steuerberatung • Wagrain • Oberösterreich</t>
  </si>
  <si>
    <t>Steuerberater • SV-Steuerberatung GmbH, Siegfried Marcus-Straße 4, Wagrain • Kontakt über aktuelle Telefonnummern ☎ und Adressen ⚑ mit Karte, Routing, Öffnungszeiten, Homepage, E-Mail, vCard und Firmendaten.</t>
  </si>
  <si>
    <t>Siegfried Marcus-Straße 4</t>
  </si>
  <si>
    <t>48.00656</t>
  </si>
  <si>
    <t>13.66233</t>
  </si>
  <si>
    <t>+43767278024</t>
  </si>
  <si>
    <t>office@sv-steuerberatung.at</t>
  </si>
  <si>
    <t>https://bilder.dasschnelle.at/DasSchnelle/50/5000/9940/043555/G_043555_P_906081731.adn.gif</t>
  </si>
  <si>
    <t>Fensterbauer Vertriebs GmbH • Schrems • Niederösterreich</t>
  </si>
  <si>
    <t>Fenster u. Türen • Fensterbauer Vertriebs GmbH, Mühlgasse 5 a, Schrems • Kontakt über aktuelle Telefonnummern ☎ und Adressen ⚑ mit Karte, Routing, Öffnungszeiten, Homepage, E-Mail, vCard und Firmendaten.</t>
  </si>
  <si>
    <t>Mühlgasse 5 a</t>
  </si>
  <si>
    <t>48.7941485</t>
  </si>
  <si>
    <t>15.0681877</t>
  </si>
  <si>
    <t>+43285372416</t>
  </si>
  <si>
    <t>info@fensterbauer.at</t>
  </si>
  <si>
    <t>https://bilder.dasschnelle.at/DasSchnelle/50/5000/9885/045538/G_045538_P_906081747.adn.gif</t>
  </si>
  <si>
    <t>K&amp;U Gastronomie KG Pizzeria Napoli Litschau, Pizzeria • Litschau • Niederösterreich</t>
  </si>
  <si>
    <t>Pizzerias • K&amp;U Gastronomie KG Pizzeria Napoli Litschau, Stadtplatz 46, Litschau • Kontakt über aktuelle Telefonnummern ☎ und Adressen ⚑ mit Karte, Routing, Öffnungszeiten, Homepage, E-Mail, vCard und Firmendaten.</t>
  </si>
  <si>
    <t>Stadtplatz 46</t>
  </si>
  <si>
    <t>48.94483</t>
  </si>
  <si>
    <t>15.04874</t>
  </si>
  <si>
    <t>+436603715056</t>
  </si>
  <si>
    <t>kaanuzun@gmx.at</t>
  </si>
  <si>
    <t>https://bilder.dasschnelle.at/DasSchnelle/50/5000/9885/045085/G_045085_P_906081780.adn.gif</t>
  </si>
  <si>
    <t>Österreicher, Dietmar, Augenoptik • Heidenreichstein • Niederösterreich</t>
  </si>
  <si>
    <t>Optik • Österreicher, Dietmar, Marktgasse 1, Heidenreichstein • Kontakt über aktuelle Telefonnummern ☎ und Adressen ⚑ mit Karte, Routing, Öffnungszeiten, Homepage, E-Mail, vCard und Firmendaten.</t>
  </si>
  <si>
    <t>Marktgasse 1</t>
  </si>
  <si>
    <t>48.86624</t>
  </si>
  <si>
    <t>15.12393</t>
  </si>
  <si>
    <t>+43286253693;+436646414906;+436644388514</t>
  </si>
  <si>
    <t>+432862536934</t>
  </si>
  <si>
    <t>mail@optik-oesterreicher.at</t>
  </si>
  <si>
    <t>https://bilder.dasschnelle.at/DasSchnelle/50/5000/9885/045081/G_045081_P_906081787.adn.gif</t>
  </si>
  <si>
    <t>Der Grafiker - WerbeAgentur • Hitzendorf • Steiermark</t>
  </si>
  <si>
    <t>Werbeagenturen • Der Grafiker - WerbeAgentur, Oberberg 128, Hitzendorf • Kontakt über aktuelle Telefonnummern ☎ und Adressen ⚑ mit Karte, Routing, Öffnungszeiten, Homepage, E-Mail, vCard und Firmendaten.</t>
  </si>
  <si>
    <t>+436641039799</t>
  </si>
  <si>
    <t>office@der-grafiker.at</t>
  </si>
  <si>
    <t>https://bilder.dasschnelle.at/DasSchnelle/50/5000/9883/061360/I_061360_P_906082501_L_0038004731_1.png</t>
  </si>
  <si>
    <t>Schimon, Werner, Dr., Notariat • Vöcklamarkt • Oberösterreich</t>
  </si>
  <si>
    <t>Notare • Schimon, Werner, Dr., Hauptstraße 1, Vöcklamarkt • Kontakt über aktuelle Telefonnummern ☎ und Adressen ⚑ mit Karte, Routing, Öffnungszeiten, Homepage, E-Mail, vCard und Firmendaten.</t>
  </si>
  <si>
    <t>48.00217</t>
  </si>
  <si>
    <t>13.48546</t>
  </si>
  <si>
    <t>+43768269699;+436644012565</t>
  </si>
  <si>
    <t>office@notar-vm.at</t>
  </si>
  <si>
    <t>https://bilder.dasschnelle.at/DasSchnelle/50/5000/9940/043556/G_043556_P_906082257.adn.gif</t>
  </si>
  <si>
    <t>Ronny &amp; Nadine Spionek, Praxis f. Osteopathie u. Physioth. • St. Georgen im Attergau • Oberösterreich</t>
  </si>
  <si>
    <t>Osteopathie, Physiotherapie • Ronny &amp; Nadine Spionek, Attergaustraße 91, St. Georgen im Attergau • Kontakt über aktuelle Telefonnummern ☎ und Adressen ⚑ mit Karte, Routing, Öffnungszeiten, Homepage, E-Mail, vCard und Firmendaten.</t>
  </si>
  <si>
    <t>Attergaustraße 91</t>
  </si>
  <si>
    <t>47.93588</t>
  </si>
  <si>
    <t>13.48298</t>
  </si>
  <si>
    <t>+4366475054306</t>
  </si>
  <si>
    <t>spionek-osteopathie@gmx.at</t>
  </si>
  <si>
    <t>https://bilder.dasschnelle.at/DasSchnelle/50/5000/9940/043100/G_043100_P_906082262.adn.gif</t>
  </si>
  <si>
    <t>Dunzinger, Michael, Prim., Dr., FA f Urologie u Andrologie • Vöcklabruck • Oberösterreich</t>
  </si>
  <si>
    <t>Ärzte / Fachärzte f. Urologie • Dunzinger, Michael, Prim., Dr., Dr. Anton Bruckner-Straße 10 a, Vöcklabruck • Kontakt über aktuelle Telefonnummern ☎ und Adressen ⚑ mit Karte, Routing, Öffnungszeiten, Homepage, E-Mail, vCard und Firmendaten.</t>
  </si>
  <si>
    <t>Dr. Anton Bruckner-Straße 10 a</t>
  </si>
  <si>
    <t>48.00538</t>
  </si>
  <si>
    <t>13.65423</t>
  </si>
  <si>
    <t>+43767222762</t>
  </si>
  <si>
    <t>m.dunzinger@upg.at</t>
  </si>
  <si>
    <t>https://bilder.dasschnelle.at/DasSchnelle/50/5000/9940/043555/I_043555_P_906082264_L_0035999124_1.png</t>
  </si>
  <si>
    <t>https://bilder.dasschnelle.at/DasSchnelle/50/5000/9940/043555/I_043555_P_906082264_B_0035999124_1.gal.png?height=659&amp;width=992;https://bilder.dasschnelle.at/DasSchnelle/50/5000/9940/043555/I_043555_P_906082264_B_0035999124_2.gal.png?height=660&amp;width=988;https://bilder.dasschnelle.at/DasSchnelle/50/5000/9940/043555/I_043555_P_906082264_B_0035999124_3.gal.png?height=656&amp;width=983;https://bilder.dasschnelle.at/DasSchnelle/50/5000/9940/043555/I_043555_P_906082264_B_0035999124_4.gal.png?height=655&amp;width=982</t>
  </si>
  <si>
    <t>Trockenausbauteam GmbH &amp; Co KG, Trockenbau • Hofmarkt • Salzburg</t>
  </si>
  <si>
    <t>Trockenausbau • Trockenausbauteam GmbH &amp; Co KG, Unterspannberg 7 A, Hofmarkt • Kontakt über aktuelle Telefonnummern ☎ und Adressen ⚑ mit Karte, Routing, Öffnungszeiten, Homepage, E-Mail, vCard und Firmendaten.</t>
  </si>
  <si>
    <t>Unterspannberg 7 A</t>
  </si>
  <si>
    <t>Hofmarkt</t>
  </si>
  <si>
    <t>47.31987</t>
  </si>
  <si>
    <t>13.3077</t>
  </si>
  <si>
    <t>+436645219516</t>
  </si>
  <si>
    <t>info@trockenausbauteam.at</t>
  </si>
  <si>
    <t>https://bilder.dasschnelle.at/DasSchnelle/50/5000/9919/043356/G_043356_P_906082267.adn.gif</t>
  </si>
  <si>
    <t>HAGENHOFER Der Raumausstatter • Wagrain • Salzburg</t>
  </si>
  <si>
    <t>Raumausstatter • HAGENHOFER Der Raumausstatter, Wagrainer Straße 12, Wagrain • Kontakt über aktuelle Telefonnummern ☎ und Adressen ⚑ mit Karte, Routing, Öffnungszeiten, Homepage, E-Mail, vCard und Firmendaten.</t>
  </si>
  <si>
    <t>Wagrainer Straße 12</t>
  </si>
  <si>
    <t>47.3413796</t>
  </si>
  <si>
    <t>13.3046793</t>
  </si>
  <si>
    <t>+436645687993</t>
  </si>
  <si>
    <t>office@hagenhofer.info</t>
  </si>
  <si>
    <t>https://bilder.dasschnelle.at/DasSchnelle/50/5000/9919/043356/G_043356_P_906082269.adn.gif</t>
  </si>
  <si>
    <t>Zimmerei Guggenberger GmbH &amp; CoKG • Kleinarl • Steiermark</t>
  </si>
  <si>
    <t>Zimmereien • Zimmerei Guggenberger GmbH &amp; CoKG, Dorf 41, Kleinarl • Kontakt über aktuelle Telefonnummern ☎ und Adressen ⚑ mit Karte, Routing, Öffnungszeiten, Homepage, E-Mail, vCard und Firmendaten.</t>
  </si>
  <si>
    <t>Dorf 41</t>
  </si>
  <si>
    <t>5603</t>
  </si>
  <si>
    <t>Kleinarl</t>
  </si>
  <si>
    <t>47.2787</t>
  </si>
  <si>
    <t>13.3209</t>
  </si>
  <si>
    <t>+436641605497</t>
  </si>
  <si>
    <t>info@holzbau-kleinarl.at</t>
  </si>
  <si>
    <t>https://bilder.dasschnelle.at/DasSchnelle/50/5000/9919/043347/G_043347_P_906082270.adn.gif</t>
  </si>
  <si>
    <t>Fuchs Elektro GesmbH &amp; Co KG, konz Elektrounternehmen • Timelkam • Oberösterreich</t>
  </si>
  <si>
    <t>Elektrotechnik, Elektrounternehmen • Fuchs Elektro GesmbH &amp; Co KG, Pollheimerstraße 17, Timelkam • Kontakt über aktuelle Telefonnummern ☎ und Adressen ⚑ mit Karte, Routing, Öffnungszeiten, Homepage, E-Mail, vCard und Firmendaten.</t>
  </si>
  <si>
    <t>Pollheimerstraße 17</t>
  </si>
  <si>
    <t>48.00238</t>
  </si>
  <si>
    <t>13.61475</t>
  </si>
  <si>
    <t>+437672941710</t>
  </si>
  <si>
    <t>+4376729417120</t>
  </si>
  <si>
    <t>fuchs.johann@elektrotechnik-fuchs.at</t>
  </si>
  <si>
    <t>https://bilder.dasschnelle.at/DasSchnelle/50/5000/9940/043552/G_043552_P_906083500.adn.gif</t>
  </si>
  <si>
    <t>Mayer - Blumenhaus • Lenzing • Oberösterreich</t>
  </si>
  <si>
    <t>Blumenhandel, Gärtnereien • Mayer - Blumenhaus, Atterseestraße 65, Lenzing • Kontakt über aktuelle Telefonnummern ☎ und Adressen ⚑ mit Karte, Routing, Öffnungszeiten, Homepage, E-Mail, vCard und Firmendaten.</t>
  </si>
  <si>
    <t>Atterseestraße 65</t>
  </si>
  <si>
    <t>47.97409</t>
  </si>
  <si>
    <t>13.60961</t>
  </si>
  <si>
    <t>+43767292936</t>
  </si>
  <si>
    <t>office@blumenhaus.at</t>
  </si>
  <si>
    <t>https://bilder.dasschnelle.at/DasSchnelle/50/5000/9940/043079/G_043079_P_906083504.adn.gif</t>
  </si>
  <si>
    <t>Optik Sehblick, Brillen-Kontaktlinsen-Sonnenbrillen • Seewalchen am Attersee • Oberösterreich</t>
  </si>
  <si>
    <t>Optik • Optik Sehblick, Atterseestraße 22, Seewalchen am Attersee • Kontakt über aktuelle Telefonnummern ☎ und Adressen ⚑ mit Karte, Routing, Öffnungszeiten, Homepage, E-Mail, vCard und Firmendaten.</t>
  </si>
  <si>
    <t>Atterseestraße 22</t>
  </si>
  <si>
    <t>47.94955</t>
  </si>
  <si>
    <t>13.59435</t>
  </si>
  <si>
    <t>+4376622474</t>
  </si>
  <si>
    <t>office@optik-sehblick.at</t>
  </si>
  <si>
    <t>https://bilder.dasschnelle.at/DasSchnelle/50/5000/9940/043105/G_043105_P_906083525.adn.gif</t>
  </si>
  <si>
    <t>Zeiner, Bernhard, Tischlerei • Brückl • Kärnten</t>
  </si>
  <si>
    <t>Fenster u. Türen • Zeiner, Bernhard, Sankt Veiter Straße 25, Brückl • Kontakt über aktuelle Telefonnummern ☎ und Adressen ⚑ mit Karte, Routing, Öffnungszeiten, Homepage, E-Mail, vCard und Firmendaten.</t>
  </si>
  <si>
    <t>Sankt Veiter Straße 25</t>
  </si>
  <si>
    <t>46.74903</t>
  </si>
  <si>
    <t>14.52537</t>
  </si>
  <si>
    <t>+436645102164</t>
  </si>
  <si>
    <t>office@tischlerei-zeiner.at</t>
  </si>
  <si>
    <t>https://bilder.dasschnelle.at/DasSchnelle/50/5000/9925/042110/G_042110_P_906083558.adn.gif</t>
  </si>
  <si>
    <t>Orthopädietechnik Attersee GmbH • Seewalchen am Attersee • Oberösterreich</t>
  </si>
  <si>
    <t>Orthopädietechnik • Orthopädietechnik Attersee GmbH, Hauptstraße 5, Seewalchen am Attersee • Kontakt über aktuelle Telefonnummern ☎ und Adressen ⚑ mit Karte, Routing, Öffnungszeiten, Homepage, E-Mail, vCard und Firmendaten.</t>
  </si>
  <si>
    <t>47.95363</t>
  </si>
  <si>
    <t>13.58706</t>
  </si>
  <si>
    <t>+43766283739</t>
  </si>
  <si>
    <t>office@orthopaedietechnik-attersee.at</t>
  </si>
  <si>
    <t>https://bilder.dasschnelle.at/DasSchnelle/50/5000/9940/043105/G_043105_P_906083561.adn.gif</t>
  </si>
  <si>
    <t>Hörmann, Heinz, Steinmetzbetrieb • Schwertberg • Oberösterreich</t>
  </si>
  <si>
    <t>Steinmetzbetriebe • Hörmann, Heinz, Aiser 8, Schwertberg • Kontakt über aktuelle Telefonnummern ☎ und Adressen ⚑ mit Karte, Routing, Öffnungszeiten, Homepage, E-Mail, vCard und Firmendaten.</t>
  </si>
  <si>
    <t>Aiser 8</t>
  </si>
  <si>
    <t>48.2729961</t>
  </si>
  <si>
    <t>14.5907508</t>
  </si>
  <si>
    <t>+43726261031</t>
  </si>
  <si>
    <t>heinzhoermann@aon.at</t>
  </si>
  <si>
    <t>https://bilder.dasschnelle.at/DasSchnelle/50/5000/9916/042536/G_042536_P_906083569.adn.gif</t>
  </si>
  <si>
    <t>EHC-WirtschaftstreuhandgesmbH, Wirtschaftstreuhänder / Steuerberater • Stockerau • Niederösterreich</t>
  </si>
  <si>
    <t>Wirtschaftstreuhänder / Steuerberater • EHC-WirtschaftstreuhandgesmbH, Schulgasse 10, Stockerau • Kontakt über aktuelle Telefonnummern ☎ und Adressen ⚑ mit Karte, Routing, Öffnungszeiten, Homepage, E-Mail, vCard und Firmendaten.</t>
  </si>
  <si>
    <t>Schulgasse 10</t>
  </si>
  <si>
    <t>48.38668</t>
  </si>
  <si>
    <t>16.21072</t>
  </si>
  <si>
    <t>+43226662870</t>
  </si>
  <si>
    <t>office@ehc-wt.com</t>
  </si>
  <si>
    <t>https://bilder.dasschnelle.at/DasSchnelle/50/5000/9898/041484/G_041484_P_906081756.adn.gif</t>
  </si>
  <si>
    <t>Pizzeria da Elena • Freistadt • Oberösterreich</t>
  </si>
  <si>
    <t>Pizzerias • Pizzeria da Elena, Waaggasse 7, Freistadt • Kontakt über aktuelle Telefonnummern ☎ und Adressen ⚑ mit Karte, Routing, Öffnungszeiten, Homepage, E-Mail, vCard und Firmendaten.</t>
  </si>
  <si>
    <t>Waaggasse 7</t>
  </si>
  <si>
    <t>48.5116</t>
  </si>
  <si>
    <t>14.50377</t>
  </si>
  <si>
    <t>+43794273912</t>
  </si>
  <si>
    <t>fabriziomungo2@gmail.com</t>
  </si>
  <si>
    <t>https://bilder.dasschnelle.at/DasSchnelle/50/5000/9882/044815/I_044815_P_906082225_L_0038805615_1.png</t>
  </si>
  <si>
    <t>https://bilder.dasschnelle.at/DasSchnelle/50/5000/9882/044815/G_044815_P_906082225.adn.gif</t>
  </si>
  <si>
    <t>Städtische Bestattungsanstalt • Spittal an der Drau • Kärnten</t>
  </si>
  <si>
    <t>Gemeinde • Städtische Bestattungsanstalt, Edlinger Straße 55, Spittal an der Drau • Kontakt über aktuelle Telefonnummern ☎ und Adressen ⚑ mit Karte, Routing, Öffnungszeiten, Homepage, E-Mail, vCard und Firmendaten.</t>
  </si>
  <si>
    <t>Edlinger Straße 55</t>
  </si>
  <si>
    <t>46.7983351</t>
  </si>
  <si>
    <t>13.4966003</t>
  </si>
  <si>
    <t>+4347625650341</t>
  </si>
  <si>
    <t>+4347625650344</t>
  </si>
  <si>
    <t>g.baumgartner@spittal-drau.at</t>
  </si>
  <si>
    <t>https://bilder.dasschnelle.at/DasSchnelle/50/5000/9933/042153/G_042153_P_906082430.adn.gif</t>
  </si>
  <si>
    <t>Haustechnik Freißmuth • Bad Blumau • Steiermark</t>
  </si>
  <si>
    <t>Haustechnik • Haustechnik Freißmuth, Kleinsteinbach 55, Bad Blumau • Kontakt über aktuelle Telefonnummern ☎ und Adressen ⚑ mit Karte, Routing, Öffnungszeiten, Homepage, E-Mail, vCard und Firmendaten.</t>
  </si>
  <si>
    <t>Kleinsteinbach 55</t>
  </si>
  <si>
    <t>8283</t>
  </si>
  <si>
    <t>Bad Blumau</t>
  </si>
  <si>
    <t>47.1261300</t>
  </si>
  <si>
    <t>16.0574447</t>
  </si>
  <si>
    <t>+436644764079</t>
  </si>
  <si>
    <t>haustechnik@freissmuth-ht.at</t>
  </si>
  <si>
    <t>https://bilder.dasschnelle.at/DasSchnelle/50/5000/9884/046071/G_046071_P_906082433.adn.gif</t>
  </si>
  <si>
    <t>Penker, Manuel, Dachdeckerei • Eisentratten • Kärnten</t>
  </si>
  <si>
    <t>Dachdeckereien • Penker, Manuel, Eisentratten 42, Eisentratten • Kontakt über aktuelle Telefonnummern ☎ und Adressen ⚑ mit Karte, Routing, Öffnungszeiten, Homepage, E-Mail, vCard und Firmendaten.</t>
  </si>
  <si>
    <t>Eisentratten 42</t>
  </si>
  <si>
    <t>9861</t>
  </si>
  <si>
    <t>Eisentratten</t>
  </si>
  <si>
    <t>46.9226816</t>
  </si>
  <si>
    <t>13.5762324</t>
  </si>
  <si>
    <t>+436505157802</t>
  </si>
  <si>
    <t>manuel.penker@gmx.at</t>
  </si>
  <si>
    <t>https://bilder.dasschnelle.at/DasSchnelle/50/5000/9933/042159/G_042159_P_906082447.adn.gif</t>
  </si>
  <si>
    <t>Bestattung Leiner e.U. Schäfer Paul, Bestattungsunternehmen • Jennersdorf • Burgenland</t>
  </si>
  <si>
    <t>Bestattungsunternehmen • Bestattung Leiner e.U. Schäfer Paul, Raxer Straße 8, Jennersdorf • Kontakt über aktuelle Telefonnummern ☎ und Adressen ⚑ mit Karte, Routing, Öffnungszeiten, Homepage, E-Mail, vCard und Firmendaten.</t>
  </si>
  <si>
    <t>Raxer Straße 8</t>
  </si>
  <si>
    <t>46.9394000</t>
  </si>
  <si>
    <t>16.1438300</t>
  </si>
  <si>
    <t>+433329452790</t>
  </si>
  <si>
    <t>info@bestattung-leiner.at</t>
  </si>
  <si>
    <t>https://bilder.dasschnelle.at/DasSchnelle/50/5000/9884/041575/I_041575_P_906082450_L_0036003040_1.png</t>
  </si>
  <si>
    <t>https://bilder.dasschnelle.at/DasSchnelle/50/5000/9884/041575/I_041575_P_906082450_B_0036003040_1.gal.png?height=397&amp;width=600;https://bilder.dasschnelle.at/DasSchnelle/50/5000/9884/041575/I_041575_P_906082450_B_0036003040_2.gal.png?height=275&amp;width=600;https://bilder.dasschnelle.at/DasSchnelle/50/5000/9884/041575/I_041575_P_906082450_B_0036003040_3.gal.png?height=318&amp;width=600;https://bilder.dasschnelle.at/DasSchnelle/50/5000/9884/041575/I_041575_P_906082450_B_0036003040_4.gal.png?height=555&amp;width=600;https://bilder.dasschnelle.at/DasSchnelle/50/5000/9884/041575/G_041575_P_906082450.adn.gif</t>
  </si>
  <si>
    <t>Goldmann KG, Modehaus • Gnas • Steiermark</t>
  </si>
  <si>
    <t>Bekleidung • Goldmann KG, Gnas 40, Gnas • Kontakt über aktuelle Telefonnummern ☎ und Adressen ⚑ mit Karte, Routing, Öffnungszeiten, Homepage, E-Mail, vCard und Firmendaten.</t>
  </si>
  <si>
    <t>Gnas 40</t>
  </si>
  <si>
    <t>46.8754469</t>
  </si>
  <si>
    <t>15.8255437</t>
  </si>
  <si>
    <t>+4331512275</t>
  </si>
  <si>
    <t>info@goldmann-mode.at</t>
  </si>
  <si>
    <t>https://bilder.dasschnelle.at/DasSchnelle/50/5000/9879/061351/G_061351_P_906083528.adn.gif</t>
  </si>
  <si>
    <t>Four You Versicherungsagentur • Wagrain • Oberösterreich</t>
  </si>
  <si>
    <t>Versicherungsmakler • Four You Versicherungsagentur, Telefunkenstraße 22, Wagrain • Kontakt über aktuelle Telefonnummern ☎ und Adressen ⚑ mit Karte, Routing, Öffnungszeiten, Homepage, E-Mail, vCard und Firmendaten.</t>
  </si>
  <si>
    <t>Telefunkenstraße 22</t>
  </si>
  <si>
    <t>48.003</t>
  </si>
  <si>
    <t>13.6747</t>
  </si>
  <si>
    <t>+43767224124</t>
  </si>
  <si>
    <t>office@fouryou.at</t>
  </si>
  <si>
    <t>https://bilder.dasschnelle.at/DasSchnelle/50/5000/9940/043555/G_043555_P_906083532.adn.gif</t>
  </si>
  <si>
    <t>Schlager Transporte GesmbH • Timelkam • Oberösterreich</t>
  </si>
  <si>
    <t>Transportunternehmen • Schlager Transporte GesmbH, Industriestraße 2, Timelkam • Kontakt über aktuelle Telefonnummern ☎ und Adressen ⚑ mit Karte, Routing, Öffnungszeiten, Homepage, E-Mail, vCard und Firmendaten.</t>
  </si>
  <si>
    <t>Industriestraße 2</t>
  </si>
  <si>
    <t>47.99725</t>
  </si>
  <si>
    <t>13.59825</t>
  </si>
  <si>
    <t>+43767295288;+436644354951</t>
  </si>
  <si>
    <t>+437672952889</t>
  </si>
  <si>
    <t>office@schlager-erdbau.com</t>
  </si>
  <si>
    <t>https://bilder.dasschnelle.at/DasSchnelle/50/5000/9940/043552/G_043552_P_906083537.adn.gif</t>
  </si>
  <si>
    <t>Bestattung Eckl • Timelkam • Oberösterreich</t>
  </si>
  <si>
    <t>Bestattungsunternehmen • Bestattung Eckl, Obergallaberg 2, Timelkam • Kontakt über aktuelle Telefonnummern ☎ und Adressen ⚑ mit Karte, Routing, Öffnungszeiten, Homepage, E-Mail, vCard und Firmendaten.</t>
  </si>
  <si>
    <t>Obergallaberg 2</t>
  </si>
  <si>
    <t>48.00248</t>
  </si>
  <si>
    <t>13.60925</t>
  </si>
  <si>
    <t>+43767292826</t>
  </si>
  <si>
    <t>office@bestattung-eckl.at</t>
  </si>
  <si>
    <t>https://bilder.dasschnelle.at/DasSchnelle/50/5000/9940/043552/I_043552_P_906083545_L_0035994107_1.png</t>
  </si>
  <si>
    <t>https://bilder.dasschnelle.at/DasSchnelle/50/5000/9940/043552/I_043552_P_906083545_B_0035994107_1.gal.png?height=450&amp;width=600;https://bilder.dasschnelle.at/DasSchnelle/50/5000/9940/043552/I_043552_P_906083545_B_0035994107_2.gal.png?height=450&amp;width=600;https://bilder.dasschnelle.at/DasSchnelle/50/5000/9940/043552/I_043552_P_906083545_B_0035994107_3.gal.png?height=255&amp;width=600;https://bilder.dasschnelle.at/DasSchnelle/50/5000/9940/043552/I_043552_P_906083545_B_0035994107_4.gal.png?height=450&amp;width=600</t>
  </si>
  <si>
    <t>Galler Kurt GesmbH, Hafnermeister &amp; Fliesenleger • Klosterneuburg • Niederösterreich</t>
  </si>
  <si>
    <t>Fliesen u. Plattenverlegungen • Galler Kurt GesmbH, Wiener Straße 102, Klosterneuburg • Kontakt über aktuelle Telefonnummern ☎ und Adressen ⚑ mit Karte, Routing, Öffnungszeiten, Homepage, E-Mail, vCard und Firmendaten.</t>
  </si>
  <si>
    <t>Wiener Straße 102</t>
  </si>
  <si>
    <t>48.29763</t>
  </si>
  <si>
    <t>16.33388</t>
  </si>
  <si>
    <t>+43224326177</t>
  </si>
  <si>
    <t>office@kurt-galler.at</t>
  </si>
  <si>
    <t>https://bilder.dasschnelle.at/DasSchnelle/50/5000/9897/061492/I_061492_P_906081722_L_0035993779_1.png</t>
  </si>
  <si>
    <t>https://bilder.dasschnelle.at/DasSchnelle/50/5000/9897/061492/I_061492_P_906081722_B_0035993779_1.gal.png?height=593&amp;width=795;https://bilder.dasschnelle.at/DasSchnelle/50/5000/9897/061492/I_061492_P_906081722_B_0035993779_2.gal.png?height=686&amp;width=796;https://bilder.dasschnelle.at/DasSchnelle/50/5000/9897/061492/I_061492_P_906081722_B_0035993779_3.gal.png?height=528&amp;width=795;https://bilder.dasschnelle.at/DasSchnelle/50/5000/9897/061492/I_061492_P_906081722_B_0035993779_4.gal.png?height=594&amp;width=798</t>
  </si>
  <si>
    <t>Brunner, Christian, Tischler • Schwertberg • Oberösterreich</t>
  </si>
  <si>
    <t>Tischlereien • Brunner, Christian, Furth 22, Schwertberg • Kontakt über aktuelle Telefonnummern ☎ und Adressen ⚑ mit Karte, Routing, Öffnungszeiten, Homepage, E-Mail, vCard und Firmendaten.</t>
  </si>
  <si>
    <t>Furth 22</t>
  </si>
  <si>
    <t>48.25246</t>
  </si>
  <si>
    <t>14.58321</t>
  </si>
  <si>
    <t>+437262630600</t>
  </si>
  <si>
    <t>office@tischlerei-brunner.at</t>
  </si>
  <si>
    <t>https://bilder.dasschnelle.at/DasSchnelle/50/5000/9916/042536/G_042536_P_906081810.adn.gif</t>
  </si>
  <si>
    <t>Wilfried Fleischmann Reifenhandel e.U. • Klosterneuburg • Niederösterreich</t>
  </si>
  <si>
    <t>Reifendienste • Wilfried Fleischmann Reifenhandel e.U., Inkustraße 20, Klosterneuburg • Kontakt über aktuelle Telefonnummern ☎ und Adressen ⚑ mit Karte, Routing, Öffnungszeiten, Homepage, E-Mail, vCard und Firmendaten.</t>
  </si>
  <si>
    <t>Inkustraße 20</t>
  </si>
  <si>
    <t>48.290002</t>
  </si>
  <si>
    <t>16.3414449</t>
  </si>
  <si>
    <t>+43224332220</t>
  </si>
  <si>
    <t>office@fleischmann-reifen.at</t>
  </si>
  <si>
    <t>https://bilder.dasschnelle.at/DasSchnelle/50/5000/9897/061492/G_061492_P_906082346.adn.gif</t>
  </si>
  <si>
    <t>Peruskic G., Glaserei • Wien</t>
  </si>
  <si>
    <t>Glasereien • Peruskic G., Heiligenstädter Straße 185, Wien • Kontakt über aktuelle Telefonnummern ☎ und Adressen ⚑ mit Karte, Routing, Öffnungszeiten, Homepage, E-Mail, vCard und Firmendaten.</t>
  </si>
  <si>
    <t>Heiligenstädter Straße 185</t>
  </si>
  <si>
    <t>48.25856</t>
  </si>
  <si>
    <t>16.36701</t>
  </si>
  <si>
    <t>+4313705395</t>
  </si>
  <si>
    <t>glasklar@peruskic.at</t>
  </si>
  <si>
    <t>https://bilder.dasschnelle.at/DasSchnelle/50/5000/9897/044241/I_044241_P_906339400_B_0035994627_1.gal.png?height=338&amp;width=540;https://bilder.dasschnelle.at/DasSchnelle/50/5000/9897/044241/I_044241_P_906339400_B_0035994627_2.gal.png?height=338&amp;width=540;https://bilder.dasschnelle.at/DasSchnelle/50/5000/9897/044241/I_044241_P_906339400_B_0035994627_3.gal.png?height=338&amp;width=540</t>
  </si>
  <si>
    <t>Egger, Josef, Tapezierermeister • Schwertberg • Oberösterreich</t>
  </si>
  <si>
    <t>Tapezierer, Tapezierer u. Dekorateure • Egger, Josef, Parkstraße 5, Schwertberg • Kontakt über aktuelle Telefonnummern ☎ und Adressen ⚑ mit Karte, Routing, Öffnungszeiten, Homepage, E-Mail, vCard und Firmendaten.</t>
  </si>
  <si>
    <t>Parkstraße 5</t>
  </si>
  <si>
    <t>48.27452</t>
  </si>
  <si>
    <t>14.58052</t>
  </si>
  <si>
    <t>+43726261121</t>
  </si>
  <si>
    <t>tapezierer-egger@aon.at</t>
  </si>
  <si>
    <t>https://bilder.dasschnelle.at/DasSchnelle/50/5000/9916/042536/G_042536_P_906082451.adn.gif</t>
  </si>
  <si>
    <t>Physiotherapie Regenbogen • Feldkirchen in Kärnten • Kärnten</t>
  </si>
  <si>
    <t>Physiotherapie • Physiotherapie Regenbogen, Villacher Straße 13, Feldkirchen in Kärnten • Kontakt über aktuelle Telefonnummern ☎ und Adressen ⚑ mit Karte, Routing, Öffnungszeiten, Homepage, E-Mail, vCard und Firmendaten.</t>
  </si>
  <si>
    <t>Villacher Straße 13</t>
  </si>
  <si>
    <t>46.7233871</t>
  </si>
  <si>
    <t>14.0901433</t>
  </si>
  <si>
    <t>+436802378396</t>
  </si>
  <si>
    <t>heidrun.scheiberdulle@gmail.com</t>
  </si>
  <si>
    <t>https://bilder.dasschnelle.at/DasSchnelle/50/5000/9880/042048/G_042048_P_906083458.adn.gif</t>
  </si>
  <si>
    <t>Habertheuer, Karlheinz, Dr., Facharzt f Innere Medizin • Bisamberg • Niederösterreich</t>
  </si>
  <si>
    <t>Ärzte / Fachärzte f. Innere Medizin • Habertheuer, Karlheinz, Dr., Hauptstraße 31, Bisamberg • Kontakt über aktuelle Telefonnummern ☎ und Adressen ⚑ mit Karte, Routing, Öffnungszeiten, Homepage, E-Mail, vCard und Firmendaten.</t>
  </si>
  <si>
    <t>Hauptstraße 31</t>
  </si>
  <si>
    <t>48.32921</t>
  </si>
  <si>
    <t>16.36007</t>
  </si>
  <si>
    <t>+43226264141</t>
  </si>
  <si>
    <t>ordination@habertheuer.at</t>
  </si>
  <si>
    <t>https://bilder.dasschnelle.at/DasSchnelle/50/5000/9898/041405/G_041405_P_906083460.adn.gif</t>
  </si>
  <si>
    <t>Johann Schneeberger Gmb, Weingut • Pernitsch • Steiermark</t>
  </si>
  <si>
    <t>Buschenschank, Gastgewerbe - Gasthöfe • Johann Schneeberger Gmb, Pernitsch 31, Pernitsch • Kontakt über aktuelle Telefonnummern ☎ und Adressen ⚑ mit Karte, Routing, Öffnungszeiten, Homepage, E-Mail, vCard und Firmendaten.</t>
  </si>
  <si>
    <t>Pernitsch 31</t>
  </si>
  <si>
    <t>8451</t>
  </si>
  <si>
    <t>Pernitsch</t>
  </si>
  <si>
    <t>46.7794600</t>
  </si>
  <si>
    <t>15.4874900</t>
  </si>
  <si>
    <t>+433452839340</t>
  </si>
  <si>
    <t>office@weingut-schneeberger.at</t>
  </si>
  <si>
    <t>https://bilder.dasschnelle.at/DasSchnelle/50/5000/9904/061363/I_061363_P_906084822_L_0036002954_1.png</t>
  </si>
  <si>
    <t>https://bilder.dasschnelle.at/DasSchnelle/50/5000/9904/061363/I_061363_P_906084822_B_0036002954_1.gal.png?height=521&amp;width=790;https://bilder.dasschnelle.at/DasSchnelle/50/5000/9904/061363/I_061363_P_906084822_B_0036002954_2.gal.png?height=490&amp;width=492;https://bilder.dasschnelle.at/DasSchnelle/50/5000/9904/061363/I_061363_P_906084822_B_0036002954_3.gal.png?height=505&amp;width=777;https://bilder.dasschnelle.at/DasSchnelle/50/5000/9904/061363/I_061363_P_906084822_B_0036002954_4.gal.png?height=526&amp;width=790</t>
  </si>
  <si>
    <t>Absenger, Johann, Versicherungsbüro • Ragnitz • Steiermark</t>
  </si>
  <si>
    <t>Versicherungsunternehmen • Absenger, Johann, Haslach 17, Ragnitz • Kontakt über aktuelle Telefonnummern ☎ und Adressen ⚑ mit Karte, Routing, Öffnungszeiten, Homepage, E-Mail, vCard und Firmendaten.</t>
  </si>
  <si>
    <t>Haslach 17</t>
  </si>
  <si>
    <t>Ragnitz</t>
  </si>
  <si>
    <t>46.8371100</t>
  </si>
  <si>
    <t>15.5934242</t>
  </si>
  <si>
    <t>+436643071393</t>
  </si>
  <si>
    <t>johann.absenger@aon.at</t>
  </si>
  <si>
    <t>https://bilder.dasschnelle.at/DasSchnelle/50/5000/9904/044106/G_044106_P_906084903.adn.gif</t>
  </si>
  <si>
    <t>Stütz, Heribert, Fliesen • Steinfeld • Kärnten</t>
  </si>
  <si>
    <t>Fliesenfachhandel • Stütz, Heribert, Kinogasse 4, Steinfeld • Kontakt über aktuelle Telefonnummern ☎ und Adressen ⚑ mit Karte, Routing, Öffnungszeiten, Homepage, E-Mail, vCard und Firmendaten.</t>
  </si>
  <si>
    <t>Kinogasse 4</t>
  </si>
  <si>
    <t>46.75733</t>
  </si>
  <si>
    <t>13.25104</t>
  </si>
  <si>
    <t>+434717226;+436644220577</t>
  </si>
  <si>
    <t>heribert.stuetz@gmx.at</t>
  </si>
  <si>
    <t>https://bilder.dasschnelle.at/DasSchnelle/50/5000/9933/042155/G_042155_P_906085441.adn.gif</t>
  </si>
  <si>
    <t>Trinkl, Martin, Malereibetriebe • Deutsch Kaltenbrunn • Burgenland</t>
  </si>
  <si>
    <t>Malereibetriebe • Trinkl, Martin, Höhenstraße 56, Deutsch Kaltenbrunn • Kontakt über aktuelle Telefonnummern ☎ und Adressen ⚑ mit Karte, Routing, Öffnungszeiten, Homepage, E-Mail, vCard und Firmendaten.</t>
  </si>
  <si>
    <t>Höhenstraße 56</t>
  </si>
  <si>
    <t>47.07986</t>
  </si>
  <si>
    <t>16.12516</t>
  </si>
  <si>
    <t>+43338271287</t>
  </si>
  <si>
    <t>trinklmartin@gmx.at</t>
  </si>
  <si>
    <t>https://bilder.dasschnelle.at/DasSchnelle/50/5000/9884/041572/G_041572_P_906085446.adn.gif</t>
  </si>
  <si>
    <t>Gutmann Rudolf u. Sohn GmbH &amp; Co KG, Installationsunternehmen • Fürstenfeld • Steiermark</t>
  </si>
  <si>
    <t>Installationsunternehmen • Gutmann Rudolf u. Sohn GmbH &amp; Co KG, Grazer Platz 6, Fürstenfeld • Kontakt über aktuelle Telefonnummern ☎ und Adressen ⚑ mit Karte, Routing, Öffnungszeiten, Homepage, E-Mail, vCard und Firmendaten.</t>
  </si>
  <si>
    <t>Grazer Platz 6</t>
  </si>
  <si>
    <t>47.05217</t>
  </si>
  <si>
    <t>16.07308</t>
  </si>
  <si>
    <t>+433382522540</t>
  </si>
  <si>
    <t>+43338253864</t>
  </si>
  <si>
    <t>office@gutmann.co.at</t>
  </si>
  <si>
    <t>https://bilder.dasschnelle.at/DasSchnelle/50/5000/9884/061368/G_061368_P_906084830.adn.gif</t>
  </si>
  <si>
    <t>Ritzinger, Peter, Dr., FA f Hals, Nasen- u Ohrenkrankheiten • Vöcklabruck • Oberösterreich</t>
  </si>
  <si>
    <t>Ärzte / Fachärzte f. Hals-, Nasen u. Ohrenkrankheiten • Ritzinger, Peter, Dr., Robert Kunz-Straße 11, Vöcklabruck • Kontakt über aktuelle Telefonnummern ☎ und Adressen ⚑ mit Karte, Routing, Öffnungszeiten, Homepage, E-Mail, vCard und Firmendaten.</t>
  </si>
  <si>
    <t>Robert Kunz-Straße 11</t>
  </si>
  <si>
    <t>48.0011</t>
  </si>
  <si>
    <t>13.65033</t>
  </si>
  <si>
    <t>+43767275566</t>
  </si>
  <si>
    <t>hno.ritzinger-peter@aon.at</t>
  </si>
  <si>
    <t>https://bilder.dasschnelle.at/DasSchnelle/50/5000/9940/043555/G_043555_P_906084836.adn.gif</t>
  </si>
  <si>
    <t>Stumvoll, Klaus, Dr.med., FA f Innere Medizin • Schärding • Oberösterreich</t>
  </si>
  <si>
    <t>Ärzte / Fachärzte f. Innere Medizin • Stumvoll, Klaus, Dr.med., Ludwig-Pfliegl-Gasse 29, Schärding • Kontakt über aktuelle Telefonnummern ☎ und Adressen ⚑ mit Karte, Routing, Öffnungszeiten, Homepage, E-Mail, vCard und Firmendaten.</t>
  </si>
  <si>
    <t>Ludwig-Pfliegl-Gasse 29</t>
  </si>
  <si>
    <t>48.4549100</t>
  </si>
  <si>
    <t>13.4315300</t>
  </si>
  <si>
    <t>+4377122630</t>
  </si>
  <si>
    <t>https://bilder.dasschnelle.at/DasSchnelle/50/5000/9926/042797/G_042797_P_906084930.adn.gif</t>
  </si>
  <si>
    <t>Haubner, Thomas, Malerei • Weitra • Niederösterreich</t>
  </si>
  <si>
    <t>Malereibetriebe • Haubner, Thomas, Sulz 3, Weitra • Kontakt über aktuelle Telefonnummern ☎ und Adressen ⚑ mit Karte, Routing, Öffnungszeiten, Homepage, E-Mail, vCard und Firmendaten.</t>
  </si>
  <si>
    <t>Sulz 3</t>
  </si>
  <si>
    <t>48.6542138</t>
  </si>
  <si>
    <t>14.8659937</t>
  </si>
  <si>
    <t>+436645341328</t>
  </si>
  <si>
    <t>haubner.maler@a1.net</t>
  </si>
  <si>
    <t>https://bilder.dasschnelle.at/DasSchnelle/50/5000/9885/045541/G_045541_P_906084935.adn.gif</t>
  </si>
  <si>
    <t>Tischlerei Simon Huttegger, Tischlerei • Hüttschlag • Salzburg</t>
  </si>
  <si>
    <t>Tischlereien • Tischlerei Simon Huttegger, Hüttschlag 147, Hüttschlag • Kontakt über aktuelle Telefonnummern ☎ und Adressen ⚑ mit Karte, Routing, Öffnungszeiten, Homepage, E-Mail, vCard und Firmendaten.</t>
  </si>
  <si>
    <t>Hüttschlag 147</t>
  </si>
  <si>
    <t>5612</t>
  </si>
  <si>
    <t>Hüttschlag</t>
  </si>
  <si>
    <t>47.1599824</t>
  </si>
  <si>
    <t>13.2758834</t>
  </si>
  <si>
    <t>+436417416;+436648978699</t>
  </si>
  <si>
    <t>+43641720274</t>
  </si>
  <si>
    <t>office@der-tischler.info</t>
  </si>
  <si>
    <t>https://bilder.dasschnelle.at/DasSchnelle/50/5000/9919/043346/G_043346_P_906084941.adn.gif</t>
  </si>
  <si>
    <t>Fida &amp; Ableitinger OG, Fliesenverlegung • Gmünd • Niederösterreich</t>
  </si>
  <si>
    <t>Fliesen u. Plattenverlegungen • Fida &amp; Ableitinger OG, Bahnhofstraße 49, Gmünd • Kontakt über aktuelle Telefonnummern ☎ und Adressen ⚑ mit Karte, Routing, Öffnungszeiten, Homepage, E-Mail, vCard und Firmendaten.</t>
  </si>
  <si>
    <t>Bahnhofstraße 49</t>
  </si>
  <si>
    <t>48.7667600</t>
  </si>
  <si>
    <t>14.9860600</t>
  </si>
  <si>
    <t>+43284180042</t>
  </si>
  <si>
    <t>office@meisterfliese.at</t>
  </si>
  <si>
    <t>https://bilder.dasschnelle.at/DasSchnelle/50/5000/9885/044263/G_044263_P_906084945.adn.gif</t>
  </si>
  <si>
    <t>Markus Pleiner, Dachdeckerei • Attersee am Attersee • Oberösterreich</t>
  </si>
  <si>
    <t>Dachdeckereien • Markus Pleiner, Hauptstrasse 15, Attersee am Attersee • Kontakt über aktuelle Telefonnummern ☎ und Adressen ⚑ mit Karte, Routing, Öffnungszeiten, Homepage, E-Mail, vCard und Firmendaten.</t>
  </si>
  <si>
    <t>Hauptstrasse 15</t>
  </si>
  <si>
    <t>47.91593</t>
  </si>
  <si>
    <t>13.5398</t>
  </si>
  <si>
    <t>+4376667522</t>
  </si>
  <si>
    <t>office@pleiner-dach.at</t>
  </si>
  <si>
    <t>https://bilder.dasschnelle.at/DasSchnelle/50/5000/9940/043068/G_043068_P_906085366.adn.gif</t>
  </si>
  <si>
    <t>Hemetsberger Dach GmbH, Spenglerei • Attersee • Oberösterreich</t>
  </si>
  <si>
    <t>Spenglereien • Hemetsberger Dach GmbH, Palmsdorf 21, Attersee • Kontakt über aktuelle Telefonnummern ☎ und Adressen ⚑ mit Karte, Routing, Öffnungszeiten, Homepage, E-Mail, vCard und Firmendaten.</t>
  </si>
  <si>
    <t>Palmsdorf 21</t>
  </si>
  <si>
    <t>Attersee</t>
  </si>
  <si>
    <t>47.9232448</t>
  </si>
  <si>
    <t>13.5131405</t>
  </si>
  <si>
    <t>+436648235983</t>
  </si>
  <si>
    <t>office@hemetsberger-dach.at</t>
  </si>
  <si>
    <t>https://bilder.dasschnelle.at/DasSchnelle/50/5000/9940/043068/I_043068_P_906085371_L_0035970399_1.png</t>
  </si>
  <si>
    <t>https://bilder.dasschnelle.at/DasSchnelle/50/5000/9940/043068/I_043068_P_906085371_B_0035970399_1.gal.png?height=500&amp;width=747;https://bilder.dasschnelle.at/DasSchnelle/50/5000/9940/043068/I_043068_P_906085371_B_0035970399_2.gal.png?height=500&amp;width=747;https://bilder.dasschnelle.at/DasSchnelle/50/5000/9940/043068/I_043068_P_906085371_B_0035970399_3.gal.png?height=470&amp;width=700;https://bilder.dasschnelle.at/DasSchnelle/50/5000/9940/043068/I_043068_P_906085371_B_0035970399_4.gal.png?height=464&amp;width=700</t>
  </si>
  <si>
    <t>Zahnärztliche Gruppenpraxis OG, Zahnarzt • Vöcklabruck • Oberösterreich</t>
  </si>
  <si>
    <t>Ärzte / Zahnärzte • Zahnärztliche Gruppenpraxis OG, Salzburger Straße 13, Vöcklabruck • Kontakt über aktuelle Telefonnummern ☎ und Adressen ⚑ mit Karte, Routing, Öffnungszeiten, Homepage, E-Mail, vCard und Firmendaten.</t>
  </si>
  <si>
    <t>Salzburger Straße 13</t>
  </si>
  <si>
    <t>48.00752</t>
  </si>
  <si>
    <t>13.65149</t>
  </si>
  <si>
    <t>+43767272613</t>
  </si>
  <si>
    <t>forum.schoene.zaehne@aon.at</t>
  </si>
  <si>
    <t>https://bilder.dasschnelle.at/DasSchnelle/50/5000/9940/043555/I_043555_P_906085369_L_0037082200_1.png</t>
  </si>
  <si>
    <t>https://bilder.dasschnelle.at/DasSchnelle/50/5000/9940/043555/I_043555_P_906085369_B_0037082200_1.gal.png?height=637&amp;width=997;https://bilder.dasschnelle.at/DasSchnelle/50/5000/9940/043555/I_043555_P_906085369_B_0037082200_2.gal.png?height=646&amp;width=1078;https://bilder.dasschnelle.at/DasSchnelle/50/5000/9940/043555/I_043555_P_906085369_B_0037082200_3.gal.png?height=641&amp;width=991;https://bilder.dasschnelle.at/DasSchnelle/50/5000/9940/043555/I_043555_P_906085369_B_0037082200_4.gal.png?height=660&amp;width=995</t>
  </si>
  <si>
    <t>Böckl P. Ofenbau u Fliesen GesmbH • St. Georgen im Attergau • Oberösterreich</t>
  </si>
  <si>
    <t>Fliesenfachhandel, Ofenbau • Böckl P. Ofenbau u Fliesen GesmbH, Doblergasse 20, St. Georgen im Attergau • Kontakt über aktuelle Telefonnummern ☎ und Adressen ⚑ mit Karte, Routing, Öffnungszeiten, Homepage, E-Mail, vCard und Firmendaten.</t>
  </si>
  <si>
    <t>Doblergasse 20</t>
  </si>
  <si>
    <t>47.93389</t>
  </si>
  <si>
    <t>13.48028</t>
  </si>
  <si>
    <t>+43766763440</t>
  </si>
  <si>
    <t>office@boeckl.co.at</t>
  </si>
  <si>
    <t>https://bilder.dasschnelle.at/DasSchnelle/50/5000/9940/043100/G_043100_P_906085375.adn.gif</t>
  </si>
  <si>
    <t>Eike + Rosa Oberländer, Gebäudereinigung • Bad Hofgastein • Salzburg</t>
  </si>
  <si>
    <t>Gebäudereinigung, Hausbetreuung • Eike + Rosa Oberländer, Pyrkerstraße 50, Bad Hofgastein • Kontakt über aktuelle Telefonnummern ☎ und Adressen ⚑ mit Karte, Routing, Öffnungszeiten, Homepage, E-Mail, vCard und Firmendaten.</t>
  </si>
  <si>
    <t>Pyrkerstraße 50</t>
  </si>
  <si>
    <t>5630</t>
  </si>
  <si>
    <t>Bad Hofgastein</t>
  </si>
  <si>
    <t>47.16541</t>
  </si>
  <si>
    <t>13.11038</t>
  </si>
  <si>
    <t>+436645224319</t>
  </si>
  <si>
    <t>rosa-eike@aon.at</t>
  </si>
  <si>
    <t>https://bilder.dasschnelle.at/DasSchnelle/50/5000/9919/043335/G_043335_P_906085452.adn.gif</t>
  </si>
  <si>
    <t>Toyota Bauer GmbH, Autohaus • Zwettl • Niederösterreich</t>
  </si>
  <si>
    <t>Autohandel • Toyota Bauer GmbH, Moidrams 52, Zwettl • Kontakt über aktuelle Telefonnummern ☎ und Adressen ⚑ mit Karte, Routing, Öffnungszeiten, Homepage, E-Mail, vCard und Firmendaten.</t>
  </si>
  <si>
    <t>Moidrams 52</t>
  </si>
  <si>
    <t>48.5981132</t>
  </si>
  <si>
    <t>15.1529371</t>
  </si>
  <si>
    <t>+43282252971</t>
  </si>
  <si>
    <t>office@toyota-bauer.at</t>
  </si>
  <si>
    <t>https://bilder.dasschnelle.at/DasSchnelle/50/5000/9950/044545/G_044545_P_906084877.adn.gif</t>
  </si>
  <si>
    <t>Maier, Helmut, Pflaster u Pflasterungen • Dürnfeld • Kärnten</t>
  </si>
  <si>
    <t>Pflaster u. Pflasterungen • Maier, Helmut, Dürnfeld • Kontakt über aktuelle Telefonnummern ☎ und Adressen ⚑ mit Karte, Routing, Öffnungszeiten, Homepage, E-Mail, vCard und Firmendaten.</t>
  </si>
  <si>
    <t>9321</t>
  </si>
  <si>
    <t>Dürnfeld</t>
  </si>
  <si>
    <t>46.8335733</t>
  </si>
  <si>
    <t>14.4438673</t>
  </si>
  <si>
    <t>+43426229153</t>
  </si>
  <si>
    <t>office@pflasterung-maier.at</t>
  </si>
  <si>
    <t>https://bilder.dasschnelle.at/DasSchnelle/50/5000/9925/042118/I_042118_P_906085488_L_0035993734_1.png</t>
  </si>
  <si>
    <t>https://bilder.dasschnelle.at/DasSchnelle/50/5000/9925/042118/I_042118_P_906085488_B_0035993734_1.gal.png?height=546&amp;width=797;https://bilder.dasschnelle.at/DasSchnelle/50/5000/9925/042118/I_042118_P_906085488_B_0035993734_2.gal.png?height=243&amp;width=308;https://bilder.dasschnelle.at/DasSchnelle/50/5000/9925/042118/I_042118_P_906085488_B_0035993734_3.gal.png?height=228&amp;width=310;https://bilder.dasschnelle.at/DasSchnelle/50/5000/9925/042118/I_042118_P_906085488_B_0035993734_4.gal.png?height=375&amp;width=489</t>
  </si>
  <si>
    <t>Steiner Optik GesmbH, Optiker • Gmünd • Niederösterreich</t>
  </si>
  <si>
    <t>Optik • Steiner Optik GesmbH, Bahnhofstraße 63, Gmünd • Kontakt über aktuelle Telefonnummern ☎ und Adressen ⚑ mit Karte, Routing, Öffnungszeiten, Homepage, E-Mail, vCard und Firmendaten.</t>
  </si>
  <si>
    <t>48.7659</t>
  </si>
  <si>
    <t>14.98545</t>
  </si>
  <si>
    <t>+43285252737</t>
  </si>
  <si>
    <t>optik.steiner@gmx.at</t>
  </si>
  <si>
    <t>https://bilder.dasschnelle.at/DasSchnelle/50/5000/9885/045075/G_045075_P_906085518.adn.gif</t>
  </si>
  <si>
    <t>Elektro-Technik Kalsberger GmbH, Christian, Elektro • Kaunertal • Tirol</t>
  </si>
  <si>
    <t>Elektrogeräte u. -bedarf • Elektro-Technik Kalsberger GmbH, Christian, Feichten 156, Kaunertal • Kontakt über aktuelle Telefonnummern ☎ und Adressen ⚑ mit Karte, Routing, Öffnungszeiten, Homepage, E-Mail, vCard und Firmendaten.</t>
  </si>
  <si>
    <t>Feichten 156</t>
  </si>
  <si>
    <t>6524</t>
  </si>
  <si>
    <t>Kaunertal</t>
  </si>
  <si>
    <t>47.07777</t>
  </si>
  <si>
    <t>10.66636</t>
  </si>
  <si>
    <t>+435475355</t>
  </si>
  <si>
    <t>elektro.kalsberger@volt1.eu</t>
  </si>
  <si>
    <t>https://bilder.dasschnelle.at/DasSchnelle/50/5000/9903/044589/G_044589_P_906086130.adn.gif</t>
  </si>
  <si>
    <t>Mayr, Heinz / • Sankt Georgen im Attergau • Oberösterreich</t>
  </si>
  <si>
    <t>Tischlereien • Mayr, Heinz /, Pausingergasse 24, Sankt Georgen im Attergau • Kontakt über aktuelle Telefonnummern ☎ und Adressen ⚑ mit Karte, Routing, Öffnungszeiten, Homepage, E-Mail, vCard und Firmendaten.</t>
  </si>
  <si>
    <t>Pausingergasse 24</t>
  </si>
  <si>
    <t>Sankt Georgen im Attergau</t>
  </si>
  <si>
    <t>47.93753</t>
  </si>
  <si>
    <t>13.49755</t>
  </si>
  <si>
    <t>+4376676097</t>
  </si>
  <si>
    <t>plan.mayr@aon.at</t>
  </si>
  <si>
    <t>https://bilder.dasschnelle.at/DasSchnelle/50/5000/9940/043100/G_043100_P_906086142.adn.gif</t>
  </si>
  <si>
    <t>Aigner A. GmbH  • Waidhofen • Niederösterreich</t>
  </si>
  <si>
    <t>Bestattungsunternehmen • Aigner A. GmbH, Rösselgraben 1, Waidhofen • Kontakt über aktuelle Telefonnummern ☎ und Adressen ⚑ mit Karte, Routing, Öffnungszeiten, Homepage, E-Mail, vCard und Firmendaten.</t>
  </si>
  <si>
    <t>Rösselgraben 1</t>
  </si>
  <si>
    <t>47.9559070</t>
  </si>
  <si>
    <t>14.7691255</t>
  </si>
  <si>
    <t>+437442522960</t>
  </si>
  <si>
    <t>office@bestattung-aigner.at</t>
  </si>
  <si>
    <t>https://bilder.dasschnelle.at/DasSchnelle/50/5000/9866/042059/G_042059_P_906086146.adn.gif</t>
  </si>
  <si>
    <t>Pesendorfer, Christian, Bäckerei • Frankenburg am Hausruck • Oberösterreich</t>
  </si>
  <si>
    <t>Bäckereien, Lebensmittel • Pesendorfer, Christian, Hauptstraße 46, Frankenburg am Hausruck • Kontakt über aktuelle Telefonnummern ☎ und Adressen ⚑ mit Karte, Routing, Öffnungszeiten, Homepage, E-Mail, vCard und Firmendaten.</t>
  </si>
  <si>
    <t>48.06777</t>
  </si>
  <si>
    <t>13.48306</t>
  </si>
  <si>
    <t>+4376837029</t>
  </si>
  <si>
    <t>https://bilder.dasschnelle.at/DasSchnelle/50/5000/9940/043075/G_043075_P_906086252.adn.gif</t>
  </si>
  <si>
    <t>Schwerd, Thomas, Dr., Kieferorthopädie • Vöcklabruck • Oberösterreich</t>
  </si>
  <si>
    <t>Zahnregulierungen u. Kieferorthopädie • Schwerd, Thomas, Dr., Stadtplatz 36, Vöcklabruck • Kontakt über aktuelle Telefonnummern ☎ und Adressen ⚑ mit Karte, Routing, Öffnungszeiten, Homepage, E-Mail, vCard und Firmendaten.</t>
  </si>
  <si>
    <t>Stadtplatz 36</t>
  </si>
  <si>
    <t>48.00779</t>
  </si>
  <si>
    <t>13.65307</t>
  </si>
  <si>
    <t>+43767220413</t>
  </si>
  <si>
    <t>dr.schwerd@icloud.com</t>
  </si>
  <si>
    <t>https://bilder.dasschnelle.at/DasSchnelle/50/5000/9940/043555/I_043555_P_906086915_L_0035999337_1.png</t>
  </si>
  <si>
    <t>https://bilder.dasschnelle.at/DasSchnelle/50/5000/9940/043555/I_043555_P_906086915_B_0035999337_1.gal.png?height=300&amp;width=300;https://bilder.dasschnelle.at/DasSchnelle/50/5000/9940/043555/I_043555_P_906086915_B_0035999337_2.gal.png?height=400&amp;width=400;https://bilder.dasschnelle.at/DasSchnelle/50/5000/9940/043555/I_043555_P_906086915_B_0035999337_3.gal.png?height=400&amp;width=400;https://bilder.dasschnelle.at/DasSchnelle/50/5000/9940/043555/I_043555_P_906086915_B_0035999337_4.gal.png?height=300&amp;width=300</t>
  </si>
  <si>
    <t>Kircher, Peter Paul, Landwirtschaftliche Maschinen • Neukirchen an der Vöckla • Oberösterreich</t>
  </si>
  <si>
    <t>Abfallentsorgung u. -verwertung, Landwirtschaftliche Maschinen u. Geräte • Kircher, Peter Paul, Biber 21, Neukirchen an der Vöckla • Kontakt über aktuelle Telefonnummern ☎ und Adressen ⚑ mit Karte, Routing, Öffnungszeiten, Homepage, E-Mail, vCard und Firmendaten.</t>
  </si>
  <si>
    <t>Biber 21</t>
  </si>
  <si>
    <t>4872</t>
  </si>
  <si>
    <t>Neukirchen an der Vöckla</t>
  </si>
  <si>
    <t>48.0259950</t>
  </si>
  <si>
    <t>13.5298709</t>
  </si>
  <si>
    <t>+4376823770;+436765922890</t>
  </si>
  <si>
    <t>+437682377030</t>
  </si>
  <si>
    <t>info@peter-kircher.at</t>
  </si>
  <si>
    <t>https://bilder.dasschnelle.at/DasSchnelle/50/5000/9940/043082/G_043082_P_906086916.adn.gif</t>
  </si>
  <si>
    <t>Holzbau Wanzenböck GmbH • Absdorf • Niederösterreich</t>
  </si>
  <si>
    <t>Säge- u. Hobelwerke • Holzbau Wanzenböck GmbH, Hans-Doppelreiter-Straße 5, Absdorf • Kontakt über aktuelle Telefonnummern ☎ und Adressen ⚑ mit Karte, Routing, Öffnungszeiten, Homepage, E-Mail, vCard und Firmendaten.</t>
  </si>
  <si>
    <t>Hans-Doppelreiter-Straße 5</t>
  </si>
  <si>
    <t>3462</t>
  </si>
  <si>
    <t>Absdorf</t>
  </si>
  <si>
    <t>48.40338</t>
  </si>
  <si>
    <t>15.98022</t>
  </si>
  <si>
    <t>+43227822900</t>
  </si>
  <si>
    <t>info@holzbau-wanzenboeck.at</t>
  </si>
  <si>
    <t>https://bilder.dasschnelle.at/DasSchnelle/50/5000/9938/041940/I_041940_P_906337488_L_0036208439_1.png</t>
  </si>
  <si>
    <t>https://bilder.dasschnelle.at/DasSchnelle/50/5000/9938/041940/I_041940_P_906337488_B_0036208439_1.gal.png?height=350&amp;width=700;https://bilder.dasschnelle.at/DasSchnelle/50/5000/9938/041940/I_041940_P_906337488_B_0036208439_2.gal.png?height=353&amp;width=700;https://bilder.dasschnelle.at/DasSchnelle/50/5000/9938/041940/I_041940_P_906337488_B_0036208439_3.gal.png?height=350&amp;width=700;https://bilder.dasschnelle.at/DasSchnelle/50/5000/9938/041940/I_041940_P_906337488_B_0036208439_4.gal.png?height=360&amp;width=720;https://bilder.dasschnelle.at/DasSchnelle/50/5000/9938/041940/G_041940_P_906337488.adn.gif</t>
  </si>
  <si>
    <t>SUNSYSTEMS Sonnenschutztechnik GmbH • Klosterneuburg • Niederösterreich</t>
  </si>
  <si>
    <t>Sonnenschutzanlagen • SUNSYSTEMS Sonnenschutztechnik GmbH, Inkustraße 1 -7, Klosterneuburg • Kontakt über aktuelle Telefonnummern ☎ und Adressen ⚑ mit Karte, Routing, Öffnungszeiten, Homepage, E-Mail, vCard und Firmendaten.</t>
  </si>
  <si>
    <t>Inkustraße 1 -7</t>
  </si>
  <si>
    <t>48.2924765</t>
  </si>
  <si>
    <t>16.3408861</t>
  </si>
  <si>
    <t>+43224337770</t>
  </si>
  <si>
    <t>office@sunsystems.at</t>
  </si>
  <si>
    <t>https://bilder.dasschnelle.at/DasSchnelle/50/5000/9897/061492/I_061492_P_906087005_L_0035994560_1.png</t>
  </si>
  <si>
    <t>https://bilder.dasschnelle.at/DasSchnelle/50/5000/9897/061492/I_061492_P_906087005_B_0035994560_1.gal.png?height=225&amp;width=400;https://bilder.dasschnelle.at/DasSchnelle/50/5000/9897/061492/I_061492_P_906087005_B_0035994560_2.gal.png?height=300&amp;width=400;https://bilder.dasschnelle.at/DasSchnelle/50/5000/9897/061492/I_061492_P_906087005_B_0035994560_3.gal.png?height=300&amp;width=400;https://bilder.dasschnelle.at/DasSchnelle/50/5000/9897/061492/I_061492_P_906087005_B_0035994560_4.gal.png?height=300&amp;width=400</t>
  </si>
  <si>
    <t>Schmiedt, Robert, Installationen • Klosterneuburg • Niederösterreich</t>
  </si>
  <si>
    <t>Installationsunternehmen • Schmiedt, Robert, Aufeldgasse 15 A, Klosterneuburg • Kontakt über aktuelle Telefonnummern ☎ und Adressen ⚑ mit Karte, Routing, Öffnungszeiten, Homepage, E-Mail, vCard und Firmendaten.</t>
  </si>
  <si>
    <t>Aufeldgasse 15 A</t>
  </si>
  <si>
    <t>48.2981956</t>
  </si>
  <si>
    <t>16.3348674</t>
  </si>
  <si>
    <t>+43224332440</t>
  </si>
  <si>
    <t>installateur-schmiedt@aon.at</t>
  </si>
  <si>
    <t>https://bilder.dasschnelle.at/DasSchnelle/50/5000/9897/061492/G_061492_P_906087010.adn.gif</t>
  </si>
  <si>
    <t>Binder, Lukas, Mag., Notar • Vöcklabruck • Oberösterreich</t>
  </si>
  <si>
    <t>Notare • Binder, Lukas, Mag., Stadtplatz 31 -33, Vöcklabruck • Kontakt über aktuelle Telefonnummern ☎ und Adressen ⚑ mit Karte, Routing, Öffnungszeiten, Homepage, E-Mail, vCard und Firmendaten.</t>
  </si>
  <si>
    <t>Stadtplatz 31 -33</t>
  </si>
  <si>
    <t>48.007677</t>
  </si>
  <si>
    <t>13.6541697</t>
  </si>
  <si>
    <t>+43767220975</t>
  </si>
  <si>
    <t>office@notarbinder.at</t>
  </si>
  <si>
    <t>https://bilder.dasschnelle.at/DasSchnelle/50/5000/9940/043555/G_043555_P_906087473.adn.gif</t>
  </si>
  <si>
    <t>Bestattung TEMPORA, 24-Stunden-Soforthilfe • Amstetten • Niederösterreich</t>
  </si>
  <si>
    <t>Bestattungsunternehmen • Bestattung TEMPORA, Ybbsstraße 1, Amstetten • Kontakt über aktuelle Telefonnummern ☎ und Adressen ⚑ mit Karte, Routing, Öffnungszeiten, Homepage, E-Mail, vCard und Firmendaten.</t>
  </si>
  <si>
    <t>Ybbsstraße 1</t>
  </si>
  <si>
    <t>48.12066</t>
  </si>
  <si>
    <t>14.87066</t>
  </si>
  <si>
    <t>+4367688609777</t>
  </si>
  <si>
    <t>verkauf@stadtwerke.amstetten.at</t>
  </si>
  <si>
    <t>https://bilder.dasschnelle.at/DasSchnelle/50/5000/9866/042062/G_042062_P_906087110.adn.gif</t>
  </si>
  <si>
    <t>Hotel Sonnenhof, Hotel • Gmünd • Niederösterreich</t>
  </si>
  <si>
    <t>Hotels • Hotel Sonnenhof, Saaß 19, Gmünd • Kontakt über aktuelle Telefonnummern ☎ und Adressen ⚑ mit Karte, Routing, Öffnungszeiten, Homepage, E-Mail, vCard und Firmendaten.</t>
  </si>
  <si>
    <t>Saaß 19</t>
  </si>
  <si>
    <t>48.9782793</t>
  </si>
  <si>
    <t>15.0647458</t>
  </si>
  <si>
    <t>+43286526768</t>
  </si>
  <si>
    <t>info.sonnenhoflitschau@gmail.com</t>
  </si>
  <si>
    <t>https://bilder.dasschnelle.at/DasSchnelle/50/5000/9885/045085/G_045085_P_906087557.adn.gif</t>
  </si>
  <si>
    <t>Holiczky, Karin, Fußpflege • Klosterneuburg • Niederösterreich</t>
  </si>
  <si>
    <t>Fußpflege • Holiczky, Karin, Weidlinger Straße 2 /1, Klosterneuburg • Kontakt über aktuelle Telefonnummern ☎ und Adressen ⚑ mit Karte, Routing, Öffnungszeiten, Homepage, E-Mail, vCard und Firmendaten.</t>
  </si>
  <si>
    <t>Weidlinger Straße 2 /1</t>
  </si>
  <si>
    <t>48.29717</t>
  </si>
  <si>
    <t>16.33374</t>
  </si>
  <si>
    <t>+436767534482</t>
  </si>
  <si>
    <t>office@studio-holiczky.at</t>
  </si>
  <si>
    <t>https://bilder.dasschnelle.at/DasSchnelle/50/5000/9897/061492/G_061492_P_906087564.adn.gif</t>
  </si>
  <si>
    <t>Pachinger Transporte • Freistadt • Oberösterreich</t>
  </si>
  <si>
    <t>Transportunternehmen • Pachinger Transporte, Eichenstraße 28, Freistadt • Kontakt über aktuelle Telefonnummern ☎ und Adressen ⚑ mit Karte, Routing, Öffnungszeiten, Homepage, E-Mail, vCard und Firmendaten.</t>
  </si>
  <si>
    <t>Eichenstraße 28</t>
  </si>
  <si>
    <t>48.5153900</t>
  </si>
  <si>
    <t>14.4906900</t>
  </si>
  <si>
    <t>+436641335611</t>
  </si>
  <si>
    <t>g.pachinger@epnet.at</t>
  </si>
  <si>
    <t>https://bilder.dasschnelle.at/DasSchnelle/50/5000/9882/044815/I_044815_P_906086226_L_0037531687_1.png</t>
  </si>
  <si>
    <t>https://bilder.dasschnelle.at/DasSchnelle/50/5000/9882/044815/I_044815_P_906086226_B_0037531687_1.gal.png?height=341&amp;width=645;https://bilder.dasschnelle.at/DasSchnelle/50/5000/9882/044815/I_044815_P_906086226_B_0037531687_2.gal.png?height=277&amp;width=613</t>
  </si>
  <si>
    <t>Freismuth, Oliver, Transportunternehmen • Rudersdorf • Burgenland</t>
  </si>
  <si>
    <t>Transportunternehmen • Freismuth, Oliver, Hintergasse 26, Rudersdorf • Kontakt über aktuelle Telefonnummern ☎ und Adressen ⚑ mit Karte, Routing, Öffnungszeiten, Homepage, E-Mail, vCard und Firmendaten.</t>
  </si>
  <si>
    <t>Hintergasse 26</t>
  </si>
  <si>
    <t>47.05059</t>
  </si>
  <si>
    <t>16.12156</t>
  </si>
  <si>
    <t>+43338271665</t>
  </si>
  <si>
    <t>office@freismuth.at</t>
  </si>
  <si>
    <t>https://bilder.dasschnelle.at/DasSchnelle/50/5000/9884/041579/I_041579_P_906086230_L_0036003046_1.png</t>
  </si>
  <si>
    <t>https://bilder.dasschnelle.at/DasSchnelle/50/5000/9884/041579/I_041579_P_906086230_B_0036003046_1.gal.png?height=350&amp;width=960;https://bilder.dasschnelle.at/DasSchnelle/50/5000/9884/041579/I_041579_P_906086230_B_0036003046_2.gal.png?height=350&amp;width=960;https://bilder.dasschnelle.at/DasSchnelle/50/5000/9884/041579/I_041579_P_906086230_B_0036003046_3.gal.png?height=350&amp;width=960;https://bilder.dasschnelle.at/DasSchnelle/50/5000/9884/041579/G_041579_P_906086230.adn.gif</t>
  </si>
  <si>
    <t>Zum Edi e.U., Landgasthaus • Gutau • Oberösterreich</t>
  </si>
  <si>
    <t>Brauereien, Getränkehandel • Zum Edi e.U., Sankt Oswalderstraße 3, Gutau • Kontakt über aktuelle Telefonnummern ☎ und Adressen ⚑ mit Karte, Routing, Öffnungszeiten, Homepage, E-Mail, vCard und Firmendaten.</t>
  </si>
  <si>
    <t>Sankt Oswalderstraße 3</t>
  </si>
  <si>
    <t>48.41958</t>
  </si>
  <si>
    <t>14.61416</t>
  </si>
  <si>
    <t>+4379466302</t>
  </si>
  <si>
    <t>zum-edi@aon.at</t>
  </si>
  <si>
    <t>https://bilder.dasschnelle.at/DasSchnelle/50/5000/9882/044817/G_044817_P_906086953.adn.gif</t>
  </si>
  <si>
    <t>HS Malerei - Harald Spörk • Söchau • Steiermark</t>
  </si>
  <si>
    <t>Malereibetriebe • HS Malerei - Harald Spörk, Söchau 212 /6, Söchau • Kontakt über aktuelle Telefonnummern ☎ und Adressen ⚑ mit Karte, Routing, Öffnungszeiten, Homepage, E-Mail, vCard und Firmendaten.</t>
  </si>
  <si>
    <t>Söchau 212 /6</t>
  </si>
  <si>
    <t>8362</t>
  </si>
  <si>
    <t>Söchau</t>
  </si>
  <si>
    <t>47.0356000</t>
  </si>
  <si>
    <t>16.0167300</t>
  </si>
  <si>
    <t>+436603113514</t>
  </si>
  <si>
    <t>harald.spoerk@a1.net</t>
  </si>
  <si>
    <t>https://bilder.dasschnelle.at/DasSchnelle/50/5000/9884/046172/I_046172_P_906086957_L_0038461625_1.png</t>
  </si>
  <si>
    <t>https://bilder.dasschnelle.at/DasSchnelle/50/5000/9884/046172/I_046172_P_906086957_B_0038461625_1.gal.png?height=600&amp;width=479;https://bilder.dasschnelle.at/DasSchnelle/50/5000/9884/046172/I_046172_P_906086957_B_0038461625_2.gal.png?height=600&amp;width=363;https://bilder.dasschnelle.at/DasSchnelle/50/5000/9884/046172/I_046172_P_906086957_B_0038461625_3.gal.png?height=600&amp;width=355;https://bilder.dasschnelle.at/DasSchnelle/50/5000/9884/046172/I_046172_P_906086957_B_0038461625_4.gal.png?height=600&amp;width=355</t>
  </si>
  <si>
    <t>Rossmann, Walter, Gartengestaltung • Spittal • Kärnten</t>
  </si>
  <si>
    <t>Garten- u. Landschaftsgestaltung • Rossmann, Walter, Oberdorfer Straße 7, Spittal • Kontakt über aktuelle Telefonnummern ☎ und Adressen ⚑ mit Karte, Routing, Öffnungszeiten, Homepage, E-Mail, vCard und Firmendaten.</t>
  </si>
  <si>
    <t>Oberdorfer Straße 7</t>
  </si>
  <si>
    <t>46.8053203</t>
  </si>
  <si>
    <t>13.4841398</t>
  </si>
  <si>
    <t>+43476236266;+436763401244</t>
  </si>
  <si>
    <t>buero.maulwurf@gmail.com</t>
  </si>
  <si>
    <t>https://bilder.dasschnelle.at/DasSchnelle/50/5000/9933/042153/G_042153_P_906087500.adn.gif</t>
  </si>
  <si>
    <t>Breneis, Michael, Kraftfahrzeugtechniker • Mondsee • Oberösterreich</t>
  </si>
  <si>
    <t>Farben u. Lacke • Breneis, Michael, Herzog Odilo-Straße 112, Mondsee • Kontakt über aktuelle Telefonnummern ☎ und Adressen ⚑ mit Karte, Routing, Öffnungszeiten, Homepage, E-Mail, vCard und Firmendaten.</t>
  </si>
  <si>
    <t>Herzog Odilo-Straße 112</t>
  </si>
  <si>
    <t>47.86599</t>
  </si>
  <si>
    <t>13.33012</t>
  </si>
  <si>
    <t>+4362322484</t>
  </si>
  <si>
    <t>+43623224844</t>
  </si>
  <si>
    <t>office@kfz-breneis.at</t>
  </si>
  <si>
    <t>https://bilder.dasschnelle.at/DasSchnelle/50/5000/9909/043081/G_043081_P_906086942.adn.gif</t>
  </si>
  <si>
    <t>Tauern Apotheke Mag. pharm. Barbara Christen KG, Apotheke • Spittal • Kärnten</t>
  </si>
  <si>
    <t>Apotheken • Tauern Apotheke Mag. pharm. Barbara Christen KG, Villacher Straße 136, Spittal • Kontakt über aktuelle Telefonnummern ☎ und Adressen ⚑ mit Karte, Routing, Öffnungszeiten, Homepage, E-Mail, vCard und Firmendaten.</t>
  </si>
  <si>
    <t>Villacher Straße 136</t>
  </si>
  <si>
    <t>46.7862295</t>
  </si>
  <si>
    <t>13.5213695</t>
  </si>
  <si>
    <t>+43476236188</t>
  </si>
  <si>
    <t>office@tauern-apotheke.or.at</t>
  </si>
  <si>
    <t>https://bilder.dasschnelle.at/DasSchnelle/50/5000/9933/042153/G_042153_P_906087028.adn.gif</t>
  </si>
  <si>
    <t>Hewig, Ernst, Dr., Rechtsanwaltskanzlei • Korneuburg • Niederösterreich</t>
  </si>
  <si>
    <t>Rechtsanwälte • Hewig, Ernst, Dr., Hauptplatz 32, Korneuburg • Kontakt über aktuelle Telefonnummern ☎ und Adressen ⚑ mit Karte, Routing, Öffnungszeiten, Homepage, E-Mail, vCard und Firmendaten.</t>
  </si>
  <si>
    <t>Hauptplatz 32</t>
  </si>
  <si>
    <t>48.3446603</t>
  </si>
  <si>
    <t>16.3328972</t>
  </si>
  <si>
    <t>+43226272317</t>
  </si>
  <si>
    <t>lawoffice@mack-ernst.at</t>
  </si>
  <si>
    <t>https://bilder.dasschnelle.at/DasSchnelle/50/5000/9898/998285/G_998285_P_906087030.adn.gif</t>
  </si>
  <si>
    <t>Bestattung Zwölfer • Liebenau • Oberösterreich</t>
  </si>
  <si>
    <t>Bestattungsunternehmen, Leichenbestattung • Bestattung Zwölfer, Liebenau 36, Liebenau • Kontakt über aktuelle Telefonnummern ☎ und Adressen ⚑ mit Karte, Routing, Öffnungszeiten, Homepage, E-Mail, vCard und Firmendaten.</t>
  </si>
  <si>
    <t>Liebenau 36</t>
  </si>
  <si>
    <t>4252</t>
  </si>
  <si>
    <t>Liebenau</t>
  </si>
  <si>
    <t>48.5322447</t>
  </si>
  <si>
    <t>14.8096526</t>
  </si>
  <si>
    <t>+437953236</t>
  </si>
  <si>
    <t>c.zwoelfer@aon.at</t>
  </si>
  <si>
    <t>https://bilder.dasschnelle.at/DasSchnelle/50/5000/9882/041771/G_041771_P_906088145.adn.gif</t>
  </si>
  <si>
    <t>Rachbauer, Gerlinde, Dr., RA • Schärding • Oberösterreich</t>
  </si>
  <si>
    <t>Rechtsanwälte • Rachbauer, Gerlinde, Dr., Burggraben 6, Schärding • Kontakt über aktuelle Telefonnummern ☎ und Adressen ⚑ mit Karte, Routing, Öffnungszeiten, Homepage, E-Mail, vCard und Firmendaten.</t>
  </si>
  <si>
    <t>Burggraben 6</t>
  </si>
  <si>
    <t>48.45801</t>
  </si>
  <si>
    <t>13.42899</t>
  </si>
  <si>
    <t>+4377122746</t>
  </si>
  <si>
    <t>office@ra-rachbauer.at</t>
  </si>
  <si>
    <t>https://bilder.dasschnelle.at/DasSchnelle/50/5000/9926/042797/G_042797_P_906088205.adn.gif</t>
  </si>
  <si>
    <t>Dachprofi GmbH, Dachdeckerei - Spenglerei • Fürstenfeld • Steiermark</t>
  </si>
  <si>
    <t>Dachdeckereien • Dachprofi GmbH, Flurstraße 63, Fürstenfeld • Kontakt über aktuelle Telefonnummern ☎ und Adressen ⚑ mit Karte, Routing, Öffnungszeiten, Homepage, E-Mail, vCard und Firmendaten.</t>
  </si>
  <si>
    <t>Flurstraße 63</t>
  </si>
  <si>
    <t>47.04065</t>
  </si>
  <si>
    <t>16.10447</t>
  </si>
  <si>
    <t>+43338255677</t>
  </si>
  <si>
    <t>office@dachprofi.co.at</t>
  </si>
  <si>
    <t>https://bilder.dasschnelle.at/DasSchnelle/50/5000/9884/061368/I_061368_P_906088207_L_0036002980_1.png</t>
  </si>
  <si>
    <t>https://bilder.dasschnelle.at/DasSchnelle/50/5000/9884/061368/I_061368_P_906088207_B_0036002980_1.gal.png?height=372&amp;width=372;https://bilder.dasschnelle.at/DasSchnelle/50/5000/9884/061368/I_061368_P_906088207_B_0036002980_2.gal.png?height=372&amp;width=372;https://bilder.dasschnelle.at/DasSchnelle/50/5000/9884/061368/I_061368_P_906088207_B_0036002980_3.gal.png?height=372&amp;width=372;https://bilder.dasschnelle.at/DasSchnelle/50/5000/9884/061368/I_061368_P_906088207_B_0036002980_4.gal.png?height=372&amp;width=372</t>
  </si>
  <si>
    <t>Dallinger, Bernhard, Dr., FA für Urologie und Andrologie • Schärding • Oberösterreich</t>
  </si>
  <si>
    <t>Ärzte / Fachärzte f. Urologie • Dallinger, Bernhard, Dr., Am Weberspitz 7, Schärding • Kontakt über aktuelle Telefonnummern ☎ und Adressen ⚑ mit Karte, Routing, Öffnungszeiten, Homepage, E-Mail, vCard und Firmendaten.</t>
  </si>
  <si>
    <t>Am Weberspitz 7</t>
  </si>
  <si>
    <t>48.44456</t>
  </si>
  <si>
    <t>13.44599</t>
  </si>
  <si>
    <t>+43771260092</t>
  </si>
  <si>
    <t>https://bilder.dasschnelle.at/DasSchnelle/50/5000/9926/042797/G_042797_P_906088209.adn.gif</t>
  </si>
  <si>
    <t>Fischbacher, Michael, Fliesen • Flachau • Salzburg</t>
  </si>
  <si>
    <t>Fliesen u. Plattenverlegungen • Fischbacher, Michael, Flachauer Straße 79, Flachau • Kontakt über aktuelle Telefonnummern ☎ und Adressen ⚑ mit Karte, Routing, Öffnungszeiten, Homepage, E-Mail, vCard und Firmendaten.</t>
  </si>
  <si>
    <t>Flachauer Straße 79</t>
  </si>
  <si>
    <t>47.35718</t>
  </si>
  <si>
    <t>13.39019</t>
  </si>
  <si>
    <t>+4366475016593</t>
  </si>
  <si>
    <t>info@fm-fliesen.at</t>
  </si>
  <si>
    <t>https://bilder.dasschnelle.at/DasSchnelle/50/5000/9919/043341/G_043341_P_906088220.adn.gif</t>
  </si>
  <si>
    <t>Leopold Lunzer GesmbH, Glaser • Waidhofen/Thaya • Niederösterreich</t>
  </si>
  <si>
    <t>Glasereien • Leopold Lunzer GesmbH, Öamtcstraße 7, Waidhofen/Thaya • Kontakt über aktuelle Telefonnummern ☎ und Adressen ⚑ mit Karte, Routing, Öffnungszeiten, Homepage, E-Mail, vCard und Firmendaten.</t>
  </si>
  <si>
    <t>Öamtcstraße 7</t>
  </si>
  <si>
    <t>48.80755</t>
  </si>
  <si>
    <t>15.30227</t>
  </si>
  <si>
    <t>+43284220099;+436604711230</t>
  </si>
  <si>
    <t>https://bilder.dasschnelle.at/DasSchnelle/50/5000/9893/041392/I_041392_P_906088223_L_0037345478_1.png</t>
  </si>
  <si>
    <t>https://bilder.dasschnelle.at/DasSchnelle/50/5000/9893/041392/I_041392_P_906088223_B_0037345478_1.gal.png?height=416&amp;width=624;https://bilder.dasschnelle.at/DasSchnelle/50/5000/9893/041392/I_041392_P_906088223_B_0037345478_2.gal.png?height=416&amp;width=624;https://bilder.dasschnelle.at/DasSchnelle/50/5000/9893/041392/I_041392_P_906088223_B_0037345478_3.gal.png?height=321&amp;width=624;https://bilder.dasschnelle.at/DasSchnelle/50/5000/9893/041392/I_041392_P_906088223_B_0037345478_4.gal.png?height=325&amp;width=624</t>
  </si>
  <si>
    <t>Glas Lunzer • Waidhofen/Thaya • Niederösterreich</t>
  </si>
  <si>
    <t>Glasereien • Glas Lunzer, Öamtcstraße 7, Waidhofen/Thaya • Kontakt über aktuelle Telefonnummern ☎ und Adressen ⚑ mit Karte, Routing, Öffnungszeiten, Homepage, E-Mail, vCard und Firmendaten.</t>
  </si>
  <si>
    <t>https://bilder.dasschnelle.at/DasSchnelle/50/5000/9885/044264/I_044264_P_906088252_L_0037345478_1.png</t>
  </si>
  <si>
    <t>https://bilder.dasschnelle.at/DasSchnelle/50/5000/9885/044264/I_044264_P_906088252_B_0037345478_1.gal.png?height=416&amp;width=624;https://bilder.dasschnelle.at/DasSchnelle/50/5000/9885/044264/I_044264_P_906088252_B_0037345478_2.gal.png?height=416&amp;width=624;https://bilder.dasschnelle.at/DasSchnelle/50/5000/9885/044264/I_044264_P_906088252_B_0037345478_3.gal.png?height=321&amp;width=624;https://bilder.dasschnelle.at/DasSchnelle/50/5000/9885/044264/I_044264_P_906088252_B_0037345478_4.gal.png?height=325&amp;width=624</t>
  </si>
  <si>
    <t>Grünwald Innenausbau OEG, Robert • Eben im Pongau • Salzburg</t>
  </si>
  <si>
    <t>Innenausbau, Tischlereien • Grünwald Innenausbau OEG, Schattbach 60, Eben im Pongau • Kontakt über aktuelle Telefonnummern ☎ und Adressen ⚑ mit Karte, Routing, Öffnungszeiten, Homepage, E-Mail, vCard und Firmendaten.</t>
  </si>
  <si>
    <t>Schattbach 60</t>
  </si>
  <si>
    <t>5531</t>
  </si>
  <si>
    <t>Eben im Pongau</t>
  </si>
  <si>
    <t>47.4281047</t>
  </si>
  <si>
    <t>13.4291295</t>
  </si>
  <si>
    <t>+436641008428</t>
  </si>
  <si>
    <t>office@innenausbau-gruenwald.at</t>
  </si>
  <si>
    <t>https://bilder.dasschnelle.at/DasSchnelle/50/5000/9919/043339/G_043339_P_906089119.adn.gif</t>
  </si>
  <si>
    <t>Hatzl, Dagmar, Karosseriebau • Feldkirchen • Kärnten</t>
  </si>
  <si>
    <t>Karosseriebau • Hatzl, Dagmar, Untere Tiebelgasse 5, Feldkirchen • Kontakt über aktuelle Telefonnummern ☎ und Adressen ⚑ mit Karte, Routing, Öffnungszeiten, Homepage, E-Mail, vCard und Firmendaten.</t>
  </si>
  <si>
    <t>Untere Tiebelgasse 5</t>
  </si>
  <si>
    <t>46.7242318</t>
  </si>
  <si>
    <t>14.0958834</t>
  </si>
  <si>
    <t>+4342762444</t>
  </si>
  <si>
    <t>karosserie-jalen@aon.at</t>
  </si>
  <si>
    <t>GESUNDHEITSHAUS Schardenberg, Praxis f Physiotherapie • Schardenberg • Oberösterreich</t>
  </si>
  <si>
    <t>Physiotherapie • GESUNDHEITSHAUS Schardenberg, Ernst-Degn-Weg 10, Schardenberg • Kontakt über aktuelle Telefonnummern ☎ und Adressen ⚑ mit Karte, Routing, Öffnungszeiten, Homepage, E-Mail, vCard und Firmendaten.</t>
  </si>
  <si>
    <t>Ernst-Degn-Weg 10</t>
  </si>
  <si>
    <t>48.5180600</t>
  </si>
  <si>
    <t>13.4978400</t>
  </si>
  <si>
    <t>+43771320681</t>
  </si>
  <si>
    <t>info@gesundheitshaus-schardenberg.at</t>
  </si>
  <si>
    <t>https://bilder.dasschnelle.at/DasSchnelle/50/5000/9926/042798/G_042798_P_906089033.adn.gif</t>
  </si>
  <si>
    <t>Die Brille - Optik Pießnegger, Optiker • Weitra • Niederösterreich</t>
  </si>
  <si>
    <t>Optik • Die Brille - Optik Pießnegger, Rathausplatz 53, Weitra • Kontakt über aktuelle Telefonnummern ☎ und Adressen ⚑ mit Karte, Routing, Öffnungszeiten, Homepage, E-Mail, vCard und Firmendaten.</t>
  </si>
  <si>
    <t>Rathausplatz 53</t>
  </si>
  <si>
    <t>48.60539</t>
  </si>
  <si>
    <t>15.16581</t>
  </si>
  <si>
    <t>+43285630001</t>
  </si>
  <si>
    <t>optikp@diebrille.info</t>
  </si>
  <si>
    <t>https://bilder.dasschnelle.at/DasSchnelle/50/5000/9885/045075/G_045075_P_906089037.adn.gif</t>
  </si>
  <si>
    <t>Schlosser GmbH, Seat-Vertragshändler • Raab • Oberösterreich</t>
  </si>
  <si>
    <t>Autohandel • Schlosser GmbH, Hauptstraße 46, Raab • Kontakt über aktuelle Telefonnummern ☎ und Adressen ⚑ mit Karte, Routing, Öffnungszeiten, Homepage, E-Mail, vCard und Firmendaten.</t>
  </si>
  <si>
    <t>48.35293</t>
  </si>
  <si>
    <t>13.63808</t>
  </si>
  <si>
    <t>+4377623480</t>
  </si>
  <si>
    <t>+43776242710</t>
  </si>
  <si>
    <t>autoschlosser@gmx.at</t>
  </si>
  <si>
    <t>https://bilder.dasschnelle.at/DasSchnelle/50/5000/9926/042789/G_042789_P_906088277.adn.gif</t>
  </si>
  <si>
    <t>Barmherzige Brüder, Pflegen Betreuen Wohnen • Kritzendorf • Niederösterreich</t>
  </si>
  <si>
    <t>Pflege- u. Altenheime • Barmherzige Brüder, Hauptstraße 20, Kritzendorf • Kontakt über aktuelle Telefonnummern ☎ und Adressen ⚑ mit Karte, Routing, Öffnungszeiten, Homepage, E-Mail, vCard und Firmendaten.</t>
  </si>
  <si>
    <t>Hauptstraße 20</t>
  </si>
  <si>
    <t>3420</t>
  </si>
  <si>
    <t>Kritzendorf</t>
  </si>
  <si>
    <t>48.3119123</t>
  </si>
  <si>
    <t>16.3219857</t>
  </si>
  <si>
    <t>+432243460</t>
  </si>
  <si>
    <t>karin.schmidt@bbkritz.at</t>
  </si>
  <si>
    <t>https://bilder.dasschnelle.at/DasSchnelle/50/5000/9897/061492/G_061492_P_906089013.adn.gif</t>
  </si>
  <si>
    <t>BICHL &amp; ETZL GesmbH, Tankstelle • Raab • Oberösterreich</t>
  </si>
  <si>
    <t>Autoreparaturen, Gastronomiebetriebe, Tankstellen, Versandhandel • BICHL &amp; ETZL GesmbH, Brünning 37, Raab • Kontakt über aktuelle Telefonnummern ☎ und Adressen ⚑ mit Karte, Routing, Öffnungszeiten, Homepage, E-Mail, vCard und Firmendaten.</t>
  </si>
  <si>
    <t>Brünning 37</t>
  </si>
  <si>
    <t>48.3505307</t>
  </si>
  <si>
    <t>13.6357293</t>
  </si>
  <si>
    <t>+43776239940</t>
  </si>
  <si>
    <t>office@bichl-etzl.at</t>
  </si>
  <si>
    <t>https://bilder.dasschnelle.at/DasSchnelle/50/5000/9926/042789/G_042789_P_906089015.adn.gif</t>
  </si>
  <si>
    <t>Blumen Mayer, Katharina, Florist • Andorf • Oberösterreich</t>
  </si>
  <si>
    <t>Blumenhandel • Blumen Mayer, Katharina, Hauptstraße 48, Andorf • Kontakt über aktuelle Telefonnummern ☎ und Adressen ⚑ mit Karte, Routing, Öffnungszeiten, Homepage, E-Mail, vCard und Firmendaten.</t>
  </si>
  <si>
    <t>4770</t>
  </si>
  <si>
    <t>Andorf</t>
  </si>
  <si>
    <t>48.36957</t>
  </si>
  <si>
    <t>13.5702</t>
  </si>
  <si>
    <t>+4377662277</t>
  </si>
  <si>
    <t>info@blumenmayer.at</t>
  </si>
  <si>
    <t>https://bilder.dasschnelle.at/DasSchnelle/50/5000/9926/042303/G_042303_P_906089017.adn.gif</t>
  </si>
  <si>
    <t>Karlinger Elektro • Schwertberg • Oberösterreich</t>
  </si>
  <si>
    <t>Elektro • Karlinger Elektro, Winden 24, Schwertberg • Kontakt über aktuelle Telefonnummern ☎ und Adressen ⚑ mit Karte, Routing, Öffnungszeiten, Homepage, E-Mail, vCard und Firmendaten.</t>
  </si>
  <si>
    <t>Winden 24</t>
  </si>
  <si>
    <t>48.2853200</t>
  </si>
  <si>
    <t>14.5927500</t>
  </si>
  <si>
    <t>+4369911198494</t>
  </si>
  <si>
    <t>office@elektro-karlinger.at</t>
  </si>
  <si>
    <t>https://bilder.dasschnelle.at/DasSchnelle/50/5000/9916/042536/G_042536_P_906089019.adn.gif</t>
  </si>
  <si>
    <t>Steinmetz Meindl GmbH, Steinmetz • Mondsee • Oberösterreich</t>
  </si>
  <si>
    <t>Steinmetzbetriebe • Steinmetz Meindl GmbH, Herzog Odilo-Straße 68, Mondsee • Kontakt über aktuelle Telefonnummern ☎ und Adressen ⚑ mit Karte, Routing, Öffnungszeiten, Homepage, E-Mail, vCard und Firmendaten.</t>
  </si>
  <si>
    <t>Herzog Odilo-Straße 68</t>
  </si>
  <si>
    <t>47.86031</t>
  </si>
  <si>
    <t>13.34416</t>
  </si>
  <si>
    <t>+4362323995</t>
  </si>
  <si>
    <t>office@steinmetz-meindl.at</t>
  </si>
  <si>
    <t>https://bilder.dasschnelle.at/DasSchnelle/50/5000/9909/043081/I_043081_P_906088315_L_0035970974_1.png</t>
  </si>
  <si>
    <t>https://bilder.dasschnelle.at/DasSchnelle/50/5000/9909/043081/I_043081_P_906088315_B_0035970974_1.gal.png?height=520&amp;width=355;https://bilder.dasschnelle.at/DasSchnelle/50/5000/9909/043081/I_043081_P_906088315_B_0035970974_2.gal.png?height=340&amp;width=600;https://bilder.dasschnelle.at/DasSchnelle/50/5000/9909/043081/I_043081_P_906088315_B_0035970974_3.gal.png?height=678&amp;width=900;https://bilder.dasschnelle.at/DasSchnelle/50/5000/9909/043081/I_043081_P_906088315_B_0035970974_4.gal.png?height=281&amp;width=508</t>
  </si>
  <si>
    <t>Rachbauer, Sabine, Nageldesign • Seewalchen am Attersee • Oberösterreich</t>
  </si>
  <si>
    <t>Nageldesign • Rachbauer, Sabine, Flurweg 5, Seewalchen am Attersee • Kontakt über aktuelle Telefonnummern ☎ und Adressen ⚑ mit Karte, Routing, Öffnungszeiten, Homepage, E-Mail, vCard und Firmendaten.</t>
  </si>
  <si>
    <t>Flurweg 5</t>
  </si>
  <si>
    <t>47.96741</t>
  </si>
  <si>
    <t>13.59002</t>
  </si>
  <si>
    <t>+43766220441</t>
  </si>
  <si>
    <t>nails@rachbauer.org</t>
  </si>
  <si>
    <t>https://bilder.dasschnelle.at/DasSchnelle/50/5000/9940/043105/G_043105_P_906089783.adn.gif</t>
  </si>
  <si>
    <t>Tischlerei WEIKA GmbH • Flachau • Salzburg</t>
  </si>
  <si>
    <t>Tischlereien • Tischlerei WEIKA GmbH, Ransburggasse 196, Flachau • Kontakt über aktuelle Telefonnummern ☎ und Adressen ⚑ mit Karte, Routing, Öffnungszeiten, Homepage, E-Mail, vCard und Firmendaten.</t>
  </si>
  <si>
    <t>Ransburggasse 196</t>
  </si>
  <si>
    <t>47.37672</t>
  </si>
  <si>
    <t>13.39312</t>
  </si>
  <si>
    <t>+43645733535</t>
  </si>
  <si>
    <t>tischlerei.weika@aon.at</t>
  </si>
  <si>
    <t>https://bilder.dasschnelle.at/DasSchnelle/50/5000/9919/043341/G_043341_P_906089792.adn.gif</t>
  </si>
  <si>
    <t>Gschwandtl Auto KG • Großarl • Salzburg</t>
  </si>
  <si>
    <t>Autohandel • Gschwandtl Auto KG, Bretteneben 1, Großarl • Kontakt über aktuelle Telefonnummern ☎ und Adressen ⚑ mit Karte, Routing, Öffnungszeiten, Homepage, E-Mail, vCard und Firmendaten.</t>
  </si>
  <si>
    <t>Bretteneben 1</t>
  </si>
  <si>
    <t>47.25647</t>
  </si>
  <si>
    <t>13.19725</t>
  </si>
  <si>
    <t>+436414515</t>
  </si>
  <si>
    <t>info@auto-gschwandtl.at</t>
  </si>
  <si>
    <t>https://bilder.dasschnelle.at/DasSchnelle/50/5000/9919/043344/G_043344_P_906089797.adn.gif</t>
  </si>
  <si>
    <t>Pichler, Matthias, Fliesen • Flachau • Salzburg</t>
  </si>
  <si>
    <t>Fliesenfachhandel • Pichler, Matthias, Flachauer Straße 310, Flachau • Kontakt über aktuelle Telefonnummern ☎ und Adressen ⚑ mit Karte, Routing, Öffnungszeiten, Homepage, E-Mail, vCard und Firmendaten.</t>
  </si>
  <si>
    <t>Flachauer Straße 310</t>
  </si>
  <si>
    <t>47.35014</t>
  </si>
  <si>
    <t>13.39365</t>
  </si>
  <si>
    <t>+436641338048</t>
  </si>
  <si>
    <t>fliesen-creativ@sbg.at</t>
  </si>
  <si>
    <t>https://bilder.dasschnelle.at/DasSchnelle/50/5000/9919/043341/G_043341_P_906089832.adn.gif</t>
  </si>
  <si>
    <t>Schiefermayer, Andreas, Hörgeräte • Kammer • Oberösterreich</t>
  </si>
  <si>
    <t>Hörgeräte • Schiefermayer, Andreas, Hauptstraße 7 B, Kammer • Kontakt über aktuelle Telefonnummern ☎ und Adressen ⚑ mit Karte, Routing, Öffnungszeiten, Homepage, E-Mail, vCard und Firmendaten.</t>
  </si>
  <si>
    <t>Hauptstraße 7 B</t>
  </si>
  <si>
    <t>Kammer</t>
  </si>
  <si>
    <t>+43766222007</t>
  </si>
  <si>
    <t>office@proakustik.at</t>
  </si>
  <si>
    <t>https://bilder.dasschnelle.at/DasSchnelle/50/5000/9940/043103/G_043103_P_906089838.adn.gif</t>
  </si>
  <si>
    <t>FliesenTec Mugli e.U, Fliesen und Ofenbau • Schwarzenau • Niederösterreich</t>
  </si>
  <si>
    <t>Fliesenfachhandel, Ofenbau • FliesenTec Mugli e.U, Hausbach-Sonnenweg 8, Schwarzenau • Kontakt über aktuelle Telefonnummern ☎ und Adressen ⚑ mit Karte, Routing, Öffnungszeiten, Homepage, E-Mail, vCard und Firmendaten.</t>
  </si>
  <si>
    <t>Hausbach-Sonnenweg 8</t>
  </si>
  <si>
    <t>3900</t>
  </si>
  <si>
    <t>Schwarzenau</t>
  </si>
  <si>
    <t>48.73821</t>
  </si>
  <si>
    <t>15.27767</t>
  </si>
  <si>
    <t>+436641052588</t>
  </si>
  <si>
    <t>info@fliesen-tec.at</t>
  </si>
  <si>
    <t>https://bilder.dasschnelle.at/DasSchnelle/50/5000/9950/044541/G_044541_P_906089850.adn.gif</t>
  </si>
  <si>
    <t>FliesenTec Mugli, Fliesen und Ofenbau • Schwarzenau • Niederösterreich</t>
  </si>
  <si>
    <t>Fliesenfachhandel, Ofenbau • FliesenTec Mugli, Hausbach-Sonnenweg 8, Schwarzenau • Kontakt über aktuelle Telefonnummern ☎ und Adressen ⚑ mit Karte, Routing, Öffnungszeiten, Homepage, E-Mail, vCard und Firmendaten.</t>
  </si>
  <si>
    <t>https://bilder.dasschnelle.at/DasSchnelle/50/5000/9950/044541/I_044541_P_906089852_L_0035993270_1.png</t>
  </si>
  <si>
    <t>https://bilder.dasschnelle.at/DasSchnelle/50/5000/9950/044541/I_044541_P_906089852_B_0035993270_1.gal.png?height=628&amp;width=831;https://bilder.dasschnelle.at/DasSchnelle/50/5000/9950/044541/I_044541_P_906089852_B_0035993270_2.gal.png?height=726&amp;width=1101;https://bilder.dasschnelle.at/DasSchnelle/50/5000/9950/044541/I_044541_P_906089852_B_0035993270_3.gal.png?height=638&amp;width=566;https://bilder.dasschnelle.at/DasSchnelle/50/5000/9950/044541/I_044541_P_906089852_B_0035993270_4.gal.png?height=518&amp;width=767</t>
  </si>
  <si>
    <t>Ruzicka GmbH Shopping Center, Einkaufszentrum • Gmünd • Niederösterreich</t>
  </si>
  <si>
    <t>Kaufhäuser • Ruzicka GmbH Shopping Center, Bahnhofstraße 8, Gmünd • Kontakt über aktuelle Telefonnummern ☎ und Adressen ⚑ mit Karte, Routing, Öffnungszeiten, Homepage, E-Mail, vCard und Firmendaten.</t>
  </si>
  <si>
    <t>48.77198</t>
  </si>
  <si>
    <t>14.98494</t>
  </si>
  <si>
    <t>+432852523050</t>
  </si>
  <si>
    <t>info@ruzicka.co.at</t>
  </si>
  <si>
    <t>https://bilder.dasschnelle.at/DasSchnelle/50/5000/9885/045075/G_045075_P_906089858.adn.gif</t>
  </si>
  <si>
    <t>Schmidmair, Mathias, Massage • Puchkirchen • Oberösterreich</t>
  </si>
  <si>
    <t>Massagen • Schmidmair, Mathias, Ach 2, Puchkirchen • Kontakt über aktuelle Telefonnummern ☎ und Adressen ⚑ mit Karte, Routing, Öffnungszeiten, Homepage, E-Mail, vCard und Firmendaten.</t>
  </si>
  <si>
    <t>Ach 2</t>
  </si>
  <si>
    <t>4849</t>
  </si>
  <si>
    <t>Puchkirchen</t>
  </si>
  <si>
    <t>48.0405788</t>
  </si>
  <si>
    <t>13.5870357</t>
  </si>
  <si>
    <t>+43768276100;+4369911123366</t>
  </si>
  <si>
    <t>office@schmidmair.at</t>
  </si>
  <si>
    <t>https://bilder.dasschnelle.at/DasSchnelle/50/5000/9940/043093/G_043093_P_906090648.adn.gif</t>
  </si>
  <si>
    <t>Energieausweis • Dörfl • Oberösterreich</t>
  </si>
  <si>
    <t>Ingenieurbüros • Energieausweis, Am Poschenhof 55, Dörfl • Kontakt über aktuelle Telefonnummern ☎ und Adressen ⚑ mit Karte, Routing, Öffnungszeiten, Homepage, E-Mail, vCard und Firmendaten.</t>
  </si>
  <si>
    <t>Am Poschenhof 55</t>
  </si>
  <si>
    <t>Dörfl</t>
  </si>
  <si>
    <t>48.021</t>
  </si>
  <si>
    <t>13.64217</t>
  </si>
  <si>
    <t>+4369911891654</t>
  </si>
  <si>
    <t>office@brandenburger.at</t>
  </si>
  <si>
    <t>AQUAFIDES GmbH, Wasseraufbereitung • Schörfling • Oberösterreich</t>
  </si>
  <si>
    <t>Wasseraufbereitung u. -reinigung • AQUAFIDES GmbH, Gahberggasse 9, Schörfling • Kontakt über aktuelle Telefonnummern ☎ und Adressen ⚑ mit Karte, Routing, Öffnungszeiten, Homepage, E-Mail, vCard und Firmendaten.</t>
  </si>
  <si>
    <t>Gahberggasse 9</t>
  </si>
  <si>
    <t>47.9423544</t>
  </si>
  <si>
    <t>13.6088164</t>
  </si>
  <si>
    <t>+437662292990</t>
  </si>
  <si>
    <t>info@aquafides.at</t>
  </si>
  <si>
    <t>https://bilder.dasschnelle.at/DasSchnelle/50/5000/9940/043079/I_043079_P_906090657_L_0035994088_1.png</t>
  </si>
  <si>
    <t>https://bilder.dasschnelle.at/DasSchnelle/50/5000/9940/043079/I_043079_P_906090657_B_0035994088_1.gal.png?height=227&amp;width=501;https://bilder.dasschnelle.at/DasSchnelle/50/5000/9940/043079/I_043079_P_906090657_B_0035994088_2.gal.png?height=350&amp;width=444;https://bilder.dasschnelle.at/DasSchnelle/50/5000/9940/043079/I_043079_P_906090657_B_0035994088_3.gal.png?height=369&amp;width=738;https://bilder.dasschnelle.at/DasSchnelle/50/5000/9940/043079/I_043079_P_906090657_B_0035994088_4.gal.png?height=370&amp;width=555</t>
  </si>
  <si>
    <t>JUSTL Rudolf GesmbH, Installationsunternehmen • St. Florian am Inn • Oberösterreich</t>
  </si>
  <si>
    <t>Installationsunternehmen • JUSTL Rudolf GesmbH, Oberteufenbach 13, St. Florian am Inn • Kontakt über aktuelle Telefonnummern ☎ und Adressen ⚑ mit Karte, Routing, Öffnungszeiten, Homepage, E-Mail, vCard und Firmendaten.</t>
  </si>
  <si>
    <t>Oberteufenbach 13</t>
  </si>
  <si>
    <t>48.3949804</t>
  </si>
  <si>
    <t>13.4940685</t>
  </si>
  <si>
    <t>+4377197334</t>
  </si>
  <si>
    <t>office@justl.at</t>
  </si>
  <si>
    <t>https://bilder.dasschnelle.at/DasSchnelle/50/5000/9926/042793/G_042793_P_906090664.adn.gif</t>
  </si>
  <si>
    <t>Gritsch Raumausstattung GesmbH, Raumausstattung • Zams • Tirol</t>
  </si>
  <si>
    <t>Raumausstatter • Gritsch Raumausstattung GesmbH, Hauptstraße 81, Zams • Kontakt über aktuelle Telefonnummern ☎ und Adressen ⚑ mit Karte, Routing, Öffnungszeiten, Homepage, E-Mail, vCard und Firmendaten.</t>
  </si>
  <si>
    <t>Hauptstraße 81</t>
  </si>
  <si>
    <t>6511</t>
  </si>
  <si>
    <t>Zams</t>
  </si>
  <si>
    <t>47.16107</t>
  </si>
  <si>
    <t>10.58546</t>
  </si>
  <si>
    <t>+43544262556</t>
  </si>
  <si>
    <t>+43544261036</t>
  </si>
  <si>
    <t>office@raumausstattung-gritsch.at</t>
  </si>
  <si>
    <t>https://bilder.dasschnelle.at/DasSchnelle/50/5000/9903/044600/I_044600_P_906089615_L_0035993377_1.png</t>
  </si>
  <si>
    <t>https://bilder.dasschnelle.at/DasSchnelle/50/5000/9903/044600/G_044600_P_906089615.adn.gif</t>
  </si>
  <si>
    <t>Wieland Herbert Natursteinmeister GmbH • Feldkirchen • Kärnten</t>
  </si>
  <si>
    <t>Natursteine u. -platten, Steinmetzbetriebe • Wieland Herbert Natursteinmeister GmbH, Sankt Veiter Straße 8, Feldkirchen • Kontakt über aktuelle Telefonnummern ☎ und Adressen ⚑ mit Karte, Routing, Öffnungszeiten, Homepage, E-Mail, vCard und Firmendaten.</t>
  </si>
  <si>
    <t>Sankt Veiter Straße 8</t>
  </si>
  <si>
    <t>46.7216853</t>
  </si>
  <si>
    <t>14.1041528</t>
  </si>
  <si>
    <t>+4342764102;+436642140777</t>
  </si>
  <si>
    <t>+4342765923</t>
  </si>
  <si>
    <t>office@grabsteine-wieland.at</t>
  </si>
  <si>
    <t>https://bilder.dasschnelle.at/DasSchnelle/50/5000/9880/042048/G_042048_P_906090524.adn.gif</t>
  </si>
  <si>
    <t>Lechleitner, Herbert, Spenglerei • Landeck • Tirol</t>
  </si>
  <si>
    <t>Spenglereien • Lechleitner, Herbert, Bruggfeldstraße 39, Landeck • Kontakt über aktuelle Telefonnummern ☎ und Adressen ⚑ mit Karte, Routing, Öffnungszeiten, Homepage, E-Mail, vCard und Firmendaten.</t>
  </si>
  <si>
    <t>Bruggfeldstraße 39</t>
  </si>
  <si>
    <t>47.14037</t>
  </si>
  <si>
    <t>10.55454</t>
  </si>
  <si>
    <t>+43544262885</t>
  </si>
  <si>
    <t>office@spenglerei-landeck.at</t>
  </si>
  <si>
    <t>https://bilder.dasschnelle.at/DasSchnelle/50/5000/9903/044584/G_044584_P_906090603.adn.gif</t>
  </si>
  <si>
    <t>Deutsch, Doris, Remax Immobilien • Klosterneuburg • Niederösterreich</t>
  </si>
  <si>
    <t>Immobilien • Deutsch, Doris, Albrechtstraße 25, Klosterneuburg • Kontakt über aktuelle Telefonnummern ☎ und Adressen ⚑ mit Karte, Routing, Öffnungszeiten, Homepage, E-Mail, vCard und Firmendaten.</t>
  </si>
  <si>
    <t>Albrechtstraße 25</t>
  </si>
  <si>
    <t>48.3083</t>
  </si>
  <si>
    <t>16.32181</t>
  </si>
  <si>
    <t>+43224321406;+436642298981;+4369910290218;+4369913400700;+4369913400702;+4369913400703;+4369913400704;+4369913400705;+4369913400706</t>
  </si>
  <si>
    <t>d.deutsch@remax-magic.at</t>
  </si>
  <si>
    <t>https://bilder.dasschnelle.at/DasSchnelle/50/5000/9897/061492/I_061492_P_906339468_B_0035994298_1.gal.png?height=333&amp;width=500;https://bilder.dasschnelle.at/DasSchnelle/50/5000/9897/061492/I_061492_P_906339468_B_0035994298_2.gal.png?height=333&amp;width=500;https://bilder.dasschnelle.at/DasSchnelle/50/5000/9897/061492/I_061492_P_906339468_B_0035994298_3.gal.png?height=333&amp;width=500</t>
  </si>
  <si>
    <t>Müller Franz Textil GmbH, Textilwaren • Kritzendorf • Niederösterreich</t>
  </si>
  <si>
    <t>Textilwaren • Müller Franz Textil GmbH, Durchstichstraße 2, Kritzendorf • Kontakt über aktuelle Telefonnummern ☎ und Adressen ⚑ mit Karte, Routing, Öffnungszeiten, Homepage, E-Mail, vCard und Firmendaten.</t>
  </si>
  <si>
    <t>Durchstichstraße 2</t>
  </si>
  <si>
    <t>48.33523</t>
  </si>
  <si>
    <t>16.30001</t>
  </si>
  <si>
    <t>+43224321783</t>
  </si>
  <si>
    <t>franz.mueller@textil-mueller.at</t>
  </si>
  <si>
    <t>https://bilder.dasschnelle.at/DasSchnelle/50/5000/9897/061492/G_061492_P_906089812.adn.gif</t>
  </si>
  <si>
    <t>Reitmayer, Martin, Friseur • Klosterneuburg • Niederösterreich</t>
  </si>
  <si>
    <t>Friseure • Reitmayer, Martin, Niedermarkt 13 2, Klosterneuburg • Kontakt über aktuelle Telefonnummern ☎ und Adressen ⚑ mit Karte, Routing, Öffnungszeiten, Homepage, E-Mail, vCard und Firmendaten.</t>
  </si>
  <si>
    <t>Niedermarkt 13 2</t>
  </si>
  <si>
    <t>48.3091</t>
  </si>
  <si>
    <t>16.32545</t>
  </si>
  <si>
    <t>+436764869619</t>
  </si>
  <si>
    <t>friseur_m.reithmayer@gmx.at</t>
  </si>
  <si>
    <t>https://bilder.dasschnelle.at/DasSchnelle/50/5000/9897/061492/G_061492_P_906089814.adn.gif</t>
  </si>
  <si>
    <t>Fetaji, Leonora, Friseurin, Visagistin &amp; Stylistin • Klosterneuburg • Niederösterreich</t>
  </si>
  <si>
    <t>Friseure • Fetaji, Leonora, Ortnergasse 7, Klosterneuburg • Kontakt über aktuelle Telefonnummern ☎ und Adressen ⚑ mit Karte, Routing, Öffnungszeiten, Homepage, E-Mail, vCard und Firmendaten.</t>
  </si>
  <si>
    <t>Ortnergasse 7</t>
  </si>
  <si>
    <t>48.3050700</t>
  </si>
  <si>
    <t>16.3230100</t>
  </si>
  <si>
    <t>+43224325213</t>
  </si>
  <si>
    <t>nora1220@gmail.com</t>
  </si>
  <si>
    <t>Haar Zone Margit • Perg • Oberösterreich</t>
  </si>
  <si>
    <t>Friseure • Haar Zone Margit, Bahnhofstraße 3, Perg • Kontakt über aktuelle Telefonnummern ☎ und Adressen ⚑ mit Karte, Routing, Öffnungszeiten, Homepage, E-Mail, vCard und Firmendaten.</t>
  </si>
  <si>
    <t>48.24962</t>
  </si>
  <si>
    <t>14.63291</t>
  </si>
  <si>
    <t>+43726253510</t>
  </si>
  <si>
    <t>salon@haarzone-margit.at</t>
  </si>
  <si>
    <t>https://bilder.dasschnelle.at/DasSchnelle/50/5000/9916/042528/G_042528_P_906089824.adn.gif</t>
  </si>
  <si>
    <t>OPTIK KROBOTH GmbH, Optik • Perg • Oberösterreich</t>
  </si>
  <si>
    <t>Optik • OPTIK KROBOTH GmbH, Herrenstraße 20, Perg • Kontakt über aktuelle Telefonnummern ☎ und Adressen ⚑ mit Karte, Routing, Öffnungszeiten, Homepage, E-Mail, vCard und Firmendaten.</t>
  </si>
  <si>
    <t>Herrenstraße 20</t>
  </si>
  <si>
    <t>48.24934</t>
  </si>
  <si>
    <t>14.63593</t>
  </si>
  <si>
    <t>+43726257540</t>
  </si>
  <si>
    <t>email@optikkroboth.at</t>
  </si>
  <si>
    <t>https://bilder.dasschnelle.at/DasSchnelle/50/5000/9916/042528/G_042528_P_906090571.adn.gif</t>
  </si>
  <si>
    <t>Wolff, Claudia, Dr., Ärzte / Fachärzte f Zahn-, Mund-u Kieferheilkunde • Lenzing • Oberösterreich</t>
  </si>
  <si>
    <t>Ärzte / Fachärzte f. Zahn-, Mund u. Kieferheilkunde • Wolff, Claudia, Dr., Atterseestraße 20, Lenzing • Kontakt über aktuelle Telefonnummern ☎ und Adressen ⚑ mit Karte, Routing, Öffnungszeiten, Homepage, E-Mail, vCard und Firmendaten.</t>
  </si>
  <si>
    <t>Atterseestraße 20</t>
  </si>
  <si>
    <t>47.97934</t>
  </si>
  <si>
    <t>13.61142</t>
  </si>
  <si>
    <t>+43767292953</t>
  </si>
  <si>
    <t>drwolff@gmx.at</t>
  </si>
  <si>
    <t>https://bilder.dasschnelle.at/DasSchnelle/50/5000/9940/043079/G_043079_P_906091139.adn.gif</t>
  </si>
  <si>
    <t>Edelweiss - Textilreinigung • Perg • Oberösterreich</t>
  </si>
  <si>
    <t>Textilreinigung • Edelweiss - Textilreinigung, Hauptplatz 8, Perg • Kontakt über aktuelle Telefonnummern ☎ und Adressen ⚑ mit Karte, Routing, Öffnungszeiten, Homepage, E-Mail, vCard und Firmendaten.</t>
  </si>
  <si>
    <t>48.25035</t>
  </si>
  <si>
    <t>14.63451</t>
  </si>
  <si>
    <t>+43726252349;+4369910766915</t>
  </si>
  <si>
    <t>office@edelweiss-textilreinigung.at</t>
  </si>
  <si>
    <t>https://bilder.dasschnelle.at/DasSchnelle/50/5000/9916/042528/G_042528_P_906091148.adn.gif</t>
  </si>
  <si>
    <t>Niedermayr-Möbelbau GesmbH • Manning • Oberösterreich</t>
  </si>
  <si>
    <t>Möbelhandel, Tischlereien • Niedermayr-Möbelbau GesmbH, Wolfshütte 9, Manning • Kontakt über aktuelle Telefonnummern ☎ und Adressen ⚑ mit Karte, Routing, Öffnungszeiten, Homepage, E-Mail, vCard und Firmendaten.</t>
  </si>
  <si>
    <t>Wolfshütte 9</t>
  </si>
  <si>
    <t>4903</t>
  </si>
  <si>
    <t>Manning</t>
  </si>
  <si>
    <t>48.0556605</t>
  </si>
  <si>
    <t>13.6841295</t>
  </si>
  <si>
    <t>+4376766363</t>
  </si>
  <si>
    <t>office@niedermayr-moebelbau.at</t>
  </si>
  <si>
    <t>https://bilder.dasschnelle.at/DasSchnelle/50/5000/9940/043080/G_043080_P_906091164.adn.gif</t>
  </si>
  <si>
    <t>Dr. Mathias Stockhammer • Wels • Oberösterreich</t>
  </si>
  <si>
    <t>Ärzte / Fachärzte f. Urologie • Dr. Mathias Stockhammer, Steiningerweg 18/5, Wels • Kontakt über aktuelle Telefonnummern ☎ und Adressen ⚑ mit Karte, Routing, Öffnungszeiten, Homepage, E-Mail, vCard und Firmendaten.</t>
  </si>
  <si>
    <t>Steiningerweg 18/5</t>
  </si>
  <si>
    <t>48.16714</t>
  </si>
  <si>
    <t>14.04157</t>
  </si>
  <si>
    <t>+43724241147</t>
  </si>
  <si>
    <t>office@stockhammer.co.at</t>
  </si>
  <si>
    <t>https://bilder.dasschnelle.at/DasSchnelle/50/5000/9945/044547/G_998088_P_906091241.adn.gif</t>
  </si>
  <si>
    <t>Holzbau Saller GmbH • Bad Hofgastein • Salzburg</t>
  </si>
  <si>
    <t>Holzbau • Holzbau Saller GmbH, Gewerbepark Harbach 31 a, Bad Hofgastein • Kontakt über aktuelle Telefonnummern ☎ und Adressen ⚑ mit Karte, Routing, Öffnungszeiten, Homepage, E-Mail, vCard und Firmendaten.</t>
  </si>
  <si>
    <t>Gewerbepark Harbach 31 a</t>
  </si>
  <si>
    <t>47.20816</t>
  </si>
  <si>
    <t>13.11002</t>
  </si>
  <si>
    <t>+436643864841;+436646455590</t>
  </si>
  <si>
    <t>info@holzbau-saller.at</t>
  </si>
  <si>
    <t>https://bilder.dasschnelle.at/DasSchnelle/50/5000/9919/043335/G_043335_P_906091621.adn.gif</t>
  </si>
  <si>
    <t>Hellings, Klaus, Malermeister • Kappl • Tirol</t>
  </si>
  <si>
    <t>Malereibetriebe • Hellings, Klaus, Labebene 360, Kappl • Kontakt über aktuelle Telefonnummern ☎ und Adressen ⚑ mit Karte, Routing, Öffnungszeiten, Homepage, E-Mail, vCard und Firmendaten.</t>
  </si>
  <si>
    <t>Labebene 360</t>
  </si>
  <si>
    <t>6555</t>
  </si>
  <si>
    <t>Kappl</t>
  </si>
  <si>
    <t>47.06574</t>
  </si>
  <si>
    <t>10.39394</t>
  </si>
  <si>
    <t>+436641107340</t>
  </si>
  <si>
    <t>shop@hellings.at</t>
  </si>
  <si>
    <t>https://bilder.dasschnelle.at/DasSchnelle/50/5000/9903/044579/G_044579_P_906091826.adn.gif</t>
  </si>
  <si>
    <t>E-INSTALLATIONSTECHNIK Zeillinger GmbH, Installationstechnik • Greinsfurth • Niederösterreich</t>
  </si>
  <si>
    <t>Installationstechnik • E-INSTALLATIONSTECHNIK Zeillinger GmbH, Carl-Benz-Straße 18, Greinsfurth • Kontakt über aktuelle Telefonnummern ☎ und Adressen ⚑ mit Karte, Routing, Öffnungszeiten, Homepage, E-Mail, vCard und Firmendaten.</t>
  </si>
  <si>
    <t>Carl-Benz-Straße 18</t>
  </si>
  <si>
    <t>Greinsfurth</t>
  </si>
  <si>
    <t>48.10974</t>
  </si>
  <si>
    <t>14.83612</t>
  </si>
  <si>
    <t>+43747262500;+436642818767;+436648222120;+436648222122</t>
  </si>
  <si>
    <t>raphael.zeillinger@e-installationstechnik.com</t>
  </si>
  <si>
    <t>https://bilder.dasschnelle.at/DasSchnelle/50/5000/9866/042062/G_042062_P_906091841.adn.gif</t>
  </si>
  <si>
    <t>Elektrotechnik Thomas Jung GmbH • Friesach • Kärnten</t>
  </si>
  <si>
    <t>Elektrogeräte u. -bedarf • Elektrotechnik Thomas Jung GmbH, Judendorf 6, Friesach • Kontakt über aktuelle Telefonnummern ☎ und Adressen ⚑ mit Karte, Routing, Öffnungszeiten, Homepage, E-Mail, vCard und Firmendaten.</t>
  </si>
  <si>
    <t>Judendorf 6</t>
  </si>
  <si>
    <t>9360</t>
  </si>
  <si>
    <t>Friesach</t>
  </si>
  <si>
    <t>46.9714452</t>
  </si>
  <si>
    <t>14.3921072</t>
  </si>
  <si>
    <t>+4342682507</t>
  </si>
  <si>
    <t>elektrojung@aon.at</t>
  </si>
  <si>
    <t>https://bilder.dasschnelle.at/DasSchnelle/50/5000/9925/042113/G_042113_P_906091850.adn.gif</t>
  </si>
  <si>
    <t>Regenfelder, Dietrich, Gartenservice • Krahberg • Kärnten</t>
  </si>
  <si>
    <t>Gartencenter • Regenfelder, Dietrich, Dallnigstraße 21, Krahberg • Kontakt über aktuelle Telefonnummern ☎ und Adressen ⚑ mit Karte, Routing, Öffnungszeiten, Homepage, E-Mail, vCard und Firmendaten.</t>
  </si>
  <si>
    <t>Dallnigstraße 21</t>
  </si>
  <si>
    <t>Krahberg</t>
  </si>
  <si>
    <t>46.72089</t>
  </si>
  <si>
    <t>14.07684</t>
  </si>
  <si>
    <t>+43427648377;+436505558600</t>
  </si>
  <si>
    <t>dietrich.regenfeldner@gmx.at</t>
  </si>
  <si>
    <t>https://bilder.dasschnelle.at/DasSchnelle/50/5000/9880/042048/G_042048_P_906092884.adn.gif</t>
  </si>
  <si>
    <t>ABJ JÖRG Abschlepp &amp; KFZ-Service e.U. • Kappl • Tirol</t>
  </si>
  <si>
    <t>Abschleppdienste • ABJ JÖRG Abschlepp &amp; KFZ-Service e.U., Lochau 378, Kappl • Kontakt über aktuelle Telefonnummern ☎ und Adressen ⚑ mit Karte, Routing, Öffnungszeiten, Homepage, E-Mail, vCard und Firmendaten.</t>
  </si>
  <si>
    <t>Lochau 378</t>
  </si>
  <si>
    <t>47.0630800</t>
  </si>
  <si>
    <t>10.3808100</t>
  </si>
  <si>
    <t>+4354456541</t>
  </si>
  <si>
    <t>info@abj-kappl.at</t>
  </si>
  <si>
    <t>https://bilder.dasschnelle.at/DasSchnelle/50/5000/9903/044579/G_044579_P_906092889.adn.gif</t>
  </si>
  <si>
    <t>Russay, Gabor, Dr.med., FA f HNO • Gmünd • Niederösterreich</t>
  </si>
  <si>
    <t>Ärzte / Fachärzte f. Hals-, Nasen u. Ohrenkrankheiten • Russay, Gabor, Dr.med., Conrathstraße 20, Gmünd • Kontakt über aktuelle Telefonnummern ☎ und Adressen ⚑ mit Karte, Routing, Öffnungszeiten, Homepage, E-Mail, vCard und Firmendaten.</t>
  </si>
  <si>
    <t>Conrathstraße 20</t>
  </si>
  <si>
    <t>48.7624</t>
  </si>
  <si>
    <t>14.97502</t>
  </si>
  <si>
    <t>+43285254015</t>
  </si>
  <si>
    <t>hno@russay.at</t>
  </si>
  <si>
    <t>https://bilder.dasschnelle.at/DasSchnelle/50/5000/9885/045075/G_045075_P_906092930.adn.gif</t>
  </si>
  <si>
    <t>Rössler, Günther, Dr.med., FA f Augenheilkunde u Optometrie • Gmünd • Niederösterreich</t>
  </si>
  <si>
    <t>Ärzte / Fachärzte f. Augenheilkunde u. Optometrie • Rössler, Günther, Dr.med., Schubertplatz 18, Gmünd • Kontakt über aktuelle Telefonnummern ☎ und Adressen ⚑ mit Karte, Routing, Öffnungszeiten, Homepage, E-Mail, vCard und Firmendaten.</t>
  </si>
  <si>
    <t>Schubertplatz 18</t>
  </si>
  <si>
    <t>48.7612</t>
  </si>
  <si>
    <t>14.97191</t>
  </si>
  <si>
    <t>+432852538230</t>
  </si>
  <si>
    <t>dr.roessler@augenfacharzt.com</t>
  </si>
  <si>
    <t>https://bilder.dasschnelle.at/DasSchnelle/50/5000/9885/045075/G_045075_P_906092936.adn.gif</t>
  </si>
  <si>
    <t>Dr. Kainz und Partner, Radiologie • Waidhofen an der Thaya • Niederösterreich</t>
  </si>
  <si>
    <t>Radiologie • Dr. Kainz und Partner, Hamernikgasse 3A, Waidhofen an der Thaya • Kontakt über aktuelle Telefonnummern ☎ und Adressen ⚑ mit Karte, Routing, Öffnungszeiten, Homepage, E-Mail, vCard und Firmendaten.</t>
  </si>
  <si>
    <t>Hamernikgasse 3A</t>
  </si>
  <si>
    <t>48.8148900</t>
  </si>
  <si>
    <t>15.2826000</t>
  </si>
  <si>
    <t>+43284252118</t>
  </si>
  <si>
    <t>kgk@kainzundpartner.at</t>
  </si>
  <si>
    <t>https://bilder.dasschnelle.at/DasSchnelle/50/5000/9885/044264/G_044264_P_906093027.adn.gif</t>
  </si>
  <si>
    <t>Psychologisch-Pädagogisch-Therapeutische Praxis • Langenzersdorf • Niederösterreich</t>
  </si>
  <si>
    <t>Psychologie • Psychologisch-Pädagogisch-Therapeutische Praxis, Wiener Straße 87-87 Stg 1, Langenzersdorf • Kontakt über aktuelle Telefonnummern ☎ und Adressen ⚑ mit Karte, Routing, Öffnungszeiten, Homepage, E-Mail, vCard und Firmendaten.</t>
  </si>
  <si>
    <t>Wiener Straße 87-87 Stg 1</t>
  </si>
  <si>
    <t>48.3057351</t>
  </si>
  <si>
    <t>16.3651206</t>
  </si>
  <si>
    <t>+4322444307</t>
  </si>
  <si>
    <t>rosina.pulker@gmx.at</t>
  </si>
  <si>
    <t>https://bilder.dasschnelle.at/DasSchnelle/50/5000/9898/041414/G_041414_P_906091687.adn.gif</t>
  </si>
  <si>
    <t>Hennerbichler, Helga, Blumen-Kränze • Pregarten • Oberösterreich</t>
  </si>
  <si>
    <t>Blumenhandel • Hennerbichler, Helga, Stadtplatz 20, Pregarten • Kontakt über aktuelle Telefonnummern ☎ und Adressen ⚑ mit Karte, Routing, Öffnungszeiten, Homepage, E-Mail, vCard und Firmendaten.</t>
  </si>
  <si>
    <t>Stadtplatz 20</t>
  </si>
  <si>
    <t>48.35473</t>
  </si>
  <si>
    <t>14.53105</t>
  </si>
  <si>
    <t>+4372362287;+4372362287</t>
  </si>
  <si>
    <t>office@blumenhennerbichler.at</t>
  </si>
  <si>
    <t>https://bilder.dasschnelle.at/DasSchnelle/50/5000/9882/041774/G_041774_P_906091691.adn.gif</t>
  </si>
  <si>
    <t>Wurz KG, Bestattungsunternehmen • Kaltenberg • Niederösterreich</t>
  </si>
  <si>
    <t>Möbelhandel, Planungsbüros • Wurz KG, Kaltenberg 19, Kaltenberg • Kontakt über aktuelle Telefonnummern ☎ und Adressen ⚑ mit Karte, Routing, Öffnungszeiten, Homepage, E-Mail, vCard und Firmendaten.</t>
  </si>
  <si>
    <t>Kaltenberg 19</t>
  </si>
  <si>
    <t>4273</t>
  </si>
  <si>
    <t>Kaltenberg</t>
  </si>
  <si>
    <t>48.17588</t>
  </si>
  <si>
    <t>14.52563</t>
  </si>
  <si>
    <t>+43795671223</t>
  </si>
  <si>
    <t>office@wurz-bestattung.at</t>
  </si>
  <si>
    <t>https://bilder.dasschnelle.at/DasSchnelle/50/5000/9882/041766/G_041766_P_906091696.adn.gif</t>
  </si>
  <si>
    <t>EURO-TAXI Mayer-Kralik OG • Freistadt • Oberösterreich</t>
  </si>
  <si>
    <t>Taxi • EURO-TAXI Mayer-Kralik OG, Trölsstraße 17 3, Freistadt • Kontakt über aktuelle Telefonnummern ☎ und Adressen ⚑ mit Karte, Routing, Öffnungszeiten, Homepage, E-Mail, vCard und Firmendaten.</t>
  </si>
  <si>
    <t>Trölsstraße 17 3</t>
  </si>
  <si>
    <t>48.50604</t>
  </si>
  <si>
    <t>14.4961</t>
  </si>
  <si>
    <t>+43794272717;+436643424592</t>
  </si>
  <si>
    <t>+43794276083</t>
  </si>
  <si>
    <t>office@euro-taxi.at</t>
  </si>
  <si>
    <t>https://bilder.dasschnelle.at/DasSchnelle/50/5000/9882/044815/G_044815_P_906091927.adn.gif</t>
  </si>
  <si>
    <t>Wagner, Harald, Tischlerei • Feldkirchen in Kärnten • Kärnten</t>
  </si>
  <si>
    <t>Tischlereien • Wagner, Harald, Wachsenberg 47, Feldkirchen in Kärnten • Kontakt über aktuelle Telefonnummern ☎ und Adressen ⚑ mit Karte, Routing, Öffnungszeiten, Homepage, E-Mail, vCard und Firmendaten.</t>
  </si>
  <si>
    <t>Wachsenberg 47</t>
  </si>
  <si>
    <t>46.7563954</t>
  </si>
  <si>
    <t>14.0773827</t>
  </si>
  <si>
    <t>+436505619390</t>
  </si>
  <si>
    <t>harald.wagner-tischlerei@gmx.at</t>
  </si>
  <si>
    <t>https://bilder.dasschnelle.at/DasSchnelle/50/5000/9880/042056/I_042056_P_906091931_L_0035993238_1.png</t>
  </si>
  <si>
    <t>https://bilder.dasschnelle.at/DasSchnelle/50/5000/9880/042056/I_042056_P_906091931_B_0035993238_1.gal.png?height=232&amp;width=270;https://bilder.dasschnelle.at/DasSchnelle/50/5000/9880/042056/I_042056_P_906091931_B_0035993238_2.gal.png?height=232&amp;width=270;https://bilder.dasschnelle.at/DasSchnelle/50/5000/9880/042056/I_042056_P_906091931_B_0035993238_3.gal.png?height=635&amp;width=831;https://bilder.dasschnelle.at/DasSchnelle/50/5000/9880/042056/I_042056_P_906091931_B_0035993238_4.gal.png?height=232&amp;width=270</t>
  </si>
  <si>
    <t>HAUER Zimmerei GmbH, Bau- u. Zimmermeister • Enzenkirchen • Oberösterreich</t>
  </si>
  <si>
    <t>Dachdeckerei u. Spenglerei, Zimmereien • HAUER Zimmerei GmbH, Jagern 47, Enzenkirchen • Kontakt über aktuelle Telefonnummern ☎ und Adressen ⚑ mit Karte, Routing, Öffnungszeiten, Homepage, E-Mail, vCard und Firmendaten.</t>
  </si>
  <si>
    <t>Jagern 47</t>
  </si>
  <si>
    <t>4761</t>
  </si>
  <si>
    <t>Enzenkirchen</t>
  </si>
  <si>
    <t>48.3790469</t>
  </si>
  <si>
    <t>13.6287508</t>
  </si>
  <si>
    <t>+4377622090;+43776240045;+436641614035;+436642401602</t>
  </si>
  <si>
    <t>+437762209020</t>
  </si>
  <si>
    <t>office@hauer-holzbau.at</t>
  </si>
  <si>
    <t>https://bilder.dasschnelle.at/DasSchnelle/50/5000/9926/042783/G_042783_P_906092670.adn.gif</t>
  </si>
  <si>
    <t>Lumetsberger Glas OG, Glas • Schwertberg • Oberösterreich</t>
  </si>
  <si>
    <t>Glas u. Service • Lumetsberger Glas OG, Poneggenstraße 30, Schwertberg • Kontakt über aktuelle Telefonnummern ☎ und Adressen ⚑ mit Karte, Routing, Öffnungszeiten, Homepage, E-Mail, vCard und Firmendaten.</t>
  </si>
  <si>
    <t>Poneggenstraße 30</t>
  </si>
  <si>
    <t>48.26957</t>
  </si>
  <si>
    <t>14.56701</t>
  </si>
  <si>
    <t>+43726261130</t>
  </si>
  <si>
    <t>info@lumetsberger.at</t>
  </si>
  <si>
    <t>https://bilder.dasschnelle.at/DasSchnelle/50/5000/9916/042536/G_042536_P_906092858.adn.gif</t>
  </si>
  <si>
    <t>Aistleitner, Friedrich, Ofenbau • Perg • Oberösterreich</t>
  </si>
  <si>
    <t>Fliesen u. Plattenverlegungen, Ofenbau • Aistleitner, Friedrich, Naarner Straße 36, Perg • Kontakt über aktuelle Telefonnummern ☎ und Adressen ⚑ mit Karte, Routing, Öffnungszeiten, Homepage, E-Mail, vCard und Firmendaten.</t>
  </si>
  <si>
    <t>Naarner Straße 36</t>
  </si>
  <si>
    <t>48.24589</t>
  </si>
  <si>
    <t>14.62823</t>
  </si>
  <si>
    <t>+43726252516</t>
  </si>
  <si>
    <t>+43726253016</t>
  </si>
  <si>
    <t>info@aistlleitner-fliesen-ofen.at</t>
  </si>
  <si>
    <t>https://bilder.dasschnelle.at/DasSchnelle/50/5000/9916/042528/G_042528_P_906092862.adn.gif</t>
  </si>
  <si>
    <t>Moser, Michaela, Haarstudio • Sankt Oswald bei Freistadt • Oberösterreich</t>
  </si>
  <si>
    <t>Friseure • Moser, Michaela, Am Käferbach 74, Sankt Oswald bei Freistadt • Kontakt über aktuelle Telefonnummern ☎ und Adressen ⚑ mit Karte, Routing, Öffnungszeiten, Homepage, E-Mail, vCard und Firmendaten.</t>
  </si>
  <si>
    <t>Am Käferbach 74</t>
  </si>
  <si>
    <t>4271</t>
  </si>
  <si>
    <t>Sankt Oswald bei Freistadt</t>
  </si>
  <si>
    <t>48.49987</t>
  </si>
  <si>
    <t>14.58022</t>
  </si>
  <si>
    <t>+43794580050;+436644948566</t>
  </si>
  <si>
    <t>haarstudiomichaela@gmx.at</t>
  </si>
  <si>
    <t>https://bilder.dasschnelle.at/DasSchnelle/50/5000/9882/041778/G_041778_P_906092961.adn.gif</t>
  </si>
  <si>
    <t>Dirnberger-Irrgeher GmbH, Kfz-Fachbetrieb • Perg • Oberösterreich</t>
  </si>
  <si>
    <t>Autoreparaturen, Karosseriebau • Dirnberger-Irrgeher GmbH, Kramelsbergstraße 7, Perg • Kontakt über aktuelle Telefonnummern ☎ und Adressen ⚑ mit Karte, Routing, Öffnungszeiten, Homepage, E-Mail, vCard und Firmendaten.</t>
  </si>
  <si>
    <t>Kramelsbergstraße 7</t>
  </si>
  <si>
    <t>48.23896</t>
  </si>
  <si>
    <t>14.6218</t>
  </si>
  <si>
    <t>+437262583680</t>
  </si>
  <si>
    <t>office@dirnberger-irrgeher.at</t>
  </si>
  <si>
    <t>https://bilder.dasschnelle.at/DasSchnelle/50/5000/9916/042528/G_042528_P_906091774.adn.gif</t>
  </si>
  <si>
    <t>Schoblocher, Gerald, Installationsunternehmen • Oberwang • Oberösterreich</t>
  </si>
  <si>
    <t>Installationsunternehmen • Schoblocher, Gerald, Gewerbestraße 6, Oberwang • Kontakt über aktuelle Telefonnummern ☎ und Adressen ⚑ mit Karte, Routing, Öffnungszeiten, Homepage, E-Mail, vCard und Firmendaten.</t>
  </si>
  <si>
    <t>47.85316</t>
  </si>
  <si>
    <t>13.44146</t>
  </si>
  <si>
    <t>+436646326030</t>
  </si>
  <si>
    <t>gerald@schobi.at</t>
  </si>
  <si>
    <t>https://bilder.dasschnelle.at/DasSchnelle/50/5000/9909/043087/G_043087_P_906091853.adn.gif</t>
  </si>
  <si>
    <t>Kofler, Rafaela, Physiotherapie • Feldkirchen • Kärnten</t>
  </si>
  <si>
    <t>Physiotherapie • Kofler, Rafaela, Hauptplatz 2, Feldkirchen • Kontakt über aktuelle Telefonnummern ☎ und Adressen ⚑ mit Karte, Routing, Öffnungszeiten, Homepage, E-Mail, vCard und Firmendaten.</t>
  </si>
  <si>
    <t>46.7243015</t>
  </si>
  <si>
    <t>14.0949822</t>
  </si>
  <si>
    <t>+436648963596</t>
  </si>
  <si>
    <t>praxis@physiotherapie-kofler.at</t>
  </si>
  <si>
    <t>https://bilder.dasschnelle.at/DasSchnelle/50/5000/9880/042048/G_042048_P_906091856.adn.gif</t>
  </si>
  <si>
    <t>Kreuzer, Josef, Holzbau • Innerschwand • Oberösterreich</t>
  </si>
  <si>
    <t>Holzbau • Kreuzer, Josef, Wangau 32, Innerschwand • Kontakt über aktuelle Telefonnummern ☎ und Adressen ⚑ mit Karte, Routing, Öffnungszeiten, Homepage, E-Mail, vCard und Firmendaten.</t>
  </si>
  <si>
    <t>Wangau 32</t>
  </si>
  <si>
    <t>5311</t>
  </si>
  <si>
    <t>Innerschwand</t>
  </si>
  <si>
    <t>47.84115</t>
  </si>
  <si>
    <t>13.43061</t>
  </si>
  <si>
    <t>+43623320033</t>
  </si>
  <si>
    <t>info@holzbau-kreuzer.at</t>
  </si>
  <si>
    <t>https://bilder.dasschnelle.at/DasSchnelle/50/5000/9909/043078/G_043078_P_906092976.adn.gif</t>
  </si>
  <si>
    <t>Der-Poolbauer GmbH, Mario, Grabner • Pottenstein • Niederösterreich</t>
  </si>
  <si>
    <t>Schwimmbäder, Baubetreuung, Planungsbüros • Der-Poolbauer GmbH, Mario, Grabner, Schlattengasse 8, Pottenstein • Kontakt über aktuelle Telefonnummern ☎ und Adressen ⚑ mit Karte, Routing, Öffnungszeiten, Homepage, E-Mail, vCard und Firmendaten.</t>
  </si>
  <si>
    <t>Schlattengasse 8</t>
  </si>
  <si>
    <t>+432672854500</t>
  </si>
  <si>
    <t>https://bilder.dasschnelle.at/DasSchnelle/50/5000/9871/041355/G_041355_P_906092983.adn.gif</t>
  </si>
  <si>
    <t>Bestattung Obermüller A KG • Neumarkt im Mühlkreis • Oberösterreich</t>
  </si>
  <si>
    <t>Bestattungsunternehmen • Bestattung Obermüller A KG, Salzstraße 13, Neumarkt im Mühlkreis • Kontakt über aktuelle Telefonnummern ☎ und Adressen ⚑ mit Karte, Routing, Öffnungszeiten, Homepage, E-Mail, vCard und Firmendaten.</t>
  </si>
  <si>
    <t>Salzstraße 13</t>
  </si>
  <si>
    <t>48.42778</t>
  </si>
  <si>
    <t>14.48564</t>
  </si>
  <si>
    <t>+43794182160;+436642314202</t>
  </si>
  <si>
    <t>+43794182164</t>
  </si>
  <si>
    <t>office@bestattung-obermueller.at</t>
  </si>
  <si>
    <t>https://bilder.dasschnelle.at/DasSchnelle/50/5000/9882/041767/G_041767_P_906093710.adn.gif</t>
  </si>
  <si>
    <t>Pointner, Roman, Schuhe • Unterweißenbach • Oberösterreich</t>
  </si>
  <si>
    <t>Schuhfachgeschäft • Pointner, Roman, Obermühl 1, Unterweißenbach • Kontakt über aktuelle Telefonnummern ☎ und Adressen ⚑ mit Karte, Routing, Öffnungszeiten, Homepage, E-Mail, vCard und Firmendaten.</t>
  </si>
  <si>
    <t>Obermühl 1</t>
  </si>
  <si>
    <t>Unterweißenbach</t>
  </si>
  <si>
    <t>48.4464439</t>
  </si>
  <si>
    <t>14.7826043</t>
  </si>
  <si>
    <t>+43795620790</t>
  </si>
  <si>
    <t>office@ortho-pointner.at</t>
  </si>
  <si>
    <t>https://bilder.dasschnelle.at/DasSchnelle/50/5000/9882/041781/G_041781_P_906093714.adn.gif</t>
  </si>
  <si>
    <t>Biobäckerei Stöcher e.U., Bäcker • Bad Zell • Oberösterreich</t>
  </si>
  <si>
    <t>Bäckereien • Biobäckerei Stöcher e.U., Marktplatz 2, Bad Zell • Kontakt über aktuelle Telefonnummern ☎ und Adressen ⚑ mit Karte, Routing, Öffnungszeiten, Homepage, E-Mail, vCard und Firmendaten.</t>
  </si>
  <si>
    <t>48.34955</t>
  </si>
  <si>
    <t>14.67007</t>
  </si>
  <si>
    <t>+4372637228</t>
  </si>
  <si>
    <t>badzell@stoecher.at</t>
  </si>
  <si>
    <t>https://bilder.dasschnelle.at/DasSchnelle/50/5000/9882/041787/G_041787_P_906094371.adn.gif</t>
  </si>
  <si>
    <t>Hofmaninger, Maximilian, Dr., Rechtsanwalt • Vöcklabruck • Oberösterreich</t>
  </si>
  <si>
    <t>Rechtsanwälte • Hofmaninger, Maximilian, Dr., Stadtplatz 11, Vöcklabruck • Kontakt über aktuelle Telefonnummern ☎ und Adressen ⚑ mit Karte, Routing, Öffnungszeiten, Homepage, E-Mail, vCard und Firmendaten.</t>
  </si>
  <si>
    <t>Stadtplatz 11</t>
  </si>
  <si>
    <t>48.00857</t>
  </si>
  <si>
    <t>+437672752110</t>
  </si>
  <si>
    <t>office@hofmaninger.at</t>
  </si>
  <si>
    <t>https://bilder.dasschnelle.at/DasSchnelle/50/5000/9940/043555/G_043555_P_906093656.adn.gif</t>
  </si>
  <si>
    <t>Sereinig, Patrick, Feuerlöscher • Feldkirchen in Kärnten • Kärnten</t>
  </si>
  <si>
    <t>Feuerlöscher • Sereinig, Patrick, Glan 8, Feldkirchen in Kärnten • Kontakt über aktuelle Telefonnummern ☎ und Adressen ⚑ mit Karte, Routing, Öffnungszeiten, Homepage, E-Mail, vCard und Firmendaten.</t>
  </si>
  <si>
    <t>Glan 8</t>
  </si>
  <si>
    <t>46.7247721</t>
  </si>
  <si>
    <t>14.1341404</t>
  </si>
  <si>
    <t>+436641438555</t>
  </si>
  <si>
    <t>feuerschutz.sereinig@aon.at</t>
  </si>
  <si>
    <t>https://bilder.dasschnelle.at/DasSchnelle/50/5000/9880/042048/G_042048_P_906093660.adn.gif</t>
  </si>
  <si>
    <t>Füsgen, Ingrid, Dr.med., FA f Hautkrankheiten • Vöcklabruck • Oberösterreich</t>
  </si>
  <si>
    <t>Ärzte / Fachärzte f. Haut u. Geschlechtskrankheiten • Füsgen, Ingrid, Dr.med., Stadtplatz 36, Vöcklabruck • Kontakt über aktuelle Telefonnummern ☎ und Adressen ⚑ mit Karte, Routing, Öffnungszeiten, Homepage, E-Mail, vCard und Firmendaten.</t>
  </si>
  <si>
    <t>+437672256600</t>
  </si>
  <si>
    <t>dr-fuesgeningrid@drei.at</t>
  </si>
  <si>
    <t>https://bilder.dasschnelle.at/DasSchnelle/50/5000/9940/043555/G_043555_P_906094336.adn.gif</t>
  </si>
  <si>
    <t>Niedermayr, Dr.med., Arzt f. Allgemeinmedizin • Gampern • Oberösterreich</t>
  </si>
  <si>
    <t>Ärzte / f Allgemeinmedizin • Niedermayr, Dr.med., Weidenstraße 10, Gampern • Kontakt über aktuelle Telefonnummern ☎ und Adressen ⚑ mit Karte, Routing, Öffnungszeiten, Homepage, E-Mail, vCard und Firmendaten.</t>
  </si>
  <si>
    <t>Weidenstraße 10</t>
  </si>
  <si>
    <t>4851</t>
  </si>
  <si>
    <t>Gampern</t>
  </si>
  <si>
    <t>47.9871351</t>
  </si>
  <si>
    <t>13.5527658</t>
  </si>
  <si>
    <t>+4376828707</t>
  </si>
  <si>
    <t>dr.niedermayr@medway.at</t>
  </si>
  <si>
    <t>https://bilder.dasschnelle.at/DasSchnelle/50/5000/9940/998342/G_998342_P_906093797.adn.gif</t>
  </si>
  <si>
    <t>Meisterwerkstatt Wimmer Ernst, Raumausstattung • Sankt Johann im Pongau • Salzburg</t>
  </si>
  <si>
    <t>Polstermöbel • Meisterwerkstatt Wimmer Ernst, Hubweg 2, Sankt Johann im Pongau • Kontakt über aktuelle Telefonnummern ☎ und Adressen ⚑ mit Karte, Routing, Öffnungszeiten, Homepage, E-Mail, vCard und Firmendaten.</t>
  </si>
  <si>
    <t>Hubweg 2</t>
  </si>
  <si>
    <t>47.34754</t>
  </si>
  <si>
    <t>13.20922</t>
  </si>
  <si>
    <t>+436641043344</t>
  </si>
  <si>
    <t>wimmer.ernst@aon.at</t>
  </si>
  <si>
    <t>https://bilder.dasschnelle.at/DasSchnelle/50/5000/9919/043351/I_043351_P_906094348_L_0035992823_1.png</t>
  </si>
  <si>
    <t>https://bilder.dasschnelle.at/DasSchnelle/50/5000/9919/043351/I_043351_P_906094348_B_0035992823_1.gal.png?height=218&amp;width=397;https://bilder.dasschnelle.at/DasSchnelle/50/5000/9919/043351/I_043351_P_906094348_B_0035992823_2.gal.png?height=224&amp;width=396;https://bilder.dasschnelle.at/DasSchnelle/50/5000/9919/043351/I_043351_P_906094348_B_0035992823_3.gal.png?height=575&amp;width=329;https://bilder.dasschnelle.at/DasSchnelle/50/5000/9919/043351/I_043351_P_906094348_B_0035992823_4.gal.png?height=219&amp;width=394</t>
  </si>
  <si>
    <t>Reichholf, Johann, Versicherungen • Sankt Veit im Pongau • Salzburg</t>
  </si>
  <si>
    <t>Versicherungsunternehmen • Reichholf, Johann, Sankt Veiter Straße 38, Sankt Veit im Pongau • Kontakt über aktuelle Telefonnummern ☎ und Adressen ⚑ mit Karte, Routing, Öffnungszeiten, Homepage, E-Mail, vCard und Firmendaten.</t>
  </si>
  <si>
    <t>Sankt Veiter Straße 38</t>
  </si>
  <si>
    <t>5621</t>
  </si>
  <si>
    <t>Sankt Veit im Pongau</t>
  </si>
  <si>
    <t>47.32807</t>
  </si>
  <si>
    <t>13.15785</t>
  </si>
  <si>
    <t>+4364157585</t>
  </si>
  <si>
    <t>office@rr-immobilien.at</t>
  </si>
  <si>
    <t>https://bilder.dasschnelle.at/DasSchnelle/50/5000/9919/043353/G_043353_P_906094349.adn.gif</t>
  </si>
  <si>
    <t>Gautsch Dachservice GmbH, Dachservice u Bauspenglerei • Hunnenbrunn • Kärnten</t>
  </si>
  <si>
    <t>Dachdeckerei u. Spenglerei • Gautsch Dachservice GmbH, Gewerbezone 3, Hunnenbrunn • Kontakt über aktuelle Telefonnummern ☎ und Adressen ⚑ mit Karte, Routing, Öffnungszeiten, Homepage, E-Mail, vCard und Firmendaten.</t>
  </si>
  <si>
    <t>Gewerbezone 3</t>
  </si>
  <si>
    <t>Hunnenbrunn</t>
  </si>
  <si>
    <t>46.79397</t>
  </si>
  <si>
    <t>14.37638</t>
  </si>
  <si>
    <t>+43421261354</t>
  </si>
  <si>
    <t>office@dachservice-gautsch.at</t>
  </si>
  <si>
    <t>https://bilder.dasschnelle.at/DasSchnelle/50/5000/9925/042128/G_042128_P_906094403.adn.gif</t>
  </si>
  <si>
    <t>Regenfelder Bernhard Installations-Spenglerei-Heizungs GmbH, Installationsunternehmen • Liebenfels • Kärnten</t>
  </si>
  <si>
    <t>Installationsunternehmen • Regenfelder Bernhard Installations-Spenglerei-Heizungs GmbH, Ossiacher Bundesstraße 4, Liebenfels • Kontakt über aktuelle Telefonnummern ☎ und Adressen ⚑ mit Karte, Routing, Öffnungszeiten, Homepage, E-Mail, vCard und Firmendaten.</t>
  </si>
  <si>
    <t>Ossiacher Bundesstraße 4</t>
  </si>
  <si>
    <t>9556</t>
  </si>
  <si>
    <t>Liebenfels</t>
  </si>
  <si>
    <t>46.74238</t>
  </si>
  <si>
    <t>14.30396</t>
  </si>
  <si>
    <t>+4342152525;+436643573112;+4366488622289</t>
  </si>
  <si>
    <t>info@regenfelder.at</t>
  </si>
  <si>
    <t>https://bilder.dasschnelle.at/DasSchnelle/50/5000/9925/042120/I_042120_P_906093679_L_0035999959_1.png</t>
  </si>
  <si>
    <t>https://bilder.dasschnelle.at/DasSchnelle/50/5000/9925/042120/I_042120_P_906093679_B_0035999959_1.gal.png?height=552&amp;width=831;https://bilder.dasschnelle.at/DasSchnelle/50/5000/9925/042120/I_042120_P_906093679_B_0035999959_2.gal.png?height=348&amp;width=527;https://bilder.dasschnelle.at/DasSchnelle/50/5000/9925/042120/I_042120_P_906093679_B_0035999959_3.gal.png?height=554&amp;width=831;https://bilder.dasschnelle.at/DasSchnelle/50/5000/9925/042120/I_042120_P_906093679_B_0035999959_4.gal.png?height=558&amp;width=831</t>
  </si>
  <si>
    <t>KM Bau GmbH • Guttaring • Kärnten</t>
  </si>
  <si>
    <t>Bauunternehmen • KM Bau GmbH, Silbereggerstraße 2, Guttaring • Kontakt über aktuelle Telefonnummern ☎ und Adressen ⚑ mit Karte, Routing, Öffnungszeiten, Homepage, E-Mail, vCard und Firmendaten.</t>
  </si>
  <si>
    <t>Silbereggerstraße 2</t>
  </si>
  <si>
    <t>46.88969</t>
  </si>
  <si>
    <t>14.51035</t>
  </si>
  <si>
    <t>+43426251200</t>
  </si>
  <si>
    <t>office@kmbau.co.at</t>
  </si>
  <si>
    <t>https://bilder.dasschnelle.at/DasSchnelle/50/5000/9925/042116/I_042116_P_906093683_L_0036006071_1.png</t>
  </si>
  <si>
    <t>https://bilder.dasschnelle.at/DasSchnelle/50/5000/9925/042116/I_042116_P_906093683_B_0036006071_1.gal.png?height=342&amp;width=587;https://bilder.dasschnelle.at/DasSchnelle/50/5000/9925/042116/I_042116_P_906093683_B_0036006071_2.gal.png?height=338&amp;width=583;https://bilder.dasschnelle.at/DasSchnelle/50/5000/9925/042116/I_042116_P_906093683_B_0036006071_3.gal.png?height=345&amp;width=339;https://bilder.dasschnelle.at/DasSchnelle/50/5000/9925/042116/I_042116_P_906093683_B_0036006071_4.gal.png?height=228&amp;width=378</t>
  </si>
  <si>
    <t>Bestattung Ing. Markus Luger KG, Bestattungsunternehmen • Sigharting • Oberösterreich</t>
  </si>
  <si>
    <t>Bestattungsunternehmen • Bestattung Ing. Markus Luger KG, Hauptstraße 6, Sigharting • Kontakt über aktuelle Telefonnummern ☎ und Adressen ⚑ mit Karte, Routing, Öffnungszeiten, Homepage, E-Mail, vCard und Firmendaten.</t>
  </si>
  <si>
    <t>48.3957</t>
  </si>
  <si>
    <t>13.59788</t>
  </si>
  <si>
    <t>+4377665016</t>
  </si>
  <si>
    <t>office@bestattnung-luger.at</t>
  </si>
  <si>
    <t>https://bilder.dasschnelle.at/DasSchnelle/50/5000/9926/042799/G_042799_P_906094393.adn.gif</t>
  </si>
  <si>
    <t>Dahedl Raumausstatter e.U., Raumausstattung • Perg • Oberösterreich</t>
  </si>
  <si>
    <t>Raumausstatter • Dahedl Raumausstatter e.U., Thurnhof 27, Perg • Kontakt über aktuelle Telefonnummern ☎ und Adressen ⚑ mit Karte, Routing, Öffnungszeiten, Homepage, E-Mail, vCard und Firmendaten.</t>
  </si>
  <si>
    <t>Thurnhof 27</t>
  </si>
  <si>
    <t>48.2453308</t>
  </si>
  <si>
    <t>14.6594109</t>
  </si>
  <si>
    <t>+43726258491</t>
  </si>
  <si>
    <t>dahedl@gmx.at</t>
  </si>
  <si>
    <t>https://bilder.dasschnelle.at/DasSchnelle/50/5000/9916/042528/G_042528_P_906094395.adn.gif</t>
  </si>
  <si>
    <t>Hausböck Gebäudetechnik GmbH, Wasser-Heizung-Lüftung • Perg • Oberösterreich</t>
  </si>
  <si>
    <t>Gebäudetechnik • Hausböck Gebäudetechnik GmbH, Zeitling 49, Perg • Kontakt über aktuelle Telefonnummern ☎ und Adressen ⚑ mit Karte, Routing, Öffnungszeiten, Homepage, E-Mail, vCard und Firmendaten.</t>
  </si>
  <si>
    <t>Zeitling 49</t>
  </si>
  <si>
    <t>48.2520000</t>
  </si>
  <si>
    <t>14.6173300</t>
  </si>
  <si>
    <t>+437262523900</t>
  </si>
  <si>
    <t>+43726257063</t>
  </si>
  <si>
    <t>installationen@hausboeck.at</t>
  </si>
  <si>
    <t>https://bilder.dasschnelle.at/DasSchnelle/50/5000/9916/042528/G_042528_P_906094398.adn.gif</t>
  </si>
  <si>
    <t>Böckl Erdbau u Abbruch GmbH, Erdarbeiten • St. Gilgen • Salzburg</t>
  </si>
  <si>
    <t>Erdarbeiten • Böckl Erdbau u Abbruch GmbH, Segenwald 4, St. Gilgen • Kontakt über aktuelle Telefonnummern ☎ und Adressen ⚑ mit Karte, Routing, Öffnungszeiten, Homepage, E-Mail, vCard und Firmendaten.</t>
  </si>
  <si>
    <t>Segenwald 4</t>
  </si>
  <si>
    <t>St. Gilgen</t>
  </si>
  <si>
    <t>47.79152</t>
  </si>
  <si>
    <t>13.33328</t>
  </si>
  <si>
    <t>+43622723410;+436604700261;+436644466300;+4366488821838;+4366488821839;+4366488821840;+4366488821841;+4366488821842;+4366488821843;+4366488821844;+4366488821845;+4366488821846;+4366488821847;+4366488821848;+4366488821849</t>
  </si>
  <si>
    <t>+436227234120</t>
  </si>
  <si>
    <t>office@boeckl.com</t>
  </si>
  <si>
    <t>https://bilder.dasschnelle.at/DasSchnelle/50/5000/9909/043326/I_043326_P_906094456_L_0035974328_1.png</t>
  </si>
  <si>
    <t>https://bilder.dasschnelle.at/DasSchnelle/50/5000/9909/043326/I_043326_P_906094456_B_0035974328_1.gal.png?height=416&amp;width=624;https://bilder.dasschnelle.at/DasSchnelle/50/5000/9909/043326/I_043326_P_906094456_B_0035974328_2.gal.png?height=416&amp;width=624;https://bilder.dasschnelle.at/DasSchnelle/50/5000/9909/043326/I_043326_P_906094456_B_0035974328_3.gal.png?height=328&amp;width=624;https://bilder.dasschnelle.at/DasSchnelle/50/5000/9909/043326/I_043326_P_906094456_B_0035974328_4.gal.png?height=364&amp;width=624</t>
  </si>
  <si>
    <t>Pizzeria Konrad, Pizzeria • Voggau Straß • Steiermark</t>
  </si>
  <si>
    <t>Pizzerias • Pizzeria Konrad, Reichstraße 17, Voggau Straß • Kontakt über aktuelle Telefonnummern ☎ und Adressen ⚑ mit Karte, Routing, Öffnungszeiten, Homepage, E-Mail, vCard und Firmendaten.</t>
  </si>
  <si>
    <t>Reichstraße 17</t>
  </si>
  <si>
    <t>Voggau Straß</t>
  </si>
  <si>
    <t>46.7326652</t>
  </si>
  <si>
    <t>15.6121184</t>
  </si>
  <si>
    <t>+4367763403981</t>
  </si>
  <si>
    <t>dyndarfiliz@gmail.com</t>
  </si>
  <si>
    <t>https://bilder.dasschnelle.at/DasSchnelle/50/5000/9904/061461/I_061461_P_906093755_L_0038808127_1.png</t>
  </si>
  <si>
    <t>https://bilder.dasschnelle.at/DasSchnelle/50/5000/9904/061461/I_061461_P_906093755_B_0038808127_1.gal.png?height=115&amp;width=600;https://bilder.dasschnelle.at/DasSchnelle/50/5000/9904/061461/I_061461_P_906093755_B_0038808127_2.gal.png?height=115&amp;width=600;https://bilder.dasschnelle.at/DasSchnelle/50/5000/9904/061461/I_061461_P_906093755_B_0038808127_3.gal.png?height=115&amp;width=600;https://bilder.dasschnelle.at/DasSchnelle/50/5000/9904/061461/I_061461_P_906093755_B_0038808127_4.gal.png?height=115&amp;width=600</t>
  </si>
  <si>
    <t>Biringer, Peter, dipl. Bau- und Geobiologe med. Rutengänger • Aisting • Oberösterreich</t>
  </si>
  <si>
    <t>Handelsagenturen, Wünschelrutengänger • Biringer, Peter, Furth 21, Aisting • Kontakt über aktuelle Telefonnummern ☎ und Adressen ⚑ mit Karte, Routing, Öffnungszeiten, Homepage, E-Mail, vCard und Firmendaten.</t>
  </si>
  <si>
    <t>Furth 21</t>
  </si>
  <si>
    <t>Aisting</t>
  </si>
  <si>
    <t>48.25118</t>
  </si>
  <si>
    <t>14.58435</t>
  </si>
  <si>
    <t>+43726263058</t>
  </si>
  <si>
    <t>+4372626305812</t>
  </si>
  <si>
    <t>peter@biringer-estra.at</t>
  </si>
  <si>
    <t>https://bilder.dasschnelle.at/DasSchnelle/50/5000/9916/042536/G_042536_P_906094480.adn.gif</t>
  </si>
  <si>
    <t>Obermeier &amp; Partner Wirtschaftsprüfungs- u. Steuerberatungs GmbH • Vöcklabruck • Oberösterreich</t>
  </si>
  <si>
    <t>Wirtschaftstreuhänder / Steuerberater • Obermeier &amp; Partner Wirtschaftsprüfungs- u. Steuerberatungs GmbH, Wartenburger Straße 1 B, Vöcklabruck • Kontakt über aktuelle Telefonnummern ☎ und Adressen ⚑ mit Karte, Routing, Öffnungszeiten, Homepage, E-Mail, vCard und Firmendaten.</t>
  </si>
  <si>
    <t>Wartenburger Straße 1 B</t>
  </si>
  <si>
    <t>48.0046650</t>
  </si>
  <si>
    <t>13.6438610</t>
  </si>
  <si>
    <t>+437672254650</t>
  </si>
  <si>
    <t>+437672254657</t>
  </si>
  <si>
    <t>office@obermeier.net</t>
  </si>
  <si>
    <t>https://bilder.dasschnelle.at/DasSchnelle/50/5000/9940/043555/G_043555_P_906095053.adn.gif</t>
  </si>
  <si>
    <t>ROTEX e.U., Sonnenschutz • Diersbach • Oberösterreich</t>
  </si>
  <si>
    <t>Sonnen u. Insektenschutz • ROTEX e.U., Alfersham 3a, Diersbach • Kontakt über aktuelle Telefonnummern ☎ und Adressen ⚑ mit Karte, Routing, Öffnungszeiten, Homepage, E-Mail, vCard und Firmendaten.</t>
  </si>
  <si>
    <t>Alfersham 3a</t>
  </si>
  <si>
    <t>4776</t>
  </si>
  <si>
    <t>Diersbach</t>
  </si>
  <si>
    <t>48.4010123</t>
  </si>
  <si>
    <t>13.5778837</t>
  </si>
  <si>
    <t>+43771975840</t>
  </si>
  <si>
    <t>info@rotex-sonnenschutz.at</t>
  </si>
  <si>
    <t>https://bilder.dasschnelle.at/DasSchnelle/50/5000/9926/042305/I_042305_P_906095060_L_0035974233_1.png</t>
  </si>
  <si>
    <t>https://bilder.dasschnelle.at/DasSchnelle/50/5000/9926/042305/I_042305_P_906095060_B_0035974233_1.gal.png?height=333&amp;width=509;https://bilder.dasschnelle.at/DasSchnelle/50/5000/9926/042305/I_042305_P_906095060_B_0035974233_2.gal.png?height=340&amp;width=447;https://bilder.dasschnelle.at/DasSchnelle/50/5000/9926/042305/I_042305_P_906095060_B_0035974233_3.gal.png?height=291&amp;width=412;https://bilder.dasschnelle.at/DasSchnelle/50/5000/9926/042305/I_042305_P_906095060_B_0035974233_4.gal.png?height=376&amp;width=880</t>
  </si>
  <si>
    <t>Greisberger, Martin, Kachelofen • Thalgau • Salzburg</t>
  </si>
  <si>
    <t>Kachelöfen • Greisberger, Martin, Unterdorfer Straße 10, Thalgau • Kontakt über aktuelle Telefonnummern ☎ und Adressen ⚑ mit Karte, Routing, Öffnungszeiten, Homepage, E-Mail, vCard und Firmendaten.</t>
  </si>
  <si>
    <t>Unterdorfer Straße 10</t>
  </si>
  <si>
    <t>5303</t>
  </si>
  <si>
    <t>Thalgau</t>
  </si>
  <si>
    <t>47.84114</t>
  </si>
  <si>
    <t>13.23449</t>
  </si>
  <si>
    <t>+43623520173</t>
  </si>
  <si>
    <t>office@greisberger-kacheloefen.at</t>
  </si>
  <si>
    <t>Bestattung Brixner • Mauthausen • Oberösterreich</t>
  </si>
  <si>
    <t>Bestattungsunternehmen • Bestattung Brixner, Marktstraße 1, Mauthausen • Kontakt über aktuelle Telefonnummern ☎ und Adressen ⚑ mit Karte, Routing, Öffnungszeiten, Homepage, E-Mail, vCard und Firmendaten.</t>
  </si>
  <si>
    <t>48.2407800</t>
  </si>
  <si>
    <t>14.5176000</t>
  </si>
  <si>
    <t>+4372382178</t>
  </si>
  <si>
    <t>bestattung@brixner.at</t>
  </si>
  <si>
    <t>https://bilder.dasschnelle.at/DasSchnelle/50/5000/9916/042523/I_042523_P_906095070_L_0036003087_1.png</t>
  </si>
  <si>
    <t>https://bilder.dasschnelle.at/DasSchnelle/50/5000/9916/042523/I_042523_P_906095070_B_0036003087_1.gal.png?height=160&amp;width=160;https://bilder.dasschnelle.at/DasSchnelle/50/5000/9916/042523/I_042523_P_906095070_B_0036003087_2.gal.png?height=160&amp;width=160;https://bilder.dasschnelle.at/DasSchnelle/50/5000/9916/042523/I_042523_P_906095070_B_0036003087_3.gal.png?height=160&amp;width=160;https://bilder.dasschnelle.at/DasSchnelle/50/5000/9916/042523/I_042523_P_906095070_B_0036003087_4.gal.png?height=160&amp;width=160</t>
  </si>
  <si>
    <t>Zauner, Daniel, Malereibetriebe • Vöcklabruck • Oberösterreich</t>
  </si>
  <si>
    <t>Malereibetriebe • Zauner, Daniel, Gmundner Straße 11, Vöcklabruck • Kontakt über aktuelle Telefonnummern ☎ und Adressen ⚑ mit Karte, Routing, Öffnungszeiten, Homepage, E-Mail, vCard und Firmendaten.</t>
  </si>
  <si>
    <t>Gmundner Straße 11</t>
  </si>
  <si>
    <t>48.0086</t>
  </si>
  <si>
    <t>13.65736</t>
  </si>
  <si>
    <t>+437672248030</t>
  </si>
  <si>
    <t>office@maler-zauner.at</t>
  </si>
  <si>
    <t>https://bilder.dasschnelle.at/DasSchnelle/50/5000/9940/043555/I_043555_P_906095071_L_0036237658_1.png</t>
  </si>
  <si>
    <t>https://bilder.dasschnelle.at/DasSchnelle/50/5000/9940/043555/I_043555_P_906095071_B_0036237658_1.gal.png?height=420&amp;width=800;https://bilder.dasschnelle.at/DasSchnelle/50/5000/9940/043555/I_043555_P_906095071_B_0036237658_2.gal.png?height=419&amp;width=800;https://bilder.dasschnelle.at/DasSchnelle/50/5000/9940/043555/I_043555_P_906095071_B_0036237658_3.gal.png?height=419&amp;width=800;https://bilder.dasschnelle.at/DasSchnelle/50/5000/9940/043555/I_043555_P_906095071_B_0036237658_4.gal.png?height=465&amp;width=800</t>
  </si>
  <si>
    <t>Mayrhofer, A., Dr., Rechtsanwalt • Schörfling • Oberösterreich</t>
  </si>
  <si>
    <t>Rechtsanwälte • Mayrhofer, A., Dr., Gmundnerstraße 10, Schörfling • Kontakt über aktuelle Telefonnummern ☎ und Adressen ⚑ mit Karte, Routing, Öffnungszeiten, Homepage, E-Mail, vCard und Firmendaten.</t>
  </si>
  <si>
    <t>Gmundnerstraße 10</t>
  </si>
  <si>
    <t>47.9464480</t>
  </si>
  <si>
    <t>13.6053347</t>
  </si>
  <si>
    <t>+43766260006</t>
  </si>
  <si>
    <t>office@wegzumrecht.at</t>
  </si>
  <si>
    <t>https://bilder.dasschnelle.at/DasSchnelle/50/5000/9940/043103/G_043103_P_906096201.adn.gif</t>
  </si>
  <si>
    <t>Mayer, Sabine, Dr., Steuerberaterin • Regau • Oberösterreich</t>
  </si>
  <si>
    <t>Steuerberater • Mayer, Sabine, Dr., Eichengasse 6, Regau • Kontakt über aktuelle Telefonnummern ☎ und Adressen ⚑ mit Karte, Routing, Öffnungszeiten, Homepage, E-Mail, vCard und Firmendaten.</t>
  </si>
  <si>
    <t>Eichengasse 6</t>
  </si>
  <si>
    <t>47.9951489</t>
  </si>
  <si>
    <t>13.6608891</t>
  </si>
  <si>
    <t>+43767297745</t>
  </si>
  <si>
    <t>kanzlei@wtmayer.at</t>
  </si>
  <si>
    <t>https://bilder.dasschnelle.at/DasSchnelle/50/5000/9940/043097/G_043097_P_906096203.adn.gif</t>
  </si>
  <si>
    <t>Punz, Thomas, Bohren u Schneiden • Grünbach • Oberösterreich</t>
  </si>
  <si>
    <t>Bauunternehmen, Betonbearbeitungen • Punz, Thomas, Obergrünbach 14, Grünbach • Kontakt über aktuelle Telefonnummern ☎ und Adressen ⚑ mit Karte, Routing, Öffnungszeiten, Homepage, E-Mail, vCard und Firmendaten.</t>
  </si>
  <si>
    <t>Obergrünbach 14</t>
  </si>
  <si>
    <t>4263</t>
  </si>
  <si>
    <t>48.5632786</t>
  </si>
  <si>
    <t>14.5553387</t>
  </si>
  <si>
    <t>+436644181385</t>
  </si>
  <si>
    <t>office@bohren-schneiden.com</t>
  </si>
  <si>
    <t>https://bilder.dasschnelle.at/DasSchnelle/50/5000/9882/044816/I_044816_P_906096208_L_0035994383_1.png</t>
  </si>
  <si>
    <t>https://bilder.dasschnelle.at/DasSchnelle/50/5000/9882/044816/I_044816_P_906096208_B_0035994383_1.gal.png?height=438&amp;width=593;https://bilder.dasschnelle.at/DasSchnelle/50/5000/9882/044816/I_044816_P_906096208_B_0035994383_2.gal.png?height=448&amp;width=593;https://bilder.dasschnelle.at/DasSchnelle/50/5000/9882/044816/G_044816_P_906096208.adn.gif</t>
  </si>
  <si>
    <t>HKLS Installations GmbH • Moosburg • Kärnten</t>
  </si>
  <si>
    <t>Installationsunternehmen • HKLS Installations GmbH, Wasserstraße 3, Moosburg • Kontakt über aktuelle Telefonnummern ☎ und Adressen ⚑ mit Karte, Routing, Öffnungszeiten, Homepage, E-Mail, vCard und Firmendaten.</t>
  </si>
  <si>
    <t>Wasserstraße 3</t>
  </si>
  <si>
    <t>9062</t>
  </si>
  <si>
    <t>Moosburg</t>
  </si>
  <si>
    <t>46.66258</t>
  </si>
  <si>
    <t>14.17183</t>
  </si>
  <si>
    <t>+43427283694</t>
  </si>
  <si>
    <t>office@hkls-kogler.at</t>
  </si>
  <si>
    <t>https://bilder.dasschnelle.at/DasSchnelle/50/5000/9880/042101/I_042101_P_906096214_L_0035993331_1.png</t>
  </si>
  <si>
    <t>Puff, Stefan, Ing., Schlosserei • Feldkirchen in Kärnten • Kärnten</t>
  </si>
  <si>
    <t>Schlossereien • Puff, Stefan, Ing., Sankt Veiter Straße 1, Feldkirchen in Kärnten • Kontakt über aktuelle Telefonnummern ☎ und Adressen ⚑ mit Karte, Routing, Öffnungszeiten, Homepage, E-Mail, vCard und Firmendaten.</t>
  </si>
  <si>
    <t>Sankt Veiter Straße 1</t>
  </si>
  <si>
    <t>46.7222523</t>
  </si>
  <si>
    <t>14.1002738</t>
  </si>
  <si>
    <t>+4342763209</t>
  </si>
  <si>
    <t>office@schlosserei-puff.at</t>
  </si>
  <si>
    <t>https://bilder.dasschnelle.at/DasSchnelle/50/5000/9880/042048/I_042048_P_906096218_L_0035993702_1.png</t>
  </si>
  <si>
    <t>https://bilder.dasschnelle.at/DasSchnelle/50/5000/9880/042048/I_042048_P_906096218_B_0035993702_1.gal.png?height=436&amp;width=901;https://bilder.dasschnelle.at/DasSchnelle/50/5000/9880/042048/I_042048_P_906096218_B_0035993702_2.gal.png?height=348&amp;width=720;https://bilder.dasschnelle.at/DasSchnelle/50/5000/9880/042048/I_042048_P_906096218_B_0035993702_3.gal.png?height=348&amp;width=720;https://bilder.dasschnelle.at/DasSchnelle/50/5000/9880/042048/I_042048_P_906096218_B_0035993702_4.gal.png?height=348&amp;width=720</t>
  </si>
  <si>
    <t>Grüneis, Josef, Heizungstechnik • Witzenedt • Oberösterreich</t>
  </si>
  <si>
    <t>Heizungstechnik • Grüneis, Josef, Witzenedt 15, Witzenedt • Kontakt über aktuelle Telefonnummern ☎ und Adressen ⚑ mit Karte, Routing, Öffnungszeiten, Homepage, E-Mail, vCard und Firmendaten.</t>
  </si>
  <si>
    <t>Witzenedt 15</t>
  </si>
  <si>
    <t>4725</t>
  </si>
  <si>
    <t>Witzenedt</t>
  </si>
  <si>
    <t>48.4541752</t>
  </si>
  <si>
    <t>13.7213068</t>
  </si>
  <si>
    <t>+4377177661;+436644553963</t>
  </si>
  <si>
    <t>info@grueneis-ht.at</t>
  </si>
  <si>
    <t>https://bilder.dasschnelle.at/DasSchnelle/50/5000/9926/042792/G_042792_P_906096279.adn.gif</t>
  </si>
  <si>
    <t>Hofstätter, Reinhard, Dr.med., FA f Orthopädie u orthopäd Chirurgie • Vöcklabruck • Oberösterreich</t>
  </si>
  <si>
    <t>Ärzte / Fachärzte f. Orthopädie u. Orthopädische Chirurgie • Hofstätter, Reinhard, Dr.med., Graben 17, Vöcklabruck • Kontakt über aktuelle Telefonnummern ☎ und Adressen ⚑ mit Karte, Routing, Öffnungszeiten, Homepage, E-Mail, vCard und Firmendaten.</t>
  </si>
  <si>
    <t>Graben 17</t>
  </si>
  <si>
    <t>48.00684</t>
  </si>
  <si>
    <t>13.65419</t>
  </si>
  <si>
    <t>+43767220444</t>
  </si>
  <si>
    <t>https://bilder.dasschnelle.at/DasSchnelle/50/5000/9940/043555/G_043555_P_906096903.adn.gif</t>
  </si>
  <si>
    <t>Kerschbaumer, Martin, Tischlerei • Bad Gastein • Salzburg</t>
  </si>
  <si>
    <t>Tischlereien • Kerschbaumer, Martin, Palfnerstraße 8 A, Bad Gastein • Kontakt über aktuelle Telefonnummern ☎ und Adressen ⚑ mit Karte, Routing, Öffnungszeiten, Homepage, E-Mail, vCard und Firmendaten.</t>
  </si>
  <si>
    <t>Palfnerstraße 8 A</t>
  </si>
  <si>
    <t>5640</t>
  </si>
  <si>
    <t>Bad Gastein</t>
  </si>
  <si>
    <t>47.10522</t>
  </si>
  <si>
    <t>13.13581</t>
  </si>
  <si>
    <t>+4364342443;+436641235600</t>
  </si>
  <si>
    <t>tischlerei.kerschbaumer@aon.at</t>
  </si>
  <si>
    <t>https://bilder.dasschnelle.at/DasSchnelle/50/5000/9919/043336/G_043336_P_906096914.adn.gif</t>
  </si>
  <si>
    <t>Gassner Rainer Dr. &amp; Partner Gruppenpraxis f Frauenheilkunde u Geburtshilfe OG, Ärzte / Fachärzte f Frauenheilkunde u Geburtshilfe • Klosterneuburg • Niederösterreich</t>
  </si>
  <si>
    <t>Ärzte / Fachärzte f. Frauenheilkunde u. Geburtshilfe • Gassner Rainer Dr. &amp; Partner Gruppenpraxis f Frauenheilkunde u Geburtshilfe OG, Stadtplatz 10 -11-11 Stg 1, Klosterneuburg • Kontakt über aktuelle Telefonnummern ☎ und Adressen ⚑ mit Karte, Routing, Öffnungszeiten, Homepage, E-Mail, vCard und Firmendaten.</t>
  </si>
  <si>
    <t>Stadtplatz 10 -11-11 Stg 1</t>
  </si>
  <si>
    <t>48.3093458</t>
  </si>
  <si>
    <t>16.3235225</t>
  </si>
  <si>
    <t>+43224322272</t>
  </si>
  <si>
    <t>office@frauenarztpraxis-klosterneuburg.at</t>
  </si>
  <si>
    <t>https://bilder.dasschnelle.at/DasSchnelle/50/5000/9897/061492/G_061492_P_906096071.adn.gif</t>
  </si>
  <si>
    <t>Derntl, Georg, Mag., Rechtsanwalt • Perg • Oberösterreich</t>
  </si>
  <si>
    <t>Rechtsanwälte • Derntl, Georg, Mag., Hauptplatz 11 a, Perg • Kontakt über aktuelle Telefonnummern ☎ und Adressen ⚑ mit Karte, Routing, Öffnungszeiten, Homepage, E-Mail, vCard und Firmendaten.</t>
  </si>
  <si>
    <t>Hauptplatz 11 a</t>
  </si>
  <si>
    <t>48.25011</t>
  </si>
  <si>
    <t>14.63455</t>
  </si>
  <si>
    <t>+43726253900</t>
  </si>
  <si>
    <t>+4372625390039</t>
  </si>
  <si>
    <t>office@ra-derntl.at</t>
  </si>
  <si>
    <t>https://bilder.dasschnelle.at/DasSchnelle/50/5000/9916/042528/G_042528_P_906096075.adn.gif</t>
  </si>
  <si>
    <t>Sohm-Schwenninger, Claudia, Physiotherapie • Ried im Oberinntal • Tirol</t>
  </si>
  <si>
    <t>Physiotherapie • Sohm-Schwenninger, Claudia, Moos 216, Ried im Oberinntal • Kontakt über aktuelle Telefonnummern ☎ und Adressen ⚑ mit Karte, Routing, Öffnungszeiten, Homepage, E-Mail, vCard und Firmendaten.</t>
  </si>
  <si>
    <t>Moos 216</t>
  </si>
  <si>
    <t>6531</t>
  </si>
  <si>
    <t>Ried im Oberinntal</t>
  </si>
  <si>
    <t>47.0537670</t>
  </si>
  <si>
    <t>10.6536581</t>
  </si>
  <si>
    <t>+4354726039</t>
  </si>
  <si>
    <t>c.sohm-schwenninger@gmx.at</t>
  </si>
  <si>
    <t>https://bilder.dasschnelle.at/DasSchnelle/50/5000/9903/044590/G_044590_P_906096304.adn.gif</t>
  </si>
  <si>
    <t>Sauwald Erdäpfel GmbH • St. Aegidi • Oberösterreich</t>
  </si>
  <si>
    <t>Obst u. Gemüse, Landwirtschaftliche Produkte • Sauwald Erdäpfel GmbH, Schauern 26, St. Aegidi • Kontakt über aktuelle Telefonnummern ☎ und Adressen ⚑ mit Karte, Routing, Öffnungszeiten, Homepage, E-Mail, vCard und Firmendaten.</t>
  </si>
  <si>
    <t>Schauern 26</t>
  </si>
  <si>
    <t>St. Aegidi</t>
  </si>
  <si>
    <t>48.4693102</t>
  </si>
  <si>
    <t>13.7529794</t>
  </si>
  <si>
    <t>+4377178000</t>
  </si>
  <si>
    <t>bestellung@sauwalderdaepfel.at</t>
  </si>
  <si>
    <t>https://bilder.dasschnelle.at/DasSchnelle/50/5000/9926/042792/G_042792_P_906096940.adn.gif</t>
  </si>
  <si>
    <t>Stein Brunner e.U., Steinmetzbetriebe • Münzbach • Oberösterreich</t>
  </si>
  <si>
    <t>Steinmetzbetriebe • Stein Brunner e.U., Innerstein 16, Münzbach • Kontakt über aktuelle Telefonnummern ☎ und Adressen ⚑ mit Karte, Routing, Öffnungszeiten, Homepage, E-Mail, vCard und Firmendaten.</t>
  </si>
  <si>
    <t>Innerstein 16</t>
  </si>
  <si>
    <t>48.2617258</t>
  </si>
  <si>
    <t>14.7595313</t>
  </si>
  <si>
    <t>+4372644539</t>
  </si>
  <si>
    <t>office@stein-brunner.at</t>
  </si>
  <si>
    <t>https://bilder.dasschnelle.at/DasSchnelle/50/5000/9916/042525/G_042525_P_906096252.adn.gif</t>
  </si>
  <si>
    <t>Metallbau Blauensteiner GmbH • Naarn • Oberösterreich</t>
  </si>
  <si>
    <t>Metallbau • Metallbau Blauensteiner GmbH, Neuhof 21, Naarn • Kontakt über aktuelle Telefonnummern ☎ und Adressen ⚑ mit Karte, Routing, Öffnungszeiten, Homepage, E-Mail, vCard und Firmendaten.</t>
  </si>
  <si>
    <t>Neuhof 21</t>
  </si>
  <si>
    <t>4331</t>
  </si>
  <si>
    <t>Naarn</t>
  </si>
  <si>
    <t>48.2062740</t>
  </si>
  <si>
    <t>14.6660212</t>
  </si>
  <si>
    <t>+43726258721</t>
  </si>
  <si>
    <t>metallbau@blauensteiner.co.at</t>
  </si>
  <si>
    <t>https://bilder.dasschnelle.at/DasSchnelle/50/5000/9916/042526/G_042526_P_906096253.adn.gif</t>
  </si>
  <si>
    <t>Habbi, Taxi • Arbing • Oberösterreich</t>
  </si>
  <si>
    <t>Taxi • Habbi, Hauptstraße 2, Arbing • Kontakt über aktuelle Telefonnummern ☎ und Adressen ⚑ mit Karte, Routing, Öffnungszeiten, Homepage, E-Mail, vCard und Firmendaten.</t>
  </si>
  <si>
    <t>Hauptstraße 2</t>
  </si>
  <si>
    <t>4341</t>
  </si>
  <si>
    <t>Arbing</t>
  </si>
  <si>
    <t>48.22933</t>
  </si>
  <si>
    <t>14.70049</t>
  </si>
  <si>
    <t>+436643060500</t>
  </si>
  <si>
    <t>office@habbi-taxi.at</t>
  </si>
  <si>
    <t>https://bilder.dasschnelle.at/DasSchnelle/50/5000/9916/046123/I_046123_P_906096255_L_0036003189_1.png</t>
  </si>
  <si>
    <t>Mondsee Schifffahrt Hemetsberger • Mondsee • Oberösterreich</t>
  </si>
  <si>
    <t>Schifffahrt • Mondsee Schifffahrt Hemetsberger, Seebadstraße 1, Mondsee • Kontakt über aktuelle Telefonnummern ☎ und Adressen ⚑ mit Karte, Routing, Öffnungszeiten, Homepage, E-Mail, vCard und Firmendaten.</t>
  </si>
  <si>
    <t>Seebadstraße 1</t>
  </si>
  <si>
    <t>47.85097</t>
  </si>
  <si>
    <t>13.34953</t>
  </si>
  <si>
    <t>+4362324934</t>
  </si>
  <si>
    <t>+43623231640</t>
  </si>
  <si>
    <t>office@mondseeschifffahrt.com</t>
  </si>
  <si>
    <t>https://bilder.dasschnelle.at/DasSchnelle/50/5000/9909/043081/G_043081_P_906096261.adn.gif</t>
  </si>
  <si>
    <t>Elektro Widlroither Installation u. Handels G.m.b.H • Mondsee • Oberösterreich</t>
  </si>
  <si>
    <t>Elektrogeräte u. -bedarf, Elektrohandel, Elektrotechnik • Elektro Widlroither Installation u. Handels G.m.b.H, Hickmanngasse 1, Mondsee • Kontakt über aktuelle Telefonnummern ☎ und Adressen ⚑ mit Karte, Routing, Öffnungszeiten, Homepage, E-Mail, vCard und Firmendaten.</t>
  </si>
  <si>
    <t>Hickmanngasse 1</t>
  </si>
  <si>
    <t>47.85634</t>
  </si>
  <si>
    <t>13.34907</t>
  </si>
  <si>
    <t>+43623222660;+436232226610</t>
  </si>
  <si>
    <t>+4362322150</t>
  </si>
  <si>
    <t>office@elektro-wirdlroither.at</t>
  </si>
  <si>
    <t>https://bilder.dasschnelle.at/DasSchnelle/50/5000/9909/043081/G_043081_P_906096271.adn.gif</t>
  </si>
  <si>
    <t>E &amp; S Water Group OG • Tulln an der Donau • Niederösterreich</t>
  </si>
  <si>
    <t>Installationsunternehmen • E &amp; S Water Group OG, Karlsgasse 5, Tulln an der Donau • Kontakt über aktuelle Telefonnummern ☎ und Adressen ⚑ mit Karte, Routing, Öffnungszeiten, Homepage, E-Mail, vCard und Firmendaten.</t>
  </si>
  <si>
    <t>Karlsgasse 5</t>
  </si>
  <si>
    <t>48.32958</t>
  </si>
  <si>
    <t>16.05304</t>
  </si>
  <si>
    <t>+43676847499110</t>
  </si>
  <si>
    <t>info@eus-installationen.at</t>
  </si>
  <si>
    <t>https://bilder.dasschnelle.at/DasSchnelle/50/5000/9938/044247/I_044247_P_906097018_L_0036208318_1.png</t>
  </si>
  <si>
    <t>https://bilder.dasschnelle.at/DasSchnelle/50/5000/9938/044247/I_044247_P_906097018_B_0036208318_1.gal.png?height=457&amp;width=813;https://bilder.dasschnelle.at/DasSchnelle/50/5000/9938/044247/I_044247_P_906097018_B_0036208318_2.gal.png?height=330&amp;width=813;https://bilder.dasschnelle.at/DasSchnelle/50/5000/9938/044247/I_044247_P_906097018_B_0036208318_3.gal.png?height=457&amp;width=813;https://bilder.dasschnelle.at/DasSchnelle/50/5000/9938/044247/I_044247_P_906097018_B_0036208318_4.gal.png?height=457&amp;width=813</t>
  </si>
  <si>
    <t>Klingelbrunner Ernst GmbH, Malerei • Klosterneuburg • Niederösterreich</t>
  </si>
  <si>
    <t>Malereibetriebe • Klingelbrunner Ernst GmbH, Rathausplatz 8, Klosterneuburg • Kontakt über aktuelle Telefonnummern ☎ und Adressen ⚑ mit Karte, Routing, Öffnungszeiten, Homepage, E-Mail, vCard und Firmendaten.</t>
  </si>
  <si>
    <t>48.3057100</t>
  </si>
  <si>
    <t>16.3240500</t>
  </si>
  <si>
    <t>+43224334470</t>
  </si>
  <si>
    <t>ernst.klingelbrunner@eclipso.at</t>
  </si>
  <si>
    <t>https://bilder.dasschnelle.at/DasSchnelle/50/5000/9897/061492/G_061492_P_906097020.adn.gif</t>
  </si>
  <si>
    <t>Klicka Installateur GmbH • Klosterneuburg • Niederösterreich</t>
  </si>
  <si>
    <t>Installationsunternehmen • Klicka Installateur GmbH, Ziegelofengasse 9, Klosterneuburg • Kontakt über aktuelle Telefonnummern ☎ und Adressen ⚑ mit Karte, Routing, Öffnungszeiten, Homepage, E-Mail, vCard und Firmendaten.</t>
  </si>
  <si>
    <t>Ziegelofengasse 9</t>
  </si>
  <si>
    <t>48.31229</t>
  </si>
  <si>
    <t>16.31661</t>
  </si>
  <si>
    <t>+43224338274</t>
  </si>
  <si>
    <t>+432243382744</t>
  </si>
  <si>
    <t>office@installateur-klicka.at</t>
  </si>
  <si>
    <t>https://bilder.dasschnelle.at/DasSchnelle/50/5000/9897/061492/G_061492_P_906097024.adn.gif</t>
  </si>
  <si>
    <t>Höller KG Granit &amp; Design, Steinmetzbetrieb • Watzing • Oberösterreich</t>
  </si>
  <si>
    <t>Steinmetzbetriebe • Höller KG Granit &amp; Design, Watzing 10, Watzing • Kontakt über aktuelle Telefonnummern ☎ und Adressen ⚑ mit Karte, Routing, Öffnungszeiten, Homepage, E-Mail, vCard und Firmendaten.</t>
  </si>
  <si>
    <t>Watzing 10</t>
  </si>
  <si>
    <t>4793</t>
  </si>
  <si>
    <t>Watzing</t>
  </si>
  <si>
    <t>48.4911250</t>
  </si>
  <si>
    <t>13.6233997</t>
  </si>
  <si>
    <t>+436645731850</t>
  </si>
  <si>
    <t>office@hoeller-granit.at</t>
  </si>
  <si>
    <t>https://bilder.dasschnelle.at/DasSchnelle/50/5000/9926/042795/G_042795_P_906097032.adn.gif</t>
  </si>
  <si>
    <t>Wachter, Gerhard, Kfz-Werkstätte • Pfunds • Tirol</t>
  </si>
  <si>
    <t>Autohandel • Wachter, Gerhard, Stuben 283, Pfunds • Kontakt über aktuelle Telefonnummern ☎ und Adressen ⚑ mit Karte, Routing, Öffnungszeiten, Homepage, E-Mail, vCard und Firmendaten.</t>
  </si>
  <si>
    <t>Stuben 283</t>
  </si>
  <si>
    <t>6542</t>
  </si>
  <si>
    <t>Pfunds</t>
  </si>
  <si>
    <t>46.96944</t>
  </si>
  <si>
    <t>10.53513</t>
  </si>
  <si>
    <t>+4354745404</t>
  </si>
  <si>
    <t>info@kfzwachter.at</t>
  </si>
  <si>
    <t>https://bilder.dasschnelle.at/DasSchnelle/50/5000/9903/044587/G_044587_P_906098046.adn.gif</t>
  </si>
  <si>
    <t>Tierarztpraxis Seepark • Schörfling • Oberösterreich</t>
  </si>
  <si>
    <t>Tierärzte • Tierarztpraxis Seepark, Hauptstraße 7b 4, Schörfling • Kontakt über aktuelle Telefonnummern ☎ und Adressen ⚑ mit Karte, Routing, Öffnungszeiten, Homepage, E-Mail, vCard und Firmendaten.</t>
  </si>
  <si>
    <t>Hauptstraße 7b 4</t>
  </si>
  <si>
    <t>47.94634</t>
  </si>
  <si>
    <t>13.59442</t>
  </si>
  <si>
    <t>+43766222322</t>
  </si>
  <si>
    <t>info@tierarztpraxis-seepark.at</t>
  </si>
  <si>
    <t>https://bilder.dasschnelle.at/DasSchnelle/50/5000/9940/043555/G_998343_P_906098048.adn.gif</t>
  </si>
  <si>
    <t>Dr. Dieter Preindl, FA für Psychiatrie • Gmünd • Niederösterreich</t>
  </si>
  <si>
    <t>Ärzte / Fachärzte f. Neurologie u. Psychiatrie • Dr. Dieter Preindl, Stadtplatz 14, Gmünd • Kontakt über aktuelle Telefonnummern ☎ und Adressen ⚑ mit Karte, Routing, Öffnungszeiten, Homepage, E-Mail, vCard und Firmendaten.</t>
  </si>
  <si>
    <t>Stadtplatz 14</t>
  </si>
  <si>
    <t>48.77264</t>
  </si>
  <si>
    <t>14.98447</t>
  </si>
  <si>
    <t>+43285220370</t>
  </si>
  <si>
    <t>drdieterpreindl@medway.at</t>
  </si>
  <si>
    <t>https://bilder.dasschnelle.at/DasSchnelle/50/5000/9885/045075/G_045075_P_906098050.adn.gif</t>
  </si>
  <si>
    <t>Expert Sabitzer Livingstyle GmbH, Elektrohandel • Althofen • Kärnten</t>
  </si>
  <si>
    <t>Elektrohandel • Expert Sabitzer Livingstyle GmbH, Kreuzstraße 5, Althofen • Kontakt über aktuelle Telefonnummern ☎ und Adressen ⚑ mit Karte, Routing, Öffnungszeiten, Homepage, E-Mail, vCard und Firmendaten.</t>
  </si>
  <si>
    <t>Kreuzstraße 5</t>
  </si>
  <si>
    <t>46.87874</t>
  </si>
  <si>
    <t>14.48042</t>
  </si>
  <si>
    <t>+43426237700</t>
  </si>
  <si>
    <t>office@livingstyle.at</t>
  </si>
  <si>
    <t>https://bilder.dasschnelle.at/DasSchnelle/50/5000/9925/042109/G_042109_P_906098279.adn.gif</t>
  </si>
  <si>
    <t>Elektrounternehmen Schmiedler, Elektrounternehmen • Engelsdorf • Kärnten</t>
  </si>
  <si>
    <t>Elektrounternehmen • Elektrounternehmen Schmiedler, Schubertstraße 18, Engelsdorf • Kontakt über aktuelle Telefonnummern ☎ und Adressen ⚑ mit Karte, Routing, Öffnungszeiten, Homepage, E-Mail, vCard und Firmendaten.</t>
  </si>
  <si>
    <t>Schubertstraße 18</t>
  </si>
  <si>
    <t>Engelsdorf</t>
  </si>
  <si>
    <t>46.96416</t>
  </si>
  <si>
    <t>14.38627</t>
  </si>
  <si>
    <t>+4342683149;+436641354139</t>
  </si>
  <si>
    <t>elektroschmiedler@aon.at</t>
  </si>
  <si>
    <t>https://bilder.dasschnelle.at/DasSchnelle/50/5000/9925/042113/G_042113_P_906098283.adn.gif</t>
  </si>
  <si>
    <t>Hainzl, Hermann, Dipl.-Ing. • Perg • Oberösterreich</t>
  </si>
  <si>
    <t>Ingenieurkonsulenten (Zivilingenieure), Zivilgeometer • Hainzl, Hermann, Dipl.-Ing., Dr.-Schober-Straße 17, Perg • Kontakt über aktuelle Telefonnummern ☎ und Adressen ⚑ mit Karte, Routing, Öffnungszeiten, Homepage, E-Mail, vCard und Firmendaten.</t>
  </si>
  <si>
    <t>Dr.-Schober-Straße 17</t>
  </si>
  <si>
    <t>48.25056</t>
  </si>
  <si>
    <t>14.63602</t>
  </si>
  <si>
    <t>+437262524440</t>
  </si>
  <si>
    <t>+4372625244444</t>
  </si>
  <si>
    <t>office@hainzl-partner.at</t>
  </si>
  <si>
    <t>https://bilder.dasschnelle.at/DasSchnelle/50/5000/9916/042528/G_042528_P_906097964.adn.gif</t>
  </si>
  <si>
    <t>Da Betonschneida • Wartberg ob der Aist • Oberösterreich</t>
  </si>
  <si>
    <t>Betonbohr- u. sägedienst • Da Betonschneida, Scheiben 79, Wartberg ob der Aist • Kontakt über aktuelle Telefonnummern ☎ und Adressen ⚑ mit Karte, Routing, Öffnungszeiten, Homepage, E-Mail, vCard und Firmendaten.</t>
  </si>
  <si>
    <t>Scheiben 79</t>
  </si>
  <si>
    <t>Wartberg ob der Aist</t>
  </si>
  <si>
    <t>48.3580539</t>
  </si>
  <si>
    <t>14.4978545</t>
  </si>
  <si>
    <t>+436643582240</t>
  </si>
  <si>
    <t>schuetzeneder@dabetonschneida.at</t>
  </si>
  <si>
    <t>https://bilder.dasschnelle.at/DasSchnelle/50/5000/9882/041784/G_041784_P_906097971.adn.gif</t>
  </si>
  <si>
    <t>Gebhard, Erwin, Gartengestaltung • Glanegg • Kärnten</t>
  </si>
  <si>
    <t>Garten- u. Landschaftsgestaltung • Gebhard, Erwin, Gösselsberg 3, Glanegg • Kontakt über aktuelle Telefonnummern ☎ und Adressen ⚑ mit Karte, Routing, Öffnungszeiten, Homepage, E-Mail, vCard und Firmendaten.</t>
  </si>
  <si>
    <t>Gösselsberg 3</t>
  </si>
  <si>
    <t>9555</t>
  </si>
  <si>
    <t>Glanegg</t>
  </si>
  <si>
    <t>46.7099913</t>
  </si>
  <si>
    <t>14.1867300</t>
  </si>
  <si>
    <t>+436509062521</t>
  </si>
  <si>
    <t>office@garten-gebhard.com</t>
  </si>
  <si>
    <t>https://bilder.dasschnelle.at/DasSchnelle/50/5000/9880/042049/G_042049_P_906097974.adn.gif</t>
  </si>
  <si>
    <t>Schmölzer, Albin, Zimmerei • Ebene Reichenau • Kärnten</t>
  </si>
  <si>
    <t>Zimmereien • Schmölzer, Albin, Ebene Reichenau 88, Ebene Reichenau • Kontakt über aktuelle Telefonnummern ☎ und Adressen ⚑ mit Karte, Routing, Öffnungszeiten, Homepage, E-Mail, vCard und Firmendaten.</t>
  </si>
  <si>
    <t>Ebene Reichenau 88</t>
  </si>
  <si>
    <t>9565</t>
  </si>
  <si>
    <t>Ebene Reichenau</t>
  </si>
  <si>
    <t>46.8643048</t>
  </si>
  <si>
    <t>13.8897087</t>
  </si>
  <si>
    <t>+434275686;+436765657854</t>
  </si>
  <si>
    <t>schmoelzer.albin@aon.at</t>
  </si>
  <si>
    <t>https://bilder.dasschnelle.at/DasSchnelle/50/5000/9880/042053/G_042053_P_906098328.adn.gif</t>
  </si>
  <si>
    <t>IHT Haustechnik GmbH • Grünbach • Oberösterreich</t>
  </si>
  <si>
    <t>Elektroinstallationsunternehmen • IHT Haustechnik GmbH, Schlag 86, Grünbach • Kontakt über aktuelle Telefonnummern ☎ und Adressen ⚑ mit Karte, Routing, Öffnungszeiten, Homepage, E-Mail, vCard und Firmendaten.</t>
  </si>
  <si>
    <t>Schlag 86</t>
  </si>
  <si>
    <t>48.5207977</t>
  </si>
  <si>
    <t>14.5320966</t>
  </si>
  <si>
    <t>+43794272600</t>
  </si>
  <si>
    <t>office@iht-haustechnik.at</t>
  </si>
  <si>
    <t>https://bilder.dasschnelle.at/DasSchnelle/50/5000/9882/044816/I_044816_P_906099129_L_0038808895_1.png</t>
  </si>
  <si>
    <t>https://bilder.dasschnelle.at/DasSchnelle/50/5000/9882/044816/I_044816_P_906099129_B_0038808895_1.gal.png?height=500&amp;width=196;https://bilder.dasschnelle.at/DasSchnelle/50/5000/9882/044816/I_044816_P_906099129_B_0038808895_2.gal.png?height=500&amp;width=304</t>
  </si>
  <si>
    <t>Rigler GmbH • Mitterkirchen • Oberösterreich</t>
  </si>
  <si>
    <t>Bohrunternehmen • Rigler GmbH, Haid 20, Mitterkirchen • Kontakt über aktuelle Telefonnummern ☎ und Adressen ⚑ mit Karte, Routing, Öffnungszeiten, Homepage, E-Mail, vCard und Firmendaten.</t>
  </si>
  <si>
    <t>Haid 20</t>
  </si>
  <si>
    <t>4343</t>
  </si>
  <si>
    <t>Mitterkirchen</t>
  </si>
  <si>
    <t>48.2003169</t>
  </si>
  <si>
    <t>14.6888435</t>
  </si>
  <si>
    <t>+43726930350</t>
  </si>
  <si>
    <t>office@tiefbohtechnik-rigler.at</t>
  </si>
  <si>
    <t>https://bilder.dasschnelle.at/DasSchnelle/50/5000/9916/042524/G_042524_P_906098369.adn.gif</t>
  </si>
  <si>
    <t>Buchschartner Kanalservice GmbH • Mondsee • Oberösterreich</t>
  </si>
  <si>
    <t>Kanalservice • Buchschartner Kanalservice GmbH, Mühldorfstraße 58, Mondsee • Kontakt über aktuelle Telefonnummern ☎ und Adressen ⚑ mit Karte, Routing, Öffnungszeiten, Homepage, E-Mail, vCard und Firmendaten.</t>
  </si>
  <si>
    <t>Mühldorfstraße 58</t>
  </si>
  <si>
    <t>47.8769319</t>
  </si>
  <si>
    <t>13.3096980</t>
  </si>
  <si>
    <t>+4362323233</t>
  </si>
  <si>
    <t>office@buchschartner.at</t>
  </si>
  <si>
    <t>https://bilder.dasschnelle.at/DasSchnelle/50/5000/9909/043551/G_043551_P_906098170.adn.gif</t>
  </si>
  <si>
    <t>Stadtapotheke Mag.pharm. Ulrike Urban KG, Apotheke • Klosterneuburg • Niederösterreich</t>
  </si>
  <si>
    <t>Apotheken • Stadtapotheke Mag.pharm. Ulrike Urban KG, Albrechtstraße 39, Klosterneuburg • Kontakt über aktuelle Telefonnummern ☎ und Adressen ⚑ mit Karte, Routing, Öffnungszeiten, Homepage, E-Mail, vCard und Firmendaten.</t>
  </si>
  <si>
    <t>Albrechtstraße 39</t>
  </si>
  <si>
    <t>48.30913</t>
  </si>
  <si>
    <t>16.32099</t>
  </si>
  <si>
    <t>+43224337601</t>
  </si>
  <si>
    <t>+432243376014</t>
  </si>
  <si>
    <t>stadtapoklbg@aon.at</t>
  </si>
  <si>
    <t>https://bilder.dasschnelle.at/DasSchnelle/50/5000/9897/061492/G_061492_P_906098307.adn.gif</t>
  </si>
  <si>
    <t>Ertl, Christian, Installationsunternehmen • Windhaag/Perg • Oberösterreich</t>
  </si>
  <si>
    <t>Installationsunternehmen • Ertl, Christian, Ditlbacherstraße 5, Windhaag/Perg • Kontakt über aktuelle Telefonnummern ☎ und Adressen ⚑ mit Karte, Routing, Öffnungszeiten, Homepage, E-Mail, vCard und Firmendaten.</t>
  </si>
  <si>
    <t>Ditlbacherstraße 5</t>
  </si>
  <si>
    <t>Windhaag/Perg</t>
  </si>
  <si>
    <t>48.2844412</t>
  </si>
  <si>
    <t>14.6800427</t>
  </si>
  <si>
    <t>+436644564651</t>
  </si>
  <si>
    <t>office@christian-ertl.at</t>
  </si>
  <si>
    <t>https://bilder.dasschnelle.at/DasSchnelle/50/5000/9916/042538/I_042538_P_906099155_L_0036003001_1.png</t>
  </si>
  <si>
    <t>https://bilder.dasschnelle.at/DasSchnelle/50/5000/9916/042538/I_042538_P_906099155_B_0036003001_1.gal.png?height=559&amp;width=624;https://bilder.dasschnelle.at/DasSchnelle/50/5000/9916/042538/I_042538_P_906099155_B_0036003001_2.gal.png?height=468&amp;width=624;https://bilder.dasschnelle.at/DasSchnelle/50/5000/9916/042538/I_042538_P_906099155_B_0036003001_3.gal.png?height=445&amp;width=700</t>
  </si>
  <si>
    <t>MA Steinwerk OG, Plasterbau • Freistadt • Oberösterreich</t>
  </si>
  <si>
    <t>Steinbruch • MA Steinwerk OG, Kalvarienbergstraße 1, Freistadt • Kontakt über aktuelle Telefonnummern ☎ und Adressen ⚑ mit Karte, Routing, Öffnungszeiten, Homepage, E-Mail, vCard und Firmendaten.</t>
  </si>
  <si>
    <t>Kalvarienbergstraße 1</t>
  </si>
  <si>
    <t>48.5163600</t>
  </si>
  <si>
    <t>14.5010800</t>
  </si>
  <si>
    <t>+436763278392</t>
  </si>
  <si>
    <t>office@mapflasterbau.at</t>
  </si>
  <si>
    <t>https://bilder.dasschnelle.at/DasSchnelle/50/5000/9882/044815/I_044815_P_906099299_L_0038808614_1.png</t>
  </si>
  <si>
    <t>https://bilder.dasschnelle.at/DasSchnelle/50/5000/9882/044815/I_044815_P_906099299_B_0038808614_1.gal.png?height=540&amp;width=720;https://bilder.dasschnelle.at/DasSchnelle/50/5000/9882/044815/I_044815_P_906099299_B_0038808614_2.gal.png?height=960&amp;width=720;https://bilder.dasschnelle.at/DasSchnelle/50/5000/9882/044815/I_044815_P_906099299_B_0038808614_3.gal.png?height=540&amp;width=720;https://bilder.dasschnelle.at/DasSchnelle/50/5000/9882/044815/I_044815_P_906099299_B_0038808614_4.gal.png?height=960&amp;width=720</t>
  </si>
  <si>
    <t>Therapiepunkt Strohmaier Birgit, Osteophatie  • Timelkam • Oberösterreich</t>
  </si>
  <si>
    <t>Ärzte / f Allgemeinmedizin • Therapiepunkt Strohmaier Birgit, Osteophatie, Oberthalheim 16 A 4, Timelkam • Kontakt über aktuelle Telefonnummern ☎ und Adressen ⚑ mit Karte, Routing, Öffnungszeiten, Homepage, E-Mail, vCard und Firmendaten.</t>
  </si>
  <si>
    <t>Oberthalheim 16 A 4</t>
  </si>
  <si>
    <t>48.00289</t>
  </si>
  <si>
    <t>13.61335</t>
  </si>
  <si>
    <t>+43767293281</t>
  </si>
  <si>
    <t>office@therapiepunkt.info</t>
  </si>
  <si>
    <t>https://bilder.dasschnelle.at/DasSchnelle/50/5000/9940/998342/G_998342_P_906099784.adn.gif</t>
  </si>
  <si>
    <t>KFZ Tech Grell • Grein • Oberösterreich</t>
  </si>
  <si>
    <t>Autoreparaturen • KFZ Tech Grell, Kreuznerstraße 1, Grein • Kontakt über aktuelle Telefonnummern ☎ und Adressen ⚑ mit Karte, Routing, Öffnungszeiten, Homepage, E-Mail, vCard und Firmendaten.</t>
  </si>
  <si>
    <t>Kreuznerstraße 1</t>
  </si>
  <si>
    <t>4360</t>
  </si>
  <si>
    <t>Grein</t>
  </si>
  <si>
    <t>48.22683</t>
  </si>
  <si>
    <t>14.85454</t>
  </si>
  <si>
    <t>+437268230</t>
  </si>
  <si>
    <t>+4372687503</t>
  </si>
  <si>
    <t>kfz.krottenthaler@aon.at</t>
  </si>
  <si>
    <t>https://bilder.dasschnelle.at/DasSchnelle/50/5000/9916/042517/G_042517_P_906099790.adn.gif</t>
  </si>
  <si>
    <t>Dudzus, Kristine, Mag., Psychotherapie &amp; Supervision • Königstetten • Niederösterreich</t>
  </si>
  <si>
    <t>Psychotherapie • Dudzus, Kristine, Mag., Hochstraße 8, Königstetten • Kontakt über aktuelle Telefonnummern ☎ und Adressen ⚑ mit Karte, Routing, Öffnungszeiten, Homepage, E-Mail, vCard und Firmendaten.</t>
  </si>
  <si>
    <t>Hochstraße 8</t>
  </si>
  <si>
    <t>3433</t>
  </si>
  <si>
    <t>Königstetten</t>
  </si>
  <si>
    <t>48.30045</t>
  </si>
  <si>
    <t>16.14967</t>
  </si>
  <si>
    <t>+436641038321</t>
  </si>
  <si>
    <t>k.dudzus@gmx.at</t>
  </si>
  <si>
    <t>https://bilder.dasschnelle.at/DasSchnelle/50/5000/9897/044241/G_044241_P_906099806.adn.gif</t>
  </si>
  <si>
    <t>Attersee Treuhand, Wirtschaftsprüfungs- und Steuerberatungs GmbH • Attersee • Oberösterreich</t>
  </si>
  <si>
    <t>Unternehmensberatung • Attersee Treuhand, Landungsplatz 5, Attersee • Kontakt über aktuelle Telefonnummern ☎ und Adressen ⚑ mit Karte, Routing, Öffnungszeiten, Homepage, E-Mail, vCard und Firmendaten.</t>
  </si>
  <si>
    <t>Landungsplatz 5</t>
  </si>
  <si>
    <t>47.9124589</t>
  </si>
  <si>
    <t>13.5110736</t>
  </si>
  <si>
    <t>+4376668116</t>
  </si>
  <si>
    <t>office@attersee-treuhand.at</t>
  </si>
  <si>
    <t>https://bilder.dasschnelle.at/DasSchnelle/50/5000/9940/043068/G_043068_P_906101314.adn.gif</t>
  </si>
  <si>
    <t>Schmankerl Wirt, Gastronomie • Vorderweißenbach • Oberösterreich</t>
  </si>
  <si>
    <t>Gastronomiebetriebe • Schmankerl Wirt, Brückenstraße 15, Vorderweißenbach • Kontakt über aktuelle Telefonnummern ☎ und Adressen ⚑ mit Karte, Routing, Öffnungszeiten, Homepage, E-Mail, vCard und Firmendaten.</t>
  </si>
  <si>
    <t>Brückenstraße 15</t>
  </si>
  <si>
    <t>4191</t>
  </si>
  <si>
    <t>Vorderweißenbach</t>
  </si>
  <si>
    <t>48.5513100</t>
  </si>
  <si>
    <t>14.2163200</t>
  </si>
  <si>
    <t>+4372196004</t>
  </si>
  <si>
    <t>office@lummerstorfer.at</t>
  </si>
  <si>
    <t>https://bilder.dasschnelle.at/DasSchnelle/50/5000/9939/043064/I_043064_P_906101318_L_0035999150_1.png</t>
  </si>
  <si>
    <t>https://bilder.dasschnelle.at/DasSchnelle/50/5000/9939/043064/I_043064_P_906101318_B_0035999150_1.gal.png?height=343&amp;width=438;https://bilder.dasschnelle.at/DasSchnelle/50/5000/9939/043064/I_043064_P_906101318_B_0035999150_2.gal.png?height=530&amp;width=792;https://bilder.dasschnelle.at/DasSchnelle/50/5000/9939/043064/I_043064_P_906101318_B_0035999150_3.gal.png?height=478&amp;width=831;https://bilder.dasschnelle.at/DasSchnelle/50/5000/9939/043064/I_043064_P_906101318_B_0035999150_4.gal.png?height=375&amp;width=569</t>
  </si>
  <si>
    <t>Pröll Wohnideen GmbH • Piberschlag • Oberösterreich</t>
  </si>
  <si>
    <t>Tischlereien • Pröll Wohnideen GmbH, Piberschlag 170, Piberschlag • Kontakt über aktuelle Telefonnummern ☎ und Adressen ⚑ mit Karte, Routing, Öffnungszeiten, Homepage, E-Mail, vCard und Firmendaten.</t>
  </si>
  <si>
    <t>Piberschlag 170</t>
  </si>
  <si>
    <t>4184</t>
  </si>
  <si>
    <t>Piberschlag</t>
  </si>
  <si>
    <t>48.5608284</t>
  </si>
  <si>
    <t>14.1757803</t>
  </si>
  <si>
    <t>+43721620235;+436643467949</t>
  </si>
  <si>
    <t>office@proell-wohnideen.at</t>
  </si>
  <si>
    <t>https://bilder.dasschnelle.at/DasSchnelle/50/5000/9939/042831/G_042831_P_906101379.adn.gif</t>
  </si>
  <si>
    <t>Platten u. Fliesenleger Xanda • Wagrain • Salzburg</t>
  </si>
  <si>
    <t>Fliesenfachhandel • Platten u. Fliesenleger Xanda, Goldanger 15, Wagrain • Kontakt über aktuelle Telefonnummern ☎ und Adressen ⚑ mit Karte, Routing, Öffnungszeiten, Homepage, E-Mail, vCard und Firmendaten.</t>
  </si>
  <si>
    <t>Goldanger 15</t>
  </si>
  <si>
    <t>47.3351</t>
  </si>
  <si>
    <t>13.29241</t>
  </si>
  <si>
    <t>+436769641151</t>
  </si>
  <si>
    <t>xandrafliesen@sbg.at</t>
  </si>
  <si>
    <t>https://bilder.dasschnelle.at/DasSchnelle/50/5000/9919/043356/G_043356_P_906101394.adn.gif</t>
  </si>
  <si>
    <t>Zimmerei Kaltner • Goldegg • Salzburg</t>
  </si>
  <si>
    <t>Zimmereien • Zimmerei Kaltner, Altenhof 51, Goldegg • Kontakt über aktuelle Telefonnummern ☎ und Adressen ⚑ mit Karte, Routing, Öffnungszeiten, Homepage, E-Mail, vCard und Firmendaten.</t>
  </si>
  <si>
    <t>Altenhof 51</t>
  </si>
  <si>
    <t>5622</t>
  </si>
  <si>
    <t>Goldegg</t>
  </si>
  <si>
    <t>47.3154691</t>
  </si>
  <si>
    <t>13.0928292</t>
  </si>
  <si>
    <t>+436649718445</t>
  </si>
  <si>
    <t>office@zimmerei-kaltner.at</t>
  </si>
  <si>
    <t>https://bilder.dasschnelle.at/DasSchnelle/50/5000/9919/043343/G_043343_P_906101396.adn.gif</t>
  </si>
  <si>
    <t>Huber, Othmar, Physiotherapie • Schwanenstadt • Oberösterreich</t>
  </si>
  <si>
    <t>Physiotherapie • Huber, Othmar, Rudolf Staudinger-Straße 6, Schwanenstadt • Kontakt über aktuelle Telefonnummern ☎ und Adressen ⚑ mit Karte, Routing, Öffnungszeiten, Homepage, E-Mail, vCard und Firmendaten.</t>
  </si>
  <si>
    <t>Rudolf Staudinger-Straße 6</t>
  </si>
  <si>
    <t>4690</t>
  </si>
  <si>
    <t>Schwanenstadt</t>
  </si>
  <si>
    <t>48.05594</t>
  </si>
  <si>
    <t>13.78246</t>
  </si>
  <si>
    <t>+4369910587443;+43767330122</t>
  </si>
  <si>
    <t>mail@physiotherapie-huber.at</t>
  </si>
  <si>
    <t>https://bilder.dasschnelle.at/DasSchnelle/50/5000/9940/043104/G_043104_P_906102330.adn.gif</t>
  </si>
  <si>
    <t>Reichtomann, Eleonore, Blumen Gärtner • Gramastetten • Oberösterreich</t>
  </si>
  <si>
    <t>Blumenhandel, Gärtnereien • Reichtomann, Eleonore, Marktstraße 27, Gramastetten • Kontakt über aktuelle Telefonnummern ☎ und Adressen ⚑ mit Karte, Routing, Öffnungszeiten, Homepage, E-Mail, vCard und Firmendaten.</t>
  </si>
  <si>
    <t>Marktstraße 27</t>
  </si>
  <si>
    <t>4201</t>
  </si>
  <si>
    <t>Gramastetten</t>
  </si>
  <si>
    <t>48.38068</t>
  </si>
  <si>
    <t>14.18973</t>
  </si>
  <si>
    <t>+43723975119;+4366473912560</t>
  </si>
  <si>
    <t>floren@aon.at</t>
  </si>
  <si>
    <t>https://bilder.dasschnelle.at/DasSchnelle/50/5000/9939/042834/I_042834_P_906102336_L_0035999087_1.png</t>
  </si>
  <si>
    <t>https://bilder.dasschnelle.at/DasSchnelle/50/5000/9939/042834/I_042834_P_906102336_B_0035999087_1.gal.png?height=933&amp;width=931;https://bilder.dasschnelle.at/DasSchnelle/50/5000/9939/042834/I_042834_P_906102336_B_0035999087_2.gal.png?height=990&amp;width=728;https://bilder.dasschnelle.at/DasSchnelle/50/5000/9939/042834/I_042834_P_906102336_B_0035999087_3.gal.png?height=644&amp;width=831;https://bilder.dasschnelle.at/DasSchnelle/50/5000/9939/042834/I_042834_P_906102336_B_0035999087_4.gal.png?height=1008&amp;width=747</t>
  </si>
  <si>
    <t>Bambi-Dach, Dachdecker • Brünning • Oberösterreich</t>
  </si>
  <si>
    <t>Dachdeckereien • Bambi-Dach, Baumbergerstraße 1, Brünning • Kontakt über aktuelle Telefonnummern ☎ und Adressen ⚑ mit Karte, Routing, Öffnungszeiten, Homepage, E-Mail, vCard und Firmendaten.</t>
  </si>
  <si>
    <t>Baumbergerstraße 1</t>
  </si>
  <si>
    <t>Brünning</t>
  </si>
  <si>
    <t>48.3477</t>
  </si>
  <si>
    <t>13.63703</t>
  </si>
  <si>
    <t>+4377623506</t>
  </si>
  <si>
    <t>bambi-dach@aon.at</t>
  </si>
  <si>
    <t>https://bilder.dasschnelle.at/DasSchnelle/50/5000/9926/042789/G_042789_P_906102339.adn.gif</t>
  </si>
  <si>
    <t>Christoforov, Ianko, Dr.med., Ärzte / Fachärzte f Urologie • Waidhofen an der Thaya • Niederösterreich</t>
  </si>
  <si>
    <t>Ärzte / Fachärzte f. Urologie • Christoforov, Ianko, Dr.med., Vitiserstraße 12, Waidhofen an der Thaya • Kontakt über aktuelle Telefonnummern ☎ und Adressen ⚑ mit Karte, Routing, Öffnungszeiten, Homepage, E-Mail, vCard und Firmendaten.</t>
  </si>
  <si>
    <t>Vitiserstraße 12</t>
  </si>
  <si>
    <t>48.81065</t>
  </si>
  <si>
    <t>15.27979</t>
  </si>
  <si>
    <t>+43284252425</t>
  </si>
  <si>
    <t>+432842524254</t>
  </si>
  <si>
    <t>ordination@urologie-noe.at</t>
  </si>
  <si>
    <t>https://bilder.dasschnelle.at/DasSchnelle/50/5000/9885/044264/G_044264_P_906102343.adn.gif</t>
  </si>
  <si>
    <t>Ginterseder, Michael, Tischlerei • Gramastetten • Oberösterreich</t>
  </si>
  <si>
    <t>Tischlereien, Wagnereien • Ginterseder, Michael, Alte Farb 9, Gramastetten • Kontakt über aktuelle Telefonnummern ☎ und Adressen ⚑ mit Karte, Routing, Öffnungszeiten, Homepage, E-Mail, vCard und Firmendaten.</t>
  </si>
  <si>
    <t>Alte Farb 9</t>
  </si>
  <si>
    <t>48.37933</t>
  </si>
  <si>
    <t>14.19126</t>
  </si>
  <si>
    <t>+4372398139</t>
  </si>
  <si>
    <t>tischlerei@ginterseder.at</t>
  </si>
  <si>
    <t>https://bilder.dasschnelle.at/DasSchnelle/50/5000/9939/042834/G_042834_P_906102346.adn.gif</t>
  </si>
  <si>
    <t>EEN Elektro GmbH • Raab • Oberösterreich</t>
  </si>
  <si>
    <t>Elektrotechnik • EEN Elektro GmbH, Marktstraße 24, Raab • Kontakt über aktuelle Telefonnummern ☎ und Adressen ⚑ mit Karte, Routing, Öffnungszeiten, Homepage, E-Mail, vCard und Firmendaten.</t>
  </si>
  <si>
    <t>Marktstraße 24</t>
  </si>
  <si>
    <t>48.35102</t>
  </si>
  <si>
    <t>13.65451</t>
  </si>
  <si>
    <t>+4377623302</t>
  </si>
  <si>
    <t>info@een.co.at</t>
  </si>
  <si>
    <t>https://bilder.dasschnelle.at/DasSchnelle/50/5000/9926/042789/G_042789_P_906102408.adn.gif</t>
  </si>
  <si>
    <t>Paar Spenglerei GesmbH, Spenglereien • Feldbach • Steiermark</t>
  </si>
  <si>
    <t>Spenglereien • Paar Spenglerei GesmbH, Feldgasse 13, Feldbach • Kontakt über aktuelle Telefonnummern ☎ und Adressen ⚑ mit Karte, Routing, Öffnungszeiten, Homepage, E-Mail, vCard und Firmendaten.</t>
  </si>
  <si>
    <t>Feldgasse 13</t>
  </si>
  <si>
    <t>46.95303</t>
  </si>
  <si>
    <t>15.89297</t>
  </si>
  <si>
    <t>+43315223390</t>
  </si>
  <si>
    <t>office@paar.co.at</t>
  </si>
  <si>
    <t>https://bilder.dasschnelle.at/DasSchnelle/50/5000/9879/061391/I_061391_P_906101269_L_0036177338_1.png</t>
  </si>
  <si>
    <t>https://bilder.dasschnelle.at/DasSchnelle/50/5000/9879/061391/I_061391_P_906101269_B_0036177338_1.gal.png?height=264&amp;width=400;https://bilder.dasschnelle.at/DasSchnelle/50/5000/9879/061391/I_061391_P_906101269_B_0036177338_2.gal.png?height=264&amp;width=400;https://bilder.dasschnelle.at/DasSchnelle/50/5000/9879/061391/I_061391_P_906101269_B_0036177338_3.gal.png?height=430&amp;width=650;https://bilder.dasschnelle.at/DasSchnelle/50/5000/9879/061391/I_061391_P_906101269_B_0036177338_4.gal.png?height=430&amp;width=650</t>
  </si>
  <si>
    <t>Glas &amp; Design Anton u Christoph Kowald OG, Glas • Feldbach • Steiermark</t>
  </si>
  <si>
    <t>Glas u. Service • Glas &amp; Design Anton u Christoph Kowald OG, Vogelsanggasse 14, Feldbach • Kontakt über aktuelle Telefonnummern ☎ und Adressen ⚑ mit Karte, Routing, Öffnungszeiten, Homepage, E-Mail, vCard und Firmendaten.</t>
  </si>
  <si>
    <t>Vogelsanggasse 14</t>
  </si>
  <si>
    <t>46.95304</t>
  </si>
  <si>
    <t>15.89189</t>
  </si>
  <si>
    <t>+43315237269</t>
  </si>
  <si>
    <t>office@glas-design.kowald.at</t>
  </si>
  <si>
    <t>https://bilder.dasschnelle.at/DasSchnelle/50/5000/9879/061391/G_061391_P_906101271.adn.gif</t>
  </si>
  <si>
    <t>Kolp, Oswald, Sanitärtechnik • Pians • Tirol</t>
  </si>
  <si>
    <t>Sanitärtechnik • Kolp, Oswald, Pians 23, Pians • Kontakt über aktuelle Telefonnummern ☎ und Adressen ⚑ mit Karte, Routing, Öffnungszeiten, Homepage, E-Mail, vCard und Firmendaten.</t>
  </si>
  <si>
    <t>Pians 23</t>
  </si>
  <si>
    <t>6551</t>
  </si>
  <si>
    <t>Pians</t>
  </si>
  <si>
    <t>47.1355401</t>
  </si>
  <si>
    <t>10.5112042</t>
  </si>
  <si>
    <t>+43544265644;+436641029256</t>
  </si>
  <si>
    <t>oswald.kolp@kolp-oswald.at</t>
  </si>
  <si>
    <t>https://bilder.dasschnelle.at/DasSchnelle/50/5000/9903/044588/G_044588_P_906101403.adn.gif</t>
  </si>
  <si>
    <t>Sajo Fassadenbau, Fassadenbau • Pregarten • Oberösterreich</t>
  </si>
  <si>
    <t>Fassadenbau • Sajo Fassadenbau, Grünbichl 112, Pregarten • Kontakt über aktuelle Telefonnummern ☎ und Adressen ⚑ mit Karte, Routing, Öffnungszeiten, Homepage, E-Mail, vCard und Firmendaten.</t>
  </si>
  <si>
    <t>Grünbichl 112</t>
  </si>
  <si>
    <t>48.3491500</t>
  </si>
  <si>
    <t>14.5238600</t>
  </si>
  <si>
    <t>+436602137167</t>
  </si>
  <si>
    <t>sajo.fassadenbau@hotmail.com</t>
  </si>
  <si>
    <t>https://bilder.dasschnelle.at/DasSchnelle/50/5000/9882/041774/G_041774_P_906102358.adn.gif</t>
  </si>
  <si>
    <t>Bestattung Schreiner GmbH, Bestattungsunternehmen • Fehring • Steiermark</t>
  </si>
  <si>
    <t>Bestattungsunternehmen • Bestattung Schreiner GmbH, Annengasse 4, Fehring • Kontakt über aktuelle Telefonnummern ☎ und Adressen ⚑ mit Karte, Routing, Öffnungszeiten, Homepage, E-Mail, vCard und Firmendaten.</t>
  </si>
  <si>
    <t>Annengasse 4</t>
  </si>
  <si>
    <t>46.93477</t>
  </si>
  <si>
    <t>16.00822</t>
  </si>
  <si>
    <t>+4331552226</t>
  </si>
  <si>
    <t>bestattung@schreiner-fehring.at</t>
  </si>
  <si>
    <t>https://bilder.dasschnelle.at/DasSchnelle/50/5000/9879/061365/I_061365_P_906102382_L_0036177373_1.png</t>
  </si>
  <si>
    <t>https://bilder.dasschnelle.at/DasSchnelle/50/5000/9879/061365/I_061365_P_906102382_B_0036177373_1.gal.png?height=375&amp;width=500;https://bilder.dasschnelle.at/DasSchnelle/50/5000/9879/061365/I_061365_P_906102382_B_0036177373_2.gal.png?height=600&amp;width=393</t>
  </si>
  <si>
    <t>TF Haustec GmbH, Installationen • Katzendorf • Steiermark</t>
  </si>
  <si>
    <t>Elektrogeräte u. -bedarf, Heizungen, Installationsunternehmen • TF Haustec GmbH, Katzendorf 1, Katzendorf • Kontakt über aktuelle Telefonnummern ☎ und Adressen ⚑ mit Karte, Routing, Öffnungszeiten, Homepage, E-Mail, vCard und Firmendaten.</t>
  </si>
  <si>
    <t>Katzendorf 1</t>
  </si>
  <si>
    <t>Katzendorf</t>
  </si>
  <si>
    <t>46.8796929</t>
  </si>
  <si>
    <t>15.8510061</t>
  </si>
  <si>
    <t>+43720316899</t>
  </si>
  <si>
    <t>office@tfhaustec.at</t>
  </si>
  <si>
    <t>https://bilder.dasschnelle.at/DasSchnelle/50/5000/9879/061351/G_061351_P_906102387.adn.gif</t>
  </si>
  <si>
    <t>Autohaus Grufeneder GmbH, Autohaus • Grein • Oberösterreich</t>
  </si>
  <si>
    <t>Autohandel • Autohaus Grufeneder GmbH, Ufer 7, Grein • Kontakt über aktuelle Telefonnummern ☎ und Adressen ⚑ mit Karte, Routing, Öffnungszeiten, Homepage, E-Mail, vCard und Firmendaten.</t>
  </si>
  <si>
    <t>Ufer 7</t>
  </si>
  <si>
    <t>48.2212042</t>
  </si>
  <si>
    <t>14.8525038</t>
  </si>
  <si>
    <t>+437268288</t>
  </si>
  <si>
    <t>grufeneder@perg.at</t>
  </si>
  <si>
    <t>https://bilder.dasschnelle.at/DasSchnelle/50/5000/9916/042517/I_042517_P_906101348_L_0035999542_1.png</t>
  </si>
  <si>
    <t>https://bilder.dasschnelle.at/DasSchnelle/50/5000/9916/042517/I_042517_P_906101348_B_0035999542_1.gal.png?height=270&amp;width=670;https://bilder.dasschnelle.at/DasSchnelle/50/5000/9916/042517/I_042517_P_906101348_B_0035999542_2.gal.png?height=270&amp;width=670;https://bilder.dasschnelle.at/DasSchnelle/50/5000/9916/042517/I_042517_P_906101348_B_0035999542_3.gal.png?height=270&amp;width=670;https://bilder.dasschnelle.at/DasSchnelle/50/5000/9916/042517/I_042517_P_906101348_B_0035999542_4.gal.png?height=270&amp;width=670</t>
  </si>
  <si>
    <t>Harras Parkett Handels GmbH • Stockerau • Niederösterreich</t>
  </si>
  <si>
    <t>Parkettböden • Harras Parkett Handels GmbH, Feldgasse 4, Stockerau • Kontakt über aktuelle Telefonnummern ☎ und Adressen ⚑ mit Karte, Routing, Öffnungszeiten, Homepage, E-Mail, vCard und Firmendaten.</t>
  </si>
  <si>
    <t>Feldgasse 4</t>
  </si>
  <si>
    <t>48.3863943</t>
  </si>
  <si>
    <t>16.2051112</t>
  </si>
  <si>
    <t>+43226621320</t>
  </si>
  <si>
    <t>office@harras-parkett.at</t>
  </si>
  <si>
    <t>https://bilder.dasschnelle.at/DasSchnelle/50/5000/9898/041413/G_041413_P_906104111.adn.gif</t>
  </si>
  <si>
    <t>Immobilien Weber • Klosterneuburg • Niederösterreich</t>
  </si>
  <si>
    <t>Immobilien • Immobilien Weber, Hofkirchnergasse 7, Klosterneuburg • Kontakt über aktuelle Telefonnummern ☎ und Adressen ⚑ mit Karte, Routing, Öffnungszeiten, Homepage, E-Mail, vCard und Firmendaten.</t>
  </si>
  <si>
    <t>Hofkirchnergasse 7</t>
  </si>
  <si>
    <t>48.307336</t>
  </si>
  <si>
    <t>16.3229002</t>
  </si>
  <si>
    <t>+43224325552</t>
  </si>
  <si>
    <t>weber@i-w.at</t>
  </si>
  <si>
    <t>https://bilder.dasschnelle.at/DasSchnelle/50/5000/9897/061492/G_061492_P_906104195.adn.gif</t>
  </si>
  <si>
    <t>Bonstingl Bau GmbH, Bauunternehmen • Fürstenfeld • Steiermark</t>
  </si>
  <si>
    <t>Bauunternehmen • Bonstingl Bau GmbH, Wieskapellenweg 8, Fürstenfeld • Kontakt über aktuelle Telefonnummern ☎ und Adressen ⚑ mit Karte, Routing, Öffnungszeiten, Homepage, E-Mail, vCard und Firmendaten.</t>
  </si>
  <si>
    <t>Wieskapellenweg 8</t>
  </si>
  <si>
    <t>47.04292</t>
  </si>
  <si>
    <t>16.08113</t>
  </si>
  <si>
    <t>+433382536470;+4369917700810</t>
  </si>
  <si>
    <t>+43338253664</t>
  </si>
  <si>
    <t>office@bonstingl.at</t>
  </si>
  <si>
    <t>https://bilder.dasschnelle.at/DasSchnelle/50/5000/9884/061368/G_061368_P_906104207.adn.gif</t>
  </si>
  <si>
    <t>Blumen Karin, Floristik • Bad Leonfelden • Oberösterreich</t>
  </si>
  <si>
    <t>Blumenbinder, Blumenhandel • Blumen Karin, Lebzelterstraße 1, Bad Leonfelden • Kontakt über aktuelle Telefonnummern ☎ und Adressen ⚑ mit Karte, Routing, Öffnungszeiten, Homepage, E-Mail, vCard und Firmendaten.</t>
  </si>
  <si>
    <t>Lebzelterstraße 1</t>
  </si>
  <si>
    <t>48.52205</t>
  </si>
  <si>
    <t>14.29599</t>
  </si>
  <si>
    <t>+436502831855</t>
  </si>
  <si>
    <t>office@blumenkarin.at</t>
  </si>
  <si>
    <t>https://bilder.dasschnelle.at/DasSchnelle/50/5000/9939/042828/I_042828_P_906103320_L_0035999288_1.png</t>
  </si>
  <si>
    <t>https://bilder.dasschnelle.at/DasSchnelle/50/5000/9939/042828/I_042828_P_906103320_B_0035999288_1.gal.png?height=638&amp;width=540;https://bilder.dasschnelle.at/DasSchnelle/50/5000/9939/042828/I_042828_P_906103320_B_0035999288_2.gal.png?height=327&amp;width=491;https://bilder.dasschnelle.at/DasSchnelle/50/5000/9939/042828/I_042828_P_906103320_B_0035999288_3.gal.png?height=890&amp;width=886;https://bilder.dasschnelle.at/DasSchnelle/50/5000/9939/042828/I_042828_P_906103320_B_0035999288_4.gal.png?height=886&amp;width=892</t>
  </si>
  <si>
    <t>Bretbacher, Jakob, Ing. • Tuffeltsham • Oberösterreich</t>
  </si>
  <si>
    <t>Massagen • Bretbacher, Jakob, Ing., Tuffeltsham • Kontakt über aktuelle Telefonnummern ☎ und Adressen ⚑ mit Karte, Routing, Öffnungszeiten, Homepage, E-Mail, vCard und Firmendaten.</t>
  </si>
  <si>
    <t>4846</t>
  </si>
  <si>
    <t>Tuffeltsham</t>
  </si>
  <si>
    <t>48.0309470</t>
  </si>
  <si>
    <t>13.7289577</t>
  </si>
  <si>
    <t>+436801445998</t>
  </si>
  <si>
    <t>j.bretbacher@knr.at</t>
  </si>
  <si>
    <t>https://bilder.dasschnelle.at/DasSchnelle/50/5000/9940/043096/G_043096_P_906103396.adn.gif</t>
  </si>
  <si>
    <t>Ebner Elektro GmbH • Unterweißenbach • Oberösterreich</t>
  </si>
  <si>
    <t>Elektrounternehmen • Ebner Elektro GmbH, Freistädter Straße 1, Unterweißenbach • Kontakt über aktuelle Telefonnummern ☎ und Adressen ⚑ mit Karte, Routing, Öffnungszeiten, Homepage, E-Mail, vCard und Firmendaten.</t>
  </si>
  <si>
    <t>Freistädter Straße 1</t>
  </si>
  <si>
    <t>48.4385</t>
  </si>
  <si>
    <t>14.78111</t>
  </si>
  <si>
    <t>+4379567800</t>
  </si>
  <si>
    <t>i.gruenberger@elektro-ebner.at</t>
  </si>
  <si>
    <t>https://bilder.dasschnelle.at/DasSchnelle/50/5000/9882/041781/G_041781_P_906105370.adn.gif</t>
  </si>
  <si>
    <t>Möbelhaus u Tischlerei Pettino GesbR • Bischofshofen • Salzburg</t>
  </si>
  <si>
    <t>Tischlereien • Möbelhaus u Tischlerei Pettino GesbR, Bodenlehenstraße 17, Bischofshofen • Kontakt über aktuelle Telefonnummern ☎ und Adressen ⚑ mit Karte, Routing, Öffnungszeiten, Homepage, E-Mail, vCard und Firmendaten.</t>
  </si>
  <si>
    <t>Bodenlehenstraße 17</t>
  </si>
  <si>
    <t>47.42054</t>
  </si>
  <si>
    <t>13.21595</t>
  </si>
  <si>
    <t>+4364624017</t>
  </si>
  <si>
    <t>+4364625623</t>
  </si>
  <si>
    <t>office@pettino.at</t>
  </si>
  <si>
    <t>https://bilder.dasschnelle.at/DasSchnelle/50/5000/9919/043337/G_043337_P_906106420.adn.gif</t>
  </si>
  <si>
    <t>Waldstein Hörgeräte OG • Gramastetten • Oberösterreich</t>
  </si>
  <si>
    <t>Hörgeräte • Waldstein Hörgeräte OG, Marktstraße 32, Gramastetten • Kontakt über aktuelle Telefonnummern ☎ und Adressen ⚑ mit Karte, Routing, Öffnungszeiten, Homepage, E-Mail, vCard und Firmendaten.</t>
  </si>
  <si>
    <t>Marktstraße 32</t>
  </si>
  <si>
    <t>48.38023</t>
  </si>
  <si>
    <t>14.19034</t>
  </si>
  <si>
    <t>+4369919011965</t>
  </si>
  <si>
    <t>faszination@waldstein.at</t>
  </si>
  <si>
    <t>https://bilder.dasschnelle.at/DasSchnelle/50/5000/9939/042834/I_042834_P_906106424_L_0036006160_1.png</t>
  </si>
  <si>
    <t>https://bilder.dasschnelle.at/DasSchnelle/50/5000/9939/042834/I_042834_P_906106424_B_0036006160_1.gal.png?height=187&amp;width=472;https://bilder.dasschnelle.at/DasSchnelle/50/5000/9939/042834/I_042834_P_906106424_B_0036006160_2.gal.png?height=187&amp;width=472;https://bilder.dasschnelle.at/DasSchnelle/50/5000/9939/042834/I_042834_P_906106424_B_0036006160_3.gal.png?height=187&amp;width=472;https://bilder.dasschnelle.at/DasSchnelle/50/5000/9939/042834/I_042834_P_906106424_B_0036006160_4.gal.png?height=284&amp;width=912</t>
  </si>
  <si>
    <t>Dumfart, Gerhard, Tapezierer • Gramastetten • Oberösterreich</t>
  </si>
  <si>
    <t>Raumausstatter, Tapezierer • Dumfart, Gerhard, Marktstraße 8, Gramastetten • Kontakt über aktuelle Telefonnummern ☎ und Adressen ⚑ mit Karte, Routing, Öffnungszeiten, Homepage, E-Mail, vCard und Firmendaten.</t>
  </si>
  <si>
    <t>Marktstraße 8</t>
  </si>
  <si>
    <t>48.3807</t>
  </si>
  <si>
    <t>14.18796</t>
  </si>
  <si>
    <t>+4372398204;+436645260399</t>
  </si>
  <si>
    <t>raumausstatter.dumfart@aon.at</t>
  </si>
  <si>
    <t>https://bilder.dasschnelle.at/DasSchnelle/50/5000/9939/042834/G_042834_P_906106479.adn.gif</t>
  </si>
  <si>
    <t>HB 24 Haustechnik InstallationsgmbH, Installation • Spital • Niederösterreich</t>
  </si>
  <si>
    <t>Installationsunternehmen • HB 24 Haustechnik InstallationsgmbH, Ebenfeld 1, Spital • Kontakt über aktuelle Telefonnummern ☎ und Adressen ⚑ mit Karte, Routing, Öffnungszeiten, Homepage, E-Mail, vCard und Firmendaten.</t>
  </si>
  <si>
    <t>Ebenfeld 1</t>
  </si>
  <si>
    <t>3451</t>
  </si>
  <si>
    <t>Spital</t>
  </si>
  <si>
    <t>48.28213</t>
  </si>
  <si>
    <t>15.93041</t>
  </si>
  <si>
    <t>+43227541272;+436645200904</t>
  </si>
  <si>
    <t>office@hb24.at</t>
  </si>
  <si>
    <t>https://bilder.dasschnelle.at/DasSchnelle/50/5000/9938/044243/G_044243_P_906106486.adn.gif</t>
  </si>
  <si>
    <t>Lagerhaus Landeck, Lagerhaus • Grins • Tirol</t>
  </si>
  <si>
    <t>Genossenschaft • Lagerhaus Landeck, Graf 152, Grins • Kontakt über aktuelle Telefonnummern ☎ und Adressen ⚑ mit Karte, Routing, Öffnungszeiten, Homepage, E-Mail, vCard und Firmendaten.</t>
  </si>
  <si>
    <t>Graf 152</t>
  </si>
  <si>
    <t>Grins</t>
  </si>
  <si>
    <t>47.15258</t>
  </si>
  <si>
    <t>10.58202</t>
  </si>
  <si>
    <t>+435442624720</t>
  </si>
  <si>
    <t>christoph.juen@lg.co.at</t>
  </si>
  <si>
    <t>https://bilder.dasschnelle.at/DasSchnelle/50/5000/9903/044584/G_044584_P_906107374.adn.gif</t>
  </si>
  <si>
    <t>iKlima Ivanko, Mario, Installateur • Attnang-Puchheim • Oberösterreich</t>
  </si>
  <si>
    <t>Installationsunternehmen • iKlima Ivanko, Mario, Erlenweg 18, Attnang-Puchheim • Kontakt über aktuelle Telefonnummern ☎ und Adressen ⚑ mit Karte, Routing, Öffnungszeiten, Homepage, E-Mail, vCard und Firmendaten.</t>
  </si>
  <si>
    <t>Erlenweg 18</t>
  </si>
  <si>
    <t>48.01758</t>
  </si>
  <si>
    <t>13.71287</t>
  </si>
  <si>
    <t>+436763524892</t>
  </si>
  <si>
    <t>office@iklima.at</t>
  </si>
  <si>
    <t>https://bilder.dasschnelle.at/DasSchnelle/50/5000/9940/043069/G_043069_P_906107510.adn.gif</t>
  </si>
  <si>
    <t>Hofinger, Karl, Tischlerei • Sankt Veit im Mühlkreis • Oberösterreich</t>
  </si>
  <si>
    <t>Tischlereien • Hofinger, Karl, Hansbergstraße 4-5, Sankt Veit im Mühlkreis • Kontakt über aktuelle Telefonnummern ☎ und Adressen ⚑ mit Karte, Routing, Öffnungszeiten, Homepage, E-Mail, vCard und Firmendaten.</t>
  </si>
  <si>
    <t>Hansbergstraße 4-5</t>
  </si>
  <si>
    <t>4173</t>
  </si>
  <si>
    <t>Sankt Veit im Mühlkreis</t>
  </si>
  <si>
    <t>48.46665</t>
  </si>
  <si>
    <t>14.16256</t>
  </si>
  <si>
    <t>+4372176464</t>
  </si>
  <si>
    <t>tischlerei.hofinger@aon.at</t>
  </si>
  <si>
    <t>https://bilder.dasschnelle.at/DasSchnelle/50/5000/9939/042296/G_042296_P_906107515.adn.gif</t>
  </si>
  <si>
    <t>Optiker Mayer • Bad Leonfelden • Oberösterreich</t>
  </si>
  <si>
    <t>Optik • Optiker Mayer, Hauptplatz 23, Bad Leonfelden • Kontakt über aktuelle Telefonnummern ☎ und Adressen ⚑ mit Karte, Routing, Öffnungszeiten, Homepage, E-Mail, vCard und Firmendaten.</t>
  </si>
  <si>
    <t>48.5216700</t>
  </si>
  <si>
    <t>14.2942300</t>
  </si>
  <si>
    <t>+43721320520</t>
  </si>
  <si>
    <t>info@optikmayer.at</t>
  </si>
  <si>
    <t>https://bilder.dasschnelle.at/DasSchnelle/50/5000/9939/042828/I_042828_P_906107521_L_0035999140_1.png</t>
  </si>
  <si>
    <t>https://bilder.dasschnelle.at/DasSchnelle/50/5000/9939/042828/I_042828_P_906107521_B_0035999140_1.gal.png?height=497&amp;width=515;https://bilder.dasschnelle.at/DasSchnelle/50/5000/9939/042828/I_042828_P_906107521_B_0035999140_2.gal.png?height=453&amp;width=655;https://bilder.dasschnelle.at/DasSchnelle/50/5000/9939/042828/I_042828_P_906107521_B_0035999140_3.gal.png?height=452&amp;width=647;https://bilder.dasschnelle.at/DasSchnelle/50/5000/9939/042828/I_042828_P_906107521_B_0035999140_4.gal.png?height=456&amp;width=651</t>
  </si>
  <si>
    <t>Steger, Peter, Elektrotechnik • Höch • Salzburg</t>
  </si>
  <si>
    <t>Elektrotechnik • Steger, Peter, Maderlehenweg 102, Höch • Kontakt über aktuelle Telefonnummern ☎ und Adressen ⚑ mit Karte, Routing, Öffnungszeiten, Homepage, E-Mail, vCard und Firmendaten.</t>
  </si>
  <si>
    <t>Maderlehenweg 102</t>
  </si>
  <si>
    <t>47.39041</t>
  </si>
  <si>
    <t>13.39142</t>
  </si>
  <si>
    <t>+436645687268</t>
  </si>
  <si>
    <t>info@elektrotechnik-steger.at</t>
  </si>
  <si>
    <t>https://bilder.dasschnelle.at/DasSchnelle/50/5000/9919/043341/I_043341_P_906107524_L_0036008061_1.png</t>
  </si>
  <si>
    <t>Autohaus Baumgartner, Johann, Kfz-Werkst • Atzenbrugg • Niederösterreich</t>
  </si>
  <si>
    <t>Autohandel, Autoreparaturen • Autohaus Baumgartner, Johann, Kremser Landstraße 33, Atzenbrugg • Kontakt über aktuelle Telefonnummern ☎ und Adressen ⚑ mit Karte, Routing, Öffnungszeiten, Homepage, E-Mail, vCard und Firmendaten.</t>
  </si>
  <si>
    <t>Kremser Landstraße 33</t>
  </si>
  <si>
    <t>48.30433</t>
  </si>
  <si>
    <t>15.89105</t>
  </si>
  <si>
    <t>+43227553510</t>
  </si>
  <si>
    <t>+432275535116</t>
  </si>
  <si>
    <t>info@mitsubishi-baumgartner.at</t>
  </si>
  <si>
    <t>https://bilder.dasschnelle.at/DasSchnelle/50/5000/9938/041941/G_041941_P_906106447.adn.gif</t>
  </si>
  <si>
    <t>Kleinpötzl GmbH, Installationen • Andorf • Oberösterreich</t>
  </si>
  <si>
    <t>Installationsunternehmen • Kleinpötzl GmbH, Kurzenkirchen 7, Andorf • Kontakt über aktuelle Telefonnummern ☎ und Adressen ⚑ mit Karte, Routing, Öffnungszeiten, Homepage, E-Mail, vCard und Firmendaten.</t>
  </si>
  <si>
    <t>Kurzenkirchen 7</t>
  </si>
  <si>
    <t>48.3581189</t>
  </si>
  <si>
    <t>13.5312561</t>
  </si>
  <si>
    <t>+4377663031</t>
  </si>
  <si>
    <t>office@kleinpoetzl.at</t>
  </si>
  <si>
    <t>https://bilder.dasschnelle.at/DasSchnelle/50/5000/9926/042303/G_042303_P_906106502.adn.gif</t>
  </si>
  <si>
    <t>Naderer Michael • Perg • Oberösterreich</t>
  </si>
  <si>
    <t>Fitnesscenter, Fitnessgeräte, Freizeitzentren • Naderer Michael, Machlandstraße 47, Perg • Kontakt über aktuelle Telefonnummern ☎ und Adressen ⚑ mit Karte, Routing, Öffnungszeiten, Homepage, E-Mail, vCard und Firmendaten.</t>
  </si>
  <si>
    <t>Machlandstraße 47</t>
  </si>
  <si>
    <t>48.24033</t>
  </si>
  <si>
    <t>14.64088</t>
  </si>
  <si>
    <t>+43726252086</t>
  </si>
  <si>
    <t>office@heilmasseur-naderer.at</t>
  </si>
  <si>
    <t>https://bilder.dasschnelle.at/DasSchnelle/50/5000/9916/042528/G_042528_P_906106520.adn.gif</t>
  </si>
  <si>
    <t>Glaserei Schmidhuber • Thalgau • Salzburg</t>
  </si>
  <si>
    <t>Glaskunst • Glaserei Schmidhuber, Ferd. Zuckerstätter-Straße 13, Thalgau • Kontakt über aktuelle Telefonnummern ☎ und Adressen ⚑ mit Karte, Routing, Öffnungszeiten, Homepage, E-Mail, vCard und Firmendaten.</t>
  </si>
  <si>
    <t>Ferd. Zuckerstätter-Straße 13</t>
  </si>
  <si>
    <t>47.8489654</t>
  </si>
  <si>
    <t>13.2545078</t>
  </si>
  <si>
    <t>+4362357334</t>
  </si>
  <si>
    <t>office@glasbautechnik-schmidhuber.at</t>
  </si>
  <si>
    <t>https://bilder.dasschnelle.at/DasSchnelle/50/5000/9909/043068/G_043068_P_906107568.adn.gif</t>
  </si>
  <si>
    <t>Weiß, Manfred • Sankt Anna am Aigen • Steiermark</t>
  </si>
  <si>
    <t>Dachdeckereien • Weiß, Manfred, Plesch 11, Sankt Anna am Aigen • Kontakt über aktuelle Telefonnummern ☎ und Adressen ⚑ mit Karte, Routing, Öffnungszeiten, Homepage, E-Mail, vCard und Firmendaten.</t>
  </si>
  <si>
    <t>Plesch 11</t>
  </si>
  <si>
    <t>Sankt Anna am Aigen</t>
  </si>
  <si>
    <t>46.8299251</t>
  </si>
  <si>
    <t>15.9633463</t>
  </si>
  <si>
    <t>+436645985606</t>
  </si>
  <si>
    <t>office@weissdaecher.at</t>
  </si>
  <si>
    <t>https://bilder.dasschnelle.at/DasSchnelle/50/5000/9879/061393/G_061393_P_906106527.adn.gif</t>
  </si>
  <si>
    <t>Bestattung Luttenberger, Bestattungsunternehmen • Kapfenstein • Steiermark</t>
  </si>
  <si>
    <t>Bestattungsunternehmen • Bestattung Luttenberger, Kapfenstein • Kontakt über aktuelle Telefonnummern ☎ und Adressen ⚑ mit Karte, Routing, Öffnungszeiten, Homepage, E-Mail, vCard und Firmendaten.</t>
  </si>
  <si>
    <t>46.86354</t>
  </si>
  <si>
    <t>15.90167</t>
  </si>
  <si>
    <t>+43315722910;+436645237990</t>
  </si>
  <si>
    <t>+433157229135</t>
  </si>
  <si>
    <t>bestattung@luttenberger.co.at</t>
  </si>
  <si>
    <t>https://bilder.dasschnelle.at/DasSchnelle/50/5000/9879/061396/I_061396_P_906106532_L_0036177602_1.png</t>
  </si>
  <si>
    <t>https://bilder.dasschnelle.at/DasSchnelle/50/5000/9879/061396/I_061396_P_906106532_B_0036177602_1.gal.png?height=600&amp;width=600;https://bilder.dasschnelle.at/DasSchnelle/50/5000/9879/061396/I_061396_P_906106532_B_0036177602_2.gal.png?height=600&amp;width=600;https://bilder.dasschnelle.at/DasSchnelle/50/5000/9879/061396/I_061396_P_906106532_B_0036177602_3.gal.png?height=600&amp;width=600;https://bilder.dasschnelle.at/DasSchnelle/50/5000/9879/061396/I_061396_P_906106532_B_0036177602_4.gal.png?height=600&amp;width=600</t>
  </si>
  <si>
    <t>IST Installations Service Trumme • Feldbach • Steiermark</t>
  </si>
  <si>
    <t>Installationsunternehmen • IST Installations Service Trumme, Mühldorf 265, Feldbach • Kontakt über aktuelle Telefonnummern ☎ und Adressen ⚑ mit Karte, Routing, Öffnungszeiten, Homepage, E-Mail, vCard und Firmendaten.</t>
  </si>
  <si>
    <t>Mühldorf 265</t>
  </si>
  <si>
    <t>46.94405</t>
  </si>
  <si>
    <t>15.90912</t>
  </si>
  <si>
    <t>+436645438333</t>
  </si>
  <si>
    <t>office@ist-installationen.at</t>
  </si>
  <si>
    <t>https://bilder.dasschnelle.at/DasSchnelle/50/5000/9879/061391/G_061391_P_906106536.adn.gif</t>
  </si>
  <si>
    <t>Frisör Haarscharf • Trautmannsdorf • Steiermark</t>
  </si>
  <si>
    <t>Friseure • Frisör Haarscharf, Trautmannsdorf • Kontakt über aktuelle Telefonnummern ☎ und Adressen ⚑ mit Karte, Routing, Öffnungszeiten, Homepage, E-Mail, vCard und Firmendaten.</t>
  </si>
  <si>
    <t>8343</t>
  </si>
  <si>
    <t>Trautmannsdorf</t>
  </si>
  <si>
    <t>46.8733493</t>
  </si>
  <si>
    <t>15.8838651</t>
  </si>
  <si>
    <t>+43315944888</t>
  </si>
  <si>
    <t>beate.kleinschuster@hotmail.com</t>
  </si>
  <si>
    <t>https://bilder.dasschnelle.at/DasSchnelle/50/5000/9879/061396/I_061396_P_906106538_L_0036177329_1.png</t>
  </si>
  <si>
    <t>https://bilder.dasschnelle.at/DasSchnelle/50/5000/9879/061396/I_061396_P_906106538_B_0036177329_1.gal.png?height=194&amp;width=259;https://bilder.dasschnelle.at/DasSchnelle/50/5000/9879/061396/G_061396_P_906106538.adn.gif</t>
  </si>
  <si>
    <t>Raabe, Modesto, Dr., FA f Zahn-, Mund- u Kieferheilkunde • Groß Gerungs • Niederösterreich</t>
  </si>
  <si>
    <t>Ärzte / Fachärzte f. Zahn-, Mund u. Kieferheilkunde • Raabe, Modesto, Dr., Schulgasse 210, Groß Gerungs • Kontakt über aktuelle Telefonnummern ☎ und Adressen ⚑ mit Karte, Routing, Öffnungszeiten, Homepage, E-Mail, vCard und Firmendaten.</t>
  </si>
  <si>
    <t>Schulgasse 210</t>
  </si>
  <si>
    <t>48.57253</t>
  </si>
  <si>
    <t>14.9582</t>
  </si>
  <si>
    <t>+4328125490</t>
  </si>
  <si>
    <t>zahnarztordinatio.raabe@gmx.at</t>
  </si>
  <si>
    <t>https://bilder.dasschnelle.at/DasSchnelle/50/5000/9950/044528/G_044528_P_906107425.adn.gif</t>
  </si>
  <si>
    <t>Veiter, Andreas, Dr., Ärzte / f Allgemeinmedizin • Korneuburg • Niederösterreich</t>
  </si>
  <si>
    <t>Ärzte / f Allgemeinmedizin • Veiter, Andreas, Dr., Gärtnergasse 12 Stg 1, Korneuburg • Kontakt über aktuelle Telefonnummern ☎ und Adressen ⚑ mit Karte, Routing, Öffnungszeiten, Homepage, E-Mail, vCard und Firmendaten.</t>
  </si>
  <si>
    <t>Gärtnergasse 12 Stg 1</t>
  </si>
  <si>
    <t>16.33417</t>
  </si>
  <si>
    <t>+43226272867</t>
  </si>
  <si>
    <t>hausarzt@dr-veiter.at</t>
  </si>
  <si>
    <t>https://bilder.dasschnelle.at/DasSchnelle/50/5000/9898/041413/G_041413_P_906107527.adn.gif</t>
  </si>
  <si>
    <t>Dr. Eugen Neururer &amp; Partner, öffentl Notar • Landeck • Tirol</t>
  </si>
  <si>
    <t>Notare • Dr. Eugen Neururer &amp; Partner, Innstraße 12, Landeck • Kontakt über aktuelle Telefonnummern ☎ und Adressen ⚑ mit Karte, Routing, Öffnungszeiten, Homepage, E-Mail, vCard und Firmendaten.</t>
  </si>
  <si>
    <t>Innstraße 12</t>
  </si>
  <si>
    <t>47.13758</t>
  </si>
  <si>
    <t>10.56527</t>
  </si>
  <si>
    <t>+43544262392</t>
  </si>
  <si>
    <t>notariat@notar-neururer.at</t>
  </si>
  <si>
    <t>https://bilder.dasschnelle.at/DasSchnelle/50/5000/9903/044584/I_044584_P_906107531_L_0035993466_1.png</t>
  </si>
  <si>
    <t>https://bilder.dasschnelle.at/DasSchnelle/50/5000/9903/044584/I_044584_P_906107531_B_0035993466_1.gal.png?height=480&amp;width=720</t>
  </si>
  <si>
    <t>Radsport Caska GmbH, Radsport • Feldbach • Steiermark</t>
  </si>
  <si>
    <t>Radsport • Radsport Caska GmbH, Ungarstraße 12, Feldbach • Kontakt über aktuelle Telefonnummern ☎ und Adressen ⚑ mit Karte, Routing, Öffnungszeiten, Homepage, E-Mail, vCard und Firmendaten.</t>
  </si>
  <si>
    <t>Ungarstraße 12</t>
  </si>
  <si>
    <t>46.95061</t>
  </si>
  <si>
    <t>15.89054</t>
  </si>
  <si>
    <t>+4331522733</t>
  </si>
  <si>
    <t>office@radcenter.at</t>
  </si>
  <si>
    <t>https://bilder.dasschnelle.at/DasSchnelle/50/5000/9879/061391/G_061391_P_906107542.adn.gif</t>
  </si>
  <si>
    <t>Planung u Projektmanagement Spiss u Partner GmbH, Planungsbüros • Landeck • Tirol</t>
  </si>
  <si>
    <t>Planungsbüros • Planung u Projektmanagement Spiss u Partner GmbH, Urichstraße 72, Landeck • Kontakt über aktuelle Telefonnummern ☎ und Adressen ⚑ mit Karte, Routing, Öffnungszeiten, Homepage, E-Mail, vCard und Firmendaten.</t>
  </si>
  <si>
    <t>Urichstraße 72</t>
  </si>
  <si>
    <t>47.14683</t>
  </si>
  <si>
    <t>10.57774</t>
  </si>
  <si>
    <t>+43544266788</t>
  </si>
  <si>
    <t>+435442667883109</t>
  </si>
  <si>
    <t>info@spiss-partner.at</t>
  </si>
  <si>
    <t>https://bilder.dasschnelle.at/DasSchnelle/50/5000/9903/044584/G_044584_P_906107546.adn.gif</t>
  </si>
  <si>
    <t>Huemer, Manfred, Stiegenbau • Gramastetten • Oberösterreich</t>
  </si>
  <si>
    <t>Tischlereien • Huemer, Manfred, Linzer Straße 14, Gramastetten • Kontakt über aktuelle Telefonnummern ☎ und Adressen ⚑ mit Karte, Routing, Öffnungszeiten, Homepage, E-Mail, vCard und Firmendaten.</t>
  </si>
  <si>
    <t>Linzer Straße 14</t>
  </si>
  <si>
    <t>48.38022</t>
  </si>
  <si>
    <t>14.19559</t>
  </si>
  <si>
    <t>+4372398161</t>
  </si>
  <si>
    <t>+43723981614</t>
  </si>
  <si>
    <t>huemer-tischlerei@speed.at</t>
  </si>
  <si>
    <t>https://bilder.dasschnelle.at/DasSchnelle/50/5000/9939/042834/G_042834_P_906106581.adn.gif</t>
  </si>
  <si>
    <t>WT Gruber Steuerberatung GmbH, Wirtschaftstreuhänder / Steuerberater • Vöcklabruck • Oberösterreich</t>
  </si>
  <si>
    <t>Steuerberater, Wirtschaftstreuhänder / Steuerberater • WT Gruber Steuerberatung GmbH, Salzburger Straße 5, Vöcklabruck • Kontakt über aktuelle Telefonnummern ☎ und Adressen ⚑ mit Karte, Routing, Öffnungszeiten, Homepage, E-Mail, vCard und Firmendaten.</t>
  </si>
  <si>
    <t>Salzburger Straße 5</t>
  </si>
  <si>
    <t>48.00712</t>
  </si>
  <si>
    <t>13.65248</t>
  </si>
  <si>
    <t>+43767224175;+43767223125</t>
  </si>
  <si>
    <t>+43767225055</t>
  </si>
  <si>
    <t>beate.gruber@wtgruber.at</t>
  </si>
  <si>
    <t>https://bilder.dasschnelle.at/DasSchnelle/50/5000/9940/043555/I_043555_P_906108259_L_0035999051_1.png</t>
  </si>
  <si>
    <t>https://bilder.dasschnelle.at/DasSchnelle/50/5000/9940/043555/I_043555_P_906108259_B_0035999051_1.gal.png?height=308&amp;width=1100;https://bilder.dasschnelle.at/DasSchnelle/50/5000/9940/043555/I_043555_P_906108259_B_0035999051_2.gal.png?height=372&amp;width=440;https://bilder.dasschnelle.at/DasSchnelle/50/5000/9940/043555/I_043555_P_906108259_B_0035999051_3.gal.png?height=325&amp;width=440</t>
  </si>
  <si>
    <t>Schernthaner, Kurt, Platten u Fliesenlegermeister • Bad Hofgastein • Salzburg</t>
  </si>
  <si>
    <t>Fliesen u. Plattenverlegungen • Schernthaner, Kurt, Gewerbepark Harbach 3, Bad Hofgastein • Kontakt über aktuelle Telefonnummern ☎ und Adressen ⚑ mit Karte, Routing, Öffnungszeiten, Homepage, E-Mail, vCard und Firmendaten.</t>
  </si>
  <si>
    <t>Gewerbepark Harbach 3</t>
  </si>
  <si>
    <t>47.2079385</t>
  </si>
  <si>
    <t>13.1095311</t>
  </si>
  <si>
    <t>+436765277815</t>
  </si>
  <si>
    <t>kurt.schernthaner@sbg.at</t>
  </si>
  <si>
    <t>https://bilder.dasschnelle.at/DasSchnelle/50/5000/9919/043335/G_043335_P_906108453.adn.gif</t>
  </si>
  <si>
    <t>Bönisch Peter Installations GesmbH, Installationsunternehmen • Gramastetten • Oberösterreich</t>
  </si>
  <si>
    <t>Installationsunternehmen • Bönisch Peter Installations GesmbH, Gewerbepark 30, Gramastetten • Kontakt über aktuelle Telefonnummern ☎ und Adressen ⚑ mit Karte, Routing, Öffnungszeiten, Homepage, E-Mail, vCard und Firmendaten.</t>
  </si>
  <si>
    <t>Gewerbepark 30</t>
  </si>
  <si>
    <t>48.37339</t>
  </si>
  <si>
    <t>14.21191</t>
  </si>
  <si>
    <t>+4372398233</t>
  </si>
  <si>
    <t>+43723982338</t>
  </si>
  <si>
    <t>office@p-boenisch.at</t>
  </si>
  <si>
    <t>https://bilder.dasschnelle.at/DasSchnelle/50/5000/9939/042834/G_042834_P_906108462.adn.gif</t>
  </si>
  <si>
    <t>Mühlegger GmbH Sanitär-Heizung • Linz • Oberösterreich</t>
  </si>
  <si>
    <t>Sanitärtechnik • Mühlegger GmbH Sanitär-Heizung, Leonfeldner Straße 227, Linz • Kontakt über aktuelle Telefonnummern ☎ und Adressen ⚑ mit Karte, Routing, Öffnungszeiten, Homepage, E-Mail, vCard und Firmendaten.</t>
  </si>
  <si>
    <t>Leonfeldner Straße 227</t>
  </si>
  <si>
    <t>48.3375100</t>
  </si>
  <si>
    <t>14.2926600</t>
  </si>
  <si>
    <t>+43732254510</t>
  </si>
  <si>
    <t>office@muehlegger.com</t>
  </si>
  <si>
    <t>https://bilder.dasschnelle.at/DasSchnelle/50/5000/9939/041782/I_041782_P_906108470_L_0035999429_1.png</t>
  </si>
  <si>
    <t>https://bilder.dasschnelle.at/DasSchnelle/50/5000/9939/041782/I_041782_P_906108470_B_0035999429_1.gal.png?height=295&amp;width=379;https://bilder.dasschnelle.at/DasSchnelle/50/5000/9939/041782/I_041782_P_906108470_B_0035999429_2.gal.png?height=295&amp;width=379;https://bilder.dasschnelle.at/DasSchnelle/50/5000/9939/041782/I_041782_P_906108470_B_0035999429_3.gal.png?height=295&amp;width=379;https://bilder.dasschnelle.at/DasSchnelle/50/5000/9939/041782/I_041782_P_906108470_B_0035999429_4.gal.png?height=295&amp;width=379;https://bilder.dasschnelle.at/DasSchnelle/50/5000/9939/041782/G_041782_P_906108470.adn.gif</t>
  </si>
  <si>
    <t>Waglechner Alfred Installateurbetrieb HKLS e.U., Installateur • Streithofen • Niederösterreich</t>
  </si>
  <si>
    <t>Installationsunternehmen • Waglechner Alfred Installateurbetrieb HKLS e.U., Ruprechtgasse 4, Streithofen • Kontakt über aktuelle Telefonnummern ☎ und Adressen ⚑ mit Karte, Routing, Öffnungszeiten, Homepage, E-Mail, vCard und Firmendaten.</t>
  </si>
  <si>
    <t>Ruprechtgasse 4</t>
  </si>
  <si>
    <t>Streithofen</t>
  </si>
  <si>
    <t>48.27725</t>
  </si>
  <si>
    <t>15.93802</t>
  </si>
  <si>
    <t>+4369917443384</t>
  </si>
  <si>
    <t>office@waglechner.at</t>
  </si>
  <si>
    <t>https://bilder.dasschnelle.at/DasSchnelle/50/5000/9938/044243/G_044243_P_906108474.adn.gif</t>
  </si>
  <si>
    <t>Cosmetic Amanda • Prutz • Tirol</t>
  </si>
  <si>
    <t>Kosmetik • Cosmetic Amanda, Ballhausplatz 1, Prutz • Kontakt über aktuelle Telefonnummern ☎ und Adressen ⚑ mit Karte, Routing, Öffnungszeiten, Homepage, E-Mail, vCard und Firmendaten.</t>
  </si>
  <si>
    <t>Ballhausplatz 1</t>
  </si>
  <si>
    <t>6522</t>
  </si>
  <si>
    <t>Prutz</t>
  </si>
  <si>
    <t>47.0793081</t>
  </si>
  <si>
    <t>10.6630817</t>
  </si>
  <si>
    <t>+436604706115</t>
  </si>
  <si>
    <t>skocibusic.amanda@hotmail.com</t>
  </si>
  <si>
    <t>https://bilder.dasschnelle.at/DasSchnelle/50/5000/9903/044589/G_044589_P_906109167.adn.gif</t>
  </si>
  <si>
    <t>Geraia, Khalid, Dr.med.univ., FA f Zahn- Mund- u Kieferheilkunde • Bad Zell • Oberösterreich</t>
  </si>
  <si>
    <t>Ärzte / Fachärzte f. Mund-, Kiefer- u. Gesichtschirurgie, Ärzte / Fachärzte f. Zahn-, Mund u. Kieferheilkunde • Geraia, Khalid, Dr.med.univ., Marktplatz 5, Bad Zell • Kontakt über aktuelle Telefonnummern ☎ und Adressen ⚑ mit Karte, Routing, Öffnungszeiten, Homepage, E-Mail, vCard und Firmendaten.</t>
  </si>
  <si>
    <t>48.34989</t>
  </si>
  <si>
    <t>14.67008</t>
  </si>
  <si>
    <t>+43726320088;+436644303983</t>
  </si>
  <si>
    <t>kh3g@hotmail.com</t>
  </si>
  <si>
    <t>https://bilder.dasschnelle.at/DasSchnelle/50/5000/9882/041787/G_041787_P_906109201.adn.gif</t>
  </si>
  <si>
    <t>Leuchtmittel HandelsgesmbH • Tulln an der Donau • Niederösterreich</t>
  </si>
  <si>
    <t>Beleuchtung • Leuchtmittel HandelsgesmbH, Kaplanstraße 4, Tulln an der Donau • Kontakt über aktuelle Telefonnummern ☎ und Adressen ⚑ mit Karte, Routing, Öffnungszeiten, Homepage, E-Mail, vCard und Firmendaten.</t>
  </si>
  <si>
    <t>Kaplanstraße 4</t>
  </si>
  <si>
    <t>48.3279938</t>
  </si>
  <si>
    <t>16.07695</t>
  </si>
  <si>
    <t>+432272614040;+4369914136042;+43676848706210;+4369916079829;+4369916079848</t>
  </si>
  <si>
    <t>office@lichtprofi.at</t>
  </si>
  <si>
    <t>https://bilder.dasschnelle.at/DasSchnelle/50/5000/9938/044247/G_044247_P_906109755.adn.gif</t>
  </si>
  <si>
    <t>Dr. Sabine Eigner, Neurologie • Perg • Oberösterreich</t>
  </si>
  <si>
    <t>Ärzte / Fachärzte f. Neurologie u. Psychiatrie • Dr. Sabine Eigner, Naarnerstraße 64 /9, Perg • Kontakt über aktuelle Telefonnummern ☎ und Adressen ⚑ mit Karte, Routing, Öffnungszeiten, Homepage, E-Mail, vCard und Firmendaten.</t>
  </si>
  <si>
    <t>Naarnerstraße 64 /9</t>
  </si>
  <si>
    <t>48.24894</t>
  </si>
  <si>
    <t>14.63869</t>
  </si>
  <si>
    <t>+43726254449</t>
  </si>
  <si>
    <t>sabine.eigner@ktvam.at</t>
  </si>
  <si>
    <t>https://bilder.dasschnelle.at/DasSchnelle/50/5000/9916/042528/G_042528_P_906108379.adn.gif</t>
  </si>
  <si>
    <t>Pichler, Thomas, Dr.med., FA f Lungenkrankheiten • Landeck • Tirol</t>
  </si>
  <si>
    <t>Ärzte / Fachärzte f. Lungenkrankheiten • Pichler, Thomas, Dr.med., Innstraße 15, Landeck • Kontakt über aktuelle Telefonnummern ☎ und Adressen ⚑ mit Karte, Routing, Öffnungszeiten, Homepage, E-Mail, vCard und Firmendaten.</t>
  </si>
  <si>
    <t>Innstraße 15</t>
  </si>
  <si>
    <t>47.13891</t>
  </si>
  <si>
    <t>10.56448</t>
  </si>
  <si>
    <t>+43544263073</t>
  </si>
  <si>
    <t>ordination@dr-thomas-pichler.at</t>
  </si>
  <si>
    <t>https://bilder.dasschnelle.at/DasSchnelle/50/5000/9903/044584/G_044584_P_906108381.adn.gif</t>
  </si>
  <si>
    <t>Platzer &amp; Partner OG, Grabstein Service • Kirchberg an der Raab • Steiermark</t>
  </si>
  <si>
    <t>Grabsteine u. -denkmäler, Steinmetzbetriebe • Platzer &amp; Partner OG, Kirchberg an der Raab 44, Kirchberg an der Raab • Kontakt über aktuelle Telefonnummern ☎ und Adressen ⚑ mit Karte, Routing, Öffnungszeiten, Homepage, E-Mail, vCard und Firmendaten.</t>
  </si>
  <si>
    <t>Kirchberg an der Raab 44</t>
  </si>
  <si>
    <t>46.9867483</t>
  </si>
  <si>
    <t>15.7608408</t>
  </si>
  <si>
    <t>+4331153967</t>
  </si>
  <si>
    <t>grabsteinservice@gmail.com</t>
  </si>
  <si>
    <t>https://bilder.dasschnelle.at/DasSchnelle/50/5000/9879/061353/I_061353_P_906108383_L_0035999022_1.png</t>
  </si>
  <si>
    <t>https://bilder.dasschnelle.at/DasSchnelle/50/5000/9879/061353/I_061353_P_906108383_B_0035999022_1.gal.png?height=540&amp;width=720;https://bilder.dasschnelle.at/DasSchnelle/50/5000/9879/061353/I_061353_P_906108383_B_0035999022_2.gal.png?height=540&amp;width=720;https://bilder.dasschnelle.at/DasSchnelle/50/5000/9879/061353/I_061353_P_906108383_B_0035999022_3.gal.png?height=540&amp;width=720;https://bilder.dasschnelle.at/DasSchnelle/50/5000/9879/061353/I_061353_P_906108383_B_0035999022_4.gal.png?height=720&amp;width=540;https://bilder.dasschnelle.at/DasSchnelle/50/5000/9879/061353/G_061353_P_906108383.adn.gif</t>
  </si>
  <si>
    <t>Schweinzer Baubedarf • Feldbach • Steiermark</t>
  </si>
  <si>
    <t>Baustoffhandel, Dämmstoffe • Schweinzer Baubedarf, Mühlbach 480, Feldbach • Kontakt über aktuelle Telefonnummern ☎ und Adressen ⚑ mit Karte, Routing, Öffnungszeiten, Homepage, E-Mail, vCard und Firmendaten.</t>
  </si>
  <si>
    <t>Mühlbach 480</t>
  </si>
  <si>
    <t>46.93562</t>
  </si>
  <si>
    <t>15.90632</t>
  </si>
  <si>
    <t>+436643821320</t>
  </si>
  <si>
    <t>office@baubedarf-schweinzer.at</t>
  </si>
  <si>
    <t>https://bilder.dasschnelle.at/DasSchnelle/50/5000/9879/061391/I_061391_P_906108385_L_0036234758_1.png</t>
  </si>
  <si>
    <t>https://bilder.dasschnelle.at/DasSchnelle/50/5000/9879/061391/I_061391_P_906108385_B_0036234758_1.gal.png?height=450&amp;width=600;https://bilder.dasschnelle.at/DasSchnelle/50/5000/9879/061391/I_061391_P_906108385_B_0036234758_2.gal.png?height=450&amp;width=600;https://bilder.dasschnelle.at/DasSchnelle/50/5000/9879/061391/I_061391_P_906108385_B_0036234758_3.gal.png?height=450&amp;width=600;https://bilder.dasschnelle.at/DasSchnelle/50/5000/9879/061391/I_061391_P_906108385_B_0036234758_4.gal.png?height=400&amp;width=600</t>
  </si>
  <si>
    <t>Fahrschule Kirchbach Logistik GesmbH, Fahrschulen • Kirchbach in Steiermark • Steiermark</t>
  </si>
  <si>
    <t>Fahrschulen • Fahrschule Kirchbach Logistik GesmbH, Kirchbach in Steiermark • Kontakt über aktuelle Telefonnummern ☎ und Adressen ⚑ mit Karte, Routing, Öffnungszeiten, Homepage, E-Mail, vCard und Firmendaten.</t>
  </si>
  <si>
    <t>8082</t>
  </si>
  <si>
    <t>Kirchbach in Steiermark</t>
  </si>
  <si>
    <t>46.9309250</t>
  </si>
  <si>
    <t>15.6639320</t>
  </si>
  <si>
    <t>+4331162371;+4331162372</t>
  </si>
  <si>
    <t>office@fahrschule-kirchbach.com</t>
  </si>
  <si>
    <t>https://bilder.dasschnelle.at/DasSchnelle/50/5000/9879/061352/I_061352_P_906109115_L_0036237653_1.png</t>
  </si>
  <si>
    <t>https://bilder.dasschnelle.at/DasSchnelle/50/5000/9879/061352/I_061352_P_906109115_B_0036237653_1.gal.png?height=250&amp;width=600;https://bilder.dasschnelle.at/DasSchnelle/50/5000/9879/061352/I_061352_P_906109115_B_0036237653_2.gal.png?height=257&amp;width=600;https://bilder.dasschnelle.at/DasSchnelle/50/5000/9879/061352/I_061352_P_906109115_B_0036237653_3.gal.png?height=257&amp;width=600;https://bilder.dasschnelle.at/DasSchnelle/50/5000/9879/061352/I_061352_P_906109115_B_0036237653_4.gal.png?height=257&amp;width=600</t>
  </si>
  <si>
    <t>Kreiner, Peter, Malereibetriebe • Straden • Steiermark</t>
  </si>
  <si>
    <t>Malereibetriebe • Kreiner, Peter, Marktl 15, Straden • Kontakt über aktuelle Telefonnummern ☎ und Adressen ⚑ mit Karte, Routing, Öffnungszeiten, Homepage, E-Mail, vCard und Firmendaten.</t>
  </si>
  <si>
    <t>Marktl 15</t>
  </si>
  <si>
    <t>46.8014335</t>
  </si>
  <si>
    <t>15.8736521</t>
  </si>
  <si>
    <t>+4334737660;+43347376603;+436641248585</t>
  </si>
  <si>
    <t>+43347376604</t>
  </si>
  <si>
    <t>peter.kreiner@aon.at</t>
  </si>
  <si>
    <t>https://bilder.dasschnelle.at/DasSchnelle/50/5000/9879/061440/G_061440_P_906109124.adn.gif</t>
  </si>
  <si>
    <t>Foliensystem Hintersteiner • Bad Kreuzen • Oberösterreich</t>
  </si>
  <si>
    <t>Folien • Foliensystem Hintersteiner, Kühweid 15, Bad Kreuzen • Kontakt über aktuelle Telefonnummern ☎ und Adressen ⚑ mit Karte, Routing, Öffnungszeiten, Homepage, E-Mail, vCard und Firmendaten.</t>
  </si>
  <si>
    <t>Kühweid 15</t>
  </si>
  <si>
    <t>4362</t>
  </si>
  <si>
    <t>Bad Kreuzen</t>
  </si>
  <si>
    <t>48.2675395</t>
  </si>
  <si>
    <t>14.8068987</t>
  </si>
  <si>
    <t>+4369912581445</t>
  </si>
  <si>
    <t>office@hiro.or.at</t>
  </si>
  <si>
    <t>https://bilder.dasschnelle.at/DasSchnelle/50/5000/9916/042520/G_042520_P_906108484.adn.gif</t>
  </si>
  <si>
    <t>Kern, Lothar, Dr., FA f. Zahn-, Mund- u. Kieferheilkunde • Zwettl • Niederösterreich</t>
  </si>
  <si>
    <t>Ärzte / Fachärzte f. Zahn-, Mund u. Kieferheilkunde • Kern, Lothar, Dr., Franz Eigl-Straße 7, Zwettl • Kontakt über aktuelle Telefonnummern ☎ und Adressen ⚑ mit Karte, Routing, Öffnungszeiten, Homepage, E-Mail, vCard und Firmendaten.</t>
  </si>
  <si>
    <t>Franz Eigl-Straße 7</t>
  </si>
  <si>
    <t>48.60237</t>
  </si>
  <si>
    <t>15.18628</t>
  </si>
  <si>
    <t>+43282251888</t>
  </si>
  <si>
    <t>lothar.kern@aon.at</t>
  </si>
  <si>
    <t>Neuner, Peter, Prim.Dr., Ärzte / Fachärzte f Frauenheilkunde u Geburtshilfe • Freistadt • Oberösterreich</t>
  </si>
  <si>
    <t>Ärzte / Fachärzte f. Frauenheilkunde u. Geburtshilfe • Neuner, Peter, Prim.Dr., Etrichstraße 9 -13, Freistadt • Kontakt über aktuelle Telefonnummern ☎ und Adressen ⚑ mit Karte, Routing, Öffnungszeiten, Homepage, E-Mail, vCard und Firmendaten.</t>
  </si>
  <si>
    <t>Etrichstraße 9 -13</t>
  </si>
  <si>
    <t>48.4915778</t>
  </si>
  <si>
    <t>14.5035995</t>
  </si>
  <si>
    <t>+437942747700</t>
  </si>
  <si>
    <t>neuner@medway.at</t>
  </si>
  <si>
    <t>https://bilder.dasschnelle.at/DasSchnelle/50/5000/9882/044815/G_044815_P_906109024.adn.gif</t>
  </si>
  <si>
    <t>Schützeneder, Leopold, Möbeldesignbau • Münzbach • Oberösterreich</t>
  </si>
  <si>
    <t>Möbelhandel • Schützeneder, Leopold, Taferlweg 41, Münzbach • Kontakt über aktuelle Telefonnummern ☎ und Adressen ⚑ mit Karte, Routing, Öffnungszeiten, Homepage, E-Mail, vCard und Firmendaten.</t>
  </si>
  <si>
    <t>Taferlweg 41</t>
  </si>
  <si>
    <t>48.27123</t>
  </si>
  <si>
    <t>14.71838</t>
  </si>
  <si>
    <t>+4372644020;+436643684059;+4366473164000</t>
  </si>
  <si>
    <t>sl@aon.at</t>
  </si>
  <si>
    <t>https://bilder.dasschnelle.at/DasSchnelle/50/5000/9916/042525/G_042525_P_906109718.adn.gif</t>
  </si>
  <si>
    <t>Gasthaus Hofbauer, Gasthäuser und Gasthöfe • Schardenberg • Oberösterreich</t>
  </si>
  <si>
    <t>Gastgewerbe - Gasthöfe • Gasthaus Hofbauer, Kirchenplatz 1, Schardenberg • Kontakt über aktuelle Telefonnummern ☎ und Adressen ⚑ mit Karte, Routing, Öffnungszeiten, Homepage, E-Mail, vCard und Firmendaten.</t>
  </si>
  <si>
    <t>https://bilder.dasschnelle.at/DasSchnelle/50/5000/9926/042798/G_042798_P_906109881.adn.gif</t>
  </si>
  <si>
    <t>Reisenberger, Martina, Betonsteine • Zell am Pettenfirst • Oberösterreich</t>
  </si>
  <si>
    <t>Natursteine u. -platten • Reisenberger, Martina, Gewerbestraße 6, Zell am Pettenfirst • Kontakt über aktuelle Telefonnummern ☎ und Adressen ⚑ mit Karte, Routing, Öffnungszeiten, Homepage, E-Mail, vCard und Firmendaten.</t>
  </si>
  <si>
    <t>4842</t>
  </si>
  <si>
    <t>Zell am Pettenfirst</t>
  </si>
  <si>
    <t>48.0707808</t>
  </si>
  <si>
    <t>13.5970660</t>
  </si>
  <si>
    <t>+43767539490;+436641401257;+43767539490</t>
  </si>
  <si>
    <t>office@reisenberger-online.at</t>
  </si>
  <si>
    <t>https://bilder.dasschnelle.at/DasSchnelle/50/5000/9940/043561/G_043561_P_906110818.adn.gif</t>
  </si>
  <si>
    <t>Ebner Center Elektro Ebner GesmbH &amp; Co KG • St. Valentin • Niederösterreich</t>
  </si>
  <si>
    <t>Elektrogeräte u. -bedarf • Ebner Center Elektro Ebner GesmbH &amp; Co KG, Werkstraße 26, St. Valentin • Kontakt über aktuelle Telefonnummern ☎ und Adressen ⚑ mit Karte, Routing, Öffnungszeiten, Homepage, E-Mail, vCard und Firmendaten.</t>
  </si>
  <si>
    <t>Werkstraße 26</t>
  </si>
  <si>
    <t>48.16842</t>
  </si>
  <si>
    <t>14.51408</t>
  </si>
  <si>
    <t>+43743552231;+43743552594</t>
  </si>
  <si>
    <t>handel@elektroebner.at</t>
  </si>
  <si>
    <t>https://bilder.dasschnelle.at/DasSchnelle/50/5000/9924/041325/G_041325_P_906110978.adn.gif</t>
  </si>
  <si>
    <t>Kettl, Gerhard, Gas, Wasser, Heizung • Fornach • Oberösterreich</t>
  </si>
  <si>
    <t>Gasinstallationen • Kettl, Gerhard, Oberalberting 25, Fornach • Kontakt über aktuelle Telefonnummern ☎ und Adressen ⚑ mit Karte, Routing, Öffnungszeiten, Homepage, E-Mail, vCard und Firmendaten.</t>
  </si>
  <si>
    <t>Oberalberting 25</t>
  </si>
  <si>
    <t>Fornach</t>
  </si>
  <si>
    <t>48.0114605</t>
  </si>
  <si>
    <t>13.4426333</t>
  </si>
  <si>
    <t>+4376822421</t>
  </si>
  <si>
    <t>+43768224211</t>
  </si>
  <si>
    <t>kettl.gerhard@aon.at</t>
  </si>
  <si>
    <t>https://bilder.dasschnelle.at/DasSchnelle/50/5000/9940/043074/I_043074_P_906110983_L_0035992835_1.png</t>
  </si>
  <si>
    <t>https://bilder.dasschnelle.at/DasSchnelle/50/5000/9940/043074/G_043074_P_906110983.adn.gif</t>
  </si>
  <si>
    <t>Gattringer, Thomas, Tischlerei • Gramastetten • Oberösterreich</t>
  </si>
  <si>
    <t>Tischlereien • Gattringer, Thomas, Finsterau 5, Gramastetten • Kontakt über aktuelle Telefonnummern ☎ und Adressen ⚑ mit Karte, Routing, Öffnungszeiten, Homepage, E-Mail, vCard und Firmendaten.</t>
  </si>
  <si>
    <t>Finsterau 5</t>
  </si>
  <si>
    <t>48.43823</t>
  </si>
  <si>
    <t>14.20795</t>
  </si>
  <si>
    <t>+4366473089499</t>
  </si>
  <si>
    <t>office@tischlerei-gattringer.at</t>
  </si>
  <si>
    <t>https://bilder.dasschnelle.at/DasSchnelle/50/5000/9939/042834/G_042834_P_906110989.adn.gif</t>
  </si>
  <si>
    <t>Mittermüllner, Martin, Installationsunternehmen • Bad Leonfelden • Oberösterreich</t>
  </si>
  <si>
    <t>Installationsunternehmen • Mittermüllner, Martin, Ringstraße 29, Bad Leonfelden • Kontakt über aktuelle Telefonnummern ☎ und Adressen ⚑ mit Karte, Routing, Öffnungszeiten, Homepage, E-Mail, vCard und Firmendaten.</t>
  </si>
  <si>
    <t>Ringstraße 29</t>
  </si>
  <si>
    <t>48.52251</t>
  </si>
  <si>
    <t>14.29594</t>
  </si>
  <si>
    <t>+43721361173</t>
  </si>
  <si>
    <t>office@mittermuellner.at</t>
  </si>
  <si>
    <t>https://bilder.dasschnelle.at/DasSchnelle/50/5000/9939/042828/G_042828_P_906110996.adn.gif</t>
  </si>
  <si>
    <t>Christen, Markus, Installation • St. Andrä-Wördern • Niederösterreich</t>
  </si>
  <si>
    <t>Installationsunternehmen • Christen, Markus, Gewerbestraße 10, St. Andrä-Wördern • Kontakt über aktuelle Telefonnummern ☎ und Adressen ⚑ mit Karte, Routing, Öffnungszeiten, Homepage, E-Mail, vCard und Firmendaten.</t>
  </si>
  <si>
    <t>3423</t>
  </si>
  <si>
    <t>St. Andrä-Wördern</t>
  </si>
  <si>
    <t>48.3294167</t>
  </si>
  <si>
    <t>16.1948861</t>
  </si>
  <si>
    <t>+436605686491</t>
  </si>
  <si>
    <t>office@installationen-christen.at</t>
  </si>
  <si>
    <t>https://bilder.dasschnelle.at/DasSchnelle/50/5000/9897/044251/G_044251_P_906110998.adn.gif</t>
  </si>
  <si>
    <t>Rittirsch, Bernhard, Tapezierer u Dekorateure • Hayrl • Oberösterreich</t>
  </si>
  <si>
    <t>Tapezierer u. Dekorateure • Rittirsch, Bernhard, Hayrl 9, Hayrl • Kontakt über aktuelle Telefonnummern ☎ und Adressen ⚑ mit Karte, Routing, Öffnungszeiten, Homepage, E-Mail, vCard und Firmendaten.</t>
  </si>
  <si>
    <t>Hayrl 9</t>
  </si>
  <si>
    <t>Hayrl</t>
  </si>
  <si>
    <t>48.5409332</t>
  </si>
  <si>
    <t>14.3883399</t>
  </si>
  <si>
    <t>+4372144226</t>
  </si>
  <si>
    <t>office@rittirsch.at</t>
  </si>
  <si>
    <t>https://bilder.dasschnelle.at/DasSchnelle/50/5000/9939/043059/G_043059_P_906111000.adn.gif</t>
  </si>
  <si>
    <t>Radaschitz GmbH, Bestattung • Riegersburg • Steiermark</t>
  </si>
  <si>
    <t>Bestattungsunternehmen • Radaschitz GmbH, Riegersburg 172, Riegersburg • Kontakt über aktuelle Telefonnummern ☎ und Adressen ⚑ mit Karte, Routing, Öffnungszeiten, Homepage, E-Mail, vCard und Firmendaten.</t>
  </si>
  <si>
    <t>Riegersburg 172</t>
  </si>
  <si>
    <t>46.9987257</t>
  </si>
  <si>
    <t>15.9287281</t>
  </si>
  <si>
    <t>+43315320090</t>
  </si>
  <si>
    <t>bestattung@radaschitz.at</t>
  </si>
  <si>
    <t>https://bilder.dasschnelle.at/DasSchnelle/50/5000/9879/045812/G_045812_P_906110932.adn.gif</t>
  </si>
  <si>
    <t>Farbenpracht Malerbetrieb • Paldau • Steiermark</t>
  </si>
  <si>
    <t>Malereibetriebe • Farbenpracht Malerbetrieb, Puch 62, Paldau • Kontakt über aktuelle Telefonnummern ☎ und Adressen ⚑ mit Karte, Routing, Öffnungszeiten, Homepage, E-Mail, vCard und Firmendaten.</t>
  </si>
  <si>
    <t>Puch 62</t>
  </si>
  <si>
    <t>46.9391945</t>
  </si>
  <si>
    <t>15.7773138</t>
  </si>
  <si>
    <t>+436646325693</t>
  </si>
  <si>
    <t>farbenpracht@gmx.at</t>
  </si>
  <si>
    <t>https://bilder.dasschnelle.at/DasSchnelle/50/5000/9879/061390/G_061390_P_906111051.adn.gif</t>
  </si>
  <si>
    <t>Gesperger, Peter, Malerei • Wilfersdorf • Niederösterreich</t>
  </si>
  <si>
    <t>Malereibetriebe • Gesperger, Peter, Akaziengasse 4, Wilfersdorf • Kontakt über aktuelle Telefonnummern ☎ und Adressen ⚑ mit Karte, Routing, Öffnungszeiten, Homepage, E-Mail, vCard und Firmendaten.</t>
  </si>
  <si>
    <t>Akaziengasse 4</t>
  </si>
  <si>
    <t>3434</t>
  </si>
  <si>
    <t>Wilfersdorf</t>
  </si>
  <si>
    <t>48.27957</t>
  </si>
  <si>
    <t>16.09903</t>
  </si>
  <si>
    <t>+436645420207;+436645420207</t>
  </si>
  <si>
    <t>peter.gesperger@aon.at</t>
  </si>
  <si>
    <t>https://bilder.dasschnelle.at/DasSchnelle/50/5000/9938/044246/I_044246_P_906110955_L_0036032489_1.png</t>
  </si>
  <si>
    <t>https://bilder.dasschnelle.at/DasSchnelle/50/5000/9938/044246/G_044246_P_906110955.adn.gif</t>
  </si>
  <si>
    <t>Frisuersalon Sonja, Friseur • Flirsch • Tirol</t>
  </si>
  <si>
    <t>Friseure • Frisuersalon Sonja, Dorf 155, Flirsch • Kontakt über aktuelle Telefonnummern ☎ und Adressen ⚑ mit Karte, Routing, Öffnungszeiten, Homepage, E-Mail, vCard und Firmendaten.</t>
  </si>
  <si>
    <t>Dorf 155</t>
  </si>
  <si>
    <t>6572</t>
  </si>
  <si>
    <t>Flirsch</t>
  </si>
  <si>
    <t>47.14851</t>
  </si>
  <si>
    <t>10.40724</t>
  </si>
  <si>
    <t>+4354475180</t>
  </si>
  <si>
    <t>friseursalon-sonja@aon.at</t>
  </si>
  <si>
    <t>https://bilder.dasschnelle.at/DasSchnelle/50/5000/9903/044575/G_044575_P_906111666.adn.gif</t>
  </si>
  <si>
    <t>Bestattung Feldkirchen • Feldkirchen in Kärnten • Kärnten</t>
  </si>
  <si>
    <t>Bestattungsunternehmen • Bestattung Feldkirchen, Schulhausgasse 4, Feldkirchen in Kärnten • Kontakt über aktuelle Telefonnummern ☎ und Adressen ⚑ mit Karte, Routing, Öffnungszeiten, Homepage, E-Mail, vCard und Firmendaten.</t>
  </si>
  <si>
    <t>Schulhausgasse 4</t>
  </si>
  <si>
    <t>46.7274922</t>
  </si>
  <si>
    <t>14.0940996</t>
  </si>
  <si>
    <t>+4342762786</t>
  </si>
  <si>
    <t>bestattung@feldkirchen.at</t>
  </si>
  <si>
    <t>https://bilder.dasschnelle.at/DasSchnelle/50/5000/9880/042048/G_042048_P_906112223.adn.gif</t>
  </si>
  <si>
    <t>Klausner Eduard Ing GesmbH, Sanitär • Spittal • Kärnten</t>
  </si>
  <si>
    <t>Installationsunternehmen • Klausner Eduard Ing GesmbH, Villacher Straße 93 -95, Spittal • Kontakt über aktuelle Telefonnummern ☎ und Adressen ⚑ mit Karte, Routing, Öffnungszeiten, Homepage, E-Mail, vCard und Firmendaten.</t>
  </si>
  <si>
    <t>Villacher Straße 93 -95</t>
  </si>
  <si>
    <t>46.7906800</t>
  </si>
  <si>
    <t>13.5165800</t>
  </si>
  <si>
    <t>+43476229620</t>
  </si>
  <si>
    <t>+434762296228</t>
  </si>
  <si>
    <t>office@klausner.co.at</t>
  </si>
  <si>
    <t>https://bilder.dasschnelle.at/DasSchnelle/50/5000/9880/042053/G_042053_P_906112227.adn.gif</t>
  </si>
  <si>
    <t>Müsli's Beauty, Kosmetik und Fußpflege • Prutz • Tirol</t>
  </si>
  <si>
    <t>Kosmetik u. Fußpflege • Müsli's Beauty, Ballhausplatz 1, Prutz • Kontakt über aktuelle Telefonnummern ☎ und Adressen ⚑ mit Karte, Routing, Öffnungszeiten, Homepage, E-Mail, vCard und Firmendaten.</t>
  </si>
  <si>
    <t>47.0760100</t>
  </si>
  <si>
    <t>10.6640200</t>
  </si>
  <si>
    <t>+436604177217</t>
  </si>
  <si>
    <t>tezcanmuyesser9@gmail.com</t>
  </si>
  <si>
    <t>https://bilder.dasschnelle.at/DasSchnelle/50/5000/9903/044589/G_044589_P_906112271.adn.gif</t>
  </si>
  <si>
    <t>Spindler, Karl, Baggerungen • Frankenburg am Hausruck • Oberösterreich</t>
  </si>
  <si>
    <t>Bauunternehmen • Spindler, Karl, Ottokönigen 14, Frankenburg am Hausruck • Kontakt über aktuelle Telefonnummern ☎ und Adressen ⚑ mit Karte, Routing, Öffnungszeiten, Homepage, E-Mail, vCard und Firmendaten.</t>
  </si>
  <si>
    <t>Ottokönigen 14</t>
  </si>
  <si>
    <t>48.0737038</t>
  </si>
  <si>
    <t>13.4567455</t>
  </si>
  <si>
    <t>+4376838442</t>
  </si>
  <si>
    <t>spindler.karl@gmx.at</t>
  </si>
  <si>
    <t>https://bilder.dasschnelle.at/DasSchnelle/50/5000/9940/043075/G_043075_P_906112645.adn.gif</t>
  </si>
  <si>
    <t>Spießberger &amp; Söhne GmbH, Transportunternehmen • Bad Gastein • Salzburg</t>
  </si>
  <si>
    <t>Transportunternehmen • Spießberger &amp; Söhne GmbH, Böcksteiner Bundesstraße 104, Bad Gastein • Kontakt über aktuelle Telefonnummern ☎ und Adressen ⚑ mit Karte, Routing, Öffnungszeiten, Homepage, E-Mail, vCard und Firmendaten.</t>
  </si>
  <si>
    <t>Böcksteiner Bundesstraße 104</t>
  </si>
  <si>
    <t>5645</t>
  </si>
  <si>
    <t>47.08959</t>
  </si>
  <si>
    <t>13.11993</t>
  </si>
  <si>
    <t>+4364346088;+436642335770;+436644588400;+436642335771;+436642335772</t>
  </si>
  <si>
    <t>info@spiessberger-gastein.com</t>
  </si>
  <si>
    <t>https://bilder.dasschnelle.at/DasSchnelle/50/5000/9919/043336/G_043336_P_906116621.adn.gif</t>
  </si>
  <si>
    <t>Nothegger, Gerhard, Dr., öff. Notar • Wels • Oberösterreich</t>
  </si>
  <si>
    <t>Notare • Nothegger, Gerhard, Dr., Dr.-Salzmann-Straße 5, Wels • Kontakt über aktuelle Telefonnummern ☎ und Adressen ⚑ mit Karte, Routing, Öffnungszeiten, Homepage, E-Mail, vCard und Firmendaten.</t>
  </si>
  <si>
    <t>Dr.-Salzmann-Straße 5</t>
  </si>
  <si>
    <t>48.15728</t>
  </si>
  <si>
    <t>14.02016</t>
  </si>
  <si>
    <t>+437242470680;+43724243676</t>
  </si>
  <si>
    <t>+4372424706899</t>
  </si>
  <si>
    <t>gerhard.nothegger@notar.at</t>
  </si>
  <si>
    <t>https://bilder.dasschnelle.at/DasSchnelle/50/5000/9945/044547/I_044547_P_906121177_L_0035993917_1.png</t>
  </si>
  <si>
    <t>https://bilder.dasschnelle.at/DasSchnelle/50/5000/9945/044547/I_044547_P_906121177_B_0035993917_1.gal.png?height=350&amp;width=561;https://bilder.dasschnelle.at/DasSchnelle/50/5000/9945/044547/I_044547_P_906121177_B_0035993917_2.gal.png?height=350&amp;width=561;https://bilder.dasschnelle.at/DasSchnelle/50/5000/9945/044547/I_044547_P_906121177_B_0035993917_3.gal.png?height=334&amp;width=364;https://bilder.dasschnelle.at/DasSchnelle/50/5000/9945/044547/I_044547_P_906121177_B_0035993917_4.gal.png?height=350&amp;width=561</t>
  </si>
  <si>
    <t>Netzer, Bernhard, Malermeister • Pfunds • Tirol</t>
  </si>
  <si>
    <t>Malereibetriebe • Netzer, Bernhard, Dorf 407, Pfunds • Kontakt über aktuelle Telefonnummern ☎ und Adressen ⚑ mit Karte, Routing, Öffnungszeiten, Homepage, E-Mail, vCard und Firmendaten.</t>
  </si>
  <si>
    <t>Dorf 407</t>
  </si>
  <si>
    <t>46.96521</t>
  </si>
  <si>
    <t>10.53965</t>
  </si>
  <si>
    <t>+4354745962;+436769382283</t>
  </si>
  <si>
    <t>office@maler-netzer.at</t>
  </si>
  <si>
    <t>https://bilder.dasschnelle.at/DasSchnelle/50/5000/9903/044587/G_044587_P_906121183.adn.gif</t>
  </si>
  <si>
    <t>Pronebner Andreas, Holz • Sankt Veit im Pongau • Salzburg</t>
  </si>
  <si>
    <t>Holzschlägerung • Pronebner Andreas, Gewerbepark 5, Sankt Veit im Pongau • Kontakt über aktuelle Telefonnummern ☎ und Adressen ⚑ mit Karte, Routing, Öffnungszeiten, Homepage, E-Mail, vCard und Firmendaten.</t>
  </si>
  <si>
    <t>Gewerbepark 5</t>
  </si>
  <si>
    <t>47.32469</t>
  </si>
  <si>
    <t>13.1679</t>
  </si>
  <si>
    <t>+436641217814</t>
  </si>
  <si>
    <t>anton.pronebner@aon.at</t>
  </si>
  <si>
    <t>https://bilder.dasschnelle.at/DasSchnelle/50/5000/9919/043353/G_043353_P_906121191.adn.gif</t>
  </si>
  <si>
    <t>Haustechnik Fleiss GmbH, Haustechnik • Bad Hofgastein • Salzburg</t>
  </si>
  <si>
    <t>Haustechnik • Haustechnik Fleiss GmbH, Gallwiesweg 41 A, Bad Hofgastein • Kontakt über aktuelle Telefonnummern ☎ und Adressen ⚑ mit Karte, Routing, Öffnungszeiten, Homepage, E-Mail, vCard und Firmendaten.</t>
  </si>
  <si>
    <t>Gallwiesweg 41 A</t>
  </si>
  <si>
    <t>47.1843</t>
  </si>
  <si>
    <t>13.09993</t>
  </si>
  <si>
    <t>+4364326415</t>
  </si>
  <si>
    <t>office@ht-fleiss.at</t>
  </si>
  <si>
    <t>https://bilder.dasschnelle.at/DasSchnelle/50/5000/9919/043335/G_043335_P_906121192.adn.gif</t>
  </si>
  <si>
    <t>Tiefenthaler, Claudia, Dr., Allgemeinmedizin • Thalheim • Oberösterreich</t>
  </si>
  <si>
    <t>Ärzte / f Allgemeinmedizin • Tiefenthaler, Claudia, Dr., Traunufer Arkade 1, Thalheim • Kontakt über aktuelle Telefonnummern ☎ und Adressen ⚑ mit Karte, Routing, Öffnungszeiten, Homepage, E-Mail, vCard und Firmendaten.</t>
  </si>
  <si>
    <t>Traunufer Arkade 1</t>
  </si>
  <si>
    <t>Thalheim</t>
  </si>
  <si>
    <t>48.1488736</t>
  </si>
  <si>
    <t>14.0375153</t>
  </si>
  <si>
    <t>+436506493333</t>
  </si>
  <si>
    <t>claudia.tiefenthaler@aon.at</t>
  </si>
  <si>
    <t>https://bilder.dasschnelle.at/DasSchnelle/50/5000/9945/043584/G_043584_P_906122332.adn.gif</t>
  </si>
  <si>
    <t>Pfunds Mode, Bekleidung • Pfunds • Tirol</t>
  </si>
  <si>
    <t>Bekleidung • Pfunds Mode, Stuben 39, Pfunds • Kontakt über aktuelle Telefonnummern ☎ und Adressen ⚑ mit Karte, Routing, Öffnungszeiten, Homepage, E-Mail, vCard und Firmendaten.</t>
  </si>
  <si>
    <t>Stuben 39</t>
  </si>
  <si>
    <t>46.96885</t>
  </si>
  <si>
    <t>10.53608</t>
  </si>
  <si>
    <t>+4354745194</t>
  </si>
  <si>
    <t>info@pfunds-mode.at</t>
  </si>
  <si>
    <t>https://bilder.dasschnelle.at/DasSchnelle/50/5000/9903/044587/G_044587_P_906122334.adn.gif</t>
  </si>
  <si>
    <t>Danklmayer GesmbH, Autohandel • Puchenau • Oberösterreich</t>
  </si>
  <si>
    <t>Autohandel • Danklmayer GesmbH, Hammerschmiede 5, Puchenau • Kontakt über aktuelle Telefonnummern ☎ und Adressen ⚑ mit Karte, Routing, Öffnungszeiten, Homepage, E-Mail, vCard und Firmendaten.</t>
  </si>
  <si>
    <t>Hammerschmiede 5</t>
  </si>
  <si>
    <t>4048</t>
  </si>
  <si>
    <t>Puchenau</t>
  </si>
  <si>
    <t>48.31266</t>
  </si>
  <si>
    <t>14.24085</t>
  </si>
  <si>
    <t>+43732221051</t>
  </si>
  <si>
    <t>kfz.danklmayer@aon.at</t>
  </si>
  <si>
    <t>https://bilder.dasschnelle.at/DasSchnelle/50/5000/9939/043057/G_043057_P_906122336.adn.gif</t>
  </si>
  <si>
    <t>STERNapotheke Mag. pharm. Véronique Wolfram e.U. • Wels • Oberösterreich</t>
  </si>
  <si>
    <t>Apotheken • STERNapotheke Mag. pharm. Véronique Wolfram e.U., Bahnhofstraße 11, Wels • Kontakt über aktuelle Telefonnummern ☎ und Adressen ⚑ mit Karte, Routing, Öffnungszeiten, Homepage, E-Mail, vCard und Firmendaten.</t>
  </si>
  <si>
    <t>48.16148</t>
  </si>
  <si>
    <t>14.02503</t>
  </si>
  <si>
    <t>+43724246711;+437242290749</t>
  </si>
  <si>
    <t>apotheke@sternapotheke.at</t>
  </si>
  <si>
    <t>https://bilder.dasschnelle.at/DasSchnelle/50/5000/9945/044547/G_044547_P_906122340.adn.gif</t>
  </si>
  <si>
    <t>Katzmayr, Birgit, Friseur • Vorderweißenbach • Oberösterreich</t>
  </si>
  <si>
    <t>Friseure • Katzmayr, Birgit, Hauptstraße 17, Vorderweißenbach • Kontakt über aktuelle Telefonnummern ☎ und Adressen ⚑ mit Karte, Routing, Öffnungszeiten, Homepage, E-Mail, vCard und Firmendaten.</t>
  </si>
  <si>
    <t>48.55276</t>
  </si>
  <si>
    <t>14.21808</t>
  </si>
  <si>
    <t>+43721970180</t>
  </si>
  <si>
    <t>office@haargenau-birgit.at</t>
  </si>
  <si>
    <t>https://bilder.dasschnelle.at/DasSchnelle/50/5000/9939/043064/G_043064_P_906122342.adn.gif</t>
  </si>
  <si>
    <t>Erlacher, Hermann, Fliesen • Bad Hofgastein • Salzburg</t>
  </si>
  <si>
    <t>Fliesen u. Plattenverlegungen • Erlacher, Hermann, Salzburger Straße 59, Bad Hofgastein • Kontakt über aktuelle Telefonnummern ☎ und Adressen ⚑ mit Karte, Routing, Öffnungszeiten, Homepage, E-Mail, vCard und Firmendaten.</t>
  </si>
  <si>
    <t>Salzburger Straße 59</t>
  </si>
  <si>
    <t>47.17803</t>
  </si>
  <si>
    <t>13.10385</t>
  </si>
  <si>
    <t>+436642428169;+436649106622</t>
  </si>
  <si>
    <t>+43643220659</t>
  </si>
  <si>
    <t>fliesenprofi.erlacher@aon.at</t>
  </si>
  <si>
    <t>https://bilder.dasschnelle.at/DasSchnelle/50/5000/9919/043335/G_043335_P_906122350.adn.gif</t>
  </si>
  <si>
    <t>Wollendorfer, Johann, KFZ und Landmaschinen Handel u. Reparatur • Eidenberg • Oberösterreich</t>
  </si>
  <si>
    <t>Autoreparaturen, Landwirtschaftliche Maschinen u. Geräte • Wollendorfer, Johann, Schmiedweg 6, Eidenberg • Kontakt über aktuelle Telefonnummern ☎ und Adressen ⚑ mit Karte, Routing, Öffnungszeiten, Homepage, E-Mail, vCard und Firmendaten.</t>
  </si>
  <si>
    <t>Schmiedweg 6</t>
  </si>
  <si>
    <t>Eidenberg</t>
  </si>
  <si>
    <t>48.42726</t>
  </si>
  <si>
    <t>14.23892</t>
  </si>
  <si>
    <t>+4372128017</t>
  </si>
  <si>
    <t>+43721280174</t>
  </si>
  <si>
    <t>autodienst@wollendorfer.at</t>
  </si>
  <si>
    <t>https://bilder.dasschnelle.at/DasSchnelle/50/5000/9939/042829/G_042829_P_906122407.adn.gif</t>
  </si>
  <si>
    <t>Haigl KG Bau- u Möbeltischlerei • Großarl • Salzburg</t>
  </si>
  <si>
    <t>Tischlereien • Haigl KG Bau- u Möbeltischlerei, Gemeindestraße 8, Großarl • Kontakt über aktuelle Telefonnummern ☎ und Adressen ⚑ mit Karte, Routing, Öffnungszeiten, Homepage, E-Mail, vCard und Firmendaten.</t>
  </si>
  <si>
    <t>Gemeindestraße 8</t>
  </si>
  <si>
    <t>47.2380300</t>
  </si>
  <si>
    <t>13.1992100</t>
  </si>
  <si>
    <t>+4364142470</t>
  </si>
  <si>
    <t>info@haigl-grossarl.at</t>
  </si>
  <si>
    <t>https://bilder.dasschnelle.at/DasSchnelle/50/5000/9919/043344/G_043344_P_906122409.adn.gif</t>
  </si>
  <si>
    <t>Erdbau Gschwandtl • Großarl • Salzburg</t>
  </si>
  <si>
    <t>Erdbau • Erdbau Gschwandtl, Maurachweg 7, Großarl • Kontakt über aktuelle Telefonnummern ☎ und Adressen ⚑ mit Karte, Routing, Öffnungszeiten, Homepage, E-Mail, vCard und Firmendaten.</t>
  </si>
  <si>
    <t>Maurachweg 7</t>
  </si>
  <si>
    <t>47.27777</t>
  </si>
  <si>
    <t>13.21161</t>
  </si>
  <si>
    <t>+436767550261</t>
  </si>
  <si>
    <t>erdbau.gschwandtl@gmx.at</t>
  </si>
  <si>
    <t>https://bilder.dasschnelle.at/DasSchnelle/50/5000/9919/043344/G_043344_P_906122413.adn.gif</t>
  </si>
  <si>
    <t>Niederbichler Erwin  • Himmelberg • Kärnten</t>
  </si>
  <si>
    <t>Fliesen u. Plattenverlegungen • Niederbichler Erwin, Tobitsch 25, Himmelberg • Kontakt über aktuelle Telefonnummern ☎ und Adressen ⚑ mit Karte, Routing, Öffnungszeiten, Homepage, E-Mail, vCard und Firmendaten.</t>
  </si>
  <si>
    <t>Tobitsch 25</t>
  </si>
  <si>
    <t>46.7406103</t>
  </si>
  <si>
    <t>14.0443753</t>
  </si>
  <si>
    <t>+436606967203</t>
  </si>
  <si>
    <t>niederbichler3@gmail.com</t>
  </si>
  <si>
    <t>https://bilder.dasschnelle.at/DasSchnelle/50/5000/9880/042051/G_042051_P_906122387.adn.gif</t>
  </si>
  <si>
    <t>Friessnegg, Christian, Malereibetriebe • Feldkirchen • Kärnten</t>
  </si>
  <si>
    <t>Malereibetriebe • Friessnegg, Christian, Alte Villacher Straße 4, Feldkirchen • Kontakt über aktuelle Telefonnummern ☎ und Adressen ⚑ mit Karte, Routing, Öffnungszeiten, Homepage, E-Mail, vCard und Firmendaten.</t>
  </si>
  <si>
    <t>Alte Villacher Straße 4</t>
  </si>
  <si>
    <t>46.7204146</t>
  </si>
  <si>
    <t>14.0957911</t>
  </si>
  <si>
    <t>+436645023128</t>
  </si>
  <si>
    <t>info@farbmuehle.at</t>
  </si>
  <si>
    <t>https://bilder.dasschnelle.at/DasSchnelle/50/5000/9880/042048/G_042048_P_906122389.adn.gif</t>
  </si>
  <si>
    <t>Fliesen Unger • Studenzen • Steiermark</t>
  </si>
  <si>
    <t>Fliesen u. Plattenverlegungen • Fliesen Unger, Erbersdorf 144, Studenzen • Kontakt über aktuelle Telefonnummern ☎ und Adressen ⚑ mit Karte, Routing, Öffnungszeiten, Homepage, E-Mail, vCard und Firmendaten.</t>
  </si>
  <si>
    <t>Erbersdorf 144</t>
  </si>
  <si>
    <t>8322</t>
  </si>
  <si>
    <t>Studenzen</t>
  </si>
  <si>
    <t>47.0121250</t>
  </si>
  <si>
    <t>15.7719847</t>
  </si>
  <si>
    <t>+436645460223</t>
  </si>
  <si>
    <t>office@fliesenunger.at</t>
  </si>
  <si>
    <t>https://bilder.dasschnelle.at/DasSchnelle/50/5000/9879/045814/G_045814_P_906122390.adn.gif</t>
  </si>
  <si>
    <t>Yildiz, Ali, Waschzentrum • Traisen • Niederösterreich</t>
  </si>
  <si>
    <t>Wäschereien • Yildiz, Ali, Mariazeller Straße 33 A, Traisen • Kontakt über aktuelle Telefonnummern ☎ und Adressen ⚑ mit Karte, Routing, Öffnungszeiten, Homepage, E-Mail, vCard und Firmendaten.</t>
  </si>
  <si>
    <t>Mariazeller Straße 33 A</t>
  </si>
  <si>
    <t>48.0446</t>
  </si>
  <si>
    <t>15.60924</t>
  </si>
  <si>
    <t>+43276262349</t>
  </si>
  <si>
    <t>ali.wasch@gmx.at</t>
  </si>
  <si>
    <t>https://bilder.dasschnelle.at/DasSchnelle/50/5000/9906/041528/G_041528_P_906121089.adn.gif</t>
  </si>
  <si>
    <t>Theuer, Wolfgang, Uhren • Grein • Oberösterreich</t>
  </si>
  <si>
    <t>Uhren u. Schmuck • Theuer, Wolfgang, Kreuznerstraße 9, Grein • Kontakt über aktuelle Telefonnummern ☎ und Adressen ⚑ mit Karte, Routing, Öffnungszeiten, Homepage, E-Mail, vCard und Firmendaten.</t>
  </si>
  <si>
    <t>Kreuznerstraße 9</t>
  </si>
  <si>
    <t>48.22716</t>
  </si>
  <si>
    <t>14.85405</t>
  </si>
  <si>
    <t>+4372687770</t>
  </si>
  <si>
    <t>optik-theuer@aon.at</t>
  </si>
  <si>
    <t>https://bilder.dasschnelle.at/DasSchnelle/50/5000/9916/042517/G_042517_P_906121098.adn.gif</t>
  </si>
  <si>
    <t>J. Gründlinger Ges.m.b.H., Arbeitsbühnenverleih • Ottnang a. H. • Oberösterreich</t>
  </si>
  <si>
    <t>Landwirtschaftliche Maschinen u. Geräte • J. Gründlinger Ges.m.b.H., Gartenstraße 2, Ottnang a. H. • Kontakt über aktuelle Telefonnummern ☎ und Adressen ⚑ mit Karte, Routing, Öffnungszeiten, Homepage, E-Mail, vCard und Firmendaten.</t>
  </si>
  <si>
    <t>Gartenstraße 2</t>
  </si>
  <si>
    <t>Ottnang a. H.</t>
  </si>
  <si>
    <t>48.0996785</t>
  </si>
  <si>
    <t>13.6586602</t>
  </si>
  <si>
    <t>+436641223356</t>
  </si>
  <si>
    <t>landtechnik@gruendlinger.at</t>
  </si>
  <si>
    <t>https://bilder.dasschnelle.at/DasSchnelle/50/5000/9940/043088/G_043088_P_906121099.adn.gif</t>
  </si>
  <si>
    <t>Kloiber, Franz, Fliesenleger • Sankt Gilgen • Salzburg</t>
  </si>
  <si>
    <t>Fliesen u. Plattenverlegungen • Kloiber, Franz, Steinklüftstraße 20, Sankt Gilgen • Kontakt über aktuelle Telefonnummern ☎ und Adressen ⚑ mit Karte, Routing, Öffnungszeiten, Homepage, E-Mail, vCard und Firmendaten.</t>
  </si>
  <si>
    <t>Steinklüftstraße 20</t>
  </si>
  <si>
    <t>47.76956</t>
  </si>
  <si>
    <t>13.36357</t>
  </si>
  <si>
    <t>+43622724330;+43622775030;+436641120659;+436641142684</t>
  </si>
  <si>
    <t>office@franzkloiber.at</t>
  </si>
  <si>
    <t>https://bilder.dasschnelle.at/DasSchnelle/50/5000/9909/043326/I_043326_P_906121230_L_0035974291_1.png</t>
  </si>
  <si>
    <t>https://bilder.dasschnelle.at/DasSchnelle/50/5000/9909/043326/I_043326_P_906121230_B_0035974291_1.gal.png?height=800&amp;width=533;https://bilder.dasschnelle.at/DasSchnelle/50/5000/9909/043326/I_043326_P_906121230_B_0035974291_2.gal.png?height=533&amp;width=800;https://bilder.dasschnelle.at/DasSchnelle/50/5000/9909/043326/I_043326_P_906121230_B_0035974291_3.gal.png?height=533&amp;width=800;https://bilder.dasschnelle.at/DasSchnelle/50/5000/9909/043326/I_043326_P_906121230_B_0035974291_4.gal.png?height=515&amp;width=720</t>
  </si>
  <si>
    <t>ELESTO Elektrotechnik Stollberger, Thomas, Elektrotechniker • Schauern • Oberösterreich</t>
  </si>
  <si>
    <t>Elektrotechnik • ELESTO Elektrotechnik Stollberger, Thomas, Schauern 31, Schauern • Kontakt über aktuelle Telefonnummern ☎ und Adressen ⚑ mit Karte, Routing, Öffnungszeiten, Homepage, E-Mail, vCard und Firmendaten.</t>
  </si>
  <si>
    <t>Schauern 31</t>
  </si>
  <si>
    <t>Schauern</t>
  </si>
  <si>
    <t>+43771720101</t>
  </si>
  <si>
    <t>stollberger@elesto.at</t>
  </si>
  <si>
    <t>https://bilder.dasschnelle.at/DasSchnelle/50/5000/9926/042792/G_042792_P_906122361.adn.gif</t>
  </si>
  <si>
    <t>Weiß, Anneliese, Massagepraxis • Altenmarkt im Pongau • Salzburg</t>
  </si>
  <si>
    <t>Massagen • Weiß, Anneliese, Grubgasse 4, Altenmarkt im Pongau • Kontakt über aktuelle Telefonnummern ☎ und Adressen ⚑ mit Karte, Routing, Öffnungszeiten, Homepage, E-Mail, vCard und Firmendaten.</t>
  </si>
  <si>
    <t>Grubgasse 4</t>
  </si>
  <si>
    <t>47.38057</t>
  </si>
  <si>
    <t>13.42276</t>
  </si>
  <si>
    <t>+436641533863</t>
  </si>
  <si>
    <t>info@massage-anneliese.at</t>
  </si>
  <si>
    <t>https://bilder.dasschnelle.at/DasSchnelle/50/5000/9919/043334/G_043334_P_906123557.adn.gif</t>
  </si>
  <si>
    <t>Dr. Schartner Rechtsanwalt GmbH • Altenmarkt im Pongau • Salzburg</t>
  </si>
  <si>
    <t>Rechtsanwälte • Dr. Schartner Rechtsanwalt GmbH, Obere Marktstraße 58, Altenmarkt im Pongau • Kontakt über aktuelle Telefonnummern ☎ und Adressen ⚑ mit Karte, Routing, Öffnungszeiten, Homepage, E-Mail, vCard und Firmendaten.</t>
  </si>
  <si>
    <t>Obere Marktstraße 58</t>
  </si>
  <si>
    <t>47.38172</t>
  </si>
  <si>
    <t>13.41373</t>
  </si>
  <si>
    <t>+43645220085</t>
  </si>
  <si>
    <t>kanzlei@peterschartner.at</t>
  </si>
  <si>
    <t>https://bilder.dasschnelle.at/DasSchnelle/50/5000/9919/998255/G_998255_P_906123559.adn.gif</t>
  </si>
  <si>
    <t>Wartinger, Alice, Dr.med.dent., Zahnärztin • Marchtrenk • Oberösterreich</t>
  </si>
  <si>
    <t>Ärzte / Fachärzte f. Zahn-, Mund u. Kieferheilkunde • Wartinger, Alice, Dr.med.dent., Eichenstraße 1, Marchtrenk • Kontakt über aktuelle Telefonnummern ☎ und Adressen ⚑ mit Karte, Routing, Öffnungszeiten, Homepage, E-Mail, vCard und Firmendaten.</t>
  </si>
  <si>
    <t>Eichenstraße 1</t>
  </si>
  <si>
    <t>48.19226</t>
  </si>
  <si>
    <t>14.11771</t>
  </si>
  <si>
    <t>+43724358082</t>
  </si>
  <si>
    <t>ordi@dr-wartinger.at</t>
  </si>
  <si>
    <t>https://bilder.dasschnelle.at/DasSchnelle/50/5000/9907/043573/G_043573_P_906123526.adn.gif</t>
  </si>
  <si>
    <t>Wolfsegger-Friede, Barbara, Dr.med., FA f Augenheilkunde, Kontaktlinseninstitut • Wels • Oberösterreich</t>
  </si>
  <si>
    <t>Ärzte / Fachärzte f. Augenheilkunde u. Optometrie • Wolfsegger-Friede, Barbara, Dr.med., Grieskirchner Straße 87, Wels • Kontakt über aktuelle Telefonnummern ☎ und Adressen ⚑ mit Karte, Routing, Öffnungszeiten, Homepage, E-Mail, vCard und Firmendaten.</t>
  </si>
  <si>
    <t>Grieskirchner Straße 87</t>
  </si>
  <si>
    <t>48.1770300</t>
  </si>
  <si>
    <t>14.0210800</t>
  </si>
  <si>
    <t>+43724243018</t>
  </si>
  <si>
    <t>+4372424301813</t>
  </si>
  <si>
    <t>dr.b.wolfsegger@medway.at</t>
  </si>
  <si>
    <t>https://bilder.dasschnelle.at/DasSchnelle/50/5000/9945/044547/G_044547_P_906123532.adn.gif</t>
  </si>
  <si>
    <t>Kirchmayr, Anita, Dr.med., FA f Dermatologie • Marchtrenk • Oberösterreich</t>
  </si>
  <si>
    <t>Ärzte / Fachärzte f. Haut u. Geschlechtskrankheiten • Kirchmayr, Anita, Dr.med., Bahnhofstraße 23, Marchtrenk • Kontakt über aktuelle Telefonnummern ☎ und Adressen ⚑ mit Karte, Routing, Öffnungszeiten, Homepage, E-Mail, vCard und Firmendaten.</t>
  </si>
  <si>
    <t>Bahnhofstraße 23</t>
  </si>
  <si>
    <t>48.19362</t>
  </si>
  <si>
    <t>14.1096</t>
  </si>
  <si>
    <t>+43724354754</t>
  </si>
  <si>
    <t>https://bilder.dasschnelle.at/DasSchnelle/50/5000/9945/043573/G_043573_P_906123538.adn.gif</t>
  </si>
  <si>
    <t>Bestattung Ecker GesmbH, Bestattungsunternehmen • Steinhaus • Oberösterreich</t>
  </si>
  <si>
    <t>Bestattungsunternehmen • Bestattung Ecker GesmbH, Schlossstraße 30, Steinhaus • Kontakt über aktuelle Telefonnummern ☎ und Adressen ⚑ mit Karte, Routing, Öffnungszeiten, Homepage, E-Mail, vCard und Firmendaten.</t>
  </si>
  <si>
    <t>Schlossstraße 30</t>
  </si>
  <si>
    <t>48.11289</t>
  </si>
  <si>
    <t>14.02182</t>
  </si>
  <si>
    <t>+43724227102</t>
  </si>
  <si>
    <t>office@bestattung-ecker.at</t>
  </si>
  <si>
    <t>https://bilder.dasschnelle.at/DasSchnelle/50/5000/9945/043583/I_043583_P_906123542_L_0035993916_1.png</t>
  </si>
  <si>
    <t>https://bilder.dasschnelle.at/DasSchnelle/50/5000/9945/043583/I_043583_P_906123542_B_0035993916_1.gal.png?height=256&amp;width=573;https://bilder.dasschnelle.at/DasSchnelle/50/5000/9945/043583/I_043583_P_906123542_B_0035993916_2.gal.png?height=253&amp;width=571;https://bilder.dasschnelle.at/DasSchnelle/50/5000/9945/043583/I_043583_P_906123542_B_0035993916_3.gal.png?height=595&amp;width=593;https://bilder.dasschnelle.at/DasSchnelle/50/5000/9945/043583/I_043583_P_906123542_B_0035993916_4.gal.png?height=399&amp;width=600</t>
  </si>
  <si>
    <t>KFZ Martin Krenn GmbH • Hellmonsödt • Oberösterreich</t>
  </si>
  <si>
    <t>Autohandel • KFZ Martin Krenn GmbH, Weignersdorf 7, Hellmonsödt • Kontakt über aktuelle Telefonnummern ☎ und Adressen ⚑ mit Karte, Routing, Öffnungszeiten, Homepage, E-Mail, vCard und Firmendaten.</t>
  </si>
  <si>
    <t>Weignersdorf 7</t>
  </si>
  <si>
    <t>4202</t>
  </si>
  <si>
    <t>Hellmonsödt</t>
  </si>
  <si>
    <t>48.4184127</t>
  </si>
  <si>
    <t>14.3435453</t>
  </si>
  <si>
    <t>+43721140111</t>
  </si>
  <si>
    <t>kfz.krenn@aon.at</t>
  </si>
  <si>
    <t>https://bilder.dasschnelle.at/DasSchnelle/50/5000/9939/042836/G_042836_P_906123544.adn.gif</t>
  </si>
  <si>
    <t>Sagmeister, Regina, Kinesiologie • Thalheim bei Wels • Oberösterreich</t>
  </si>
  <si>
    <t>Kinesiologie • Sagmeister, Regina, Falkenweg 4, Thalheim bei Wels • Kontakt über aktuelle Telefonnummern ☎ und Adressen ⚑ mit Karte, Routing, Öffnungszeiten, Homepage, E-Mail, vCard und Firmendaten.</t>
  </si>
  <si>
    <t>Falkenweg 4</t>
  </si>
  <si>
    <t>48.1469242</t>
  </si>
  <si>
    <t>14.0410824</t>
  </si>
  <si>
    <t>+436767092959</t>
  </si>
  <si>
    <t>regina.sagmeister@liwest.at</t>
  </si>
  <si>
    <t>https://bilder.dasschnelle.at/DasSchnelle/50/5000/9945/043584/G_043584_P_906123546.adn.gif</t>
  </si>
  <si>
    <t>Lengauer, Leopold, Taxi • Reichenau im Mühlkreis • Oberösterreich</t>
  </si>
  <si>
    <t>Taxi • Lengauer, Leopold, Zeil 7, Reichenau im Mühlkreis • Kontakt über aktuelle Telefonnummern ☎ und Adressen ⚑ mit Karte, Routing, Öffnungszeiten, Homepage, E-Mail, vCard und Firmendaten.</t>
  </si>
  <si>
    <t>Zeil 7</t>
  </si>
  <si>
    <t>4204</t>
  </si>
  <si>
    <t>Reichenau im Mühlkreis</t>
  </si>
  <si>
    <t>48.4697052</t>
  </si>
  <si>
    <t>14.3407714</t>
  </si>
  <si>
    <t>+4372118208;+436505223845</t>
  </si>
  <si>
    <t>office@eventtaxi.at</t>
  </si>
  <si>
    <t>https://bilder.dasschnelle.at/DasSchnelle/50/5000/9939/043058/G_043058_P_906123550.adn.gif</t>
  </si>
  <si>
    <t>Elektrotechnik Bürgler &amp; Mooslechner GmbH • Goldegg • Salzburg</t>
  </si>
  <si>
    <t>Elektrotechnik • Elektrotechnik Bürgler &amp; Mooslechner GmbH, Oberhof 26, Goldegg • Kontakt über aktuelle Telefonnummern ☎ und Adressen ⚑ mit Karte, Routing, Öffnungszeiten, Homepage, E-Mail, vCard und Firmendaten.</t>
  </si>
  <si>
    <t>Oberhof 26</t>
  </si>
  <si>
    <t>47.3103841</t>
  </si>
  <si>
    <t>13.0995383</t>
  </si>
  <si>
    <t>+436641600251</t>
  </si>
  <si>
    <t>info@bm-elektrotechnik.at</t>
  </si>
  <si>
    <t>https://bilder.dasschnelle.at/DasSchnelle/50/5000/9919/043343/I_043343_P_906123581_L_0036008162_1.png</t>
  </si>
  <si>
    <t>https://bilder.dasschnelle.at/DasSchnelle/50/5000/9919/043343/I_043343_P_906123581_B_0036008162_1.gal.png?height=421&amp;width=831;https://bilder.dasschnelle.at/DasSchnelle/50/5000/9919/043343/I_043343_P_906123581_B_0036008162_2.gal.png?height=595&amp;width=831;https://bilder.dasschnelle.at/DasSchnelle/50/5000/9919/043343/I_043343_P_906123581_B_0036008162_3.gal.png?height=472&amp;width=819;https://bilder.dasschnelle.at/DasSchnelle/50/5000/9919/043343/I_043343_P_906123581_B_0036008162_4.gal.png?height=510&amp;width=760</t>
  </si>
  <si>
    <t>HOCHREITER-STADLBAUER OG, Elektrotechnik • Hellmonsödt • Oberösterreich</t>
  </si>
  <si>
    <t>Elektrotechnik • HOCHREITER-STADLBAUER OG, Sagweg 19, Hellmonsödt • Kontakt über aktuelle Telefonnummern ☎ und Adressen ⚑ mit Karte, Routing, Öffnungszeiten, Homepage, E-Mail, vCard und Firmendaten.</t>
  </si>
  <si>
    <t>Sagweg 19</t>
  </si>
  <si>
    <t>48.4300600</t>
  </si>
  <si>
    <t>14.2953800</t>
  </si>
  <si>
    <t>+4372153808</t>
  </si>
  <si>
    <t>etechnik@hostog.at</t>
  </si>
  <si>
    <t>https://bilder.dasschnelle.at/DasSchnelle/50/5000/9939/042836/G_042836_P_906123585.adn.gif</t>
  </si>
  <si>
    <t>Salon Cupak, Friseur • Hellmonsödt • Oberösterreich</t>
  </si>
  <si>
    <t>Friseure • Salon Cupak, Marktplatz 6, Hellmonsödt • Kontakt über aktuelle Telefonnummern ☎ und Adressen ⚑ mit Karte, Routing, Öffnungszeiten, Homepage, E-Mail, vCard und Firmendaten.</t>
  </si>
  <si>
    <t>48.43146</t>
  </si>
  <si>
    <t>14.29919</t>
  </si>
  <si>
    <t>+4372152244</t>
  </si>
  <si>
    <t>studio.cupak@hotmail.de</t>
  </si>
  <si>
    <t>https://bilder.dasschnelle.at/DasSchnelle/50/5000/9939/042836/G_042836_P_906124617.adn.gif</t>
  </si>
  <si>
    <t>FISCHER Entsorgungs- u. Transport GmbH, Entsorgungsunternehmen • Wilhelmsburg • Niederösterreich</t>
  </si>
  <si>
    <t>Entsorgungen, Kanalservice, Tankreinigung • FISCHER Entsorgungs- u. Transport GmbH, Industriezone-Burgerfeld 7, Wilhelmsburg • Kontakt über aktuelle Telefonnummern ☎ und Adressen ⚑ mit Karte, Routing, Öffnungszeiten, Homepage, E-Mail, vCard und Firmendaten.</t>
  </si>
  <si>
    <t>Industriezone-Burgerfeld 7</t>
  </si>
  <si>
    <t>3150</t>
  </si>
  <si>
    <t>Wilhelmsburg</t>
  </si>
  <si>
    <t>48.1138379</t>
  </si>
  <si>
    <t>15.6105355</t>
  </si>
  <si>
    <t>+4327466030</t>
  </si>
  <si>
    <t>office@fischer-entsorgung.at</t>
  </si>
  <si>
    <t>https://bilder.dasschnelle.at/DasSchnelle/50/5000/9906/041920/G_041920_P_906124758.adn.gif</t>
  </si>
  <si>
    <t>Reisecker Mike  • St. Willibald • Oberösterreich</t>
  </si>
  <si>
    <t>Reisecker Mike, Hauptstraße 10, St. Willibald • Kontakt über aktuelle Telefonnummern ☎ und Adressen ⚑ mit Karte, Routing, Öffnungszeiten, Homepage, E-Mail, vCard und Firmendaten.</t>
  </si>
  <si>
    <t>4762</t>
  </si>
  <si>
    <t>St. Willibald</t>
  </si>
  <si>
    <t>48.34347</t>
  </si>
  <si>
    <t>13.77216</t>
  </si>
  <si>
    <t>+4377623284</t>
  </si>
  <si>
    <t>info@rip.at</t>
  </si>
  <si>
    <t>Tischlerei Löckinger, Tischlerei • Enzenkirchen • Oberösterreich</t>
  </si>
  <si>
    <t>Bestattungsunternehmen, Tischlereien • Tischlerei Löckinger, Hauptstraße 44, Enzenkirchen • Kontakt über aktuelle Telefonnummern ☎ und Adressen ⚑ mit Karte, Routing, Öffnungszeiten, Homepage, E-Mail, vCard und Firmendaten.</t>
  </si>
  <si>
    <t>Hauptstraße 44</t>
  </si>
  <si>
    <t>48.38622</t>
  </si>
  <si>
    <t>13.64835</t>
  </si>
  <si>
    <t>+4377623219;+436642238445</t>
  </si>
  <si>
    <t>office@tischlerei-innviertel.at</t>
  </si>
  <si>
    <t>https://bilder.dasschnelle.at/DasSchnelle/50/5000/9926/042783/G_042783_P_906123515.adn.gif</t>
  </si>
  <si>
    <t>Haustechnik Thomas Aichinger Ges.m.b.H, Haustechnik • Kopfing im Innkreis • Oberösterreich</t>
  </si>
  <si>
    <t>Haustechnik • Haustechnik Thomas Aichinger Ges.m.b.H, Entholz 28, Kopfing im Innkreis • Kontakt über aktuelle Telefonnummern ☎ und Adressen ⚑ mit Karte, Routing, Öffnungszeiten, Homepage, E-Mail, vCard und Firmendaten.</t>
  </si>
  <si>
    <t>Entholz 28</t>
  </si>
  <si>
    <t>4794</t>
  </si>
  <si>
    <t>Kopfing im Innkreis</t>
  </si>
  <si>
    <t>48.4193864</t>
  </si>
  <si>
    <t>13.6754174</t>
  </si>
  <si>
    <t>+43776320867</t>
  </si>
  <si>
    <t>office@aichinger-haustechnik.at</t>
  </si>
  <si>
    <t>https://bilder.dasschnelle.at/DasSchnelle/50/5000/9926/042786/G_042786_P_906123518.adn.gif</t>
  </si>
  <si>
    <t>Haustechnik Fichtinger GmbH, Haustechnik • Reiferdorf • Oberösterreich</t>
  </si>
  <si>
    <t>Haustechnik, Gasinstallationen • Haustechnik Fichtinger GmbH, Kaplanstraße 5, Reiferdorf • Kontakt über aktuelle Telefonnummern ☎ und Adressen ⚑ mit Karte, Routing, Öffnungszeiten, Homepage, E-Mail, vCard und Firmendaten.</t>
  </si>
  <si>
    <t>Kaplanstraße 5</t>
  </si>
  <si>
    <t>Reiferdorf</t>
  </si>
  <si>
    <t>48.24295</t>
  </si>
  <si>
    <t>14.54902</t>
  </si>
  <si>
    <t>+4372383510</t>
  </si>
  <si>
    <t>office@fichtinger.co.at</t>
  </si>
  <si>
    <t>https://bilder.dasschnelle.at/DasSchnelle/50/5000/9916/042523/G_042523_P_906123519.adn.gif</t>
  </si>
  <si>
    <t>Karner, Karl, Tischlereien • Wilhelmsburg • Niederösterreich</t>
  </si>
  <si>
    <t>Tischlereien • Karner, Karl, Schießstattstraße 4, Wilhelmsburg • Kontakt über aktuelle Telefonnummern ☎ und Adressen ⚑ mit Karte, Routing, Öffnungszeiten, Homepage, E-Mail, vCard und Firmendaten.</t>
  </si>
  <si>
    <t>Schießstattstraße 4</t>
  </si>
  <si>
    <t>48.10799</t>
  </si>
  <si>
    <t>15.60525</t>
  </si>
  <si>
    <t>+4327462333</t>
  </si>
  <si>
    <t>+4327462966</t>
  </si>
  <si>
    <t>tischlerei-karner@kstp.at</t>
  </si>
  <si>
    <t>https://bilder.dasschnelle.at/DasSchnelle/50/5000/9906/041920/G_041920_P_906124540.adn.gif</t>
  </si>
  <si>
    <t>Insamer F GmbH &amp; Co KG, Brunnenbau • Andrichsfurt • Oberösterreich</t>
  </si>
  <si>
    <t>Brunnen u. Brunnenbau • Insamer F GmbH &amp; Co KG, Albertsedt 1, Andrichsfurt • Kontakt über aktuelle Telefonnummern ☎ und Adressen ⚑ mit Karte, Routing, Öffnungszeiten, Homepage, E-Mail, vCard und Firmendaten.</t>
  </si>
  <si>
    <t>Albertsedt 1</t>
  </si>
  <si>
    <t>4754</t>
  </si>
  <si>
    <t>Andrichsfurt</t>
  </si>
  <si>
    <t>48.2615105</t>
  </si>
  <si>
    <t>13.5114390</t>
  </si>
  <si>
    <t>+43775032620</t>
  </si>
  <si>
    <t>brunnenbau@insamer.at</t>
  </si>
  <si>
    <t>https://bilder.dasschnelle.at/DasSchnelle/50/5000/9926/042797/G_042797_P_906124806.adn.gif</t>
  </si>
  <si>
    <t>Pflegezentrum Unterlamm Maurer GmbH, Pflegeheim • Unterlamm • Steiermark</t>
  </si>
  <si>
    <t>Pflege- u. Altenheime • Pflegezentrum Unterlamm Maurer GmbH, Unterlamm 185, Unterlamm • Kontakt über aktuelle Telefonnummern ☎ und Adressen ⚑ mit Karte, Routing, Öffnungszeiten, Homepage, E-Mail, vCard und Firmendaten.</t>
  </si>
  <si>
    <t>Unterlamm 185</t>
  </si>
  <si>
    <t>8352</t>
  </si>
  <si>
    <t>Unterlamm</t>
  </si>
  <si>
    <t>46.9764749</t>
  </si>
  <si>
    <t>16.0587881</t>
  </si>
  <si>
    <t>+43315540107;+43315540108</t>
  </si>
  <si>
    <t>info@pflegezentrum-unterlamm.at</t>
  </si>
  <si>
    <t>https://bilder.dasschnelle.at/DasSchnelle/50/5000/9879/045859/G_045859_P_906125734.adn.gif</t>
  </si>
  <si>
    <t>Pertl PlanungsgmbH, Stahlbau • Bodensdorf • Kärnten</t>
  </si>
  <si>
    <t>Ingenieurbüros • Pertl PlanungsgmbH, Fasanenweg 7, Bodensdorf • Kontakt über aktuelle Telefonnummern ☎ und Adressen ⚑ mit Karte, Routing, Öffnungszeiten, Homepage, E-Mail, vCard und Firmendaten.</t>
  </si>
  <si>
    <t>Fasanenweg 7</t>
  </si>
  <si>
    <t>9551</t>
  </si>
  <si>
    <t>Bodensdorf</t>
  </si>
  <si>
    <t>46.69125</t>
  </si>
  <si>
    <t>13.97887</t>
  </si>
  <si>
    <t>+43424345600;+436642528904</t>
  </si>
  <si>
    <t>office@cad-pertl.at</t>
  </si>
  <si>
    <t>https://bilder.dasschnelle.at/DasSchnelle/50/5000/9880/042055/I_042055_P_906125739_L_0037237250_1.png</t>
  </si>
  <si>
    <t>https://bilder.dasschnelle.at/DasSchnelle/50/5000/9880/042055/I_042055_P_906125739_B_0037237250_1.gal.png?height=416&amp;width=624;https://bilder.dasschnelle.at/DasSchnelle/50/5000/9880/042055/I_042055_P_906125739_B_0037237250_2.gal.png?height=292&amp;width=624;https://bilder.dasschnelle.at/DasSchnelle/50/5000/9880/042055/I_042055_P_906125739_B_0037237250_3.gal.png?height=271&amp;width=406;https://bilder.dasschnelle.at/DasSchnelle/50/5000/9880/042055/I_042055_P_906125739_B_0037237250_4.gal.png?height=271&amp;width=406</t>
  </si>
  <si>
    <t>Meniga, A., Dr. • Wels • Oberösterreich</t>
  </si>
  <si>
    <t>Zahnärzte, Zahn-, Mund- u. Kieferheilkunde • Meniga, A., Dr., Grieskirchner Straße 15, Wels • Kontakt über aktuelle Telefonnummern ☎ und Adressen ⚑ mit Karte, Routing, Öffnungszeiten, Homepage, E-Mail, vCard und Firmendaten.</t>
  </si>
  <si>
    <t>Grieskirchner Straße 15</t>
  </si>
  <si>
    <t>48.1696687</t>
  </si>
  <si>
    <t>14.0243478</t>
  </si>
  <si>
    <t>+43724252969</t>
  </si>
  <si>
    <t>alan.meniga@liwest.at</t>
  </si>
  <si>
    <t>https://bilder.dasschnelle.at/DasSchnelle/50/5000/9945/998088/G_998088_P_906127363.adn.gif</t>
  </si>
  <si>
    <t>Stadtapotheke Marchtrenk Mag. pharm. Manfred Prillinger KG, Apotheken • Marchtrenk • Oberösterreich</t>
  </si>
  <si>
    <t>Apotheken • Stadtapotheke Marchtrenk Mag. pharm. Manfred Prillinger KG, Linzer Straße 58, Marchtrenk • Kontakt über aktuelle Telefonnummern ☎ und Adressen ⚑ mit Karte, Routing, Öffnungszeiten, Homepage, E-Mail, vCard und Firmendaten.</t>
  </si>
  <si>
    <t>Linzer Straße 58</t>
  </si>
  <si>
    <t>48.19156</t>
  </si>
  <si>
    <t>14.11942</t>
  </si>
  <si>
    <t>+437243547000</t>
  </si>
  <si>
    <t>office@stadtapotheke-marchtrenk.at</t>
  </si>
  <si>
    <t>https://bilder.dasschnelle.at/DasSchnelle/50/5000/9907/043573/I_043573_P_906127365_L_0035993468_1.png</t>
  </si>
  <si>
    <t>https://bilder.dasschnelle.at/DasSchnelle/50/5000/9907/043573/I_043573_P_906127365_B_0035993468_1.gal.png?height=169&amp;width=624;https://bilder.dasschnelle.at/DasSchnelle/50/5000/9907/043573/I_043573_P_906127365_B_0035993468_2.gal.png?height=169&amp;width=624</t>
  </si>
  <si>
    <t>Riepl, Josef, Installationstechnik • Tiffen • Kärnten</t>
  </si>
  <si>
    <t>Baustoffhandel, Installationstechnik, Installationsunternehmen • Riepl, Josef, Tiffen • Kontakt über aktuelle Telefonnummern ☎ und Adressen ⚑ mit Karte, Routing, Öffnungszeiten, Homepage, E-Mail, vCard und Firmendaten.</t>
  </si>
  <si>
    <t>Tiffen</t>
  </si>
  <si>
    <t>46.7082730</t>
  </si>
  <si>
    <t>14.0584680</t>
  </si>
  <si>
    <t>+4342762894;+4342767548;+436645241374</t>
  </si>
  <si>
    <t>+4342765047</t>
  </si>
  <si>
    <t>mailbox@riepl.co.at</t>
  </si>
  <si>
    <t>https://bilder.dasschnelle.at/DasSchnelle/50/5000/9880/042055/G_042055_P_906127373.adn.gif</t>
  </si>
  <si>
    <t>HSE Huber GmbH, Installationen • Landeck • Tirol</t>
  </si>
  <si>
    <t>Installationsunternehmen • HSE Huber GmbH, Urichstraße 100, Landeck • Kontakt über aktuelle Telefonnummern ☎ und Adressen ⚑ mit Karte, Routing, Öffnungszeiten, Homepage, E-Mail, vCard und Firmendaten.</t>
  </si>
  <si>
    <t>Urichstraße 100</t>
  </si>
  <si>
    <t>47.14057</t>
  </si>
  <si>
    <t>10.56114</t>
  </si>
  <si>
    <t>+436601133320</t>
  </si>
  <si>
    <t>office@hse-huber.at</t>
  </si>
  <si>
    <t>https://bilder.dasschnelle.at/DasSchnelle/50/5000/9903/044584/G_044584_P_906127380.adn.gif</t>
  </si>
  <si>
    <t>Sommer GmbH, Torantriebe • Walding • Oberösterreich</t>
  </si>
  <si>
    <t>Torantriebe • Sommer GmbH, Mühlkreisbahnstraße 21, Walding • Kontakt über aktuelle Telefonnummern ☎ und Adressen ⚑ mit Karte, Routing, Öffnungszeiten, Homepage, E-Mail, vCard und Firmendaten.</t>
  </si>
  <si>
    <t>Mühlkreisbahnstraße 21</t>
  </si>
  <si>
    <t>4111</t>
  </si>
  <si>
    <t>Walding</t>
  </si>
  <si>
    <t>48.34653</t>
  </si>
  <si>
    <t>14.16135</t>
  </si>
  <si>
    <t>+43723484027</t>
  </si>
  <si>
    <t>office-at@sommer-group.eu</t>
  </si>
  <si>
    <t>https://bilder.dasschnelle.at/DasSchnelle/50/5000/9939/043065/I_043065_P_906127382_L_0035999478_1.png</t>
  </si>
  <si>
    <t>https://bilder.dasschnelle.at/DasSchnelle/50/5000/9939/043065/I_043065_P_906127382_B_0035999478_1.gal.png?height=326&amp;width=759;https://bilder.dasschnelle.at/DasSchnelle/50/5000/9939/043065/I_043065_P_906127382_B_0035999478_2.gal.png?height=328&amp;width=754;https://bilder.dasschnelle.at/DasSchnelle/50/5000/9939/043065/I_043065_P_906127382_B_0035999478_3.gal.png?height=327&amp;width=755;https://bilder.dasschnelle.at/DasSchnelle/50/5000/9939/043065/I_043065_P_906127382_B_0035999478_4.gal.png?height=323&amp;width=453</t>
  </si>
  <si>
    <t>Mayr, Rudolf, Tischler • Walding • Oberösterreich</t>
  </si>
  <si>
    <t>Tischlereien • Mayr, Rudolf, Semleitnerweg 62, Walding • Kontakt über aktuelle Telefonnummern ☎ und Adressen ⚑ mit Karte, Routing, Öffnungszeiten, Homepage, E-Mail, vCard und Firmendaten.</t>
  </si>
  <si>
    <t>Semleitnerweg 62</t>
  </si>
  <si>
    <t>48.3591</t>
  </si>
  <si>
    <t>14.14356</t>
  </si>
  <si>
    <t>+43723488053;+436644559970</t>
  </si>
  <si>
    <t>rudolf@wintergartenmayr.at</t>
  </si>
  <si>
    <t>https://bilder.dasschnelle.at/DasSchnelle/50/5000/9939/043065/G_043065_P_906127391.adn.gif</t>
  </si>
  <si>
    <t>Sallinger, Markus, Steinmetzbetrieb • St. Valentin • Niederösterreich</t>
  </si>
  <si>
    <t>Steinmetzbetriebe • Sallinger, Markus, Stöcklerhöhe 8, St. Valentin • Kontakt über aktuelle Telefonnummern ☎ und Adressen ⚑ mit Karte, Routing, Öffnungszeiten, Homepage, E-Mail, vCard und Firmendaten.</t>
  </si>
  <si>
    <t>Stöcklerhöhe 8</t>
  </si>
  <si>
    <t>48.18153</t>
  </si>
  <si>
    <t>14.54837</t>
  </si>
  <si>
    <t>+436645405458</t>
  </si>
  <si>
    <t>office@masastein.at</t>
  </si>
  <si>
    <t>https://bilder.dasschnelle.at/DasSchnelle/50/5000/9924/041325/I_041325_P_906128701_L_0036000346_1.png</t>
  </si>
  <si>
    <t>https://bilder.dasschnelle.at/DasSchnelle/50/5000/9924/041325/I_041325_P_906128701_B_0036000346_1.gal.png?height=594&amp;width=600;https://bilder.dasschnelle.at/DasSchnelle/50/5000/9924/041325/I_041325_P_906128701_B_0036000346_2.gal.png?height=450&amp;width=600;https://bilder.dasschnelle.at/DasSchnelle/50/5000/9924/041325/I_041325_P_906128701_B_0036000346_3.gal.png?height=600&amp;width=450;https://bilder.dasschnelle.at/DasSchnelle/50/5000/9924/041325/I_041325_P_906128701_B_0036000346_4.gal.png?height=450&amp;width=600</t>
  </si>
  <si>
    <t>Handlbauer, Sylvia, Blumen-Pflanzen-Floristik • Feldkirchen an der Donau • Oberösterreich</t>
  </si>
  <si>
    <t>Blumenhandel • Handlbauer, Sylvia, Hauptstraße 7, Feldkirchen an der Donau • Kontakt über aktuelle Telefonnummern ☎ und Adressen ⚑ mit Karte, Routing, Öffnungszeiten, Homepage, E-Mail, vCard und Firmendaten.</t>
  </si>
  <si>
    <t>Hauptstraße 7</t>
  </si>
  <si>
    <t>4101</t>
  </si>
  <si>
    <t>Feldkirchen an der Donau</t>
  </si>
  <si>
    <t>48.3461552</t>
  </si>
  <si>
    <t>14.0539080</t>
  </si>
  <si>
    <t>+43723320063</t>
  </si>
  <si>
    <t>office@blumen-handlbauer.at</t>
  </si>
  <si>
    <t>https://bilder.dasschnelle.at/DasSchnelle/50/5000/9939/042831/G_042831_P_906128711.adn.gif</t>
  </si>
  <si>
    <t>Bestattung Schönbichler GmbH, Bestattungsunternehmen • Hainfeld • Niederösterreich</t>
  </si>
  <si>
    <t>Bestattungsunternehmen • Bestattung Schönbichler GmbH, Hauptstraße 45, Hainfeld • Kontakt über aktuelle Telefonnummern ☎ und Adressen ⚑ mit Karte, Routing, Öffnungszeiten, Homepage, E-Mail, vCard und Firmendaten.</t>
  </si>
  <si>
    <t>48.0364288</t>
  </si>
  <si>
    <t>15.7691692</t>
  </si>
  <si>
    <t>+43276467138</t>
  </si>
  <si>
    <t>+4327646713820</t>
  </si>
  <si>
    <t>office@bestattung-schoenbichler.at</t>
  </si>
  <si>
    <t>https://bilder.dasschnelle.at/DasSchnelle/50/5000/9906/041518/G_041518_P_906128717.adn.gif</t>
  </si>
  <si>
    <t>Stögmüller, Elke, Friseur • Feldkirchen an der Donau • Oberösterreich</t>
  </si>
  <si>
    <t>Friseure • Stögmüller, Elke, Am Pfarrfeld 14, Feldkirchen an der Donau • Kontakt über aktuelle Telefonnummern ☎ und Adressen ⚑ mit Karte, Routing, Öffnungszeiten, Homepage, E-Mail, vCard und Firmendaten.</t>
  </si>
  <si>
    <t>Am Pfarrfeld 14</t>
  </si>
  <si>
    <t>48.3458740</t>
  </si>
  <si>
    <t>14.0497550</t>
  </si>
  <si>
    <t>+43723370109</t>
  </si>
  <si>
    <t>haarzone.elke@a1.net</t>
  </si>
  <si>
    <t>https://bilder.dasschnelle.at/DasSchnelle/50/5000/9939/042831/G_042831_P_906128716.adn.gif</t>
  </si>
  <si>
    <t>Gaisbauer, Johann, Bau- u Möbeltischlerei • Lacken • Oberösterreich</t>
  </si>
  <si>
    <t>Tischlereien • Gaisbauer, Johann, Lacken 17, Lacken • Kontakt über aktuelle Telefonnummern ☎ und Adressen ⚑ mit Karte, Routing, Öffnungszeiten, Homepage, E-Mail, vCard und Firmendaten.</t>
  </si>
  <si>
    <t>Lacken 17</t>
  </si>
  <si>
    <t>Lacken</t>
  </si>
  <si>
    <t>48.3833334</t>
  </si>
  <si>
    <t>14.0888422</t>
  </si>
  <si>
    <t>+4372322890;+436502729296;+436888289330;+4369913723053</t>
  </si>
  <si>
    <t>tischlerei@gaisbauer.info</t>
  </si>
  <si>
    <t>https://bilder.dasschnelle.at/DasSchnelle/50/5000/9939/042831/G_042831_P_906128751.adn.gif</t>
  </si>
  <si>
    <t>Janisch GesmbH, Heizungsbau • Traisen • Niederösterreich</t>
  </si>
  <si>
    <t>Heizungen • Janisch GesmbH, Mariazeller Straße 27, Traisen • Kontakt über aktuelle Telefonnummern ☎ und Adressen ⚑ mit Karte, Routing, Öffnungszeiten, Homepage, E-Mail, vCard und Firmendaten.</t>
  </si>
  <si>
    <t>Mariazeller Straße 27</t>
  </si>
  <si>
    <t>48.0483</t>
  </si>
  <si>
    <t>15.61047</t>
  </si>
  <si>
    <t>+43276262453;+436643225066;+436644458871;+436644458873</t>
  </si>
  <si>
    <t>+4327626245320</t>
  </si>
  <si>
    <t>office@janisch-1a.at</t>
  </si>
  <si>
    <t>https://bilder.dasschnelle.at/DasSchnelle/50/5000/9906/041528/I_041528_P_906128764_L_0036000050_1.png</t>
  </si>
  <si>
    <t>https://bilder.dasschnelle.at/DasSchnelle/50/5000/9906/041528/I_041528_P_906128764_B_0036000050_1.gal.png?height=550&amp;width=730;https://bilder.dasschnelle.at/DasSchnelle/50/5000/9906/041528/I_041528_P_906128764_B_0036000050_2.gal.png?height=550&amp;width=730;https://bilder.dasschnelle.at/DasSchnelle/50/5000/9906/041528/I_041528_P_906128764_B_0036000050_3.gal.png?height=550&amp;width=730;https://bilder.dasschnelle.at/DasSchnelle/50/5000/9906/041528/I_041528_P_906128764_B_0036000050_4.gal.png?height=550&amp;width=730</t>
  </si>
  <si>
    <t>Feichtinger, Kurt, Installationsunternehmen • Traisen • Niederösterreich</t>
  </si>
  <si>
    <t>Bäderstudios, Gasgeräte, Heizungen, Installationsunternehmen, Solaranlagen • Feichtinger, Kurt, Gölsensiedlung 8, Traisen • Kontakt über aktuelle Telefonnummern ☎ und Adressen ⚑ mit Karte, Routing, Öffnungszeiten, Homepage, E-Mail, vCard und Firmendaten.</t>
  </si>
  <si>
    <t>Gölsensiedlung 8</t>
  </si>
  <si>
    <t>48.0516</t>
  </si>
  <si>
    <t>15.61442</t>
  </si>
  <si>
    <t>+432762625310</t>
  </si>
  <si>
    <t>+4327626253114</t>
  </si>
  <si>
    <t>office@feichtinger.cc</t>
  </si>
  <si>
    <t>https://bilder.dasschnelle.at/DasSchnelle/50/5000/9906/041528/G_041528_P_906128772.adn.gif</t>
  </si>
  <si>
    <t>Schärdinger Waffenstube - Franz Rameder e.U., Büchsenmachermeister • Schärding Vorstadt • Oberösterreich</t>
  </si>
  <si>
    <t>Büchsenmachereien • Schärdinger Waffenstube - Franz Rameder e.U., Linzer Straße 13 Stg 2, Schärding Vorstadt • Kontakt über aktuelle Telefonnummern ☎ und Adressen ⚑ mit Karte, Routing, Öffnungszeiten, Homepage, E-Mail, vCard und Firmendaten.</t>
  </si>
  <si>
    <t>Linzer Straße 13 Stg 2</t>
  </si>
  <si>
    <t>Schärding Vorstadt</t>
  </si>
  <si>
    <t>48.45311</t>
  </si>
  <si>
    <t>13.4356</t>
  </si>
  <si>
    <t>+4377122595</t>
  </si>
  <si>
    <t>office@schaerding-waffenstube.at</t>
  </si>
  <si>
    <t>https://bilder.dasschnelle.at/DasSchnelle/50/5000/9926/042797/G_042797_P_906128779.adn.gif</t>
  </si>
  <si>
    <t>Gangl Malermeister, Malermeister • Suben • Oberösterreich</t>
  </si>
  <si>
    <t>Malereibetriebe • Gangl Malermeister, Suben 47, Suben • Kontakt über aktuelle Telefonnummern ☎ und Adressen ⚑ mit Karte, Routing, Öffnungszeiten, Homepage, E-Mail, vCard und Firmendaten.</t>
  </si>
  <si>
    <t>Suben 47</t>
  </si>
  <si>
    <t>4975</t>
  </si>
  <si>
    <t>Suben</t>
  </si>
  <si>
    <t>48.4104529</t>
  </si>
  <si>
    <t>13.4304788</t>
  </si>
  <si>
    <t>+436767249575</t>
  </si>
  <si>
    <t>malermeister.gangl@aon.at</t>
  </si>
  <si>
    <t>https://bilder.dasschnelle.at/DasSchnelle/50/5000/9926/042800/G_042800_P_906128780.adn.gif</t>
  </si>
  <si>
    <t>Swoboda, Peter, Dr., FA f Innere Medizin • Klosterneuburg • Niederösterreich</t>
  </si>
  <si>
    <t>Ärzte / Fachärzte f. Innere Medizin • Swoboda, Peter, Dr., Albrechtstraße 36, Klosterneuburg • Kontakt über aktuelle Telefonnummern ☎ und Adressen ⚑ mit Karte, Routing, Öffnungszeiten, Homepage, E-Mail, vCard und Firmendaten.</t>
  </si>
  <si>
    <t>Albrechtstraße 36</t>
  </si>
  <si>
    <t>48.30976</t>
  </si>
  <si>
    <t>16.32076</t>
  </si>
  <si>
    <t>+43224325410</t>
  </si>
  <si>
    <t>peter@dr-swoboda.at</t>
  </si>
  <si>
    <t>https://bilder.dasschnelle.at/DasSchnelle/50/5000/9897/061492/G_061492_P_906127317.adn.gif</t>
  </si>
  <si>
    <t>Neger, Astrid, Dr.med.dent, FA f Zahn-, Mund- u Kieferheilkunde • Riegersburg • Steiermark</t>
  </si>
  <si>
    <t>Ärzte / Fachärzte f. Zahn-, Mund u. Kieferheilkunde • Neger, Astrid, Dr.med.dent, Riegersburg 23 13, Riegersburg • Kontakt über aktuelle Telefonnummern ☎ und Adressen ⚑ mit Karte, Routing, Öffnungszeiten, Homepage, E-Mail, vCard und Firmendaten.</t>
  </si>
  <si>
    <t>Riegersburg 23 13</t>
  </si>
  <si>
    <t>47.0008403</t>
  </si>
  <si>
    <t>15.9363605</t>
  </si>
  <si>
    <t>+43315375105</t>
  </si>
  <si>
    <t>office@zahnarzt-riegersburg.at</t>
  </si>
  <si>
    <t>https://bilder.dasschnelle.at/DasSchnelle/50/5000/9879/061392/G_061392_P_906128623.adn.gif</t>
  </si>
  <si>
    <t>Werdinig GmbH, Dachdeckerei • Feldkirchen in Kärnten • Kärnten</t>
  </si>
  <si>
    <t>Dachdeckereien • Werdinig GmbH, Gurktaler Straße 8, Feldkirchen in Kärnten • Kontakt über aktuelle Telefonnummern ☎ und Adressen ⚑ mit Karte, Routing, Öffnungszeiten, Homepage, E-Mail, vCard und Firmendaten.</t>
  </si>
  <si>
    <t>Gurktaler Straße 8</t>
  </si>
  <si>
    <t>46.7233066</t>
  </si>
  <si>
    <t>14.0980057</t>
  </si>
  <si>
    <t>+4342764910</t>
  </si>
  <si>
    <t>werdinig.meisterdach@aon.at</t>
  </si>
  <si>
    <t>https://bilder.dasschnelle.at/DasSchnelle/50/5000/9880/042048/I_042048_P_906129002_L_0035993518_1.png</t>
  </si>
  <si>
    <t>https://bilder.dasschnelle.at/DasSchnelle/50/5000/9880/042048/I_042048_P_906129002_B_0035993518_1.gal.png?height=333&amp;width=500;https://bilder.dasschnelle.at/DasSchnelle/50/5000/9880/042048/I_042048_P_906129002_B_0035993518_2.gal.png?height=375&amp;width=500;https://bilder.dasschnelle.at/DasSchnelle/50/5000/9880/042048/I_042048_P_906129002_B_0035993518_3.gal.png?height=375&amp;width=500;https://bilder.dasschnelle.at/DasSchnelle/50/5000/9880/042048/I_042048_P_906129002_B_0035993518_4.gal.png?height=375&amp;width=500</t>
  </si>
  <si>
    <t>Dr. Döller Vermessung ZT GmbH, Vermessungsbüro • Zwettl-Niederösterreich • Niederösterreich</t>
  </si>
  <si>
    <t>Zivilgeometer • Dr. Döller Vermessung ZT GmbH, Franz Forstreiter Str. 24, Zwettl-Niederösterreich • Kontakt über aktuelle Telefonnummern ☎ und Adressen ⚑ mit Karte, Routing, Öffnungszeiten, Homepage, E-Mail, vCard und Firmendaten.</t>
  </si>
  <si>
    <t>Franz Forstreiter Str. 24</t>
  </si>
  <si>
    <t>48.6025900</t>
  </si>
  <si>
    <t>15.1840500</t>
  </si>
  <si>
    <t>+43282252460</t>
  </si>
  <si>
    <t>+43282254529</t>
  </si>
  <si>
    <t>office.zwettl@doeller.biz</t>
  </si>
  <si>
    <t>Dr. Döller Vermessung ZT GmbH, Vermessungsbüro • Waidhofen an der Thaya • Niederösterreich</t>
  </si>
  <si>
    <t>Vermessungsbüros • Dr. Döller Vermessung ZT GmbH, Raiffeisenpromenade 2/ 1/8, Waidhofen an der Thaya • Kontakt über aktuelle Telefonnummern ☎ und Adressen ⚑ mit Karte, Routing, Öffnungszeiten, Homepage, E-Mail, vCard und Firmendaten.</t>
  </si>
  <si>
    <t>Raiffeisenpromenade 2/ 1/8</t>
  </si>
  <si>
    <t>48.81477</t>
  </si>
  <si>
    <t>15.28325</t>
  </si>
  <si>
    <t>+43284252148</t>
  </si>
  <si>
    <t>office.waidhofen@doeller.biz</t>
  </si>
  <si>
    <t>Zauner Alois GmbH, Hafnermeister • Eggerding • Oberösterreich</t>
  </si>
  <si>
    <t>Fliesen u. Plattenverlegungen, Hafner • Zauner Alois GmbH, Hackledt 49, Eggerding • Kontakt über aktuelle Telefonnummern ☎ und Adressen ⚑ mit Karte, Routing, Öffnungszeiten, Homepage, E-Mail, vCard und Firmendaten.</t>
  </si>
  <si>
    <t>Hackledt 49</t>
  </si>
  <si>
    <t>4773</t>
  </si>
  <si>
    <t>Eggerding</t>
  </si>
  <si>
    <t>48.3504455</t>
  </si>
  <si>
    <t>13.4484419</t>
  </si>
  <si>
    <t>+4377677006</t>
  </si>
  <si>
    <t>office@kachelofen-zauner.at</t>
  </si>
  <si>
    <t>https://bilder.dasschnelle.at/DasSchnelle/50/5000/9926/042307/G_042307_P_906128665.adn.gif</t>
  </si>
  <si>
    <t>Krempl, Christian, Dr., FA f Zahn-, Mund- u Kieferheilkunde • Leibnitz • Steiermark</t>
  </si>
  <si>
    <t>Ärzte / Fachärzte f. Zahn-, Mund u. Kieferheilkunde • Krempl, Christian, Dr., Dechant Thaller-Straße 34, Leibnitz • Kontakt über aktuelle Telefonnummern ☎ und Adressen ⚑ mit Karte, Routing, Öffnungszeiten, Homepage, E-Mail, vCard und Firmendaten.</t>
  </si>
  <si>
    <t>Dechant Thaller-Straße 34</t>
  </si>
  <si>
    <t>46.78853</t>
  </si>
  <si>
    <t>15.54072</t>
  </si>
  <si>
    <t>+43345282060</t>
  </si>
  <si>
    <t>office@drkrempl.at</t>
  </si>
  <si>
    <t>https://bilder.dasschnelle.at/DasSchnelle/50/5000/9904/061363/G_061363_P_906128833.adn.gif</t>
  </si>
  <si>
    <t>Malerei Wiesinger Andreas, Malerei • Walding • Oberösterreich</t>
  </si>
  <si>
    <t>Malereibetriebe • Malerei Wiesinger Andreas, Mühlkreisbahnstraße 24, Walding • Kontakt über aktuelle Telefonnummern ☎ und Adressen ⚑ mit Karte, Routing, Öffnungszeiten, Homepage, E-Mail, vCard und Firmendaten.</t>
  </si>
  <si>
    <t>Mühlkreisbahnstraße 24</t>
  </si>
  <si>
    <t>48.35498</t>
  </si>
  <si>
    <t>14.14514</t>
  </si>
  <si>
    <t>+43723484428</t>
  </si>
  <si>
    <t>office@malerei-wiesinger.at</t>
  </si>
  <si>
    <t>https://bilder.dasschnelle.at/DasSchnelle/50/5000/9939/043065/I_043065_P_906130082_L_0035994431_1.png</t>
  </si>
  <si>
    <t>https://bilder.dasschnelle.at/DasSchnelle/50/5000/9939/043065/I_043065_P_906130082_B_0035994431_1.gal.png?height=393&amp;width=593;https://bilder.dasschnelle.at/DasSchnelle/50/5000/9939/043065/I_043065_P_906130082_B_0035994431_2.gal.png?height=391&amp;width=593;https://bilder.dasschnelle.at/DasSchnelle/50/5000/9939/043065/I_043065_P_906130082_B_0035994431_3.gal.png?height=394&amp;width=594;https://bilder.dasschnelle.at/DasSchnelle/50/5000/9939/043065/I_043065_P_906130082_B_0035994431_4.gal.png?height=394&amp;width=590</t>
  </si>
  <si>
    <t>VURAL, Sadettin, Steinmetz Steinmetz • Audorf • Oberösterreich</t>
  </si>
  <si>
    <t>Steinmetzbetriebe • VURAL, Sadettin, Audorfsiedlung 5, Audorf • Kontakt über aktuelle Telefonnummern ☎ und Adressen ⚑ mit Karte, Routing, Öffnungszeiten, Homepage, E-Mail, vCard und Firmendaten.</t>
  </si>
  <si>
    <t>Audorfsiedlung 5</t>
  </si>
  <si>
    <t>Audorf</t>
  </si>
  <si>
    <t>48.34267</t>
  </si>
  <si>
    <t>14.06166</t>
  </si>
  <si>
    <t>+436764944457</t>
  </si>
  <si>
    <t>office@vuralmarmor.at</t>
  </si>
  <si>
    <t>https://bilder.dasschnelle.at/DasSchnelle/50/5000/9939/042831/G_042831_P_906130086.adn.gif</t>
  </si>
  <si>
    <t>Pernsteiner, Josef, Reifen Sepp, Reifenhandel • Feldkirchen an der Donau • Oberösterreich</t>
  </si>
  <si>
    <t>Reifendienste • Pernsteiner, Josef, Reifen Sepp, Schauerbachweg 44, Feldkirchen an der Donau • Kontakt über aktuelle Telefonnummern ☎ und Adressen ⚑ mit Karte, Routing, Öffnungszeiten, Homepage, E-Mail, vCard und Firmendaten.</t>
  </si>
  <si>
    <t>Schauerbachweg 44</t>
  </si>
  <si>
    <t>48.36294</t>
  </si>
  <si>
    <t>14.10955</t>
  </si>
  <si>
    <t>+4372336264912</t>
  </si>
  <si>
    <t>kontakt@mobiler-reifendienst.at</t>
  </si>
  <si>
    <t>https://bilder.dasschnelle.at/DasSchnelle/50/5000/9939/042831/G_042831_P_906130089.adn.gif</t>
  </si>
  <si>
    <t>Pirklbauer Steuerberatung GmbH &amp; Co KG, Steuerberatung • Freistadt • Oberösterreich</t>
  </si>
  <si>
    <t>Steuerberater • Pirklbauer Steuerberatung GmbH &amp; Co KG, Badgasse 5, Freistadt • Kontakt über aktuelle Telefonnummern ☎ und Adressen ⚑ mit Karte, Routing, Öffnungszeiten, Homepage, E-Mail, vCard und Firmendaten.</t>
  </si>
  <si>
    <t>Badgasse 5</t>
  </si>
  <si>
    <t>4250</t>
  </si>
  <si>
    <t>48.51168</t>
  </si>
  <si>
    <t>14.50266</t>
  </si>
  <si>
    <t>+43794274761</t>
  </si>
  <si>
    <t>office@pirklbauer.com</t>
  </si>
  <si>
    <t>https://bilder.dasschnelle.at/DasSchnelle/50/5000/9882/044815/G_044815_P_906130094.adn.gif</t>
  </si>
  <si>
    <t>Bestattung Wazlawik Reischl KG, Bestattung • Schwarzach im Pongau • Salzburg</t>
  </si>
  <si>
    <t>Bestattungsunternehmen • Bestattung Wazlawik Reischl KG, Salzburgerstraße 55, Schwarzach im Pongau • Kontakt über aktuelle Telefonnummern ☎ und Adressen ⚑ mit Karte, Routing, Öffnungszeiten, Homepage, E-Mail, vCard und Firmendaten.</t>
  </si>
  <si>
    <t>Salzburgerstraße 55</t>
  </si>
  <si>
    <t>47.31991</t>
  </si>
  <si>
    <t>13.15252</t>
  </si>
  <si>
    <t>+4364154205;+436769569130</t>
  </si>
  <si>
    <t>office@bestattung-wazlawik.at</t>
  </si>
  <si>
    <t>https://bilder.dasschnelle.at/DasSchnelle/50/5000/9919/043354/G_043354_P_906131326.adn.gif</t>
  </si>
  <si>
    <t>Pirnbacher, Susanne, Kosmetik • Sankt Johann im Pongau • Salzburg</t>
  </si>
  <si>
    <t>Kosmetik • Pirnbacher, Susanne, Leo-Neumayer-Straße 2, Sankt Johann im Pongau • Kontakt über aktuelle Telefonnummern ☎ und Adressen ⚑ mit Karte, Routing, Öffnungszeiten, Homepage, E-Mail, vCard und Firmendaten.</t>
  </si>
  <si>
    <t>Leo-Neumayer-Straße 2</t>
  </si>
  <si>
    <t>47.34906</t>
  </si>
  <si>
    <t>13.20419</t>
  </si>
  <si>
    <t>+4364127161</t>
  </si>
  <si>
    <t>info@hauptsache-schoen.at</t>
  </si>
  <si>
    <t>https://bilder.dasschnelle.at/DasSchnelle/50/5000/9919/043351/G_043351_P_906131330.adn.gif</t>
  </si>
  <si>
    <t>Autohaus-PSK, Autoreparaturen aller Marken • Ottensheim • Oberösterreich</t>
  </si>
  <si>
    <t>Autohandel • Autohaus-PSK, Linzer Straße 60, Ottensheim • Kontakt über aktuelle Telefonnummern ☎ und Adressen ⚑ mit Karte, Routing, Öffnungszeiten, Homepage, E-Mail, vCard und Firmendaten.</t>
  </si>
  <si>
    <t>Linzer Straße 60</t>
  </si>
  <si>
    <t>4100</t>
  </si>
  <si>
    <t>Ottensheim</t>
  </si>
  <si>
    <t>48.33515</t>
  </si>
  <si>
    <t>14.18317</t>
  </si>
  <si>
    <t>+4369910993136</t>
  </si>
  <si>
    <t>automobile.psk@gmail.com</t>
  </si>
  <si>
    <t>https://bilder.dasschnelle.at/DasSchnelle/50/5000/9939/043056/I_043056_P_906131331_L_0037237262_1.png</t>
  </si>
  <si>
    <t>https://bilder.dasschnelle.at/DasSchnelle/50/5000/9939/043056/I_043056_P_906131331_B_0037237262_1.gal.png?height=328&amp;width=596;https://bilder.dasschnelle.at/DasSchnelle/50/5000/9939/043056/I_043056_P_906131331_B_0037237262_2.gal.png?height=329&amp;width=590;https://bilder.dasschnelle.at/DasSchnelle/50/5000/9939/043056/I_043056_P_906131331_B_0037237262_3.gal.png?height=328&amp;width=588;https://bilder.dasschnelle.at/DasSchnelle/50/5000/9939/043056/I_043056_P_906131331_B_0037237262_4.gal.png?height=334&amp;width=588</t>
  </si>
  <si>
    <t>DeWo Sonnen- u Insektenschutz e.U, Sonnenschutz • Walding • Oberösterreich</t>
  </si>
  <si>
    <t>Sonnen u. Insektenschutz • DeWo Sonnen- u Insektenschutz e.U, Ziegelbauerstraße 5, Walding • Kontakt über aktuelle Telefonnummern ☎ und Adressen ⚑ mit Karte, Routing, Öffnungszeiten, Homepage, E-Mail, vCard und Firmendaten.</t>
  </si>
  <si>
    <t>Ziegelbauerstraße 5</t>
  </si>
  <si>
    <t>48.34961</t>
  </si>
  <si>
    <t>14.16171</t>
  </si>
  <si>
    <t>+43723421011</t>
  </si>
  <si>
    <t>office@dewo.at</t>
  </si>
  <si>
    <t>https://bilder.dasschnelle.at/DasSchnelle/50/5000/9939/043065/I_043065_P_906131333_B_0035999030_1.gal.png?height=513&amp;width=692;https://bilder.dasschnelle.at/DasSchnelle/50/5000/9939/043065/I_043065_P_906131333_B_0035999030_2.gal.png?height=518&amp;width=693;https://bilder.dasschnelle.at/DasSchnelle/50/5000/9939/043065/I_043065_P_906131333_B_0035999030_3.gal.png?height=592&amp;width=696;https://bilder.dasschnelle.at/DasSchnelle/50/5000/9939/043065/I_043065_P_906131333_B_0035999030_4.gal.png?height=514&amp;width=692;https://bilder.dasschnelle.at/DasSchnelle/50/5000/9939/043065/G_043065_P_906131333.adn.gif</t>
  </si>
  <si>
    <t>Zöchling, Peter, Tischlerei • Traisen • Niederösterreich</t>
  </si>
  <si>
    <t>Tischlereien • Zöchling, Peter, Stambergstraße 9, Traisen • Kontakt über aktuelle Telefonnummern ☎ und Adressen ⚑ mit Karte, Routing, Öffnungszeiten, Homepage, E-Mail, vCard und Firmendaten.</t>
  </si>
  <si>
    <t>Stambergstraße 9</t>
  </si>
  <si>
    <t>48.0425</t>
  </si>
  <si>
    <t>15.61094</t>
  </si>
  <si>
    <t>+432762621610</t>
  </si>
  <si>
    <t>tischlerei@zoechling-fenster.at</t>
  </si>
  <si>
    <t>https://bilder.dasschnelle.at/DasSchnelle/50/5000/9906/041528/G_041528_P_906131339.adn.gif</t>
  </si>
  <si>
    <t>Putz, Johann, Kleiderhaus • Türnitz • Niederösterreich</t>
  </si>
  <si>
    <t>Bekleidung, Schneidereien • Putz, Johann, Markt 30, Türnitz • Kontakt über aktuelle Telefonnummern ☎ und Adressen ⚑ mit Karte, Routing, Öffnungszeiten, Homepage, E-Mail, vCard und Firmendaten.</t>
  </si>
  <si>
    <t>Markt 30</t>
  </si>
  <si>
    <t>3184</t>
  </si>
  <si>
    <t>47.93018</t>
  </si>
  <si>
    <t>15.48957</t>
  </si>
  <si>
    <t>+4327698326</t>
  </si>
  <si>
    <t>https://bilder.dasschnelle.at/DasSchnelle/50/5000/9906/041529/G_041529_P_906131341.adn.gif</t>
  </si>
  <si>
    <t>Apotheke zur Welser Heide Magpharm Christa Prillinger KG, Apotheken • Marchtrenk • Oberösterreich</t>
  </si>
  <si>
    <t>Apotheken • Apotheke zur Welser Heide Magpharm Christa Prillinger KG, Welser Straße 2, Marchtrenk • Kontakt über aktuelle Telefonnummern ☎ und Adressen ⚑ mit Karte, Routing, Öffnungszeiten, Homepage, E-Mail, vCard und Firmendaten.</t>
  </si>
  <si>
    <t>Welser Straße 2</t>
  </si>
  <si>
    <t>48.19078</t>
  </si>
  <si>
    <t>14.11102</t>
  </si>
  <si>
    <t>+437243522750</t>
  </si>
  <si>
    <t>office@apotheke-welserheide.at</t>
  </si>
  <si>
    <t>https://bilder.dasschnelle.at/DasSchnelle/50/5000/9907/043573/I_043573_P_906131861_L_0035994487_1.png</t>
  </si>
  <si>
    <t>https://bilder.dasschnelle.at/DasSchnelle/50/5000/9907/043573/I_043573_P_906131861_B_0035994487_1.gal.png?height=538&amp;width=1000;https://bilder.dasschnelle.at/DasSchnelle/50/5000/9907/043573/I_043573_P_906131861_B_0035994487_2.gal.png?height=299&amp;width=718</t>
  </si>
  <si>
    <t>Partner-Treuhand Traunviertel GmbH, Steuerberatungsgesellschaft • Thalheim • Oberösterreich</t>
  </si>
  <si>
    <t>Steuerberater, Wirtschaftstreuhänder / Steuerberater • Partner-Treuhand Traunviertel GmbH, Flößerstraße 12, Thalheim • Kontakt über aktuelle Telefonnummern ☎ und Adressen ⚑ mit Karte, Routing, Öffnungszeiten, Homepage, E-Mail, vCard und Firmendaten.</t>
  </si>
  <si>
    <t>Flößerstraße 12</t>
  </si>
  <si>
    <t>48.1567700</t>
  </si>
  <si>
    <t>14.0221400</t>
  </si>
  <si>
    <t>+437242451900</t>
  </si>
  <si>
    <t>traunviertel@partner-treuhand.at</t>
  </si>
  <si>
    <t>https://bilder.dasschnelle.at/DasSchnelle/50/5000/9945/043584/G_043584_P_906131864.adn.gif</t>
  </si>
  <si>
    <t>PVZ-VÖCKLAMARKT, Allgemeinmedizin • Vöcklamarkt • Oberösterreich</t>
  </si>
  <si>
    <t>Allgemeinmedizin • PVZ-VÖCKLAMARKT, Hauptstraße 4, Vöcklamarkt • Kontakt über aktuelle Telefonnummern ☎ und Adressen ⚑ mit Karte, Routing, Öffnungszeiten, Homepage, E-Mail, vCard und Firmendaten.</t>
  </si>
  <si>
    <t>48.0023800</t>
  </si>
  <si>
    <t>13.4857300</t>
  </si>
  <si>
    <t>+43768222903</t>
  </si>
  <si>
    <t>office@gesundheit-voecklamarkt.at</t>
  </si>
  <si>
    <t>https://bilder.dasschnelle.at/DasSchnelle/50/5000/9940/043556/I_043556_P_906131866_L_0038822514_1.png</t>
  </si>
  <si>
    <t>https://bilder.dasschnelle.at/DasSchnelle/50/5000/9940/043556/I_043556_P_906131866_B_0038822514_1.gal.png?height=272&amp;width=720</t>
  </si>
  <si>
    <t>Schustereder, Gunther, Dr., FA f Zahn-, Mund- u Kieferheilkunde • Vöcklabruck • Oberösterreich</t>
  </si>
  <si>
    <t>Ärzte / Fachärzte f. Zahn-, Mund u. Kieferheilkunde • Schustereder, Gunther, Dr., Franz Schubert-Straße 37, Vöcklabruck • Kontakt über aktuelle Telefonnummern ☎ und Adressen ⚑ mit Karte, Routing, Öffnungszeiten, Homepage, E-Mail, vCard und Firmendaten.</t>
  </si>
  <si>
    <t>Franz Schubert-Straße 37</t>
  </si>
  <si>
    <t>48.00524</t>
  </si>
  <si>
    <t>13.64579</t>
  </si>
  <si>
    <t>+43767223497</t>
  </si>
  <si>
    <t>office@zahnarzt-schustereder.at</t>
  </si>
  <si>
    <t>https://bilder.dasschnelle.at/DasSchnelle/50/5000/9940/043555/I_043555_P_906131868_L_0035999001_1.png</t>
  </si>
  <si>
    <t>https://bilder.dasschnelle.at/DasSchnelle/50/5000/9940/043555/I_043555_P_906131868_B_0035999001_1.gal.png?height=755&amp;width=1012;https://bilder.dasschnelle.at/DasSchnelle/50/5000/9940/043555/I_043555_P_906131868_B_0035999001_2.gal.png?height=760&amp;width=1020;https://bilder.dasschnelle.at/DasSchnelle/50/5000/9940/043555/I_043555_P_906131868_B_0035999001_3.gal.png?height=423&amp;width=569;https://bilder.dasschnelle.at/DasSchnelle/50/5000/9940/043555/I_043555_P_906131868_B_0035999001_4.gal.png?height=400&amp;width=547</t>
  </si>
  <si>
    <t>Grasch + Krachler Rechtsanwälte OG, Rechtsanwälte • Kaindorf • Steiermark</t>
  </si>
  <si>
    <t>Rechtsanwälte • Grasch + Krachler Rechtsanwälte OG, Grazer Straße 130, Kaindorf • Kontakt über aktuelle Telefonnummern ☎ und Adressen ⚑ mit Karte, Routing, Öffnungszeiten, Homepage, E-Mail, vCard und Firmendaten.</t>
  </si>
  <si>
    <t>Grazer Straße 130</t>
  </si>
  <si>
    <t>46.79331</t>
  </si>
  <si>
    <t>15.53843</t>
  </si>
  <si>
    <t>+433452828750;+43345274370</t>
  </si>
  <si>
    <t>+433452828754</t>
  </si>
  <si>
    <t>post@recht-empfinden.at</t>
  </si>
  <si>
    <t>https://bilder.dasschnelle.at/DasSchnelle/50/5000/9904/061363/G_061363_P_906130104.adn.gif</t>
  </si>
  <si>
    <t>Dynergetik Rohrmoser Stefan • Hüttschlag • Salzburg</t>
  </si>
  <si>
    <t>Massagen • Dynergetik Rohrmoser Stefan, Wolfau 161, Hüttschlag • Kontakt über aktuelle Telefonnummern ☎ und Adressen ⚑ mit Karte, Routing, Öffnungszeiten, Homepage, E-Mail, vCard und Firmendaten.</t>
  </si>
  <si>
    <t>Wolfau 161</t>
  </si>
  <si>
    <t>47.1691579</t>
  </si>
  <si>
    <t>13.2470164</t>
  </si>
  <si>
    <t>+436644643538</t>
  </si>
  <si>
    <t>massage@dynergetik.at</t>
  </si>
  <si>
    <t>https://bilder.dasschnelle.at/DasSchnelle/50/5000/9919/043346/G_043346_P_906130308.adn.gif</t>
  </si>
  <si>
    <t>Ebner Installationen, Installationen • Glanegg • Kärnten</t>
  </si>
  <si>
    <t>Installationen • Ebner Installationen, Friedlach 87, Glanegg • Kontakt über aktuelle Telefonnummern ☎ und Adressen ⚑ mit Karte, Routing, Öffnungszeiten, Homepage, E-Mail, vCard und Firmendaten.</t>
  </si>
  <si>
    <t>Friedlach 87</t>
  </si>
  <si>
    <t>46.7220154</t>
  </si>
  <si>
    <t>14.1948734</t>
  </si>
  <si>
    <t>+436641527274</t>
  </si>
  <si>
    <t>projekt@ebner-installationen.at</t>
  </si>
  <si>
    <t>https://bilder.dasschnelle.at/DasSchnelle/50/5000/9880/042049/I_042049_P_906131900_L_0038478917_1.png</t>
  </si>
  <si>
    <t>https://bilder.dasschnelle.at/DasSchnelle/50/5000/9880/042049/I_042049_P_906131900_B_0038478917_1.gal.png?height=589&amp;width=877;https://bilder.dasschnelle.at/DasSchnelle/50/5000/9880/042049/I_042049_P_906131900_B_0038478917_2.gal.png?height=586&amp;width=877</t>
  </si>
  <si>
    <t>Kreuzwirt Pizzeria, Pizzeria • St. Ulrich • Kärnten</t>
  </si>
  <si>
    <t>Gastgewerbe - Gasthöfe • Kreuzwirt Pizzeria, Wimitzer Straße 8, St. Ulrich • Kontakt über aktuelle Telefonnummern ☎ und Adressen ⚑ mit Karte, Routing, Öffnungszeiten, Homepage, E-Mail, vCard und Firmendaten.</t>
  </si>
  <si>
    <t>Wimitzer Straße 8</t>
  </si>
  <si>
    <t>St. Ulrich</t>
  </si>
  <si>
    <t>46.75179</t>
  </si>
  <si>
    <t>14.10873</t>
  </si>
  <si>
    <t>+4342762562</t>
  </si>
  <si>
    <t>walter@gasthof-kreuzwirt.at</t>
  </si>
  <si>
    <t>https://bilder.dasschnelle.at/DasSchnelle/50/5000/9880/042048/G_042048_P_906131977.adn.gif</t>
  </si>
  <si>
    <t>Zawia, Yosry, Dr.med., Ärzte / f Allgemeinmedizin • Hoheneich • Niederösterreich</t>
  </si>
  <si>
    <t>Akupunktur, Ärzte / f Allgemeinmedizin • Zawia, Yosry, Dr.med., Katzenbergen 431, Hoheneich • Kontakt über aktuelle Telefonnummern ☎ und Adressen ⚑ mit Karte, Routing, Öffnungszeiten, Homepage, E-Mail, vCard und Firmendaten.</t>
  </si>
  <si>
    <t>Katzenbergen 431</t>
  </si>
  <si>
    <t>3945</t>
  </si>
  <si>
    <t>Hoheneich</t>
  </si>
  <si>
    <t>48.77541</t>
  </si>
  <si>
    <t>15.02849</t>
  </si>
  <si>
    <t>+432852523000</t>
  </si>
  <si>
    <t>zawia@medway.at</t>
  </si>
  <si>
    <t>https://bilder.dasschnelle.at/DasSchnelle/50/5000/9885/045083/G_045083_P_906130067.adn.gif</t>
  </si>
  <si>
    <t>LebenskreisQuelle Schönbichler KG, Bestattung • Hainfeld • Niederösterreich</t>
  </si>
  <si>
    <t>Bestattungsunternehmen • LebenskreisQuelle Schönbichler KG, Hauptstraße 45, Hainfeld • Kontakt über aktuelle Telefonnummern ☎ und Adressen ⚑ mit Karte, Routing, Öffnungszeiten, Homepage, E-Mail, vCard und Firmendaten.</t>
  </si>
  <si>
    <t>+436641815199</t>
  </si>
  <si>
    <t>office@lebenskreisquelle.at</t>
  </si>
  <si>
    <t>https://bilder.dasschnelle.at/DasSchnelle/50/5000/9906/041518/G_041518_P_906130071.adn.gif</t>
  </si>
  <si>
    <t>Auto Schmal GmbH, Autohaus • Traisen • Niederösterreich</t>
  </si>
  <si>
    <t>Autohandel • Auto Schmal GmbH, Mariazeller Straße 23, Traisen • Kontakt über aktuelle Telefonnummern ☎ und Adressen ⚑ mit Karte, Routing, Öffnungszeiten, Homepage, E-Mail, vCard und Firmendaten.</t>
  </si>
  <si>
    <t>Mariazeller Straße 23</t>
  </si>
  <si>
    <t>48.04931</t>
  </si>
  <si>
    <t>15.61063</t>
  </si>
  <si>
    <t>+43276262670</t>
  </si>
  <si>
    <t>traisen@schmal.at</t>
  </si>
  <si>
    <t>https://bilder.dasschnelle.at/DasSchnelle/50/5000/9906/041528/G_041528_P_906130073.adn.gif</t>
  </si>
  <si>
    <t>Ebner GmbH, Glaserei Glaserei • Lilienfeld • Niederösterreich</t>
  </si>
  <si>
    <t>Glasereien • Ebner GmbH, Babenbergerstraße 12, Lilienfeld • Kontakt über aktuelle Telefonnummern ☎ und Adressen ⚑ mit Karte, Routing, Öffnungszeiten, Homepage, E-Mail, vCard und Firmendaten.</t>
  </si>
  <si>
    <t>Babenbergerstraße 12</t>
  </si>
  <si>
    <t>48.0161</t>
  </si>
  <si>
    <t>15.59614</t>
  </si>
  <si>
    <t>+43276252303</t>
  </si>
  <si>
    <t>ebner.gmbh@aon.at</t>
  </si>
  <si>
    <t>https://bilder.dasschnelle.at/DasSchnelle/50/5000/9906/041522/G_041522_P_906130074.adn.gif</t>
  </si>
  <si>
    <t>Andritsch GesmbH, Dachdecker • Hohenberg • Niederösterreich</t>
  </si>
  <si>
    <t>Dachdeckereien • Andritsch GesmbH, Obere Hauptstraße 19, Hohenberg • Kontakt über aktuelle Telefonnummern ☎ und Adressen ⚑ mit Karte, Routing, Öffnungszeiten, Homepage, E-Mail, vCard und Firmendaten.</t>
  </si>
  <si>
    <t>Obere Hauptstraße 19</t>
  </si>
  <si>
    <t>47.89854</t>
  </si>
  <si>
    <t>15.61906</t>
  </si>
  <si>
    <t>+4327678295</t>
  </si>
  <si>
    <t>andritsch@speed.at</t>
  </si>
  <si>
    <t>https://bilder.dasschnelle.at/DasSchnelle/50/5000/9906/041519/G_041519_P_906130126.adn.gif</t>
  </si>
  <si>
    <t>Zauner, Maria, Fusspflege • St. Willibald • Oberösterreich</t>
  </si>
  <si>
    <t>Fußpflege • Zauner, Maria, Dick 13, St. Willibald • Kontakt über aktuelle Telefonnummern ☎ und Adressen ⚑ mit Karte, Routing, Öffnungszeiten, Homepage, E-Mail, vCard und Firmendaten.</t>
  </si>
  <si>
    <t>Dick 13</t>
  </si>
  <si>
    <t>48.3750941</t>
  </si>
  <si>
    <t>13.6804882</t>
  </si>
  <si>
    <t>+4377623415</t>
  </si>
  <si>
    <t>Fusspflege_Maria@gmx.at</t>
  </si>
  <si>
    <t>https://bilder.dasschnelle.at/DasSchnelle/50/5000/9926/042796/G_042796_P_906130261.adn.gif</t>
  </si>
  <si>
    <t>Fliesen Joe Niederbrucker, Fliesen - Platten • Mondsee • Oberösterreich</t>
  </si>
  <si>
    <t>Fliesenfachhandel • Fliesen Joe Niederbrucker, Oberhöribach 3, Mondsee • Kontakt über aktuelle Telefonnummern ☎ und Adressen ⚑ mit Karte, Routing, Öffnungszeiten, Homepage, E-Mail, vCard und Firmendaten.</t>
  </si>
  <si>
    <t>Oberhöribach 3</t>
  </si>
  <si>
    <t>47.84304</t>
  </si>
  <si>
    <t>13.33484</t>
  </si>
  <si>
    <t>+4362325545;+436649170110</t>
  </si>
  <si>
    <t>office@fliesenjoe.at</t>
  </si>
  <si>
    <t>https://bilder.dasschnelle.at/DasSchnelle/50/5000/9909/043101/G_043101_P_906130265.adn.gif</t>
  </si>
  <si>
    <t>Klinger, Gerhard, Installateur • Heinrichsbrunn • Oberösterreich</t>
  </si>
  <si>
    <t>Installationsunternehmen • Klinger, Gerhard, Vormarktstraße 80, Heinrichsbrunn • Kontakt über aktuelle Telefonnummern ☎ und Adressen ⚑ mit Karte, Routing, Öffnungszeiten, Homepage, E-Mail, vCard und Firmendaten.</t>
  </si>
  <si>
    <t>Vormarktstraße 80</t>
  </si>
  <si>
    <t>Heinrichsbrunn</t>
  </si>
  <si>
    <t>48.24119</t>
  </si>
  <si>
    <t>14.53121</t>
  </si>
  <si>
    <t>+43723820242</t>
  </si>
  <si>
    <t>office@heizgeraete-service.at</t>
  </si>
  <si>
    <t>https://bilder.dasschnelle.at/DasSchnelle/50/5000/9916/042523/G_042523_P_906131225.adn.gif</t>
  </si>
  <si>
    <t>Falb, Konrad, Dr.med., FA f Augenheilkunde • Wels • Oberösterreich</t>
  </si>
  <si>
    <t>Ärzte / Fachärzte f. Augenheilkunde u. Optometrie • Falb, Konrad, Dr.med., Dr.-Schauer-Straße 26 /1, Wels • Kontakt über aktuelle Telefonnummern ☎ und Adressen ⚑ mit Karte, Routing, Öffnungszeiten, Homepage, E-Mail, vCard und Firmendaten.</t>
  </si>
  <si>
    <t>Dr.-Schauer-Straße 26 /1</t>
  </si>
  <si>
    <t>48.16494</t>
  </si>
  <si>
    <t>14.02832</t>
  </si>
  <si>
    <t>+43724241887</t>
  </si>
  <si>
    <t>+4372424188711</t>
  </si>
  <si>
    <t>info@augenarzt-falb.at</t>
  </si>
  <si>
    <t>https://bilder.dasschnelle.at/DasSchnelle/50/5000/9945/044547/I_044547_P_906131938_L_0035999492_1.png</t>
  </si>
  <si>
    <t>Frisurendesign Pia GmbH, Friseure • Klosterneuburg • Niederösterreich</t>
  </si>
  <si>
    <t>Friseure • Frisurendesign Pia GmbH, Hofkirchnergasse 11, Klosterneuburg • Kontakt über aktuelle Telefonnummern ☎ und Adressen ⚑ mit Karte, Routing, Öffnungszeiten, Homepage, E-Mail, vCard und Firmendaten.</t>
  </si>
  <si>
    <t>Hofkirchnergasse 11</t>
  </si>
  <si>
    <t>48.30752</t>
  </si>
  <si>
    <t>16.32264</t>
  </si>
  <si>
    <t>+43224332372</t>
  </si>
  <si>
    <t>pia.forster@gmail.com</t>
  </si>
  <si>
    <t>https://bilder.dasschnelle.at/DasSchnelle/50/5000/9897/061492/G_061492_P_906131941.adn.gif</t>
  </si>
  <si>
    <t>Fuchs Ing GesmbH, Holzbau • Klosterneuburg • Niederösterreich</t>
  </si>
  <si>
    <t>Zimmereien • Fuchs Ing GesmbH, Franz Rumpler-Straße 23, Klosterneuburg • Kontakt über aktuelle Telefonnummern ☎ und Adressen ⚑ mit Karte, Routing, Öffnungszeiten, Homepage, E-Mail, vCard und Firmendaten.</t>
  </si>
  <si>
    <t>Franz Rumpler-Straße 23</t>
  </si>
  <si>
    <t>48.30096</t>
  </si>
  <si>
    <t>16.32463</t>
  </si>
  <si>
    <t>+43224332446</t>
  </si>
  <si>
    <t>+432243324464</t>
  </si>
  <si>
    <t>office@holzfuchs.at</t>
  </si>
  <si>
    <t>Lichtenauer Anton GesmbH &amp; Co KG, Fahrzeughandel • Münzkirchen • Oberösterreich</t>
  </si>
  <si>
    <t>Abschleppdienste, Autohandel, Autoreparaturen, Karosseriebau, Tankstellen • Lichtenauer Anton GesmbH &amp; Co KG, Hofmark 26, Münzkirchen • Kontakt über aktuelle Telefonnummern ☎ und Adressen ⚑ mit Karte, Routing, Öffnungszeiten, Homepage, E-Mail, vCard und Firmendaten.</t>
  </si>
  <si>
    <t>Hofmark 26</t>
  </si>
  <si>
    <t>48.48513</t>
  </si>
  <si>
    <t>13.57298</t>
  </si>
  <si>
    <t>+43771672080</t>
  </si>
  <si>
    <t>+43771672088</t>
  </si>
  <si>
    <t>office@autohaus-lichtenauer.at</t>
  </si>
  <si>
    <t>https://bilder.dasschnelle.at/DasSchnelle/50/5000/9926/042788/G_042788_P_906131950.adn.gif</t>
  </si>
  <si>
    <t>Öffentlicher Notar Mag. Oskar Platter &amp; Partner, Notar • Landeck • Tirol</t>
  </si>
  <si>
    <t>Notare • Öffentlicher Notar Mag. Oskar Platter &amp; Partner, Malserstraße 21, Landeck • Kontakt über aktuelle Telefonnummern ☎ und Adressen ⚑ mit Karte, Routing, Öffnungszeiten, Homepage, E-Mail, vCard und Firmendaten.</t>
  </si>
  <si>
    <t>Malserstraße 21</t>
  </si>
  <si>
    <t>47.13778</t>
  </si>
  <si>
    <t>10.56664</t>
  </si>
  <si>
    <t>+43544262251;+43544265305</t>
  </si>
  <si>
    <t>kanzlei@notariatplatter.at</t>
  </si>
  <si>
    <t>https://bilder.dasschnelle.at/DasSchnelle/50/5000/9903/044584/I_044584_P_906130306_L_0035969805_1.png</t>
  </si>
  <si>
    <t>https://bilder.dasschnelle.at/DasSchnelle/50/5000/9903/044584/I_044584_P_906130306_B_0035969805_1.gal.png?height=399&amp;width=600;https://bilder.dasschnelle.at/DasSchnelle/50/5000/9903/044584/I_044584_P_906130306_B_0035969805_2.gal.png?height=399&amp;width=600;https://bilder.dasschnelle.at/DasSchnelle/50/5000/9903/044584/I_044584_P_906130306_B_0035969805_3.gal.png?height=315&amp;width=600;https://bilder.dasschnelle.at/DasSchnelle/50/5000/9903/044584/I_044584_P_906130306_B_0035969805_4.gal.png?height=315&amp;width=600</t>
  </si>
  <si>
    <t>Petrowitsch, Gerhard, Dr., RA, Verteidiger in Strafs • Leibnitz • Steiermark</t>
  </si>
  <si>
    <t>Rechtsanwälte • Petrowitsch, Gerhard, Dr., Kada-Gasse 11, Leibnitz • Kontakt über aktuelle Telefonnummern ☎ und Adressen ⚑ mit Karte, Routing, Öffnungszeiten, Homepage, E-Mail, vCard und Firmendaten.</t>
  </si>
  <si>
    <t>Kada-Gasse 11</t>
  </si>
  <si>
    <t>46.77933</t>
  </si>
  <si>
    <t>15.53851</t>
  </si>
  <si>
    <t>+433452828370;+436649031350</t>
  </si>
  <si>
    <t>+433452828377</t>
  </si>
  <si>
    <t>office@ra-petrowitsch.at</t>
  </si>
  <si>
    <t>https://bilder.dasschnelle.at/DasSchnelle/50/5000/9904/061363/G_061363_P_906133319.adn.gif</t>
  </si>
  <si>
    <t>Wiesmüllner, Birgit, Dr., FA f Allgemeinmedizin • Klosterneuburg • Niederösterreich</t>
  </si>
  <si>
    <t>Ärzte / f Allgemeinmedizin • Wiesmüllner, Birgit, Dr., Wiener Straße 106, Klosterneuburg • Kontakt über aktuelle Telefonnummern ☎ und Adressen ⚑ mit Karte, Routing, Öffnungszeiten, Homepage, E-Mail, vCard und Firmendaten.</t>
  </si>
  <si>
    <t>Wiener Straße 106</t>
  </si>
  <si>
    <t>48.29741</t>
  </si>
  <si>
    <t>16.33389</t>
  </si>
  <si>
    <t>+43224337852</t>
  </si>
  <si>
    <t>arzt@wiesmuellner.at</t>
  </si>
  <si>
    <t>https://bilder.dasschnelle.at/DasSchnelle/50/5000/9897/061492/G_061492_P_906134681.adn.gif</t>
  </si>
  <si>
    <t>Posch, Siegfried, Maler • Eben im Pongau • Salzburg</t>
  </si>
  <si>
    <t>Malereibetriebe • Posch, Siegfried, Eben 58, Eben im Pongau • Kontakt über aktuelle Telefonnummern ☎ und Adressen ⚑ mit Karte, Routing, Öffnungszeiten, Homepage, E-Mail, vCard und Firmendaten.</t>
  </si>
  <si>
    <t>Eben 58</t>
  </si>
  <si>
    <t>47.4071920</t>
  </si>
  <si>
    <t>13.3957341</t>
  </si>
  <si>
    <t>+436641605600</t>
  </si>
  <si>
    <t>maler.sigi@sbg.at</t>
  </si>
  <si>
    <t>https://bilder.dasschnelle.at/DasSchnelle/50/5000/9919/043339/G_043339_P_906134682.adn.gif</t>
  </si>
  <si>
    <t>Hagmayr Dietmar Zahntechnik GmbH, Zahntechnik • Oberhart • Oberösterreich</t>
  </si>
  <si>
    <t>Zahntechnische Laboratorien • Hagmayr Dietmar Zahntechnik GmbH, Oberhartstraße 19, Oberhart • Kontakt über aktuelle Telefonnummern ☎ und Adressen ⚑ mit Karte, Routing, Öffnungszeiten, Homepage, E-Mail, vCard und Firmendaten.</t>
  </si>
  <si>
    <t>Oberhartstraße 19</t>
  </si>
  <si>
    <t>Oberhart</t>
  </si>
  <si>
    <t>48.18481</t>
  </si>
  <si>
    <t>14.05488</t>
  </si>
  <si>
    <t>+4369912627128</t>
  </si>
  <si>
    <t>manuela.hagmayr@zahnlabor.at</t>
  </si>
  <si>
    <t>https://bilder.dasschnelle.at/DasSchnelle/50/5000/9945/044547/G_044547_P_906133290.adn.gif</t>
  </si>
  <si>
    <t>Hehenberger, Klaus, Mag., RA u Vert i Strafs • Wels • Oberösterreich</t>
  </si>
  <si>
    <t>Rechtsanwälte • Hehenberger, Klaus, Mag., Maria-Theresia-Straße 53, Wels • Kontakt über aktuelle Telefonnummern ☎ und Adressen ⚑ mit Karte, Routing, Öffnungszeiten, Homepage, E-Mail, vCard und Firmendaten.</t>
  </si>
  <si>
    <t>Maria-Theresia-Straße 53</t>
  </si>
  <si>
    <t>48.15308</t>
  </si>
  <si>
    <t>14.00939</t>
  </si>
  <si>
    <t>+43724258580</t>
  </si>
  <si>
    <t>+437242224380</t>
  </si>
  <si>
    <t>office@ra-hehenberger.at</t>
  </si>
  <si>
    <t>https://bilder.dasschnelle.at/DasSchnelle/50/5000/9945/044547/I_044547_P_906133300_L_0035999270_1.png</t>
  </si>
  <si>
    <t>https://bilder.dasschnelle.at/DasSchnelle/50/5000/9945/044547/I_044547_P_906133300_B_0035999270_1.gal.png?height=291&amp;width=559;https://bilder.dasschnelle.at/DasSchnelle/50/5000/9945/044547/I_044547_P_906133300_B_0035999270_2.gal.png?height=291&amp;width=559;https://bilder.dasschnelle.at/DasSchnelle/50/5000/9945/044547/I_044547_P_906133300_B_0035999270_3.gal.png?height=331&amp;width=559;https://bilder.dasschnelle.at/DasSchnelle/50/5000/9945/044547/I_044547_P_906133300_B_0035999270_4.gal.png?height=291&amp;width=559</t>
  </si>
  <si>
    <t>Kohl, Peter, Dr.med.univ., FA f Frauenheilkunde u Geburtshilfe • Frohnleiten • Steiermark</t>
  </si>
  <si>
    <t>Ärzte / Fachärzte f. Frauenheilkunde u. Geburtshilfe • Kohl, Peter, Dr.med.univ., Römerpark 3, Frohnleiten • Kontakt über aktuelle Telefonnummern ☎ und Adressen ⚑ mit Karte, Routing, Öffnungszeiten, Homepage, E-Mail, vCard und Firmendaten.</t>
  </si>
  <si>
    <t>Römerpark 3</t>
  </si>
  <si>
    <t>47.269</t>
  </si>
  <si>
    <t>15.32126</t>
  </si>
  <si>
    <t>+43312640440</t>
  </si>
  <si>
    <t>+43312640444</t>
  </si>
  <si>
    <t>kohl.gyn@aon.at</t>
  </si>
  <si>
    <t>https://bilder.dasschnelle.at/DasSchnelle/50/5000/9883/061362/G_061362_P_906133385.adn.gif</t>
  </si>
  <si>
    <t>Affenzeller, Wolfgang, Dipl., Tierarzt • Freistadt • Oberösterreich</t>
  </si>
  <si>
    <t>Tierärzte • Affenzeller, Wolfgang, Dipl., Manzenreith 54, Freistadt • Kontakt über aktuelle Telefonnummern ☎ und Adressen ⚑ mit Karte, Routing, Öffnungszeiten, Homepage, E-Mail, vCard und Firmendaten.</t>
  </si>
  <si>
    <t>Manzenreith 54</t>
  </si>
  <si>
    <t>48.5103395</t>
  </si>
  <si>
    <t>14.5134927</t>
  </si>
  <si>
    <t>+4369918778800</t>
  </si>
  <si>
    <t>tierarzt.affi@aon.at</t>
  </si>
  <si>
    <t>https://bilder.dasschnelle.at/DasSchnelle/50/5000/9882/041769/G_041769_P_906133396.adn.gif</t>
  </si>
  <si>
    <t>Reformhaus, Drogerie, Kräuter u Diät, Hohl Eberle, Reformhaus • Vöcklabruck • Oberösterreich</t>
  </si>
  <si>
    <t>Drogerien • Reformhaus, Drogerie, Kräuter u Diät, Hohl Eberle, Stadtplatz 22, Vöcklabruck • Kontakt über aktuelle Telefonnummern ☎ und Adressen ⚑ mit Karte, Routing, Öffnungszeiten, Homepage, E-Mail, vCard und Firmendaten.</t>
  </si>
  <si>
    <t>Stadtplatz 22</t>
  </si>
  <si>
    <t>48.0084</t>
  </si>
  <si>
    <t>13.65418</t>
  </si>
  <si>
    <t>+43767225626</t>
  </si>
  <si>
    <t>he.reformhaus@gmx.at</t>
  </si>
  <si>
    <t>https://bilder.dasschnelle.at/DasSchnelle/50/5000/9940/043555/G_043555_P_906133400.adn.gif</t>
  </si>
  <si>
    <t>Plöckinger-Schatzl, Thomas, Physiotherapie • Freistadt • Oberösterreich</t>
  </si>
  <si>
    <t>Physiotherapie • Plöckinger-Schatzl, Thomas, Sonnbergstraße 35, Freistadt • Kontakt über aktuelle Telefonnummern ☎ und Adressen ⚑ mit Karte, Routing, Öffnungszeiten, Homepage, E-Mail, vCard und Firmendaten.</t>
  </si>
  <si>
    <t>Sonnbergstraße 35</t>
  </si>
  <si>
    <t>48.51572</t>
  </si>
  <si>
    <t>14.49233</t>
  </si>
  <si>
    <t>+43794276111</t>
  </si>
  <si>
    <t>office@pur-freistadt.at</t>
  </si>
  <si>
    <t>https://bilder.dasschnelle.at/DasSchnelle/50/5000/9882/044815/I_044815_P_906133402_L_0035993743_1.png</t>
  </si>
  <si>
    <t>https://bilder.dasschnelle.at/DasSchnelle/50/5000/9882/044815/I_044815_P_906133402_B_0035993743_1.gal.png?height=623&amp;width=831;https://bilder.dasschnelle.at/DasSchnelle/50/5000/9882/044815/I_044815_P_906133402_B_0035993743_2.gal.png?height=590&amp;width=831;https://bilder.dasschnelle.at/DasSchnelle/50/5000/9882/044815/I_044815_P_906133402_B_0035993743_3.gal.png?height=750&amp;width=563;https://bilder.dasschnelle.at/DasSchnelle/50/5000/9882/044815/I_044815_P_906133402_B_0035993743_4.gal.png?height=464&amp;width=351</t>
  </si>
  <si>
    <t>Rottner, Christine, Beschriftungen • Sankt Georgen im Attergau • Oberösterreich</t>
  </si>
  <si>
    <t>Beschriftungen • Rottner, Christine, Hummelbachgasse 31, Sankt Georgen im Attergau • Kontakt über aktuelle Telefonnummern ☎ und Adressen ⚑ mit Karte, Routing, Öffnungszeiten, Homepage, E-Mail, vCard und Firmendaten.</t>
  </si>
  <si>
    <t>Hummelbachgasse 31</t>
  </si>
  <si>
    <t>47.93871</t>
  </si>
  <si>
    <t>13.4895</t>
  </si>
  <si>
    <t>+4376678959</t>
  </si>
  <si>
    <t>office@rottner-beschriftungen.at</t>
  </si>
  <si>
    <t>https://bilder.dasschnelle.at/DasSchnelle/50/5000/9940/043100/G_043100_P_906133414.adn.gif</t>
  </si>
  <si>
    <t>Elektrotechnik Mühlthaler, Elektrotechnik • Sankt Johann im Pongau • Salzburg</t>
  </si>
  <si>
    <t>Elektrotechnik • Elektrotechnik Mühlthaler, Pöllnstraße 8, Sankt Johann im Pongau • Kontakt über aktuelle Telefonnummern ☎ und Adressen ⚑ mit Karte, Routing, Öffnungszeiten, Homepage, E-Mail, vCard und Firmendaten.</t>
  </si>
  <si>
    <t>Pöllnstraße 8</t>
  </si>
  <si>
    <t>47.3487818</t>
  </si>
  <si>
    <t>13.1999607</t>
  </si>
  <si>
    <t>+43641220567</t>
  </si>
  <si>
    <t>+4364122056712</t>
  </si>
  <si>
    <t>elektro-muehlthaler@sbg.at</t>
  </si>
  <si>
    <t>https://bilder.dasschnelle.at/DasSchnelle/50/5000/9919/043351/G_043351_P_906133416.adn.gif</t>
  </si>
  <si>
    <t>Rottner, Werner, Malerei • St. Georgen im Attergau • Oberösterreich</t>
  </si>
  <si>
    <t>Malereibetriebe • Rottner, Werner, Hummelbachgasse 31, St. Georgen im Attergau • Kontakt über aktuelle Telefonnummern ☎ und Adressen ⚑ mit Karte, Routing, Öffnungszeiten, Homepage, E-Mail, vCard und Firmendaten.</t>
  </si>
  <si>
    <t>+436641235677</t>
  </si>
  <si>
    <t>w.rottner@gmx.at</t>
  </si>
  <si>
    <t>https://bilder.dasschnelle.at/DasSchnelle/50/5000/9940/043100/G_043100_P_906133420.adn.gif</t>
  </si>
  <si>
    <t>Pammer - Hohner Dachdeckerei &amp; Spenglerei GesmbH, Dachdeckerei • Oberneukirchen • Oberösterreich</t>
  </si>
  <si>
    <t>Dachdeckereien • Pammer - Hohner Dachdeckerei &amp; Spenglerei GesmbH, Ledererstraße 7, Oberneukirchen • Kontakt über aktuelle Telefonnummern ☎ und Adressen ⚑ mit Karte, Routing, Öffnungszeiten, Homepage, E-Mail, vCard und Firmendaten.</t>
  </si>
  <si>
    <t>Ledererstraße 7</t>
  </si>
  <si>
    <t>4181</t>
  </si>
  <si>
    <t>Oberneukirchen</t>
  </si>
  <si>
    <t>48.46293</t>
  </si>
  <si>
    <t>14.22433</t>
  </si>
  <si>
    <t>+4372127094</t>
  </si>
  <si>
    <t>panner-hohner@aon.at</t>
  </si>
  <si>
    <t>https://bilder.dasschnelle.at/DasSchnelle/50/5000/9939/043054/G_043054_P_906133424.adn.gif</t>
  </si>
  <si>
    <t>Taxi-Rammerstorfer, Taxiunternehmen • Oberneukirchen • Oberösterreich</t>
  </si>
  <si>
    <t>Taxi • Taxi-Rammerstorfer, Ringstraße 27, Oberneukirchen • Kontakt über aktuelle Telefonnummern ☎ und Adressen ⚑ mit Karte, Routing, Öffnungszeiten, Homepage, E-Mail, vCard und Firmendaten.</t>
  </si>
  <si>
    <t>Ringstraße 27</t>
  </si>
  <si>
    <t>48.4642200</t>
  </si>
  <si>
    <t>14.2300100</t>
  </si>
  <si>
    <t>+436645318188</t>
  </si>
  <si>
    <t>info@rammerstorfer.eu</t>
  </si>
  <si>
    <t>https://bilder.dasschnelle.at/DasSchnelle/50/5000/9939/042831/G_042831_P_906133453.adn.gif</t>
  </si>
  <si>
    <t>Fahrzeugtechnik Philipp Simetsberger, Fahrzeugtechnik • Eschenau • Niederösterreich</t>
  </si>
  <si>
    <t>Autohandel • Fahrzeugtechnik Philipp Simetsberger, Rotheau 1, Eschenau • Kontakt über aktuelle Telefonnummern ☎ und Adressen ⚑ mit Karte, Routing, Öffnungszeiten, Homepage, E-Mail, vCard und Firmendaten.</t>
  </si>
  <si>
    <t>Rotheau 1</t>
  </si>
  <si>
    <t>3153</t>
  </si>
  <si>
    <t>Eschenau</t>
  </si>
  <si>
    <t>48.0688200</t>
  </si>
  <si>
    <t>15.5990200</t>
  </si>
  <si>
    <t>+436643341153</t>
  </si>
  <si>
    <t>werkstatt@ft-simetsberger.at</t>
  </si>
  <si>
    <t>https://bilder.dasschnelle.at/DasSchnelle/50/5000/9906/041517/G_041517_P_906133455.adn.gif</t>
  </si>
  <si>
    <t>Saxinger, Werner, Prim.Dr.univ., FA f Haut- u Geschlechtskrankheiten • Wels • Oberösterreich</t>
  </si>
  <si>
    <t>Ärzte / Fachärzte f. Haut u. Geschlechtskrankheiten • Saxinger, Werner, Prim.Dr.univ., Grieskirchner Straße 42, Wels • Kontakt über aktuelle Telefonnummern ☎ und Adressen ⚑ mit Karte, Routing, Öffnungszeiten, Homepage, E-Mail, vCard und Firmendaten.</t>
  </si>
  <si>
    <t>Grieskirchner Straße 42</t>
  </si>
  <si>
    <t>48.17241</t>
  </si>
  <si>
    <t>14.01548</t>
  </si>
  <si>
    <t>+436645032627</t>
  </si>
  <si>
    <t>werner.saxinger@klinikum-wels.at</t>
  </si>
  <si>
    <t>https://bilder.dasschnelle.at/DasSchnelle/50/5000/9945/044547/I_044547_P_906134662_L_0035999632_1.png</t>
  </si>
  <si>
    <t>https://bilder.dasschnelle.at/DasSchnelle/50/5000/9945/044547/I_044547_P_906134662_B_0035999632_5.gal.png?height=675&amp;width=900</t>
  </si>
  <si>
    <t>Stiefmüller, Norbert, Mag., Rechtsanwalt • Stadl-Traun • Oberösterreich</t>
  </si>
  <si>
    <t>Rechtsanwälte • Stiefmüller, Norbert, Mag., Maximilian-Pagl-Straße 5, Stadl-Traun • Kontakt über aktuelle Telefonnummern ☎ und Adressen ⚑ mit Karte, Routing, Öffnungszeiten, Homepage, E-Mail, vCard und Firmendaten.</t>
  </si>
  <si>
    <t>Maximilian-Pagl-Straße 5</t>
  </si>
  <si>
    <t>48.08557</t>
  </si>
  <si>
    <t>13.87165</t>
  </si>
  <si>
    <t>+43724521345</t>
  </si>
  <si>
    <t>ra.stiefmueller@rechtsvertretung.cc</t>
  </si>
  <si>
    <t>https://bilder.dasschnelle.at/DasSchnelle/50/5000/9945/043581/I_043581_P_906134666_L_0035993746_1.png</t>
  </si>
  <si>
    <t>https://bilder.dasschnelle.at/DasSchnelle/50/5000/9945/043581/I_043581_P_906134666_B_0035993746_1.gal.png?height=611&amp;width=900;https://bilder.dasschnelle.at/DasSchnelle/50/5000/9945/043581/I_043581_P_906134666_B_0035993746_2.gal.png?height=505&amp;width=900</t>
  </si>
  <si>
    <t>Stockhammer Josef &amp; Sohn InstallationsgesmbH, Installation • Landeck • Tirol</t>
  </si>
  <si>
    <t>Installationsunternehmen • Stockhammer Josef &amp; Sohn InstallationsgesmbH, Marktplatz 11, Landeck • Kontakt über aktuelle Telefonnummern ☎ und Adressen ⚑ mit Karte, Routing, Öffnungszeiten, Homepage, E-Mail, vCard und Firmendaten.</t>
  </si>
  <si>
    <t>47.13876</t>
  </si>
  <si>
    <t>10.56762</t>
  </si>
  <si>
    <t>+43544262405</t>
  </si>
  <si>
    <t>office@stockhammer.tirol</t>
  </si>
  <si>
    <t>https://bilder.dasschnelle.at/DasSchnelle/50/5000/9903/044584/G_044584_P_906134673.adn.gif</t>
  </si>
  <si>
    <t>Mayr, Sieglinde, Mag., Steuerberatung • Wels • Oberösterreich</t>
  </si>
  <si>
    <t>Steuerberater, Wirtschaftstreuhänder / Steuerberater • Mayr, Sieglinde, Mag., Martin-Luther-Platz 1 /4, Wels • Kontakt über aktuelle Telefonnummern ☎ und Adressen ⚑ mit Karte, Routing, Öffnungszeiten, Homepage, E-Mail, vCard und Firmendaten.</t>
  </si>
  <si>
    <t>Martin-Luther-Platz 1 /4</t>
  </si>
  <si>
    <t>48.16104</t>
  </si>
  <si>
    <t>14.0255</t>
  </si>
  <si>
    <t>+437242909271;+436763700564</t>
  </si>
  <si>
    <t>office@wt-mayr.at</t>
  </si>
  <si>
    <t>https://bilder.dasschnelle.at/DasSchnelle/50/5000/9945/044547/G_044547_P_906134674.adn.gif</t>
  </si>
  <si>
    <t>Metall- u Designwerkstätte Karl GmbH &amp; Co KG, Metalltechniker • Ottensheim • Oberösterreich</t>
  </si>
  <si>
    <t>Metallbau • Metall- u Designwerkstätte Karl GmbH &amp; Co KG, Gewerbepark 5, Ottensheim • Kontakt über aktuelle Telefonnummern ☎ und Adressen ⚑ mit Karte, Routing, Öffnungszeiten, Homepage, E-Mail, vCard und Firmendaten.</t>
  </si>
  <si>
    <t>48.34101</t>
  </si>
  <si>
    <t>14.16407</t>
  </si>
  <si>
    <t>+437234826500</t>
  </si>
  <si>
    <t>office@mdwkarl.at</t>
  </si>
  <si>
    <t>https://bilder.dasschnelle.at/DasSchnelle/50/5000/9939/043056/G_043056_P_906134727.adn.gif</t>
  </si>
  <si>
    <t>Mayer Tortechnik GmbH, Tore • Ottensheim • Oberösterreich</t>
  </si>
  <si>
    <t>Tore • Mayer Tortechnik GmbH, Hostauerstraße 99, Ottensheim • Kontakt über aktuelle Telefonnummern ☎ und Adressen ⚑ mit Karte, Routing, Öffnungszeiten, Homepage, E-Mail, vCard und Firmendaten.</t>
  </si>
  <si>
    <t>Hostauerstraße 99</t>
  </si>
  <si>
    <t>48.3411094</t>
  </si>
  <si>
    <t>14.1662597</t>
  </si>
  <si>
    <t>+43723484935</t>
  </si>
  <si>
    <t>office@mayer-tortechnik.at</t>
  </si>
  <si>
    <t>https://bilder.dasschnelle.at/DasSchnelle/50/5000/9939/043056/G_043056_P_906134731.adn.gif</t>
  </si>
  <si>
    <t>The Body Lounge, Massagen • Walding • Oberösterreich</t>
  </si>
  <si>
    <t>Kosmetik • The Body Lounge, Reiterstraße 9A, Walding • Kontakt über aktuelle Telefonnummern ☎ und Adressen ⚑ mit Karte, Routing, Öffnungszeiten, Homepage, E-Mail, vCard und Firmendaten.</t>
  </si>
  <si>
    <t>Reiterstraße 9A</t>
  </si>
  <si>
    <t>48.34965</t>
  </si>
  <si>
    <t>14.15775</t>
  </si>
  <si>
    <t>+43723421219</t>
  </si>
  <si>
    <t>birgit@thebodylounge.at</t>
  </si>
  <si>
    <t>https://bilder.dasschnelle.at/DasSchnelle/50/5000/9939/043065/I_043065_P_906134735_L_0035999021_1.png</t>
  </si>
  <si>
    <t>https://bilder.dasschnelle.at/DasSchnelle/50/5000/9939/043065/I_043065_P_906134735_B_0035999021_1.gal.png?height=422&amp;width=638;https://bilder.dasschnelle.at/DasSchnelle/50/5000/9939/043065/I_043065_P_906134735_B_0035999021_2.gal.png?height=521&amp;width=831;https://bilder.dasschnelle.at/DasSchnelle/50/5000/9939/043065/I_043065_P_906134735_B_0035999021_3.gal.png?height=624&amp;width=624;https://bilder.dasschnelle.at/DasSchnelle/50/5000/9939/043065/I_043065_P_906134735_B_0035999021_4.gal.png?height=473&amp;width=634</t>
  </si>
  <si>
    <t>Geiger, Hermann, Mag., Bestattung • Sieghartskirchen • Niederösterreich</t>
  </si>
  <si>
    <t>Bestattungsunternehmen • Geiger, Hermann, Mag., Koglerstraße 7, Sieghartskirchen • Kontakt über aktuelle Telefonnummern ☎ und Adressen ⚑ mit Karte, Routing, Öffnungszeiten, Homepage, E-Mail, vCard und Firmendaten.</t>
  </si>
  <si>
    <t>Koglerstraße 7</t>
  </si>
  <si>
    <t>48.2491200</t>
  </si>
  <si>
    <t>16.0121800</t>
  </si>
  <si>
    <t>+4322742229</t>
  </si>
  <si>
    <t>+432274222980</t>
  </si>
  <si>
    <t>office@bestattung-geiger.at</t>
  </si>
  <si>
    <t>https://bilder.dasschnelle.at/DasSchnelle/50/5000/9938/044244/I_044244_P_906133479_L_0035999599_1.png</t>
  </si>
  <si>
    <t>https://bilder.dasschnelle.at/DasSchnelle/50/5000/9938/044244/G_044244_P_906133479.adn.gif</t>
  </si>
  <si>
    <t>Klingelbrunner, Dominik, Haus &amp; Gartenservice • Kritzendorf • Niederösterreich</t>
  </si>
  <si>
    <t>Gartencenter • Klingelbrunner, Dominik, Hauptstraße 197, Kritzendorf • Kontakt über aktuelle Telefonnummern ☎ und Adressen ⚑ mit Karte, Routing, Öffnungszeiten, Homepage, E-Mail, vCard und Firmendaten.</t>
  </si>
  <si>
    <t>Hauptstraße 197</t>
  </si>
  <si>
    <t>48.34427</t>
  </si>
  <si>
    <t>16.2911</t>
  </si>
  <si>
    <t>+436763942441</t>
  </si>
  <si>
    <t>dominik.klingelbrunner@gmx.at</t>
  </si>
  <si>
    <t>https://bilder.dasschnelle.at/DasSchnelle/50/5000/9897/061492/I_061492_P_906133482_L_0035994368_1.png</t>
  </si>
  <si>
    <t>https://bilder.dasschnelle.at/DasSchnelle/50/5000/9897/061492/I_061492_P_906133482_B_0035994368_1.gal.png?height=392&amp;width=294;https://bilder.dasschnelle.at/DasSchnelle/50/5000/9897/061492/I_061492_P_906133482_B_0035994368_2.gal.png?height=392&amp;width=294;https://bilder.dasschnelle.at/DasSchnelle/50/5000/9897/061492/I_061492_P_906133482_B_0035994368_3.gal.png?height=392&amp;width=294;https://bilder.dasschnelle.at/DasSchnelle/50/5000/9897/061492/I_061492_P_906133482_B_0035994368_4.gal.png?height=392&amp;width=294</t>
  </si>
  <si>
    <t>Frieberger, Thomas, Ing., Installationen • St. Andrä-Wördern • Niederösterreich</t>
  </si>
  <si>
    <t>Installationsunternehmen • Frieberger, Thomas, Ing., Greifensteinerstraße 32, St. Andrä-Wördern • Kontakt über aktuelle Telefonnummern ☎ und Adressen ⚑ mit Karte, Routing, Öffnungszeiten, Homepage, E-Mail, vCard und Firmendaten.</t>
  </si>
  <si>
    <t>Greifensteinerstraße 32</t>
  </si>
  <si>
    <t>48.32376</t>
  </si>
  <si>
    <t>16.21151</t>
  </si>
  <si>
    <t>+43224232274</t>
  </si>
  <si>
    <t>office@installateur-frieberger.at</t>
  </si>
  <si>
    <t>https://bilder.dasschnelle.at/DasSchnelle/50/5000/9897/044251/G_044251_P_906133483.adn.gif</t>
  </si>
  <si>
    <t>Reindl GesmbH, Textilfabrik f Arbeits- u Freizeitmode • Sankt Willibald • Oberösterreich</t>
  </si>
  <si>
    <t>Berufsbekleidung, Textilbearbeitung • Reindl GesmbH, Gewerbepark 6, Sankt Willibald • Kontakt über aktuelle Telefonnummern ☎ und Adressen ⚑ mit Karte, Routing, Öffnungszeiten, Homepage, E-Mail, vCard und Firmendaten.</t>
  </si>
  <si>
    <t>Gewerbepark 6</t>
  </si>
  <si>
    <t>Sankt Willibald</t>
  </si>
  <si>
    <t>48.35765</t>
  </si>
  <si>
    <t>13.69623</t>
  </si>
  <si>
    <t>+43776228410</t>
  </si>
  <si>
    <t>office@reindl.at</t>
  </si>
  <si>
    <t>Auto Scharnböck, Kfz-Handel • Münzkirchen • Oberösterreich</t>
  </si>
  <si>
    <t>Autohandel • Auto Scharnböck, Eisenbirn 5, Münzkirchen • Kontakt über aktuelle Telefonnummern ☎ und Adressen ⚑ mit Karte, Routing, Öffnungszeiten, Homepage, E-Mail, vCard und Firmendaten.</t>
  </si>
  <si>
    <t>Eisenbirn 5</t>
  </si>
  <si>
    <t>48.4723483</t>
  </si>
  <si>
    <t>13.5611661</t>
  </si>
  <si>
    <t>+43771668044</t>
  </si>
  <si>
    <t>scharnboeck@hotmail.com</t>
  </si>
  <si>
    <t>https://bilder.dasschnelle.at/DasSchnelle/50/5000/9926/042788/G_042788_P_906133497.adn.gif</t>
  </si>
  <si>
    <t>Reisinger Vital &amp; Schön, Karin, Fußpflege &amp; Kosmetik • Andorf • Oberösterreich</t>
  </si>
  <si>
    <t>Kosmetik • Reisinger Vital &amp; Schön, Karin, Seifriedsedt 2, Andorf • Kontakt über aktuelle Telefonnummern ☎ und Adressen ⚑ mit Karte, Routing, Öffnungszeiten, Homepage, E-Mail, vCard und Firmendaten.</t>
  </si>
  <si>
    <t>Seifriedsedt 2</t>
  </si>
  <si>
    <t>48.3889724</t>
  </si>
  <si>
    <t>13.5876543</t>
  </si>
  <si>
    <t>+436644129161</t>
  </si>
  <si>
    <t>https://bilder.dasschnelle.at/DasSchnelle/50/5000/9926/042303/G_042303_P_906133499.adn.gif</t>
  </si>
  <si>
    <t>Pizzeria Da Gino, Pizzeria • Engelhartszell • Oberösterreich</t>
  </si>
  <si>
    <t>Pizzerias • Pizzeria Da Gino, Marktplatz 23, Engelhartszell • Kontakt über aktuelle Telefonnummern ☎ und Adressen ⚑ mit Karte, Routing, Öffnungszeiten, Homepage, E-Mail, vCard und Firmendaten.</t>
  </si>
  <si>
    <t>Marktplatz 23</t>
  </si>
  <si>
    <t>4090</t>
  </si>
  <si>
    <t>Engelhartszell</t>
  </si>
  <si>
    <t>48.5059300</t>
  </si>
  <si>
    <t>13.7326200</t>
  </si>
  <si>
    <t>+43771720163</t>
  </si>
  <si>
    <t>https://bilder.dasschnelle.at/DasSchnelle/50/5000/9926/042308/G_042308_P_906133501.adn.gif</t>
  </si>
  <si>
    <t>Berger, Günther, Taxi • Tulln an der Donau • Niederösterreich</t>
  </si>
  <si>
    <t>Taxi • Berger, Günther, Bahnhofstraße 2, Tulln an der Donau • Kontakt über aktuelle Telefonnummern ☎ und Adressen ⚑ mit Karte, Routing, Öffnungszeiten, Homepage, E-Mail, vCard und Firmendaten.</t>
  </si>
  <si>
    <t>48.33072</t>
  </si>
  <si>
    <t>16.0535</t>
  </si>
  <si>
    <t>+43227262877</t>
  </si>
  <si>
    <t>taxi-berger@speed.at</t>
  </si>
  <si>
    <t>https://bilder.dasschnelle.at/DasSchnelle/50/5000/9938/044247/G_044247_P_906134706.adn.gif</t>
  </si>
  <si>
    <t>HOCHENTHANNER GMBH, Karosseriebauer • Rust im Tullnerfeld • Niederösterreich</t>
  </si>
  <si>
    <t>Karosseriebau, Lackierereien • HOCHENTHANNER GMBH, Leopold Figl Straße 25, Rust im Tullnerfeld • Kontakt über aktuelle Telefonnummern ☎ und Adressen ⚑ mit Karte, Routing, Öffnungszeiten, Homepage, E-Mail, vCard und Firmendaten.</t>
  </si>
  <si>
    <t>Leopold Figl Straße 25</t>
  </si>
  <si>
    <t>Rust im Tullnerfeld</t>
  </si>
  <si>
    <t>48.30688</t>
  </si>
  <si>
    <t>15.9327</t>
  </si>
  <si>
    <t>+4322755200;+4369910065002</t>
  </si>
  <si>
    <t>+43227552004</t>
  </si>
  <si>
    <t>office@hochenthanner.at</t>
  </si>
  <si>
    <t>https://bilder.dasschnelle.at/DasSchnelle/50/5000/9938/044243/G_044243_P_906134712.adn.gif</t>
  </si>
  <si>
    <t>BLAHUSCHEK GesmbH, Lebensmittel • Langenrohr • Niederösterreich</t>
  </si>
  <si>
    <t>Lebensmittel • BLAHUSCHEK GesmbH, Tullner Straße 19, Langenrohr • Kontakt über aktuelle Telefonnummern ☎ und Adressen ⚑ mit Karte, Routing, Öffnungszeiten, Homepage, E-Mail, vCard und Firmendaten.</t>
  </si>
  <si>
    <t>Tullner Straße 19</t>
  </si>
  <si>
    <t>3442</t>
  </si>
  <si>
    <t>Langenrohr</t>
  </si>
  <si>
    <t>48.30969</t>
  </si>
  <si>
    <t>16.01324</t>
  </si>
  <si>
    <t>+43227272207</t>
  </si>
  <si>
    <t>blahuschek@sparmarkt.at</t>
  </si>
  <si>
    <t>https://bilder.dasschnelle.at/DasSchnelle/50/5000/9938/044242/G_044242_P_906134716.adn.gif</t>
  </si>
  <si>
    <t>Horiba GmbH, Messgeräte • Tulln an der Donau • Niederösterreich</t>
  </si>
  <si>
    <t>Messgeräte • Horiba GmbH, Kaplanstraße 5, Tulln an der Donau • Kontakt über aktuelle Telefonnummern ☎ und Adressen ⚑ mit Karte, Routing, Öffnungszeiten, Homepage, E-Mail, vCard und Firmendaten.</t>
  </si>
  <si>
    <t>48.32737</t>
  </si>
  <si>
    <t>16.0777</t>
  </si>
  <si>
    <t>+432272652250</t>
  </si>
  <si>
    <t>+43227265230</t>
  </si>
  <si>
    <t>office@horiba.at</t>
  </si>
  <si>
    <t>https://bilder.dasschnelle.at/DasSchnelle/50/5000/9938/044247/G_044247_P_906134717.adn.gif</t>
  </si>
  <si>
    <t>DRUCK + COPY ZENTRUM TULLN, Copycenter • Tulln an der Donau • Niederösterreich</t>
  </si>
  <si>
    <t>Druckereien • DRUCK + COPY ZENTRUM TULLN, Bahnhofstraße 2, Tulln an der Donau • Kontakt über aktuelle Telefonnummern ☎ und Adressen ⚑ mit Karte, Routing, Öffnungszeiten, Homepage, E-Mail, vCard und Firmendaten.</t>
  </si>
  <si>
    <t>+43227268249;+43227264036</t>
  </si>
  <si>
    <t>soko-tulln@druckundcopy.at</t>
  </si>
  <si>
    <t>https://bilder.dasschnelle.at/DasSchnelle/50/5000/9938/044247/G_044247_P_906134723.adn.gif</t>
  </si>
  <si>
    <t>Malermeister Schneiber, Malermeister • Michelhausen • Niederösterreich</t>
  </si>
  <si>
    <t>Bodenbeläge, Malereibetriebe, Farbenfachhandel • Malermeister Schneiber, Ruster Straße 25, Michelhausen • Kontakt über aktuelle Telefonnummern ☎ und Adressen ⚑ mit Karte, Routing, Öffnungszeiten, Homepage, E-Mail, vCard und Firmendaten.</t>
  </si>
  <si>
    <t>Ruster Straße 25</t>
  </si>
  <si>
    <t>Michelhausen</t>
  </si>
  <si>
    <t>48.29201</t>
  </si>
  <si>
    <t>15.93428</t>
  </si>
  <si>
    <t>+436765418343</t>
  </si>
  <si>
    <t>maler.schneiber@gmx.at</t>
  </si>
  <si>
    <t>https://bilder.dasschnelle.at/DasSchnelle/50/5000/9938/044243/G_044243_P_906133788.adn.gif</t>
  </si>
  <si>
    <t>Ranzenberger, Wolfgang, Dr.med., FA f Orthopädie u f Unfallchirurgie • Wels • Oberösterreich</t>
  </si>
  <si>
    <t>Ärzte / Fachärzte f. Orthopädie u. Orthopädische Chirurgie • Ranzenberger, Wolfgang, Dr.med., Pollheimerstraße 15, Wels • Kontakt über aktuelle Telefonnummern ☎ und Adressen ⚑ mit Karte, Routing, Öffnungszeiten, Homepage, E-Mail, vCard und Firmendaten.</t>
  </si>
  <si>
    <t>Pollheimerstraße 15</t>
  </si>
  <si>
    <t>48.15665</t>
  </si>
  <si>
    <t>14.02189</t>
  </si>
  <si>
    <t>+437242206296</t>
  </si>
  <si>
    <t>https://bilder.dasschnelle.at/DasSchnelle/50/5000/9945/044547/G_044547_P_906135688.adn.gif</t>
  </si>
  <si>
    <t>DTP-Dentaltechnik Praxl KG, Zahntechnische Laboratorium • Wels • Oberösterreich</t>
  </si>
  <si>
    <t>Zahntechnische Laboratorien • DTP-Dentaltechnik Praxl KG, Kreuzpointstraße 11, Wels • Kontakt über aktuelle Telefonnummern ☎ und Adressen ⚑ mit Karte, Routing, Öffnungszeiten, Homepage, E-Mail, vCard und Firmendaten.</t>
  </si>
  <si>
    <t>Kreuzpointstraße 11</t>
  </si>
  <si>
    <t>48.1703</t>
  </si>
  <si>
    <t>14.02667</t>
  </si>
  <si>
    <t>+437242206540</t>
  </si>
  <si>
    <t>dtp.praxl@liwest.at</t>
  </si>
  <si>
    <t>https://bilder.dasschnelle.at/DasSchnelle/50/5000/9945/044547/G_044547_P_906135690.adn.gif</t>
  </si>
  <si>
    <t>Hiertz, Helmut, Dr., FA f Neurochirurgie • Wels • Oberösterreich</t>
  </si>
  <si>
    <t>Ärzte / Fachärzte f. Neurochirurgie • Hiertz, Helmut, Dr., Salzburger Straße 65, Wels • Kontakt über aktuelle Telefonnummern ☎ und Adressen ⚑ mit Karte, Routing, Öffnungszeiten, Homepage, E-Mail, vCard und Firmendaten.</t>
  </si>
  <si>
    <t>Salzburger Straße 65</t>
  </si>
  <si>
    <t>14.00594</t>
  </si>
  <si>
    <t>+436645636404</t>
  </si>
  <si>
    <t>dr.hiertz@hiertz.at</t>
  </si>
  <si>
    <t>https://bilder.dasschnelle.at/DasSchnelle/50/5000/9945/044547/G_044547_P_906135899.adn.gif</t>
  </si>
  <si>
    <t>Imobilien bewegen Moser e.U. • Rohrbach an der Gölsen • Niederösterreich</t>
  </si>
  <si>
    <t>Immobilien • Imobilien bewegen Moser e.U., Hauptplatz 1 A/2, Rohrbach an der Gölsen • Kontakt über aktuelle Telefonnummern ☎ und Adressen ⚑ mit Karte, Routing, Öffnungszeiten, Homepage, E-Mail, vCard und Firmendaten.</t>
  </si>
  <si>
    <t>Hauptplatz 1 A/2</t>
  </si>
  <si>
    <t>3163</t>
  </si>
  <si>
    <t>Rohrbach an der Gölsen</t>
  </si>
  <si>
    <t>48.04726</t>
  </si>
  <si>
    <t>15.74152</t>
  </si>
  <si>
    <t>+436764102159</t>
  </si>
  <si>
    <t>info@immobilienbewegen.at</t>
  </si>
  <si>
    <t>https://bilder.dasschnelle.at/DasSchnelle/50/5000/9906/041518/G_041518_P_906135907.adn.gif</t>
  </si>
  <si>
    <t>Sprengnagl, Franz, Tischlerei • Elsbach • Niederösterreich</t>
  </si>
  <si>
    <t>Tischlereien • Sprengnagl, Franz, Rechte Bachgasse 12, Elsbach • Kontakt über aktuelle Telefonnummern ☎ und Adressen ⚑ mit Karte, Routing, Öffnungszeiten, Homepage, E-Mail, vCard und Firmendaten.</t>
  </si>
  <si>
    <t>Rechte Bachgasse 12</t>
  </si>
  <si>
    <t>Elsbach</t>
  </si>
  <si>
    <t>48.25017</t>
  </si>
  <si>
    <t>16.04936</t>
  </si>
  <si>
    <t>+4322712234</t>
  </si>
  <si>
    <t>office@tischlerei-sprengnagl.at</t>
  </si>
  <si>
    <t>https://bilder.dasschnelle.at/DasSchnelle/50/5000/9938/044244/G_044244_P_906135909.adn.gif</t>
  </si>
  <si>
    <t>Autohaus Loitz GmbH • Gallneukirchen • Oberösterreich</t>
  </si>
  <si>
    <t>Autohandel • Autohaus Loitz GmbH, Linzer Straße 11, Gallneukirchen • Kontakt über aktuelle Telefonnummern ☎ und Adressen ⚑ mit Karte, Routing, Öffnungszeiten, Homepage, E-Mail, vCard und Firmendaten.</t>
  </si>
  <si>
    <t>48.35091</t>
  </si>
  <si>
    <t>14.41311</t>
  </si>
  <si>
    <t>+43723562282</t>
  </si>
  <si>
    <t>office@autohaus-loitz.at</t>
  </si>
  <si>
    <t>https://bilder.dasschnelle.at/DasSchnelle/50/5000/9939/042832/G_042832_P_906135911.adn.gif</t>
  </si>
  <si>
    <t>Seiringer, Andreas, Zimmerei • Nußdorf am Attersee • Oberösterreich</t>
  </si>
  <si>
    <t>Zimmereien • Seiringer, Andreas, Seestraße 7, Nußdorf am Attersee • Kontakt über aktuelle Telefonnummern ☎ und Adressen ⚑ mit Karte, Routing, Öffnungszeiten, Homepage, E-Mail, vCard und Firmendaten.</t>
  </si>
  <si>
    <t>Seestraße 7</t>
  </si>
  <si>
    <t>Nußdorf am Attersee</t>
  </si>
  <si>
    <t>47.8837217</t>
  </si>
  <si>
    <t>13.5212020</t>
  </si>
  <si>
    <t>+43766620822</t>
  </si>
  <si>
    <t>info@zimmerei-seiringer.at</t>
  </si>
  <si>
    <t>https://bilder.dasschnelle.at/DasSchnelle/50/5000/9940/043068/G_043068_P_906137179.adn.gif</t>
  </si>
  <si>
    <t>Lang, Gerold, Dr., öffentlicher Notar • Wels • Oberösterreich</t>
  </si>
  <si>
    <t>Notare • Lang, Gerold, Dr., Maria-Theresia-Straße 11, Wels • Kontakt über aktuelle Telefonnummern ☎ und Adressen ⚑ mit Karte, Routing, Öffnungszeiten, Homepage, E-Mail, vCard und Firmendaten.</t>
  </si>
  <si>
    <t>Maria-Theresia-Straße 11</t>
  </si>
  <si>
    <t>48.15588</t>
  </si>
  <si>
    <t>14.02047</t>
  </si>
  <si>
    <t>+437242291550</t>
  </si>
  <si>
    <t>+43724229155020</t>
  </si>
  <si>
    <t>notariat@notar-lang.at</t>
  </si>
  <si>
    <t>https://bilder.dasschnelle.at/DasSchnelle/50/5000/9945/044547/I_044547_P_906137183_L_0035999594_1.png</t>
  </si>
  <si>
    <t>https://bilder.dasschnelle.at/DasSchnelle/50/5000/9945/044547/I_044547_P_906137183_B_0035999594_1.gal.png?height=200&amp;width=368;https://bilder.dasschnelle.at/DasSchnelle/50/5000/9945/044547/I_044547_P_906137183_B_0035999594_2.gal.png?height=200&amp;width=368;https://bilder.dasschnelle.at/DasSchnelle/50/5000/9945/044547/I_044547_P_906137183_B_0035999594_3.gal.png?height=255&amp;width=480;https://bilder.dasschnelle.at/DasSchnelle/50/5000/9945/044547/I_044547_P_906137183_B_0035999594_4.gal.png?height=200&amp;width=368;https://bilder.dasschnelle.at/DasSchnelle/50/5000/9945/044547/G_044547_P_906137183.adn.gif</t>
  </si>
  <si>
    <t>Göttel, Harald, Dr., Orthopädie • Marchtrenk • Oberösterreich</t>
  </si>
  <si>
    <t>Orthopädie • Göttel, Harald, Dr., Linzer Straße 9, Marchtrenk • Kontakt über aktuelle Telefonnummern ☎ und Adressen ⚑ mit Karte, Routing, Öffnungszeiten, Homepage, E-Mail, vCard und Firmendaten.</t>
  </si>
  <si>
    <t>+43724320508</t>
  </si>
  <si>
    <t>ordi@ortho-goettel.at</t>
  </si>
  <si>
    <t>https://bilder.dasschnelle.at/DasSchnelle/50/5000/9907/043573/G_043573_P_906137187.adn.gif</t>
  </si>
  <si>
    <t>Felleitner, Daniel, Handyshop • Vöcklabruck • Oberösterreich</t>
  </si>
  <si>
    <t>Handyshop • Felleitner, Daniel, Stadtplatz 42, Vöcklabruck • Kontakt über aktuelle Telefonnummern ☎ und Adressen ⚑ mit Karte, Routing, Öffnungszeiten, Homepage, E-Mail, vCard und Firmendaten.</t>
  </si>
  <si>
    <t>13.6532</t>
  </si>
  <si>
    <t>+43767222708</t>
  </si>
  <si>
    <t>info@felleitner.at</t>
  </si>
  <si>
    <t>https://bilder.dasschnelle.at/DasSchnelle/50/5000/9940/043555/G_043555_P_906137188.adn.gif</t>
  </si>
  <si>
    <t>HR-Reifen e.U. • Ottnang • Oberösterreich</t>
  </si>
  <si>
    <t>Reifenhandel • HR-Reifen e.U., Stollenweg 3, Ottnang • Kontakt über aktuelle Telefonnummern ☎ und Adressen ⚑ mit Karte, Routing, Öffnungszeiten, Homepage, E-Mail, vCard und Firmendaten.</t>
  </si>
  <si>
    <t>Stollenweg 3</t>
  </si>
  <si>
    <t>48.07991</t>
  </si>
  <si>
    <t>13.61721</t>
  </si>
  <si>
    <t>+436764208240</t>
  </si>
  <si>
    <t>office@hausruckreifen.at</t>
  </si>
  <si>
    <t>https://bilder.dasschnelle.at/DasSchnelle/50/5000/9940/043088/G_043088_P_906137192.adn.gif</t>
  </si>
  <si>
    <t>Demmerer, Gerhard, Malerei • Mariazell • Steiermark</t>
  </si>
  <si>
    <t>Malereibetriebe • Demmerer, Gerhard, Bundesstraße 40, Mariazell • Kontakt über aktuelle Telefonnummern ☎ und Adressen ⚑ mit Karte, Routing, Öffnungszeiten, Homepage, E-Mail, vCard und Firmendaten.</t>
  </si>
  <si>
    <t>Bundesstraße 40</t>
  </si>
  <si>
    <t>47.78961</t>
  </si>
  <si>
    <t>15.30219</t>
  </si>
  <si>
    <t>+436641419263;+436601419263;+436603441060</t>
  </si>
  <si>
    <t>malerei@demmerer.at</t>
  </si>
  <si>
    <t>https://bilder.dasschnelle.at/DasSchnelle/50/5000/9906/061453/G_061453_P_906137205.adn.gif</t>
  </si>
  <si>
    <t>Greifensteiner, Manfred, Transportunternehmen • Gußwerk • Steiermark</t>
  </si>
  <si>
    <t>Transportunternehmen • Greifensteiner, Manfred, Salzatal 14, Gußwerk • Kontakt über aktuelle Telefonnummern ☎ und Adressen ⚑ mit Karte, Routing, Öffnungszeiten, Homepage, E-Mail, vCard und Firmendaten.</t>
  </si>
  <si>
    <t>Salzatal 14</t>
  </si>
  <si>
    <t>47.71922</t>
  </si>
  <si>
    <t>15.25112</t>
  </si>
  <si>
    <t>+433885234</t>
  </si>
  <si>
    <t>transporte.greifensteiner@aon.at</t>
  </si>
  <si>
    <t>https://bilder.dasschnelle.at/DasSchnelle/50/5000/9906/061453/G_061453_P_906137211.adn.gif</t>
  </si>
  <si>
    <t>Orthopädie Kurt Mayr GmbH • Vöcklabruck • Oberösterreich</t>
  </si>
  <si>
    <t>Orthopädische Schuhe • Orthopädie Kurt Mayr GmbH, Graben 17, Vöcklabruck • Kontakt über aktuelle Telefonnummern ☎ und Adressen ⚑ mit Karte, Routing, Öffnungszeiten, Homepage, E-Mail, vCard und Firmendaten.</t>
  </si>
  <si>
    <t>+43767226290</t>
  </si>
  <si>
    <t>okm@ortho-mayr.at</t>
  </si>
  <si>
    <t>https://bilder.dasschnelle.at/DasSchnelle/50/5000/9940/043555/G_043555_P_906137212.adn.gif</t>
  </si>
  <si>
    <t>Zillner Fertigputz GmbH, Putze • Andorf • Oberösterreich</t>
  </si>
  <si>
    <t>Innen- u. Aussenputze • Zillner Fertigputz GmbH, Hauptstraße 59, Andorf • Kontakt über aktuelle Telefonnummern ☎ und Adressen ⚑ mit Karte, Routing, Öffnungszeiten, Homepage, E-Mail, vCard und Firmendaten.</t>
  </si>
  <si>
    <t>Hauptstraße 59</t>
  </si>
  <si>
    <t>48.36775</t>
  </si>
  <si>
    <t>13.5672</t>
  </si>
  <si>
    <t>+4377663390</t>
  </si>
  <si>
    <t>+43776633904</t>
  </si>
  <si>
    <t>office@zillner-fertigputz.com</t>
  </si>
  <si>
    <t>https://bilder.dasschnelle.at/DasSchnelle/50/5000/9926/042303/G_042303_P_906137216.adn.gif</t>
  </si>
  <si>
    <t>Künzel-Painsipp Michaela Mag, Painsipp Kurt Mag, Notare • Feldbach • Steiermark</t>
  </si>
  <si>
    <t>Notare • Künzel-Painsipp Michaela Mag, Painsipp Kurt Mag, Bürgergasse 40, Feldbach • Kontakt über aktuelle Telefonnummern ☎ und Adressen ⚑ mit Karte, Routing, Öffnungszeiten, Homepage, E-Mail, vCard und Firmendaten.</t>
  </si>
  <si>
    <t>Bürgergasse 40</t>
  </si>
  <si>
    <t>46.95422</t>
  </si>
  <si>
    <t>15.88951</t>
  </si>
  <si>
    <t>+43315240500</t>
  </si>
  <si>
    <t>notar@kuenzel.at</t>
  </si>
  <si>
    <t>https://bilder.dasschnelle.at/DasSchnelle/50/5000/9879/061391/G_061391_P_906135590.adn.gif</t>
  </si>
  <si>
    <t>RAUTER Gas Wasser Heizung GmbH • Feldkirchen in Kärnten • Kärnten</t>
  </si>
  <si>
    <t>Installationsunternehmen • RAUTER Gas Wasser Heizung GmbH, Gurktaler Straße 4, Feldkirchen in Kärnten • Kontakt über aktuelle Telefonnummern ☎ und Adressen ⚑ mit Karte, Routing, Öffnungszeiten, Homepage, E-Mail, vCard und Firmendaten.</t>
  </si>
  <si>
    <t>Gurktaler Straße 4</t>
  </si>
  <si>
    <t>46.7228283</t>
  </si>
  <si>
    <t>14.0980203</t>
  </si>
  <si>
    <t>+4342762040</t>
  </si>
  <si>
    <t>info@rauter-installationen.at</t>
  </si>
  <si>
    <t>https://bilder.dasschnelle.at/DasSchnelle/50/5000/9880/042048/I_042048_P_906135932_L_0035993433_1.png</t>
  </si>
  <si>
    <t>https://bilder.dasschnelle.at/DasSchnelle/50/5000/9880/042048/I_042048_P_906135932_B_0035993433_1.gal.png?height=450&amp;width=1180;https://bilder.dasschnelle.at/DasSchnelle/50/5000/9880/042048/I_042048_P_906135932_B_0035993433_2.gal.png?height=450&amp;width=1180;https://bilder.dasschnelle.at/DasSchnelle/50/5000/9880/042048/I_042048_P_906135932_B_0035993433_3.gal.png?height=450&amp;width=1180;https://bilder.dasschnelle.at/DasSchnelle/50/5000/9880/042048/I_042048_P_906135932_B_0035993433_4.gal.png?height=320&amp;width=480</t>
  </si>
  <si>
    <t>Goritschnig Dachdecker • Feldkirchen in Kärnten • Kärnten</t>
  </si>
  <si>
    <t>Dachdeckereien • Goritschnig Dachdecker, Waldstraße 12, Feldkirchen in Kärnten • Kontakt über aktuelle Telefonnummern ☎ und Adressen ⚑ mit Karte, Routing, Öffnungszeiten, Homepage, E-Mail, vCard und Firmendaten.</t>
  </si>
  <si>
    <t>Waldstraße 12</t>
  </si>
  <si>
    <t>46.70288</t>
  </si>
  <si>
    <t>14.15249</t>
  </si>
  <si>
    <t>+4366475139605</t>
  </si>
  <si>
    <t>karlg0308@hotmaiil.de</t>
  </si>
  <si>
    <t>https://bilder.dasschnelle.at/DasSchnelle/50/5000/9880/042048/G_042048_P_906136991.adn.gif</t>
  </si>
  <si>
    <t>Röttl Alfred Ing GmbH, Elektroinstallationsunternehmen • Maltschach • Kärnten</t>
  </si>
  <si>
    <t>Elektroinstallationsunternehmen • Röttl Alfred Ing GmbH, Maltschach 30, Maltschach • Kontakt über aktuelle Telefonnummern ☎ und Adressen ⚑ mit Karte, Routing, Öffnungszeiten, Homepage, E-Mail, vCard und Firmendaten.</t>
  </si>
  <si>
    <t>Maltschach 30</t>
  </si>
  <si>
    <t>Maltschach</t>
  </si>
  <si>
    <t>46.7057242</t>
  </si>
  <si>
    <t>14.1398749</t>
  </si>
  <si>
    <t>+436643572591</t>
  </si>
  <si>
    <t>office@roettl.at</t>
  </si>
  <si>
    <t>https://bilder.dasschnelle.at/DasSchnelle/50/5000/9880/042048/G_042048_P_906136993.adn.gif</t>
  </si>
  <si>
    <t>Kirschner, Benjamin, Holzschlägerung • Ladis • Tirol</t>
  </si>
  <si>
    <t>Holzschlägerung • Kirschner, Benjamin, Obladis 2, Ladis • Kontakt über aktuelle Telefonnummern ☎ und Adressen ⚑ mit Karte, Routing, Öffnungszeiten, Homepage, E-Mail, vCard und Firmendaten.</t>
  </si>
  <si>
    <t>Obladis 2</t>
  </si>
  <si>
    <t>6532</t>
  </si>
  <si>
    <t>Ladis</t>
  </si>
  <si>
    <t>47.0719084</t>
  </si>
  <si>
    <t>10.6470234</t>
  </si>
  <si>
    <t>+436506089092</t>
  </si>
  <si>
    <t>info@obladis.at</t>
  </si>
  <si>
    <t>https://bilder.dasschnelle.at/DasSchnelle/50/5000/9903/044583/G_044583_P_906136999.adn.gif</t>
  </si>
  <si>
    <t>Gabl Bau • Fließ • Tirol</t>
  </si>
  <si>
    <t>Bauunternehmen • Gabl Bau, Dorf 209, Fließ • Kontakt über aktuelle Telefonnummern ☎ und Adressen ⚑ mit Karte, Routing, Öffnungszeiten, Homepage, E-Mail, vCard und Firmendaten.</t>
  </si>
  <si>
    <t>Dorf 209</t>
  </si>
  <si>
    <t>6521</t>
  </si>
  <si>
    <t>Fließ</t>
  </si>
  <si>
    <t>47.12004</t>
  </si>
  <si>
    <t>10.63437</t>
  </si>
  <si>
    <t>+4366488905600;+4366488905600</t>
  </si>
  <si>
    <t>office@gabl-bau.at</t>
  </si>
  <si>
    <t>https://bilder.dasschnelle.at/DasSchnelle/50/5000/9903/044574/G_044574_P_906137253.adn.gif</t>
  </si>
  <si>
    <t>Müllner, Fußpflege • Tulln an der Donau • Niederösterreich</t>
  </si>
  <si>
    <t>Fußpflege • Müllner, Albrechtsgasse 31, Tulln an der Donau • Kontakt über aktuelle Telefonnummern ☎ und Adressen ⚑ mit Karte, Routing, Öffnungszeiten, Homepage, E-Mail, vCard und Firmendaten.</t>
  </si>
  <si>
    <t>Albrechtsgasse 31</t>
  </si>
  <si>
    <t>48.33188</t>
  </si>
  <si>
    <t>16.05078</t>
  </si>
  <si>
    <t>+43227262592</t>
  </si>
  <si>
    <t>tini.muellner@gmail.com</t>
  </si>
  <si>
    <t>https://bilder.dasschnelle.at/DasSchnelle/50/5000/9938/044247/G_044247_P_906135780.adn.gif</t>
  </si>
  <si>
    <t>Angelika Gor, Wundmanagement und Pflege • Wördern • Niederösterreich</t>
  </si>
  <si>
    <t>Hauskrankenpflege • Angelika Gor, Blütenweg 3, Wördern • Kontakt über aktuelle Telefonnummern ☎ und Adressen ⚑ mit Karte, Routing, Öffnungszeiten, Homepage, E-Mail, vCard und Firmendaten.</t>
  </si>
  <si>
    <t>Blütenweg 3</t>
  </si>
  <si>
    <t>Wördern</t>
  </si>
  <si>
    <t>48.3314100</t>
  </si>
  <si>
    <t>16.2081600</t>
  </si>
  <si>
    <t>+436608697173</t>
  </si>
  <si>
    <t>office@wundmanagement-pflege.at</t>
  </si>
  <si>
    <t>https://bilder.dasschnelle.at/DasSchnelle/50/5000/9897/044251/G_044251_P_906135783.adn.gif</t>
  </si>
  <si>
    <t>Gasthaus Zum fidelen Bauern • Oberwang • Oberösterreich</t>
  </si>
  <si>
    <t>Gastgewerbe - Gasthöfe • Gasthaus Zum fidelen Bauern, Grossenschwandt 31, Oberwang • Kontakt über aktuelle Telefonnummern ☎ und Adressen ⚑ mit Karte, Routing, Öffnungszeiten, Homepage, E-Mail, vCard und Firmendaten.</t>
  </si>
  <si>
    <t>Grossenschwandt 31</t>
  </si>
  <si>
    <t>47.8717402</t>
  </si>
  <si>
    <t>13.4202450</t>
  </si>
  <si>
    <t>+4362338570</t>
  </si>
  <si>
    <t>fischer@fideler-bauer.at</t>
  </si>
  <si>
    <t>https://bilder.dasschnelle.at/DasSchnelle/50/5000/9909/043087/G_043087_P_906135790.adn.gif</t>
  </si>
  <si>
    <t>EH-Pfisterer, Elektronik • Sanktr Johann im Pongau • Salzburg</t>
  </si>
  <si>
    <t>Heizungen • EH-Pfisterer, Katzlmoosweg 14, Sanktr Johann im Pongau • Kontakt über aktuelle Telefonnummern ☎ und Adressen ⚑ mit Karte, Routing, Öffnungszeiten, Homepage, E-Mail, vCard und Firmendaten.</t>
  </si>
  <si>
    <t>Katzlmoosweg 14</t>
  </si>
  <si>
    <t>Sanktr Johann im Pongau</t>
  </si>
  <si>
    <t>47.35975</t>
  </si>
  <si>
    <t>13.16992</t>
  </si>
  <si>
    <t>+4367763499214</t>
  </si>
  <si>
    <t>office@eh-pfisterer.at</t>
  </si>
  <si>
    <t>https://bilder.dasschnelle.at/DasSchnelle/50/5000/9919/043351/G_043351_P_906137830.adn.gif</t>
  </si>
  <si>
    <t>Schneider, Manfred, Spenglerei, Dachdeckerei • Michelhausen • Niederösterreich</t>
  </si>
  <si>
    <t>Dachdeckereien, Spenglereien • Schneider, Manfred, Korngasse 28, Michelhausen • Kontakt über aktuelle Telefonnummern ☎ und Adressen ⚑ mit Karte, Routing, Öffnungszeiten, Homepage, E-Mail, vCard und Firmendaten.</t>
  </si>
  <si>
    <t>Korngasse 28</t>
  </si>
  <si>
    <t>48.28484</t>
  </si>
  <si>
    <t>15.93359</t>
  </si>
  <si>
    <t>+4322756046</t>
  </si>
  <si>
    <t>info@schneider-dach.at</t>
  </si>
  <si>
    <t>https://bilder.dasschnelle.at/DasSchnelle/50/5000/9938/044243/G_044243_P_906137839.adn.gif</t>
  </si>
  <si>
    <t>Brandstätter, Gottfried, Erdbau • Fuschl am See • Salzburg</t>
  </si>
  <si>
    <t>Erdbau • Brandstätter, Gottfried, Perfalleckstraße 56, Fuschl am See • Kontakt über aktuelle Telefonnummern ☎ und Adressen ⚑ mit Karte, Routing, Öffnungszeiten, Homepage, E-Mail, vCard und Firmendaten.</t>
  </si>
  <si>
    <t>Perfalleckstraße 56</t>
  </si>
  <si>
    <t>5330</t>
  </si>
  <si>
    <t>Fuschl am See</t>
  </si>
  <si>
    <t>47.78462</t>
  </si>
  <si>
    <t>13.2964</t>
  </si>
  <si>
    <t>+4366491623</t>
  </si>
  <si>
    <t>office@brandstaetter-erdbewegung.at</t>
  </si>
  <si>
    <t>https://bilder.dasschnelle.at/DasSchnelle/50/5000/9909/043308/G_043308_P_906137842.adn.gif</t>
  </si>
  <si>
    <t>Neuner, Peter, Univ.Doz.Dr., Ärzte / Fachärzte f Haut-u Geschlechtskrankheiten • Klosterneuburg • Niederösterreich</t>
  </si>
  <si>
    <t>Ärzte / Fachärzte f. Haut u. Geschlechtskrankheiten • Neuner, Peter, Univ.Doz.Dr., Kierlinger Straße 19, Klosterneuburg • Kontakt über aktuelle Telefonnummern ☎ und Adressen ⚑ mit Karte, Routing, Öffnungszeiten, Homepage, E-Mail, vCard und Firmendaten.</t>
  </si>
  <si>
    <t>48.30676</t>
  </si>
  <si>
    <t>16.31861</t>
  </si>
  <si>
    <t>+43224333488</t>
  </si>
  <si>
    <t>p.neuner@aon.at</t>
  </si>
  <si>
    <t>https://bilder.dasschnelle.at/DasSchnelle/50/5000/9897/061492/G_061492_P_906137844.adn.gif</t>
  </si>
  <si>
    <t>Stuhlberger Putz GmbH, Fertigputz • St. Willibald • Oberösterreich</t>
  </si>
  <si>
    <t>Verputzarbeiten • Stuhlberger Putz GmbH, Wamprechtsham 60, St. Willibald • Kontakt über aktuelle Telefonnummern ☎ und Adressen ⚑ mit Karte, Routing, Öffnungszeiten, Homepage, E-Mail, vCard und Firmendaten.</t>
  </si>
  <si>
    <t>Wamprechtsham 60</t>
  </si>
  <si>
    <t>48.3630082</t>
  </si>
  <si>
    <t>13.6736920</t>
  </si>
  <si>
    <t>+43776240098</t>
  </si>
  <si>
    <t>office@stuhlberger-putz.at</t>
  </si>
  <si>
    <t>https://bilder.dasschnelle.at/DasSchnelle/50/5000/9926/042796/G_042796_P_906139551.adn.gif</t>
  </si>
  <si>
    <t>Südsteirische Steuerberatung GmbH &amp; Co KG, Steuerberatung • Leibnitz • Steiermark</t>
  </si>
  <si>
    <t>Steuerberater, Wirtschaftstreuhänder / Steuerberater • Südsteirische Steuerberatung GmbH &amp; Co KG, Hauptplatz 7, Leibnitz • Kontakt über aktuelle Telefonnummern ☎ und Adressen ⚑ mit Karte, Routing, Öffnungszeiten, Homepage, E-Mail, vCard und Firmendaten.</t>
  </si>
  <si>
    <t>46.78186</t>
  </si>
  <si>
    <t>15.54008</t>
  </si>
  <si>
    <t>+433452834810</t>
  </si>
  <si>
    <t>office@sstb.at</t>
  </si>
  <si>
    <t>https://bilder.dasschnelle.at/DasSchnelle/50/5000/9904/061363/G_061363_P_906139554.adn.gif</t>
  </si>
  <si>
    <t>Langthaler, Eva, Mag., Psychologen • Thalheim bei Wels • Oberösterreich</t>
  </si>
  <si>
    <t>Psychotherapie • Langthaler, Eva, Mag., Salzburger Str. 65, Thalheim bei Wels • Kontakt über aktuelle Telefonnummern ☎ und Adressen ⚑ mit Karte, Routing, Öffnungszeiten, Homepage, E-Mail, vCard und Firmendaten.</t>
  </si>
  <si>
    <t>Salzburger Str. 65</t>
  </si>
  <si>
    <t>48.1540865</t>
  </si>
  <si>
    <t>14.0355742</t>
  </si>
  <si>
    <t>+436509746533</t>
  </si>
  <si>
    <t>langthalereva@gmx.at</t>
  </si>
  <si>
    <t>https://bilder.dasschnelle.at/DasSchnelle/50/5000/9945/043584/G_043584_P_906139514.adn.gif</t>
  </si>
  <si>
    <t>Mag. Kristin Gusenleitner, Psychotherapeutin • Wels • Oberösterreich</t>
  </si>
  <si>
    <t>Psychotherapie • Mag. Kristin Gusenleitner, Spöttlstraße 1 /6, Wels • Kontakt über aktuelle Telefonnummern ☎ und Adressen ⚑ mit Karte, Routing, Öffnungszeiten, Homepage, E-Mail, vCard und Firmendaten.</t>
  </si>
  <si>
    <t>Spöttlstraße 1 /6</t>
  </si>
  <si>
    <t>48.16504</t>
  </si>
  <si>
    <t>14.0012</t>
  </si>
  <si>
    <t>+436763580151</t>
  </si>
  <si>
    <t>gus-loef@gmx.at</t>
  </si>
  <si>
    <t>Zauner-Bauer, Barbara, Tierärztin • Buchkirchen • Oberösterreich</t>
  </si>
  <si>
    <t>Tierärzte • Zauner-Bauer, Barbara, Hartbergerstraße 1, Buchkirchen • Kontakt über aktuelle Telefonnummern ☎ und Adressen ⚑ mit Karte, Routing, Öffnungszeiten, Homepage, E-Mail, vCard und Firmendaten.</t>
  </si>
  <si>
    <t>Hartbergerstraße 1</t>
  </si>
  <si>
    <t>48.2239700</t>
  </si>
  <si>
    <t>14.0192300</t>
  </si>
  <si>
    <t>+43724232032</t>
  </si>
  <si>
    <t>office@tierarztpraxis-zauner.at</t>
  </si>
  <si>
    <t>https://bilder.dasschnelle.at/DasSchnelle/50/5000/9945/043565/G_043565_P_906139578.adn.gif</t>
  </si>
  <si>
    <t>Christian Ebenhofer, Wirtschaftstreuhänder/Steuerberater • Wels • Oberösterreich</t>
  </si>
  <si>
    <t>Steuerberater, Wirtschaftstreuhänder / Steuerberater • Christian Ebenhofer, Neinergutstraße 35, Wels • Kontakt über aktuelle Telefonnummern ☎ und Adressen ⚑ mit Karte, Routing, Öffnungszeiten, Homepage, E-Mail, vCard und Firmendaten.</t>
  </si>
  <si>
    <t>Neinergutstraße 35</t>
  </si>
  <si>
    <t>48.16401</t>
  </si>
  <si>
    <t>13.98581</t>
  </si>
  <si>
    <t>+43724247684</t>
  </si>
  <si>
    <t>office@ebenhofer.co.at</t>
  </si>
  <si>
    <t>https://bilder.dasschnelle.at/DasSchnelle/50/5000/9945/044547/G_044547_P_906139586.adn.gif</t>
  </si>
  <si>
    <t>Mareiler, Josef, Malerei • Kappl • Tirol</t>
  </si>
  <si>
    <t>Malereibetriebe • Mareiler, Josef, Perpat 189, Kappl • Kontakt über aktuelle Telefonnummern ☎ und Adressen ⚑ mit Karte, Routing, Öffnungszeiten, Homepage, E-Mail, vCard und Firmendaten.</t>
  </si>
  <si>
    <t>Perpat 189</t>
  </si>
  <si>
    <t>47.07358</t>
  </si>
  <si>
    <t>10.40589</t>
  </si>
  <si>
    <t>+4366475063317</t>
  </si>
  <si>
    <t>mareiler74@gmail.com</t>
  </si>
  <si>
    <t>https://bilder.dasschnelle.at/DasSchnelle/50/5000/9903/044579/G_044579_P_906139588.adn.gif</t>
  </si>
  <si>
    <t>Weiß, Petra, Tierärztin • Wels • Oberösterreich</t>
  </si>
  <si>
    <t>Tierärzte • Weiß, Petra, Mühlstraße 70, Wels • Kontakt über aktuelle Telefonnummern ☎ und Adressen ⚑ mit Karte, Routing, Öffnungszeiten, Homepage, E-Mail, vCard und Firmendaten.</t>
  </si>
  <si>
    <t>Mühlstraße 70</t>
  </si>
  <si>
    <t>48.17513</t>
  </si>
  <si>
    <t>14.06123</t>
  </si>
  <si>
    <t>+436643809414</t>
  </si>
  <si>
    <t>office@kleintierordination-wels.at</t>
  </si>
  <si>
    <t>https://bilder.dasschnelle.at/DasSchnelle/50/5000/9945/044547/G_044547_P_906139590.adn.gif</t>
  </si>
  <si>
    <t>Raml, Andreas, Dr., FA f Innere Medizin • Pregarten • Oberösterreich</t>
  </si>
  <si>
    <t>Ärzte / Fachärzte f. Innere Medizin • Raml, Andreas, Dr., Stadtplatz 16, Pregarten • Kontakt über aktuelle Telefonnummern ☎ und Adressen ⚑ mit Karte, Routing, Öffnungszeiten, Homepage, E-Mail, vCard und Firmendaten.</t>
  </si>
  <si>
    <t>Stadtplatz 16</t>
  </si>
  <si>
    <t>48.3555579</t>
  </si>
  <si>
    <t>14.5308173</t>
  </si>
  <si>
    <t>+43723631410</t>
  </si>
  <si>
    <t>+437236314104</t>
  </si>
  <si>
    <t>ordination@dr-raml.at</t>
  </si>
  <si>
    <t>https://bilder.dasschnelle.at/DasSchnelle/50/5000/9882/998305/G_998305_P_906139596.adn.gif</t>
  </si>
  <si>
    <t>Aistleitner Marianne, Massagefachinstitut • Lasberg • Oberösterreich</t>
  </si>
  <si>
    <t>Massagen • Aistleitner Marianne, Siegelsdorf 18, Lasberg • Kontakt über aktuelle Telefonnummern ☎ und Adressen ⚑ mit Karte, Routing, Öffnungszeiten, Homepage, E-Mail, vCard und Firmendaten.</t>
  </si>
  <si>
    <t>Siegelsdorf 18</t>
  </si>
  <si>
    <t>4291</t>
  </si>
  <si>
    <t>Lasberg</t>
  </si>
  <si>
    <t>48.4578000</t>
  </si>
  <si>
    <t>14.5314300</t>
  </si>
  <si>
    <t>+436649337379</t>
  </si>
  <si>
    <t>marianne.aistleitner@gmail.com</t>
  </si>
  <si>
    <t>https://bilder.dasschnelle.at/DasSchnelle/50/5000/9882/044815/G_044815_P_906139598.adn.gif</t>
  </si>
  <si>
    <t>Lisa Kosmetik &amp; Fusspflege • Vöcklabruck • Oberösterreich</t>
  </si>
  <si>
    <t>Kosmetik u. Fußpflege • Lisa Kosmetik &amp; Fusspflege, E-Werkstrasse 5, Vöcklabruck • Kontakt über aktuelle Telefonnummern ☎ und Adressen ⚑ mit Karte, Routing, Öffnungszeiten, Homepage, E-Mail, vCard und Firmendaten.</t>
  </si>
  <si>
    <t>E-Werkstrasse 5</t>
  </si>
  <si>
    <t>47.9963000</t>
  </si>
  <si>
    <t>13.6465200</t>
  </si>
  <si>
    <t>+436609853051</t>
  </si>
  <si>
    <t>office@lisa-kosmetik.at</t>
  </si>
  <si>
    <t>https://bilder.dasschnelle.at/DasSchnelle/50/5000/9940/043555/I_043555_P_906139661_L_0038824133_1.png</t>
  </si>
  <si>
    <t>https://bilder.dasschnelle.at/DasSchnelle/50/5000/9940/043555/G_043555_P_906139661.adn.gif</t>
  </si>
  <si>
    <t>König GmbH, Installationsunternehmen • Ottensheim • Oberösterreich</t>
  </si>
  <si>
    <t>Installationsunternehmen • König GmbH, Sternstraße 35, Ottensheim • Kontakt über aktuelle Telefonnummern ☎ und Adressen ⚑ mit Karte, Routing, Öffnungszeiten, Homepage, E-Mail, vCard und Firmendaten.</t>
  </si>
  <si>
    <t>Sternstraße 35</t>
  </si>
  <si>
    <t>48.33656</t>
  </si>
  <si>
    <t>14.16921</t>
  </si>
  <si>
    <t>+437234824830</t>
  </si>
  <si>
    <t>haustechnik@koenig-ot.at</t>
  </si>
  <si>
    <t>https://bilder.dasschnelle.at/DasSchnelle/50/5000/9939/043056/I_043056_P_906139629_L_0036000084_1.png</t>
  </si>
  <si>
    <t>https://bilder.dasschnelle.at/DasSchnelle/50/5000/9939/043056/I_043056_P_906139629_B_0036000084_1.gal.png?height=442&amp;width=595;https://bilder.dasschnelle.at/DasSchnelle/50/5000/9939/043056/I_043056_P_906139629_B_0036000084_2.gal.png?height=440&amp;width=594;https://bilder.dasschnelle.at/DasSchnelle/50/5000/9939/043056/I_043056_P_906139629_B_0036000084_3.gal.png?height=441&amp;width=590;https://bilder.dasschnelle.at/DasSchnelle/50/5000/9939/043056/I_043056_P_906139629_B_0036000084_4.gal.png?height=493&amp;width=661</t>
  </si>
  <si>
    <t>Mag. Halmetschlager Thomas, Psychologe • Gmünd • Niederösterreich</t>
  </si>
  <si>
    <t>Psychologen • Mag. Halmetschlager Thomas, Bahnhofstrasse 46, Gmünd • Kontakt über aktuelle Telefonnummern ☎ und Adressen ⚑ mit Karte, Routing, Öffnungszeiten, Homepage, E-Mail, vCard und Firmendaten.</t>
  </si>
  <si>
    <t>Bahnhofstrasse 46</t>
  </si>
  <si>
    <t>48.7671800</t>
  </si>
  <si>
    <t>14.9858500</t>
  </si>
  <si>
    <t>+4367763478163</t>
  </si>
  <si>
    <t>office@praxis-halmetschlager.at</t>
  </si>
  <si>
    <t>https://bilder.dasschnelle.at/DasSchnelle/50/5000/9885/045075/G_045075_P_906139659.adn.gif</t>
  </si>
  <si>
    <t>Lampl, Bettina, Änderungsschneidereien • Hohenberg • Niederösterreich</t>
  </si>
  <si>
    <t>Änderungsschneidereien • Lampl, Bettina, Untere Hauptstraße 10, Hohenberg • Kontakt über aktuelle Telefonnummern ☎ und Adressen ⚑ mit Karte, Routing, Öffnungszeiten, Homepage, E-Mail, vCard und Firmendaten.</t>
  </si>
  <si>
    <t>Untere Hauptstraße 10</t>
  </si>
  <si>
    <t>47.91342</t>
  </si>
  <si>
    <t>15.61803</t>
  </si>
  <si>
    <t>+4327678396</t>
  </si>
  <si>
    <t>https://bilder.dasschnelle.at/DasSchnelle/50/5000/9906/041519/G_041519_P_906140439.adn.gif</t>
  </si>
  <si>
    <t>Stefan Mosbacher, Erdbau • St. Aegyd am Neuwalde • Niederösterreich</t>
  </si>
  <si>
    <t>Erdarbeiten, Erdbau • Stefan Mosbacher, Mitterbach 53, St. Aegyd am Neuwalde • Kontakt über aktuelle Telefonnummern ☎ und Adressen ⚑ mit Karte, Routing, Öffnungszeiten, Homepage, E-Mail, vCard und Firmendaten.</t>
  </si>
  <si>
    <t>Mitterbach 53</t>
  </si>
  <si>
    <t>3193</t>
  </si>
  <si>
    <t>St. Aegyd am Neuwalde</t>
  </si>
  <si>
    <t>47.8622069</t>
  </si>
  <si>
    <t>15.6116328</t>
  </si>
  <si>
    <t>+43276861040</t>
  </si>
  <si>
    <t>erdbau.mosbacher@aon.at</t>
  </si>
  <si>
    <t>https://bilder.dasschnelle.at/DasSchnelle/50/5000/9906/041526/G_041526_P_906140440.adn.gif</t>
  </si>
  <si>
    <t>Zimmermeister Andreas Kadi e.U., Zimmerei • Rohrbach an der Gölsen • Niederösterreich</t>
  </si>
  <si>
    <t>Zimmereien • Zimmermeister Andreas Kadi e.U., Rohrwiesenstraße 12, Rohrbach an der Gölsen • Kontakt über aktuelle Telefonnummern ☎ und Adressen ⚑ mit Karte, Routing, Öffnungszeiten, Homepage, E-Mail, vCard und Firmendaten.</t>
  </si>
  <si>
    <t>Rohrwiesenstraße 12</t>
  </si>
  <si>
    <t>48.04868</t>
  </si>
  <si>
    <t>15.73783</t>
  </si>
  <si>
    <t>+436643969171;+436643151646;+436643969171</t>
  </si>
  <si>
    <t>office@kadi.at</t>
  </si>
  <si>
    <t>https://bilder.dasschnelle.at/DasSchnelle/50/5000/9906/041525/G_041525_P_906140446.adn.gif</t>
  </si>
  <si>
    <t>Sommer-Spiegl Dachdeckerei Spenglerei GesmbH • Tulln an der Donau • Niederösterreich</t>
  </si>
  <si>
    <t>Dachdeckereien, Spenglereien • Sommer-Spiegl Dachdeckerei Spenglerei GesmbH, Tullnerfeldstraße 14, Tulln an der Donau • Kontakt über aktuelle Telefonnummern ☎ und Adressen ⚑ mit Karte, Routing, Öffnungszeiten, Homepage, E-Mail, vCard und Firmendaten.</t>
  </si>
  <si>
    <t>Tullnerfeldstraße 14</t>
  </si>
  <si>
    <t>48.30064</t>
  </si>
  <si>
    <t>16.06001</t>
  </si>
  <si>
    <t>+43227262548</t>
  </si>
  <si>
    <t>office@sommer-spiegl.at</t>
  </si>
  <si>
    <t>https://bilder.dasschnelle.at/DasSchnelle/50/5000/9938/044247/I_044247_P_906140677_L_0036000243_1.png</t>
  </si>
  <si>
    <t>https://bilder.dasschnelle.at/DasSchnelle/50/5000/9938/044247/I_044247_P_906140677_B_0036000243_1.gal.png?height=404&amp;width=720;https://bilder.dasschnelle.at/DasSchnelle/50/5000/9938/044247/I_044247_P_906140677_B_0036000243_2.gal.png?height=404&amp;width=720;https://bilder.dasschnelle.at/DasSchnelle/50/5000/9938/044247/I_044247_P_906140677_B_0036000243_3.gal.png?height=540&amp;width=720;https://bilder.dasschnelle.at/DasSchnelle/50/5000/9938/044247/I_044247_P_906140677_B_0036000243_4.gal.png?height=540&amp;width=720</t>
  </si>
  <si>
    <t>Institut f Physikotherapie Dr Wind u Partner OG • Gratwein • Steiermark</t>
  </si>
  <si>
    <t>Institute • Institut f Physikotherapie Dr Wind u Partner OG, Bahnhofstraße 3, Gratwein • Kontakt über aktuelle Telefonnummern ☎ und Adressen ⚑ mit Karte, Routing, Öffnungszeiten, Homepage, E-Mail, vCard und Firmendaten.</t>
  </si>
  <si>
    <t>47.1291751</t>
  </si>
  <si>
    <t>15.3194724</t>
  </si>
  <si>
    <t>+43312455522</t>
  </si>
  <si>
    <t>office@physiko-gratwein.at</t>
  </si>
  <si>
    <t>https://bilder.dasschnelle.at/DasSchnelle/50/5000/9883/061359/G_061359_P_906139603.adn.gif</t>
  </si>
  <si>
    <t>Chaos Hairconcept • Sankt Johann im Pongau • Salzburg</t>
  </si>
  <si>
    <t>Friseure • Chaos Hairconcept, Untere Hauptstraße 97, Sankt Johann im Pongau • Kontakt über aktuelle Telefonnummern ☎ und Adressen ⚑ mit Karte, Routing, Öffnungszeiten, Homepage, E-Mail, vCard und Firmendaten.</t>
  </si>
  <si>
    <t>Untere Hauptstraße 97</t>
  </si>
  <si>
    <t>47.34619</t>
  </si>
  <si>
    <t>13.19679</t>
  </si>
  <si>
    <t>+4364127577</t>
  </si>
  <si>
    <t>stjohann@chaos.at</t>
  </si>
  <si>
    <t>https://bilder.dasschnelle.at/DasSchnelle/50/5000/9919/043351/G_043351_P_906139605.adn.gif</t>
  </si>
  <si>
    <t>Judar Bernhard e.U. Dachdeckermeister • St. Aegyd am Neuwalde • Niederösterreich</t>
  </si>
  <si>
    <t>Dachdeckereien • Judar Bernhard e.U. Dachdeckermeister, Badweg 32, St. Aegyd am Neuwalde • Kontakt über aktuelle Telefonnummern ☎ und Adressen ⚑ mit Karte, Routing, Öffnungszeiten, Homepage, E-Mail, vCard und Firmendaten.</t>
  </si>
  <si>
    <t>Badweg 32</t>
  </si>
  <si>
    <t>47.8562800</t>
  </si>
  <si>
    <t>15.5735500</t>
  </si>
  <si>
    <t>+4327682363</t>
  </si>
  <si>
    <t>bernhard.judar@aon.at</t>
  </si>
  <si>
    <t>https://bilder.dasschnelle.at/DasSchnelle/50/5000/9906/041526/I_041526_P_906139609_L_0036000107_1.png</t>
  </si>
  <si>
    <t>https://bilder.dasschnelle.at/DasSchnelle/50/5000/9906/041526/I_041526_P_906139609_B_0036000107_1.gal.png?height=720&amp;width=405;https://bilder.dasschnelle.at/DasSchnelle/50/5000/9906/041526/I_041526_P_906139609_B_0036000107_2.gal.png?height=450&amp;width=600;https://bilder.dasschnelle.at/DasSchnelle/50/5000/9906/041526/I_041526_P_906139609_B_0036000107_3.gal.png?height=540&amp;width=720;https://bilder.dasschnelle.at/DasSchnelle/50/5000/9906/041526/I_041526_P_906139609_B_0036000107_4.gal.png?height=300&amp;width=400;https://bilder.dasschnelle.at/DasSchnelle/50/5000/9906/041526/G_041526_P_906139609.adn.gif</t>
  </si>
  <si>
    <t>Auer F GesmbH, Jalousien, Rolläden, Sonnenschutz • Maierhöfen • Niederösterreich</t>
  </si>
  <si>
    <t>Jalousien • Auer F GesmbH, Gölsentalstraße 120, Maierhöfen • Kontakt über aktuelle Telefonnummern ☎ und Adressen ⚑ mit Karte, Routing, Öffnungszeiten, Homepage, E-Mail, vCard und Firmendaten.</t>
  </si>
  <si>
    <t>Gölsentalstraße 120</t>
  </si>
  <si>
    <t>3161</t>
  </si>
  <si>
    <t>Maierhöfen</t>
  </si>
  <si>
    <t>48.05094</t>
  </si>
  <si>
    <t>15.63552</t>
  </si>
  <si>
    <t>+4327633509</t>
  </si>
  <si>
    <t>office@sonnenschutz-auer.at</t>
  </si>
  <si>
    <t>https://bilder.dasschnelle.at/DasSchnelle/50/5000/9906/041527/G_041527_P_906139611.adn.gif</t>
  </si>
  <si>
    <t>Pflegeheim Zerlach, Pflegeheim • Dörfla • Steiermark</t>
  </si>
  <si>
    <t>Pflege- u. Altenheime • Pflegeheim Zerlach, Dörfla • Kontakt über aktuelle Telefonnummern ☎ und Adressen ⚑ mit Karte, Routing, Öffnungszeiten, Homepage, E-Mail, vCard und Firmendaten.</t>
  </si>
  <si>
    <t>Dörfla</t>
  </si>
  <si>
    <t>46.9368675</t>
  </si>
  <si>
    <t>15.6731044</t>
  </si>
  <si>
    <t>+433116272750</t>
  </si>
  <si>
    <t>office@pflegeheim-zerlach.at</t>
  </si>
  <si>
    <t>https://bilder.dasschnelle.at/DasSchnelle/50/5000/9879/061352/I_061352_P_906140606_L_0036233260_1.png</t>
  </si>
  <si>
    <t>https://bilder.dasschnelle.at/DasSchnelle/50/5000/9879/061352/I_061352_P_906140606_B_0036233260_1.gal.png?height=450&amp;width=600;https://bilder.dasschnelle.at/DasSchnelle/50/5000/9879/061352/I_061352_P_906140606_B_0036233260_2.gal.png?height=401&amp;width=600;https://bilder.dasschnelle.at/DasSchnelle/50/5000/9879/061352/I_061352_P_906140606_B_0036233260_3.gal.png?height=450&amp;width=600;https://bilder.dasschnelle.at/DasSchnelle/50/5000/9879/061352/I_061352_P_906140606_B_0036233260_4.gal.png?height=387&amp;width=720;https://bilder.dasschnelle.at/DasSchnelle/50/5000/9879/061352/G_061352_P_906140606.adn.gif</t>
  </si>
  <si>
    <t>Wohnwerkstatt Hundsberger, Raumausstattung • Ottensheim • Oberösterreich</t>
  </si>
  <si>
    <t>Raumausstatter • Wohnwerkstatt Hundsberger, Linzer Straße 31, Ottensheim • Kontakt über aktuelle Telefonnummern ☎ und Adressen ⚑ mit Karte, Routing, Öffnungszeiten, Homepage, E-Mail, vCard und Firmendaten.</t>
  </si>
  <si>
    <t>Linzer Straße 31</t>
  </si>
  <si>
    <t>48.33358</t>
  </si>
  <si>
    <t>14.17969</t>
  </si>
  <si>
    <t>+43723482272</t>
  </si>
  <si>
    <t>info@hundsberger-raum.at</t>
  </si>
  <si>
    <t>https://bilder.dasschnelle.at/DasSchnelle/50/5000/9939/043056/G_043056_P_906139654.adn.gif</t>
  </si>
  <si>
    <t>Hemetsberger, Johann, Metallbau • Frankenburg am Hausruck • Oberösterreich</t>
  </si>
  <si>
    <t>Metallbau • Hemetsberger, Johann, Lessigen 19, Frankenburg am Hausruck • Kontakt über aktuelle Telefonnummern ☎ und Adressen ⚑ mit Karte, Routing, Öffnungszeiten, Homepage, E-Mail, vCard und Firmendaten.</t>
  </si>
  <si>
    <t>Lessigen 19</t>
  </si>
  <si>
    <t>48.0511180</t>
  </si>
  <si>
    <t>13.4838787</t>
  </si>
  <si>
    <t>+43768320627</t>
  </si>
  <si>
    <t>office@hemetsberger-metallbau.at</t>
  </si>
  <si>
    <t>https://bilder.dasschnelle.at/DasSchnelle/50/5000/9940/043075/G_043075_P_906141613.adn.gif</t>
  </si>
  <si>
    <t>Holzbau Dallago &amp; Zefferer GmbH • Mariazell • Steiermark</t>
  </si>
  <si>
    <t>Bauunternehmen • Holzbau Dallago &amp; Zefferer GmbH, Halltal 6, Mariazell • Kontakt über aktuelle Telefonnummern ☎ und Adressen ⚑ mit Karte, Routing, Öffnungszeiten, Homepage, E-Mail, vCard und Firmendaten.</t>
  </si>
  <si>
    <t>Halltal 6</t>
  </si>
  <si>
    <t>47.7724243</t>
  </si>
  <si>
    <t>15.3535806</t>
  </si>
  <si>
    <t>+4338823289</t>
  </si>
  <si>
    <t>holzbau@dallago-zefferer.at</t>
  </si>
  <si>
    <t>https://bilder.dasschnelle.at/DasSchnelle/50/5000/9906/061453/G_061453_P_906141615.adn.gif</t>
  </si>
  <si>
    <t>Dr. Bernhard Hartenthaler, Herz- und Lungenkrankheiten • Kammer • Oberösterreich</t>
  </si>
  <si>
    <t>Ärzte / Fachärzte f. Innere Medizin • Dr. Bernhard Hartenthaler, Hauptstraße 7 B, Kammer • Kontakt über aktuelle Telefonnummern ☎ und Adressen ⚑ mit Karte, Routing, Öffnungszeiten, Homepage, E-Mail, vCard und Firmendaten.</t>
  </si>
  <si>
    <t>+437662299890</t>
  </si>
  <si>
    <t>bernhard.hartenthaler@cabelvision.at</t>
  </si>
  <si>
    <t>https://bilder.dasschnelle.at/DasSchnelle/50/5000/9940/998342/G_998342_P_906141616.adn.gif</t>
  </si>
  <si>
    <t>SPS-Schlüsseldienst GmbH • Gmunden • Oberösterreich</t>
  </si>
  <si>
    <t>Aufsperrdienste • SPS-Schlüsseldienst GmbH, Druckereistraße 3 -30, Gmunden • Kontakt über aktuelle Telefonnummern ☎ und Adressen ⚑ mit Karte, Routing, Öffnungszeiten, Homepage, E-Mail, vCard und Firmendaten.</t>
  </si>
  <si>
    <t>Druckereistraße 3 -30</t>
  </si>
  <si>
    <t>+4366488871150</t>
  </si>
  <si>
    <t>office@sps-schluesseldienst.at</t>
  </si>
  <si>
    <t>https://bilder.dasschnelle.at/DasSchnelle/50/5000/9940/043555/G_043555_P_906141620.adn.gif</t>
  </si>
  <si>
    <t>Krejcza GmbH, Spenglerei • Gußwerk • Steiermark</t>
  </si>
  <si>
    <t>Spenglereien • Krejcza GmbH, Johannesplatz 3, Gußwerk • Kontakt über aktuelle Telefonnummern ☎ und Adressen ⚑ mit Karte, Routing, Öffnungszeiten, Homepage, E-Mail, vCard und Firmendaten.</t>
  </si>
  <si>
    <t>Johannesplatz 3</t>
  </si>
  <si>
    <t>47.74275</t>
  </si>
  <si>
    <t>15.30571</t>
  </si>
  <si>
    <t>+4338822132</t>
  </si>
  <si>
    <t>+4338824404</t>
  </si>
  <si>
    <t>spenglerei-krejcza@ready2web.net</t>
  </si>
  <si>
    <t>https://bilder.dasschnelle.at/DasSchnelle/50/5000/9906/061453/I_061453_P_906141625_L_0036000275_1.png</t>
  </si>
  <si>
    <t>https://bilder.dasschnelle.at/DasSchnelle/50/5000/9906/061453/I_061453_P_906141625_B_0036000275_1.gal.png?height=480&amp;width=720;https://bilder.dasschnelle.at/DasSchnelle/50/5000/9906/061453/I_061453_P_906141625_B_0036000275_2.gal.png?height=480&amp;width=720;https://bilder.dasschnelle.at/DasSchnelle/50/5000/9906/061453/I_061453_P_906141625_B_0036000275_3.gal.png?height=480&amp;width=720;https://bilder.dasschnelle.at/DasSchnelle/50/5000/9906/061453/I_061453_P_906141625_B_0036000275_4.gal.png?height=480&amp;width=720;https://bilder.dasschnelle.at/DasSchnelle/50/5000/9906/061453/G_061453_P_906141625.adn.gif</t>
  </si>
  <si>
    <t>Tairi, Zijadin, Pflasterungen • Attnang-Puchheim • Oberösterreich</t>
  </si>
  <si>
    <t>Pflaster u. Pflasterungen • Tairi, Zijadin, Johann Strauß-Gasse 11, Attnang-Puchheim • Kontakt über aktuelle Telefonnummern ☎ und Adressen ⚑ mit Karte, Routing, Öffnungszeiten, Homepage, E-Mail, vCard und Firmendaten.</t>
  </si>
  <si>
    <t>Johann Strauß-Gasse 11</t>
  </si>
  <si>
    <t>48.01336</t>
  </si>
  <si>
    <t>13.72921</t>
  </si>
  <si>
    <t>+436766037484</t>
  </si>
  <si>
    <t>zijadint@gmail.com</t>
  </si>
  <si>
    <t>https://bilder.dasschnelle.at/DasSchnelle/50/5000/9940/043069/I_043069_P_906141653_L_0037237264_1.png</t>
  </si>
  <si>
    <t>https://bilder.dasschnelle.at/DasSchnelle/50/5000/9940/043069/I_043069_P_906141653_B_0037237264_1.gal.png?height=720&amp;width=545;https://bilder.dasschnelle.at/DasSchnelle/50/5000/9940/043069/I_043069_P_906141653_B_0037237264_2.gal.png?height=406&amp;width=544;https://bilder.dasschnelle.at/DasSchnelle/50/5000/9940/043069/I_043069_P_906141653_B_0037237264_3.gal.png?height=474&amp;width=720;https://bilder.dasschnelle.at/DasSchnelle/50/5000/9940/043069/I_043069_P_906141653_B_0037237264_4.gal.png?height=408&amp;width=542</t>
  </si>
  <si>
    <t>Katterl Autohaus KG • Gampern • Oberösterreich</t>
  </si>
  <si>
    <t>Autohandel • Katterl Autohaus KG, Witzling 23, Gampern • Kontakt über aktuelle Telefonnummern ☎ und Adressen ⚑ mit Karte, Routing, Öffnungszeiten, Homepage, E-Mail, vCard und Firmendaten.</t>
  </si>
  <si>
    <t>Witzling 23</t>
  </si>
  <si>
    <t>47.9953125</t>
  </si>
  <si>
    <t>13.5463012</t>
  </si>
  <si>
    <t>+4376828006</t>
  </si>
  <si>
    <t>+437682800619</t>
  </si>
  <si>
    <t>authohaus@katterl.at</t>
  </si>
  <si>
    <t>https://bilder.dasschnelle.at/DasSchnelle/50/5000/9940/043077/G_043077_P_906141659.adn.gif</t>
  </si>
  <si>
    <t>Wurzinger Paula • Tulln • Niederösterreich</t>
  </si>
  <si>
    <t>Pflegedienste • Wurzinger Paula, Ottokargasse 11/1, Tulln • Kontakt über aktuelle Telefonnummern ☎ und Adressen ⚑ mit Karte, Routing, Öffnungszeiten, Homepage, E-Mail, vCard und Firmendaten.</t>
  </si>
  <si>
    <t>Ottokargasse 11/1</t>
  </si>
  <si>
    <t>Tulln</t>
  </si>
  <si>
    <t>48.3263023</t>
  </si>
  <si>
    <t>16.0713265</t>
  </si>
  <si>
    <t>+4367764098938</t>
  </si>
  <si>
    <t>paula@wundundpflege.at</t>
  </si>
  <si>
    <t>Gassner, Ronald, Ing., Natursteine • Haag • Niederösterreich</t>
  </si>
  <si>
    <t>Steinmetzbetriebe • Gassner, Ronald, Ing., Steyrer Straße 47, Haag • Kontakt über aktuelle Telefonnummern ☎ und Adressen ⚑ mit Karte, Routing, Öffnungszeiten, Homepage, E-Mail, vCard und Firmendaten.</t>
  </si>
  <si>
    <t>Steyrer Straße 47</t>
  </si>
  <si>
    <t>48.09565</t>
  </si>
  <si>
    <t>14.5358</t>
  </si>
  <si>
    <t>+436765051911</t>
  </si>
  <si>
    <t>office@naturstein-gassner.at</t>
  </si>
  <si>
    <t>https://bilder.dasschnelle.at/DasSchnelle/50/5000/9924/041691/G_041691_P_906142357.adn.gif</t>
  </si>
  <si>
    <t>Fohrenburg s'Fäscht GmbH, Getränke • Pettneu • Vorarlberg</t>
  </si>
  <si>
    <t>Partyservice • Fohrenburg s'Fäscht GmbH, Schnann 155, Pettneu • Kontakt über aktuelle Telefonnummern ☎ und Adressen ⚑ mit Karte, Routing, Öffnungszeiten, Homepage, E-Mail, vCard und Firmendaten.</t>
  </si>
  <si>
    <t>Schnann 155</t>
  </si>
  <si>
    <t>Pettneu</t>
  </si>
  <si>
    <t>47.35814</t>
  </si>
  <si>
    <t>9.6182</t>
  </si>
  <si>
    <t>+43544751070</t>
  </si>
  <si>
    <t>info@sfaescht.com</t>
  </si>
  <si>
    <t>https://bilder.dasschnelle.at/DasSchnelle/50/5000/9903/044586/G_044586_P_906142359.adn.gif</t>
  </si>
  <si>
    <t>Tobias Tumfahrt • Traberg • Oberösterreich</t>
  </si>
  <si>
    <t>Garten- u. Landschaftspflege • Tobias Tumfahrt, Unterwaldschlag 37, Traberg • Kontakt über aktuelle Telefonnummern ☎ und Adressen ⚑ mit Karte, Routing, Öffnungszeiten, Homepage, E-Mail, vCard und Firmendaten.</t>
  </si>
  <si>
    <t>Unterwaldschlag 37</t>
  </si>
  <si>
    <t>4183</t>
  </si>
  <si>
    <t>Traberg</t>
  </si>
  <si>
    <t>48.4953500</t>
  </si>
  <si>
    <t>14.2253600</t>
  </si>
  <si>
    <t>+4372188007</t>
  </si>
  <si>
    <t>tobias@tumfart.at</t>
  </si>
  <si>
    <t>https://bilder.dasschnelle.at/DasSchnelle/50/5000/9939/043054/G_043054_P_906141831.adn.gif</t>
  </si>
  <si>
    <t>Steffl, Gerhard, Baggerunternehmen • Bad Leonfelden • Oberösterreich</t>
  </si>
  <si>
    <t>Baggerungen u. Transporte • Steffl, Gerhard, Dietrichschlag 15, Bad Leonfelden • Kontakt über aktuelle Telefonnummern ☎ und Adressen ⚑ mit Karte, Routing, Öffnungszeiten, Homepage, E-Mail, vCard und Firmendaten.</t>
  </si>
  <si>
    <t>Dietrichschlag 15</t>
  </si>
  <si>
    <t>48.4964316</t>
  </si>
  <si>
    <t>14.2823283</t>
  </si>
  <si>
    <t>+436605272331</t>
  </si>
  <si>
    <t>steffl@stefflbagger.at</t>
  </si>
  <si>
    <t>https://bilder.dasschnelle.at/DasSchnelle/50/5000/9939/042828/G_042828_P_906142362.adn.gif</t>
  </si>
  <si>
    <t>Kollar GmbH, Sanitäranlagen u -einrichtungen • Dörfl • Niederösterreich</t>
  </si>
  <si>
    <t>Sanitäranlagen u. -einrichtungen, Spenglereien • Kollar GmbH, Utzgasse 4, Dörfl • Kontakt über aktuelle Telefonnummern ☎ und Adressen ⚑ mit Karte, Routing, Öffnungszeiten, Homepage, E-Mail, vCard und Firmendaten.</t>
  </si>
  <si>
    <t>Utzgasse 4</t>
  </si>
  <si>
    <t>48.01726</t>
  </si>
  <si>
    <t>15.59781</t>
  </si>
  <si>
    <t>+432762522760;+432762524760</t>
  </si>
  <si>
    <t>office@kollar.at</t>
  </si>
  <si>
    <t>https://bilder.dasschnelle.at/DasSchnelle/50/5000/9906/041522/G_041522_P_906142366.adn.gif</t>
  </si>
  <si>
    <t>Türkoglu &amp; Toprakci OG, Malerei • Hainfeld • Niederösterreich</t>
  </si>
  <si>
    <t>Malereibetriebe • Türkoglu &amp; Toprakci OG, Traisner Straße 31, Hainfeld • Kontakt über aktuelle Telefonnummern ☎ und Adressen ⚑ mit Karte, Routing, Öffnungszeiten, Homepage, E-Mail, vCard und Firmendaten.</t>
  </si>
  <si>
    <t>Traisner Straße 31</t>
  </si>
  <si>
    <t>48.0408600</t>
  </si>
  <si>
    <t>15.7490500</t>
  </si>
  <si>
    <t>+43276467825</t>
  </si>
  <si>
    <t>malereiemre@hotmail.com</t>
  </si>
  <si>
    <t>https://bilder.dasschnelle.at/DasSchnelle/50/5000/9906/041518/G_041518_P_906142369.adn.gif</t>
  </si>
  <si>
    <t>KE-WE Bau Bauunternehmung GmbH, Bauunternehmen • Unterdorf • Salzburg</t>
  </si>
  <si>
    <t>Bauunternehmen • KE-WE Bau Bauunternehmung GmbH, Salzburger Straße 82, Unterdorf • Kontakt über aktuelle Telefonnummern ☎ und Adressen ⚑ mit Karte, Routing, Öffnungszeiten, Homepage, E-Mail, vCard und Firmendaten.</t>
  </si>
  <si>
    <t>Salzburger Straße 82</t>
  </si>
  <si>
    <t>Unterdorf</t>
  </si>
  <si>
    <t>47.84734</t>
  </si>
  <si>
    <t>13.22382</t>
  </si>
  <si>
    <t>+436645236867</t>
  </si>
  <si>
    <t>office@kw-we-bau.at</t>
  </si>
  <si>
    <t>https://bilder.dasschnelle.at/DasSchnelle/50/5000/9909/043331/G_043331_P_906142457.adn.gif</t>
  </si>
  <si>
    <t>Sieber, Johann, Schottergewinnung • Türnitz • Niederösterreich</t>
  </si>
  <si>
    <t>Sand u. Schotter • Sieber, Johann, Traisenbachstraße 28, Türnitz • Kontakt über aktuelle Telefonnummern ☎ und Adressen ⚑ mit Karte, Routing, Öffnungszeiten, Homepage, E-Mail, vCard und Firmendaten.</t>
  </si>
  <si>
    <t>Traisenbachstraße 28</t>
  </si>
  <si>
    <t>47.91471</t>
  </si>
  <si>
    <t>15.47993</t>
  </si>
  <si>
    <t>+4327698393</t>
  </si>
  <si>
    <t>https://bilder.dasschnelle.at/DasSchnelle/50/5000/9906/041529/G_041529_P_906143358.adn.gif</t>
  </si>
  <si>
    <t>Expert Thaller GmbH, Elektrohandel • Attnang • Oberösterreich</t>
  </si>
  <si>
    <t>Elektrohandel • Expert Thaller GmbH, Rathausplatz 1, Attnang • Kontakt über aktuelle Telefonnummern ☎ und Adressen ⚑ mit Karte, Routing, Öffnungszeiten, Homepage, E-Mail, vCard und Firmendaten.</t>
  </si>
  <si>
    <t>Rathausplatz 1</t>
  </si>
  <si>
    <t>Attnang</t>
  </si>
  <si>
    <t>48.01082</t>
  </si>
  <si>
    <t>13.72105</t>
  </si>
  <si>
    <t>+4376746222150</t>
  </si>
  <si>
    <t>schoebinger@expert-thaller.at</t>
  </si>
  <si>
    <t>https://bilder.dasschnelle.at/DasSchnelle/50/5000/9940/043069/G_043069_P_906141869.adn.gif</t>
  </si>
  <si>
    <t>Gimbel, Harald, Malerei • Ampflwang • Oberösterreich</t>
  </si>
  <si>
    <t>Malereibetriebe • Gimbel, Harald, Ort 55, Ampflwang • Kontakt über aktuelle Telefonnummern ☎ und Adressen ⚑ mit Karte, Routing, Öffnungszeiten, Homepage, E-Mail, vCard und Firmendaten.</t>
  </si>
  <si>
    <t>Ort 55</t>
  </si>
  <si>
    <t>48.0805612</t>
  </si>
  <si>
    <t>13.5667501</t>
  </si>
  <si>
    <t>+436644616247</t>
  </si>
  <si>
    <t>gimbel@aon.at</t>
  </si>
  <si>
    <t>https://bilder.dasschnelle.at/DasSchnelle/50/5000/9940/043067/I_043067_P_906143363_L_0038458316_1.png</t>
  </si>
  <si>
    <t>https://bilder.dasschnelle.at/DasSchnelle/50/5000/9940/043067/I_043067_P_906143363_B_0038458316_1.gal.png?height=324&amp;width=720;https://bilder.dasschnelle.at/DasSchnelle/50/5000/9940/043067/I_043067_P_906143363_B_0038458316_2.gal.png?height=324&amp;width=720;https://bilder.dasschnelle.at/DasSchnelle/50/5000/9940/043067/I_043067_P_906143363_B_0038458316_3.gal.png?height=479&amp;width=720;https://bilder.dasschnelle.at/DasSchnelle/50/5000/9940/043067/I_043067_P_906143363_B_0038458316_4.gal.png?height=479&amp;width=720</t>
  </si>
  <si>
    <t>Austaller Brennstoffe GmbH, Brennstoffhandel • Gaßl • Oberösterreich</t>
  </si>
  <si>
    <t>Brennstoffhandel • Austaller Brennstoffe GmbH, Goldregenstraße 4, Gaßl • Kontakt über aktuelle Telefonnummern ☎ und Adressen ⚑ mit Karte, Routing, Öffnungszeiten, Homepage, E-Mail, vCard und Firmendaten.</t>
  </si>
  <si>
    <t>Goldregenstraße 4</t>
  </si>
  <si>
    <t>Gaßl</t>
  </si>
  <si>
    <t>48.1498</t>
  </si>
  <si>
    <t>13.97724</t>
  </si>
  <si>
    <t>+437242470270</t>
  </si>
  <si>
    <t>austaller@liwest.at</t>
  </si>
  <si>
    <t>https://bilder.dasschnelle.at/DasSchnelle/50/5000/9945/044547/G_044547_P_906144505.adn.gif</t>
  </si>
  <si>
    <t>Polarbär GmbH, Kälte - Klima - Wärmepumpen • Wolfsberg • Kärnten</t>
  </si>
  <si>
    <t>Kältetechnik • Polarbär GmbH, Redinger Straße 2, Wolfsberg • Kontakt über aktuelle Telefonnummern ☎ und Adressen ⚑ mit Karte, Routing, Öffnungszeiten, Homepage, E-Mail, vCard und Firmendaten.</t>
  </si>
  <si>
    <t>Redinger Straße 2</t>
  </si>
  <si>
    <t>46.82009</t>
  </si>
  <si>
    <t>14.84213</t>
  </si>
  <si>
    <t>+43435236406</t>
  </si>
  <si>
    <t>office@polarbaer.at</t>
  </si>
  <si>
    <t>https://bilder.dasschnelle.at/DasSchnelle/50/5000/9949/042046/I_042046_P_906144629_L_0036233071_1.png</t>
  </si>
  <si>
    <t>https://bilder.dasschnelle.at/DasSchnelle/50/5000/9949/042046/I_042046_P_906144629_B_0036233071_1.gal.png?height=540&amp;width=720;https://bilder.dasschnelle.at/DasSchnelle/50/5000/9949/042046/I_042046_P_906144629_B_0036233071_2.gal.png?height=480&amp;width=720;https://bilder.dasschnelle.at/DasSchnelle/50/5000/9949/042046/I_042046_P_906144629_B_0036233071_3.gal.png?height=540&amp;width=720;https://bilder.dasschnelle.at/DasSchnelle/50/5000/9949/042046/I_042046_P_906144629_B_0036233071_4.gal.png?height=480&amp;width=720</t>
  </si>
  <si>
    <t>Cafe - Restaurant Badido • Bad St. Leonhard im Lavanttal • Kärnten</t>
  </si>
  <si>
    <t>Cafés, Gastgewerbe - Gasthöfe • Cafe - Restaurant Badido, Klagenfurterstraße 230, Bad St. Leonhard im Lavanttal • Kontakt über aktuelle Telefonnummern ☎ und Adressen ⚑ mit Karte, Routing, Öffnungszeiten, Homepage, E-Mail, vCard und Firmendaten.</t>
  </si>
  <si>
    <t>Klagenfurterstraße 230</t>
  </si>
  <si>
    <t>9462</t>
  </si>
  <si>
    <t>Bad St. Leonhard im Lavanttal</t>
  </si>
  <si>
    <t>46.9617309</t>
  </si>
  <si>
    <t>14.7954615</t>
  </si>
  <si>
    <t>+4343502361</t>
  </si>
  <si>
    <t>badido@gmx.at</t>
  </si>
  <si>
    <t>https://bilder.dasschnelle.at/DasSchnelle/50/5000/9949/042038/G_042038_P_906144507.adn.gif</t>
  </si>
  <si>
    <t>Kreuz, Uwe, Malerei • Bergerndorf • Oberösterreich</t>
  </si>
  <si>
    <t>Malereibetriebe • Kreuz, Uwe, Am Thalbach 20, Bergerndorf • Kontakt über aktuelle Telefonnummern ☎ und Adressen ⚑ mit Karte, Routing, Öffnungszeiten, Homepage, E-Mail, vCard und Firmendaten.</t>
  </si>
  <si>
    <t>Am Thalbach 20</t>
  </si>
  <si>
    <t>Bergerndorf</t>
  </si>
  <si>
    <t>48.13945</t>
  </si>
  <si>
    <t>14.04517</t>
  </si>
  <si>
    <t>+43724266027;+4369918281853;+4369918281873</t>
  </si>
  <si>
    <t>office@malerkreuz.at</t>
  </si>
  <si>
    <t>https://bilder.dasschnelle.at/DasSchnelle/50/5000/9945/043584/I_043584_P_906144522_B_0036006374_1.gal.png?height=439&amp;width=600;https://bilder.dasschnelle.at/DasSchnelle/50/5000/9945/043584/I_043584_P_906144522_B_0036006374_2.gal.png?height=443&amp;width=600;https://bilder.dasschnelle.at/DasSchnelle/50/5000/9945/043584/I_043584_P_906144522_B_0036006374_3.gal.png?height=449&amp;width=600;https://bilder.dasschnelle.at/DasSchnelle/50/5000/9945/043584/I_043584_P_906144522_B_0036006374_4.gal.png?height=443&amp;width=600</t>
  </si>
  <si>
    <t>Keuschnigg, Jürgen Alois, Feuerwerkskörper • St. Stefan • Kärnten</t>
  </si>
  <si>
    <t>Feuerwerksartikel u. Feuerwerke • Keuschnigg, Jürgen Alois, Südweg 10, St. Stefan • Kontakt über aktuelle Telefonnummern ☎ und Adressen ⚑ mit Karte, Routing, Öffnungszeiten, Homepage, E-Mail, vCard und Firmendaten.</t>
  </si>
  <si>
    <t>Südweg 10</t>
  </si>
  <si>
    <t>46.80477</t>
  </si>
  <si>
    <t>14.84701</t>
  </si>
  <si>
    <t>+436764237245;+436649205383;+436649205389;+436764237245</t>
  </si>
  <si>
    <t>feuerwerke.keuschnigg@gmail.com</t>
  </si>
  <si>
    <t>https://bilder.dasschnelle.at/DasSchnelle/50/5000/9949/042046/G_042046_P_906144517.adn.gif</t>
  </si>
  <si>
    <t>Gudrun's Blumenecke • Bad St. Leonhard im Lavanttal • Kärnten</t>
  </si>
  <si>
    <t>Blumenhandel • Gudrun's Blumenecke, Klagenfurterstraße 230, Bad St. Leonhard im Lavanttal • Kontakt über aktuelle Telefonnummern ☎ und Adressen ⚑ mit Karte, Routing, Öffnungszeiten, Homepage, E-Mail, vCard und Firmendaten.</t>
  </si>
  <si>
    <t>+43435033364</t>
  </si>
  <si>
    <t>https://bilder.dasschnelle.at/DasSchnelle/50/5000/9949/042038/G_042038_P_906144551.adn.gif</t>
  </si>
  <si>
    <t>Puschmann Gebrüder GesmbH &amp; Co KG, Dachdeckerei • Wels • Oberösterreich</t>
  </si>
  <si>
    <t>Dachdeckereien, Spenglereien • Puschmann Gebrüder GesmbH &amp; Co KG, Kaiser-Josef-Platz 44, Wels • Kontakt über aktuelle Telefonnummern ☎ und Adressen ⚑ mit Karte, Routing, Öffnungszeiten, Homepage, E-Mail, vCard und Firmendaten.</t>
  </si>
  <si>
    <t>Kaiser-Josef-Platz 44</t>
  </si>
  <si>
    <t>48.15944</t>
  </si>
  <si>
    <t>14.0227</t>
  </si>
  <si>
    <t>+43724247626;+4369917001670;+4369917001671</t>
  </si>
  <si>
    <t>+4372424762677</t>
  </si>
  <si>
    <t>dach@puschmann.at</t>
  </si>
  <si>
    <t>https://bilder.dasschnelle.at/DasSchnelle/50/5000/9945/044547/I_044547_P_906144561_L_0036006322_1.png</t>
  </si>
  <si>
    <t>https://bilder.dasschnelle.at/DasSchnelle/50/5000/9945/044547/I_044547_P_906144561_B_0036006322_1.gal.png?height=477&amp;width=720;https://bilder.dasschnelle.at/DasSchnelle/50/5000/9945/044547/I_044547_P_906144561_B_0036006322_2.gal.png?height=540&amp;width=720;https://bilder.dasschnelle.at/DasSchnelle/50/5000/9945/044547/I_044547_P_906144561_B_0036006322_3.gal.png?height=479&amp;width=720;https://bilder.dasschnelle.at/DasSchnelle/50/5000/9945/044547/I_044547_P_906144561_B_0036006322_4.gal.png?height=436&amp;width=720</t>
  </si>
  <si>
    <t>Maier - Streicher, Sonja, Fusspflege • Bad St. Leonhard im Lavanttal • Kärnten</t>
  </si>
  <si>
    <t>Fußpflege, Nageldesign • Maier - Streicher, Sonja, Klagenfurterstraße 230, Bad St. Leonhard im Lavanttal • Kontakt über aktuelle Telefonnummern ☎ und Adressen ⚑ mit Karte, Routing, Öffnungszeiten, Homepage, E-Mail, vCard und Firmendaten.</t>
  </si>
  <si>
    <t>+436642160875</t>
  </si>
  <si>
    <t>sonja.nagelstudio@gmx.at</t>
  </si>
  <si>
    <t>https://bilder.dasschnelle.at/DasSchnelle/50/5000/9949/042038/G_042038_P_906144553.adn.gif</t>
  </si>
  <si>
    <t>Joham Installationen GmbH • Wolfsberg • Kärnten</t>
  </si>
  <si>
    <t>Installationsunternehmen • Joham Installationen GmbH, Paracelsusweg 2, Wolfsberg • Kontakt über aktuelle Telefonnummern ☎ und Adressen ⚑ mit Karte, Routing, Öffnungszeiten, Homepage, E-Mail, vCard und Firmendaten.</t>
  </si>
  <si>
    <t>Paracelsusweg 2</t>
  </si>
  <si>
    <t>46.83135</t>
  </si>
  <si>
    <t>14.84844</t>
  </si>
  <si>
    <t>+43435230710</t>
  </si>
  <si>
    <t>office@installationen-joham.at</t>
  </si>
  <si>
    <t>https://bilder.dasschnelle.at/DasSchnelle/50/5000/9949/042046/G_042046_P_906144566.adn.gif</t>
  </si>
  <si>
    <t>Autohaus Pirker GmbH • Wolfsberg • Kärnten</t>
  </si>
  <si>
    <t>Autohandel, Autoreparaturen • Autohaus Pirker GmbH, Ziegeleistraße 6, Wolfsberg • Kontakt über aktuelle Telefonnummern ☎ und Adressen ⚑ mit Karte, Routing, Öffnungszeiten, Homepage, E-Mail, vCard und Firmendaten.</t>
  </si>
  <si>
    <t>Ziegeleistraße 6</t>
  </si>
  <si>
    <t>46.819</t>
  </si>
  <si>
    <t>14.83863</t>
  </si>
  <si>
    <t>+4343523898;+436602161652;+436642071219;+4366488500580;+436649240807</t>
  </si>
  <si>
    <t>office@autohaus-pirker.at</t>
  </si>
  <si>
    <t>https://bilder.dasschnelle.at/DasSchnelle/50/5000/9949/042046/I_042046_P_906144576_L_0036177548_1.png</t>
  </si>
  <si>
    <t>https://bilder.dasschnelle.at/DasSchnelle/50/5000/9949/042046/I_042046_P_906144576_B_0036177548_1.gal.png?height=326&amp;width=720;https://bilder.dasschnelle.at/DasSchnelle/50/5000/9949/042046/I_042046_P_906144576_B_0036177548_2.gal.png?height=500&amp;width=720;https://bilder.dasschnelle.at/DasSchnelle/50/5000/9949/042046/I_042046_P_906144576_B_0036177548_3.gal.png?height=325&amp;width=720;https://bilder.dasschnelle.at/DasSchnelle/50/5000/9949/042046/I_042046_P_906144576_B_0036177548_4.gal.png?height=473&amp;width=720</t>
  </si>
  <si>
    <t>Nagler-Holz GmbH &amp; Co KG, Holzhandel • Alberndorf • Oberösterreich</t>
  </si>
  <si>
    <t>Holzfachmärkte • Nagler-Holz GmbH &amp; Co KG, Riedegg 37, Alberndorf • Kontakt über aktuelle Telefonnummern ☎ und Adressen ⚑ mit Karte, Routing, Öffnungszeiten, Homepage, E-Mail, vCard und Firmendaten.</t>
  </si>
  <si>
    <t>Riedegg 37</t>
  </si>
  <si>
    <t>4211</t>
  </si>
  <si>
    <t>Alberndorf</t>
  </si>
  <si>
    <t>48.3714069</t>
  </si>
  <si>
    <t>14.4027991</t>
  </si>
  <si>
    <t>+437235622290;+436643831388;+4366473076704;+4366473417050</t>
  </si>
  <si>
    <t>+437235622294</t>
  </si>
  <si>
    <t>office@nagler-holz.at</t>
  </si>
  <si>
    <t>https://bilder.dasschnelle.at/DasSchnelle/50/5000/9939/042826/I_042826_P_906144590_L_0036000343_1.png</t>
  </si>
  <si>
    <t>https://bilder.dasschnelle.at/DasSchnelle/50/5000/9939/042826/I_042826_P_906144590_B_0036000343_1.gal.png?height=863&amp;width=1183;https://bilder.dasschnelle.at/DasSchnelle/50/5000/9939/042826/I_042826_P_906144590_B_0036000343_2.gal.png?height=569&amp;width=831;https://bilder.dasschnelle.at/DasSchnelle/50/5000/9939/042826/I_042826_P_906144590_B_0036000343_3.gal.png?height=570&amp;width=831;https://bilder.dasschnelle.at/DasSchnelle/50/5000/9939/042826/I_042826_P_906144590_B_0036000343_4.gal.png?height=442&amp;width=860</t>
  </si>
  <si>
    <t>Gasthof Franzbauer, Gasthof • Gußwerk • Steiermark</t>
  </si>
  <si>
    <t>Gastgewerbe - Gasthöfe • Gasthof Franzbauer, Salzatal 15, Gußwerk • Kontakt über aktuelle Telefonnummern ☎ und Adressen ⚑ mit Karte, Routing, Öffnungszeiten, Homepage, E-Mail, vCard und Firmendaten.</t>
  </si>
  <si>
    <t>Salzatal 15</t>
  </si>
  <si>
    <t>47.71866</t>
  </si>
  <si>
    <t>15.25114</t>
  </si>
  <si>
    <t>+433885209</t>
  </si>
  <si>
    <t>gasthof.franzbauer@aon.at</t>
  </si>
  <si>
    <t>https://bilder.dasschnelle.at/DasSchnelle/50/5000/9906/061453/G_061453_P_906145334.adn.gif</t>
  </si>
  <si>
    <t>Steiner, Günther, Lebensmittel • Sankt Sebastian • Steiermark</t>
  </si>
  <si>
    <t>Lebensmittel • Steiner, Günther, Bundesstraße 20, Sankt Sebastian • Kontakt über aktuelle Telefonnummern ☎ und Adressen ⚑ mit Karte, Routing, Öffnungszeiten, Homepage, E-Mail, vCard und Firmendaten.</t>
  </si>
  <si>
    <t>Bundesstraße 20</t>
  </si>
  <si>
    <t>Sankt Sebastian</t>
  </si>
  <si>
    <t>47.7741627</t>
  </si>
  <si>
    <t>15.3152423</t>
  </si>
  <si>
    <t>+4338824041</t>
  </si>
  <si>
    <t>eh40523@sparmarkt.at</t>
  </si>
  <si>
    <t>https://bilder.dasschnelle.at/DasSchnelle/50/5000/9906/061453/G_061453_P_906145338.adn.gif</t>
  </si>
  <si>
    <t>Holzbau Zimmerei Daxelberger Bau GmbH, Zimmereien • Hohenberg • Niederösterreich</t>
  </si>
  <si>
    <t>Zimmereien • Holzbau Zimmerei Daxelberger Bau GmbH, Wegetal 8, Hohenberg • Kontakt über aktuelle Telefonnummern ☎ und Adressen ⚑ mit Karte, Routing, Öffnungszeiten, Homepage, E-Mail, vCard und Firmendaten.</t>
  </si>
  <si>
    <t>Wegetal 8</t>
  </si>
  <si>
    <t>47.88809</t>
  </si>
  <si>
    <t>15.6</t>
  </si>
  <si>
    <t>+4327678241</t>
  </si>
  <si>
    <t>+4327677389</t>
  </si>
  <si>
    <t>office@daxelberger.at</t>
  </si>
  <si>
    <t>https://bilder.dasschnelle.at/DasSchnelle/50/5000/9906/041519/G_041519_P_906145344.adn.gif</t>
  </si>
  <si>
    <t>Traunmüller Johannes e.U., Fleischerei • Altenberg bei Linz • Oberösterreich</t>
  </si>
  <si>
    <t>Fleischhauereien • Traunmüller Johannes e.U., Schmiedgasse 2, Altenberg bei Linz • Kontakt über aktuelle Telefonnummern ☎ und Adressen ⚑ mit Karte, Routing, Öffnungszeiten, Homepage, E-Mail, vCard und Firmendaten.</t>
  </si>
  <si>
    <t>Schmiedgasse 2</t>
  </si>
  <si>
    <t>48.3734800</t>
  </si>
  <si>
    <t>14.3493800</t>
  </si>
  <si>
    <t>+4372307224</t>
  </si>
  <si>
    <t>fleischerei@traunmueller.cc</t>
  </si>
  <si>
    <t>https://bilder.dasschnelle.at/DasSchnelle/50/5000/9939/042827/G_042827_P_906145347.adn.gif</t>
  </si>
  <si>
    <t>Auto Dohr c.u.b. G.m.b.H • Wolfsberg • Kärnten</t>
  </si>
  <si>
    <t>Autohandel, Autoreparaturen • Auto Dohr c.u.b. G.m.b.H, Allgäu 32, Wolfsberg • Kontakt über aktuelle Telefonnummern ☎ und Adressen ⚑ mit Karte, Routing, Öffnungszeiten, Homepage, E-Mail, vCard und Firmendaten.</t>
  </si>
  <si>
    <t>Allgäu 32</t>
  </si>
  <si>
    <t>46.84474</t>
  </si>
  <si>
    <t>14.84432</t>
  </si>
  <si>
    <t>+43435243910</t>
  </si>
  <si>
    <t>office@dohr.at</t>
  </si>
  <si>
    <t>https://bilder.dasschnelle.at/DasSchnelle/50/5000/9949/042046/G_042046_P_906145349.adn.gif</t>
  </si>
  <si>
    <t>Ruthardt, Sabrina, Rasenmäher • Wolfsberg • Kärnten</t>
  </si>
  <si>
    <t>Rasenmäherhandel • Ruthardt, Sabrina, St. Thomaser Straße 12, Wolfsberg • Kontakt über aktuelle Telefonnummern ☎ und Adressen ⚑ mit Karte, Routing, Öffnungszeiten, Homepage, E-Mail, vCard und Firmendaten.</t>
  </si>
  <si>
    <t>St. Thomaser Straße 12</t>
  </si>
  <si>
    <t>46.83256</t>
  </si>
  <si>
    <t>14.83724</t>
  </si>
  <si>
    <t>+43435261588</t>
  </si>
  <si>
    <t>office@ruthard.biz</t>
  </si>
  <si>
    <t>https://bilder.dasschnelle.at/DasSchnelle/50/5000/9949/042046/G_042046_P_906145526.adn.gif</t>
  </si>
  <si>
    <t>Edinger, Regina, Friseure • Arbesbach • Niederösterreich</t>
  </si>
  <si>
    <t>Friseure • Edinger, Regina, Kamp 4, Arbesbach • Kontakt über aktuelle Telefonnummern ☎ und Adressen ⚑ mit Karte, Routing, Öffnungszeiten, Homepage, E-Mail, vCard und Firmendaten.</t>
  </si>
  <si>
    <t>Kamp 4</t>
  </si>
  <si>
    <t>48.5020719</t>
  </si>
  <si>
    <t>14.9598463</t>
  </si>
  <si>
    <t>+436767539049</t>
  </si>
  <si>
    <t>regina.edinger@a1.net</t>
  </si>
  <si>
    <t>https://bilder.dasschnelle.at/DasSchnelle/50/5000/9950/044523/I_044523_P_906145528_L_0038003991_1.png</t>
  </si>
  <si>
    <t>https://bilder.dasschnelle.at/DasSchnelle/50/5000/9950/044523/I_044523_P_906145528_B_0038003991_1.gal.png?height=366&amp;width=720;https://bilder.dasschnelle.at/DasSchnelle/50/5000/9950/044523/I_044523_P_906145528_B_0038003991_2.gal.png?height=720&amp;width=625;https://bilder.dasschnelle.at/DasSchnelle/50/5000/9950/044523/I_044523_P_906145528_B_0038003991_3.gal.png?height=523&amp;width=720</t>
  </si>
  <si>
    <t>F1 Fahrscool, Fahrschulen • Landeck • Tirol</t>
  </si>
  <si>
    <t>Fahrschulen • F1 Fahrscool, Malserstraße 74, Landeck • Kontakt über aktuelle Telefonnummern ☎ und Adressen ⚑ mit Karte, Routing, Öffnungszeiten, Homepage, E-Mail, vCard und Firmendaten.</t>
  </si>
  <si>
    <t>Malserstraße 74</t>
  </si>
  <si>
    <t>47.14132</t>
  </si>
  <si>
    <t>10.56727</t>
  </si>
  <si>
    <t>+43544266711</t>
  </si>
  <si>
    <t>info@ff1.at</t>
  </si>
  <si>
    <t>https://bilder.dasschnelle.at/DasSchnelle/50/5000/9903/044584/G_044584_P_906144243.adn.gif</t>
  </si>
  <si>
    <t>Winkler Reinhard Steinmetzmeister GmbH • Wels • Oberösterreich</t>
  </si>
  <si>
    <t>Steinmetzbetriebe • Winkler Reinhard Steinmetzmeister GmbH, Anzengruberstraße 7, Wels • Kontakt über aktuelle Telefonnummern ☎ und Adressen ⚑ mit Karte, Routing, Öffnungszeiten, Homepage, E-Mail, vCard und Firmendaten.</t>
  </si>
  <si>
    <t>Anzengruberstraße 7</t>
  </si>
  <si>
    <t>48.16321</t>
  </si>
  <si>
    <t>14.02308</t>
  </si>
  <si>
    <t>+437242427430;+4372424274323</t>
  </si>
  <si>
    <t>winkler@winkler-stein.at</t>
  </si>
  <si>
    <t>https://bilder.dasschnelle.at/DasSchnelle/50/5000/9945/044547/I_044547_P_906144248_B_0036006265_1.gal.png?height=388&amp;width=459;https://bilder.dasschnelle.at/DasSchnelle/50/5000/9945/044547/I_044547_P_906144248_B_0036006265_2.gal.png?height=391&amp;width=450;https://bilder.dasschnelle.at/DasSchnelle/50/5000/9945/044547/I_044547_P_906144248_B_0036006265_3.gal.png?height=391&amp;width=452;https://bilder.dasschnelle.at/DasSchnelle/50/5000/9945/044547/G_044547_P_906144248.adn.gif</t>
  </si>
  <si>
    <t>Funktaxi 234 GmbH • Wels • Oberösterreich</t>
  </si>
  <si>
    <t>Taxi • Funktaxi 234 GmbH, Eisenhowerstraße 40, Wels • Kontakt über aktuelle Telefonnummern ☎ und Adressen ⚑ mit Karte, Routing, Öffnungszeiten, Homepage, E-Mail, vCard und Firmendaten.</t>
  </si>
  <si>
    <t>Eisenhowerstraße 40</t>
  </si>
  <si>
    <t>48.16137</t>
  </si>
  <si>
    <t>14.02068</t>
  </si>
  <si>
    <t>+4372422340</t>
  </si>
  <si>
    <t>https://bilder.dasschnelle.at/DasSchnelle/50/5000/9945/044547/G_044547_P_906144250.adn.gif</t>
  </si>
  <si>
    <t>Heiß Walter GmbH, Transportunternehmen • Prutz • Tirol</t>
  </si>
  <si>
    <t>Baumaschinenverleih, Erdarbeiten, Transportunternehmen • Heiß Walter GmbH, Eileweg 2, Prutz • Kontakt über aktuelle Telefonnummern ☎ und Adressen ⚑ mit Karte, Routing, Öffnungszeiten, Homepage, E-Mail, vCard und Firmendaten.</t>
  </si>
  <si>
    <t>Eileweg 2</t>
  </si>
  <si>
    <t>47.07911</t>
  </si>
  <si>
    <t>10.66294</t>
  </si>
  <si>
    <t>+4354726569;+436641225086</t>
  </si>
  <si>
    <t>info@walterheiss.at</t>
  </si>
  <si>
    <t>https://bilder.dasschnelle.at/DasSchnelle/50/5000/9903/044589/G_044589_P_906146957.adn.gif</t>
  </si>
  <si>
    <t>Kreuzer, Rebecca Elisabeth, Frisör und Fußpflege • Friesach • Kärnten</t>
  </si>
  <si>
    <t>Friseure • Kreuzer, Rebecca Elisabeth, Hauptplatz 1, Friesach • Kontakt über aktuelle Telefonnummern ☎ und Adressen ⚑ mit Karte, Routing, Öffnungszeiten, Homepage, E-Mail, vCard und Firmendaten.</t>
  </si>
  <si>
    <t>46.8476176</t>
  </si>
  <si>
    <t>14.1936543</t>
  </si>
  <si>
    <t>+43426820114</t>
  </si>
  <si>
    <t>kreuzerrebecca@gmail.com</t>
  </si>
  <si>
    <t>https://bilder.dasschnelle.at/DasSchnelle/50/5000/9925/042127/G_042127_P_906148099.adn.gif</t>
  </si>
  <si>
    <t>Eco Haus - Pflegeheim, Pflegeheim • Mettersdorf • Steiermark</t>
  </si>
  <si>
    <t>Pflege- u. Altenheime • Eco Haus - Pflegeheim, Mettersdorf • Kontakt über aktuelle Telefonnummern ☎ und Adressen ⚑ mit Karte, Routing, Öffnungszeiten, Homepage, E-Mail, vCard und Firmendaten.</t>
  </si>
  <si>
    <t>8092</t>
  </si>
  <si>
    <t>46.8061884</t>
  </si>
  <si>
    <t>15.7111534</t>
  </si>
  <si>
    <t>+43347720370</t>
  </si>
  <si>
    <t>eco_haus@hotmail.com</t>
  </si>
  <si>
    <t>https://bilder.dasschnelle.at/DasSchnelle/50/5000/9879/061391/G_061391_P_906147162.adn.gif</t>
  </si>
  <si>
    <t>OÖ. Maschinenring-Service ren.Gen.m.b.H EST 461 Wels • Wels • Oberösterreich</t>
  </si>
  <si>
    <t>Landwirtschaftliche Hilfsdienste • OÖ. Maschinenring-Service ren.Gen.m.b.H EST 461 Wels, Neinergutstraße 4, Wels • Kontakt über aktuelle Telefonnummern ☎ und Adressen ⚑ mit Karte, Routing, Öffnungszeiten, Homepage, E-Mail, vCard und Firmendaten.</t>
  </si>
  <si>
    <t>Neinergutstraße 4</t>
  </si>
  <si>
    <t>13.99364</t>
  </si>
  <si>
    <t>+4372427123013</t>
  </si>
  <si>
    <t>https://bilder.dasschnelle.at/DasSchnelle/50/5000/9945/044547/I_044547_P_906146792_L_0036006412_1.png</t>
  </si>
  <si>
    <t>https://bilder.dasschnelle.at/DasSchnelle/50/5000/9945/044547/I_044547_P_906146792_B_0036006412_1.gal.png?height=317&amp;width=720;https://bilder.dasschnelle.at/DasSchnelle/50/5000/9945/044547/I_044547_P_906146792_B_0036006412_2.gal.png?height=317&amp;width=720;https://bilder.dasschnelle.at/DasSchnelle/50/5000/9945/044547/I_044547_P_906146792_B_0036006412_3.gal.png?height=317&amp;width=720;https://bilder.dasschnelle.at/DasSchnelle/50/5000/9945/044547/I_044547_P_906146792_B_0036006412_4.gal.png?height=317&amp;width=720</t>
  </si>
  <si>
    <t>Pizzeria Venedig • Lilienfeld • Niederösterreich</t>
  </si>
  <si>
    <t>Pizzerias • Pizzeria Venedig, Liese Prokop Strassse 3, Lilienfeld • Kontakt über aktuelle Telefonnummern ☎ und Adressen ⚑ mit Karte, Routing, Öffnungszeiten, Homepage, E-Mail, vCard und Firmendaten.</t>
  </si>
  <si>
    <t>Liese Prokop Strassse 3</t>
  </si>
  <si>
    <t>48.0146700</t>
  </si>
  <si>
    <t>15.5991700</t>
  </si>
  <si>
    <t>+436602311582</t>
  </si>
  <si>
    <t>mustafauman94@gmail.com</t>
  </si>
  <si>
    <t>https://bilder.dasschnelle.at/DasSchnelle/50/5000/9906/041522/G_041522_P_906147001.adn.gif</t>
  </si>
  <si>
    <t>Walzl, Johann, Sanitär • Wolfsberg • Kärnten</t>
  </si>
  <si>
    <t>Heizungen, Installationsunternehmen • Walzl, Johann, Industriestraße 18, Wolfsberg • Kontakt über aktuelle Telefonnummern ☎ und Adressen ⚑ mit Karte, Routing, Öffnungszeiten, Homepage, E-Mail, vCard und Firmendaten.</t>
  </si>
  <si>
    <t>Industriestraße 18</t>
  </si>
  <si>
    <t>46.82151</t>
  </si>
  <si>
    <t>14.84027</t>
  </si>
  <si>
    <t>+436645120104</t>
  </si>
  <si>
    <t>walzl@outlook.com</t>
  </si>
  <si>
    <t>https://bilder.dasschnelle.at/DasSchnelle/50/5000/9949/042043/I_042043_P_906146794_B_0036003051_1.gal.png?height=720&amp;width=540;https://bilder.dasschnelle.at/DasSchnelle/50/5000/9949/042043/I_042043_P_906146794_B_0036003051_2.gal.png?height=720&amp;width=432;https://bilder.dasschnelle.at/DasSchnelle/50/5000/9949/042043/I_042043_P_906146794_B_0036003051_3.gal.png?height=720&amp;width=432;https://bilder.dasschnelle.at/DasSchnelle/50/5000/9949/042043/I_042043_P_906146794_B_0036003051_4.gal.png?height=720&amp;width=432;https://bilder.dasschnelle.at/DasSchnelle/50/5000/9949/042043/G_042043_P_906146794.adn.gif</t>
  </si>
  <si>
    <t>Schick Karl GesmbH, Installationen • Thalheim • Oberösterreich</t>
  </si>
  <si>
    <t>Gasinstallationen • Schick Karl GesmbH, Gewerbestraße 22, Thalheim • Kontakt über aktuelle Telefonnummern ☎ und Adressen ⚑ mit Karte, Routing, Öffnungszeiten, Homepage, E-Mail, vCard und Firmendaten.</t>
  </si>
  <si>
    <t>Gewerbestraße 22</t>
  </si>
  <si>
    <t>48.1555784</t>
  </si>
  <si>
    <t>14.0508431</t>
  </si>
  <si>
    <t>+437242636470</t>
  </si>
  <si>
    <t>office@karl-schick.at</t>
  </si>
  <si>
    <t>https://bilder.dasschnelle.at/DasSchnelle/50/5000/9945/043584/I_043584_P_906146796_L_0036006269_1.png</t>
  </si>
  <si>
    <t>https://bilder.dasschnelle.at/DasSchnelle/50/5000/9945/043584/I_043584_P_906146796_B_0036006269_1.gal.png?height=720&amp;width=720;https://bilder.dasschnelle.at/DasSchnelle/50/5000/9945/043584/I_043584_P_906146796_B_0036006269_2.gal.png?height=638&amp;width=720</t>
  </si>
  <si>
    <t>Somma GmbH Steinmetz-Meisterbetrieb, Steinmetzbetriebe • Ritzing • Kärnten</t>
  </si>
  <si>
    <t>Steinmetzbetriebe • Somma GmbH Steinmetz-Meisterbetrieb, Raiffeisenstraße 14, Ritzing • Kontakt über aktuelle Telefonnummern ☎ und Adressen ⚑ mit Karte, Routing, Öffnungszeiten, Homepage, E-Mail, vCard und Firmendaten.</t>
  </si>
  <si>
    <t>Raiffeisenstraße 14</t>
  </si>
  <si>
    <t>Ritzing</t>
  </si>
  <si>
    <t>46.8448400</t>
  </si>
  <si>
    <t>14.8400500</t>
  </si>
  <si>
    <t>+43435221830</t>
  </si>
  <si>
    <t>+43435221834</t>
  </si>
  <si>
    <t>office@stein-somma.at</t>
  </si>
  <si>
    <t>https://bilder.dasschnelle.at/DasSchnelle/50/5000/9949/042046/I_042046_P_906146800_L_0036208444_1.png</t>
  </si>
  <si>
    <t>https://bilder.dasschnelle.at/DasSchnelle/50/5000/9949/042046/I_042046_P_906146800_B_0036208444_1.gal.png?height=416&amp;width=624;https://bilder.dasschnelle.at/DasSchnelle/50/5000/9949/042046/I_042046_P_906146800_B_0036208444_2.gal.png?height=426&amp;width=638;https://bilder.dasschnelle.at/DasSchnelle/50/5000/9949/042046/I_042046_P_906146800_B_0036208444_3.gal.png?height=751&amp;width=564;https://bilder.dasschnelle.at/DasSchnelle/50/5000/9949/042046/I_042046_P_906146800_B_0036208444_4.gal.png?height=573&amp;width=563</t>
  </si>
  <si>
    <t>Penn, Gerhard, Gartengestaltung • Altenberg bei Linz • Oberösterreich</t>
  </si>
  <si>
    <t>Garten- u. Landschaftsgestaltung • Penn, Gerhard, Parzerweg 4, Altenberg bei Linz • Kontakt über aktuelle Telefonnummern ☎ und Adressen ⚑ mit Karte, Routing, Öffnungszeiten, Homepage, E-Mail, vCard und Firmendaten.</t>
  </si>
  <si>
    <t>Parzerweg 4</t>
  </si>
  <si>
    <t>48.36769</t>
  </si>
  <si>
    <t>14.34034</t>
  </si>
  <si>
    <t>+436642108136</t>
  </si>
  <si>
    <t>gartenpenn@gmail.com</t>
  </si>
  <si>
    <t>https://bilder.dasschnelle.at/DasSchnelle/50/5000/9939/042827/G_042827_P_906146928.adn.gif</t>
  </si>
  <si>
    <t>Resch, Wolfgang, Werbetechnik • Wolfsberg • Kärnten</t>
  </si>
  <si>
    <t>Beschriftungen • Resch, Wolfgang, Auenfischerstraße 61, Wolfsberg • Kontakt über aktuelle Telefonnummern ☎ und Adressen ⚑ mit Karte, Routing, Öffnungszeiten, Homepage, E-Mail, vCard und Firmendaten.</t>
  </si>
  <si>
    <t>Auenfischerstraße 61</t>
  </si>
  <si>
    <t>46.81528</t>
  </si>
  <si>
    <t>14.84548</t>
  </si>
  <si>
    <t>+43435230646</t>
  </si>
  <si>
    <t>office@werbetechnik-resch.at</t>
  </si>
  <si>
    <t>https://bilder.dasschnelle.at/DasSchnelle/50/5000/9949/042046/G_042046_P_906146930.adn.gif</t>
  </si>
  <si>
    <t>Dr. Hannesschläger &amp; Dr. Al-Kattib Fachärzte für Radiologie OG, Radiologie Freistadt • Freistadt • Oberösterreich</t>
  </si>
  <si>
    <t>Ärzte / Fachärzte f. Radiologie • Dr. Hannesschläger &amp; Dr. Al-Kattib Fachärzte für Radiologie OG, Etrichstraße 9 -13, Freistadt • Kontakt über aktuelle Telefonnummern ☎ und Adressen ⚑ mit Karte, Routing, Öffnungszeiten, Homepage, E-Mail, vCard und Firmendaten.</t>
  </si>
  <si>
    <t>+437942749940</t>
  </si>
  <si>
    <t>office@radiologie-freistadt.at</t>
  </si>
  <si>
    <t>https://bilder.dasschnelle.at/DasSchnelle/50/5000/9882/044815/I_044815_P_906148472_L_0035993765_1.png</t>
  </si>
  <si>
    <t>https://bilder.dasschnelle.at/DasSchnelle/50/5000/9882/044815/I_044815_P_906148472_B_0035993765_1.gal.png?height=192&amp;width=600;https://bilder.dasschnelle.at/DasSchnelle/50/5000/9882/044815/I_044815_P_906148472_B_0035993765_2.gal.png?height=192&amp;width=600;https://bilder.dasschnelle.at/DasSchnelle/50/5000/9882/044815/I_044815_P_906148472_B_0035993765_3.gal.png?height=192&amp;width=600;https://bilder.dasschnelle.at/DasSchnelle/50/5000/9882/044815/I_044815_P_906148472_B_0035993765_4.gal.png?height=192&amp;width=600</t>
  </si>
  <si>
    <t>Moden Neugebauer GesmbH, Mode • Wels • Oberösterreich</t>
  </si>
  <si>
    <t>Altwaren, Bekleidung, Mode • Moden Neugebauer GesmbH, Pfarrgasse 24, Wels • Kontakt über aktuelle Telefonnummern ☎ und Adressen ⚑ mit Karte, Routing, Öffnungszeiten, Homepage, E-Mail, vCard und Firmendaten.</t>
  </si>
  <si>
    <t>Pfarrgasse 24</t>
  </si>
  <si>
    <t>48.15858</t>
  </si>
  <si>
    <t>14.02628</t>
  </si>
  <si>
    <t>+43724246702</t>
  </si>
  <si>
    <t>https://bilder.dasschnelle.at/DasSchnelle/50/5000/9945/044547/G_044547_P_906148477.adn.gif</t>
  </si>
  <si>
    <t>Wimmer Realitäten GmbH, Immobilien • Wels • Oberösterreich</t>
  </si>
  <si>
    <t>Immobilienmakler • Wimmer Realitäten GmbH, Pfarrgasse 28, Wels • Kontakt über aktuelle Telefonnummern ☎ und Adressen ⚑ mit Karte, Routing, Öffnungszeiten, Homepage, E-Mail, vCard und Firmendaten.</t>
  </si>
  <si>
    <t>Pfarrgasse 28</t>
  </si>
  <si>
    <t>48.15834</t>
  </si>
  <si>
    <t>14.02639</t>
  </si>
  <si>
    <t>+437242219003</t>
  </si>
  <si>
    <t>maria.wimmer@wimmer-real.at</t>
  </si>
  <si>
    <t>https://bilder.dasschnelle.at/DasSchnelle/50/5000/9945/044547/I_044547_P_906148484_L_0035974253_1.png</t>
  </si>
  <si>
    <t>https://bilder.dasschnelle.at/DasSchnelle/50/5000/9945/044547/I_044547_P_906148484_B_0035974253_1.gal.png?height=226&amp;width=600;https://bilder.dasschnelle.at/DasSchnelle/50/5000/9945/044547/I_044547_P_906148484_B_0035974253_2.gal.png?height=427&amp;width=640</t>
  </si>
  <si>
    <t>Pirklbauer, Michael, Dr., Ärzte / Fachärzte f Zahn-, Mund-u Kieferheilkunde • Pregarten • Oberösterreich</t>
  </si>
  <si>
    <t>Ärzte / Fachärzte f. Zahn-, Mund u. Kieferheilkunde • Pirklbauer, Michael, Dr., Stadtplatz 17, Pregarten • Kontakt über aktuelle Telefonnummern ☎ und Adressen ⚑ mit Karte, Routing, Öffnungszeiten, Homepage, E-Mail, vCard und Firmendaten.</t>
  </si>
  <si>
    <t>48.35536</t>
  </si>
  <si>
    <t>14.53106</t>
  </si>
  <si>
    <t>+43723635900</t>
  </si>
  <si>
    <t>pirklbauer@gmail.com</t>
  </si>
  <si>
    <t>https://bilder.dasschnelle.at/DasSchnelle/50/5000/9882/041774/G_041774_P_906148488.adn.gif</t>
  </si>
  <si>
    <t>Drack, Karl, Schwimmbäder • Wels • Oberösterreich</t>
  </si>
  <si>
    <t>Schwimmbäder • Drack, Karl, Salzburger Straße 164, Wels • Kontakt über aktuelle Telefonnummern ☎ und Adressen ⚑ mit Karte, Routing, Öffnungszeiten, Homepage, E-Mail, vCard und Firmendaten.</t>
  </si>
  <si>
    <t>Salzburger Straße 164</t>
  </si>
  <si>
    <t>48.15606</t>
  </si>
  <si>
    <t>13.9976</t>
  </si>
  <si>
    <t>+43724242779</t>
  </si>
  <si>
    <t>office@drack.cc</t>
  </si>
  <si>
    <t>https://bilder.dasschnelle.at/DasSchnelle/50/5000/9945/044547/G_044547_P_906148490.adn.gif</t>
  </si>
  <si>
    <t>Mallezek Gas-Wasser-Heizung GmbH • Marchtrenk • Oberösterreich</t>
  </si>
  <si>
    <t>Installationsunternehmen • Mallezek Gas-Wasser-Heizung GmbH, Linzer Straße 36 A, Marchtrenk • Kontakt über aktuelle Telefonnummern ☎ und Adressen ⚑ mit Karte, Routing, Öffnungszeiten, Homepage, E-Mail, vCard und Firmendaten.</t>
  </si>
  <si>
    <t>Linzer Straße 36 A</t>
  </si>
  <si>
    <t>48.19066</t>
  </si>
  <si>
    <t>14.1149</t>
  </si>
  <si>
    <t>+43724352770</t>
  </si>
  <si>
    <t>+4372435277017</t>
  </si>
  <si>
    <t>office@mallezek.at</t>
  </si>
  <si>
    <t>https://bilder.dasschnelle.at/DasSchnelle/50/5000/9907/043573/G_043573_P_906148497.adn.gif</t>
  </si>
  <si>
    <t>Kuttner, Hubert, Heilmasseur u. Energetiker • Freistadt • Oberösterreich</t>
  </si>
  <si>
    <t>Massagen • Kuttner, Hubert, Bockaustraße 33, Freistadt • Kontakt über aktuelle Telefonnummern ☎ und Adressen ⚑ mit Karte, Routing, Öffnungszeiten, Homepage, E-Mail, vCard und Firmendaten.</t>
  </si>
  <si>
    <t>Bockaustraße 33</t>
  </si>
  <si>
    <t>48.51824</t>
  </si>
  <si>
    <t>14.49661</t>
  </si>
  <si>
    <t>+43794275572</t>
  </si>
  <si>
    <t>kuttner.energetik@aon.at</t>
  </si>
  <si>
    <t>Floristik Helmhart • Schärding • Oberösterreich</t>
  </si>
  <si>
    <t>Blumenhandel • Floristik Helmhart, Max-Hirschenauer-Straße, Schärding • Kontakt über aktuelle Telefonnummern ☎ und Adressen ⚑ mit Karte, Routing, Öffnungszeiten, Homepage, E-Mail, vCard und Firmendaten.</t>
  </si>
  <si>
    <t>Max-Hirschenauer-Straße</t>
  </si>
  <si>
    <t>48.45466</t>
  </si>
  <si>
    <t>13.43997</t>
  </si>
  <si>
    <t>+4377122263</t>
  </si>
  <si>
    <t>office@helmhart.at</t>
  </si>
  <si>
    <t>https://bilder.dasschnelle.at/DasSchnelle/50/5000/9926/042797/G_042797_P_906147004.adn.gif</t>
  </si>
  <si>
    <t>Koller Christoph, Heizung • Klagenfurt • Kärnten</t>
  </si>
  <si>
    <t>Heizung u. Sanitär • Koller Christoph, Klagenfurterstraße 17, Klagenfurt • Kontakt über aktuelle Telefonnummern ☎ und Adressen ⚑ mit Karte, Routing, Öffnungszeiten, Homepage, E-Mail, vCard und Firmendaten.</t>
  </si>
  <si>
    <t>Klagenfurterstraße 17</t>
  </si>
  <si>
    <t>46.82791</t>
  </si>
  <si>
    <t>14.83976</t>
  </si>
  <si>
    <t>+43435262596</t>
  </si>
  <si>
    <t>info@koller-baddesign.at</t>
  </si>
  <si>
    <t>https://bilder.dasschnelle.at/DasSchnelle/50/5000/9949/042046/I_042046_P_906148319_L_0038477539_1.png</t>
  </si>
  <si>
    <t>https://bilder.dasschnelle.at/DasSchnelle/50/5000/9949/042046/I_042046_P_906148319_B_0038477539_1.gal.png?height=546&amp;width=720;https://bilder.dasschnelle.at/DasSchnelle/50/5000/9949/042046/I_042046_P_906148319_B_0038477539_2.gal.png?height=720&amp;width=540;https://bilder.dasschnelle.at/DasSchnelle/50/5000/9949/042046/I_042046_P_906148319_B_0038477539_3.gal.png?height=720&amp;width=540;https://bilder.dasschnelle.at/DasSchnelle/50/5000/9949/042046/I_042046_P_906148319_B_0038477539_4.gal.png?height=720&amp;width=540;https://bilder.dasschnelle.at/DasSchnelle/50/5000/9949/042046/G_042046_P_906148319.adn.gif</t>
  </si>
  <si>
    <t>Wischer, Andreas, Elektrotechnik • St. Michael • Kärnten</t>
  </si>
  <si>
    <t>Elektrotechnik • Wischer, Andreas, Hattendorf 29, St. Michael • Kontakt über aktuelle Telefonnummern ☎ und Adressen ⚑ mit Karte, Routing, Öffnungszeiten, Homepage, E-Mail, vCard und Firmendaten.</t>
  </si>
  <si>
    <t>Hattendorf 29</t>
  </si>
  <si>
    <t>9411</t>
  </si>
  <si>
    <t>St. Michael</t>
  </si>
  <si>
    <t>46.8410000</t>
  </si>
  <si>
    <t>14.8056800</t>
  </si>
  <si>
    <t>+436643014836</t>
  </si>
  <si>
    <t>office@elektrotechnik-wischer.at</t>
  </si>
  <si>
    <t>https://bilder.dasschnelle.at/DasSchnelle/50/5000/9949/042046/G_042046_P_906148546.adn.gif</t>
  </si>
  <si>
    <t>BAUMI KFZ Technik GmbH • Wolfsberg • Kärnten</t>
  </si>
  <si>
    <t>Kfz-Werkstätte • BAUMI KFZ Technik GmbH, Lagerstraße 1, Wolfsberg • Kontakt über aktuelle Telefonnummern ☎ und Adressen ⚑ mit Karte, Routing, Öffnungszeiten, Homepage, E-Mail, vCard und Firmendaten.</t>
  </si>
  <si>
    <t>Lagerstraße 1</t>
  </si>
  <si>
    <t>46.82825</t>
  </si>
  <si>
    <t>14.83869</t>
  </si>
  <si>
    <t>+4343522306</t>
  </si>
  <si>
    <t>office@boschwolfsberg.at</t>
  </si>
  <si>
    <t>https://bilder.dasschnelle.at/DasSchnelle/50/5000/9949/042046/G_042046_P_906148321.adn.gif</t>
  </si>
  <si>
    <t>Thamerl, Gerhard, Sonnenschutz • St. Michael • Kärnten</t>
  </si>
  <si>
    <t>Markisen, Sonnenschutzanlagen • Thamerl, Gerhard, Hattendorf 201, St. Michael • Kontakt über aktuelle Telefonnummern ☎ und Adressen ⚑ mit Karte, Routing, Öffnungszeiten, Homepage, E-Mail, vCard und Firmendaten.</t>
  </si>
  <si>
    <t>Hattendorf 201</t>
  </si>
  <si>
    <t>46.8383386</t>
  </si>
  <si>
    <t>14.8044815</t>
  </si>
  <si>
    <t>+43435262181;+43435234545;+436643524267;+436644135364</t>
  </si>
  <si>
    <t>sonnenschutz.thamerl@aon.at</t>
  </si>
  <si>
    <t>https://bilder.dasschnelle.at/DasSchnelle/50/5000/9949/042046/G_042046_P_906148529.adn.gif</t>
  </si>
  <si>
    <t>Fliesen Stückler KG, Fliesenhandel • Schleifen • Kärnten</t>
  </si>
  <si>
    <t>Fliesenfachhandel, Fliesen u. Plattenverlegungen • Fliesen Stückler KG, Volksbadstraße 7, Schleifen • Kontakt über aktuelle Telefonnummern ☎ und Adressen ⚑ mit Karte, Routing, Öffnungszeiten, Homepage, E-Mail, vCard und Firmendaten.</t>
  </si>
  <si>
    <t>Volksbadstraße 7</t>
  </si>
  <si>
    <t>Schleifen</t>
  </si>
  <si>
    <t>46.83963</t>
  </si>
  <si>
    <t>14.83882</t>
  </si>
  <si>
    <t>+43435236660</t>
  </si>
  <si>
    <t>+43435236661</t>
  </si>
  <si>
    <t>office@fliesen-stueckler.at</t>
  </si>
  <si>
    <t>https://bilder.dasschnelle.at/DasSchnelle/50/5000/9949/042046/I_042046_P_906148536_L_0036031596_1.png</t>
  </si>
  <si>
    <t>https://bilder.dasschnelle.at/DasSchnelle/50/5000/9949/042046/I_042046_P_906148536_B_0036031596_1.gal.png?height=540&amp;width=720;https://bilder.dasschnelle.at/DasSchnelle/50/5000/9949/042046/I_042046_P_906148536_B_0036031596_2.gal.png?height=540&amp;width=720;https://bilder.dasschnelle.at/DasSchnelle/50/5000/9949/042046/I_042046_P_906148536_B_0036031596_3.gal.png?height=720&amp;width=525;https://bilder.dasschnelle.at/DasSchnelle/50/5000/9949/042046/I_042046_P_906148536_B_0036031596_4.gal.png?height=720&amp;width=525</t>
  </si>
  <si>
    <t>Winzely, Johannes, Öfen • Wolfsberg • Kärnten</t>
  </si>
  <si>
    <t>Öfen u. Herde • Winzely, Johannes, Johann-Offner-Straße 14, Wolfsberg • Kontakt über aktuelle Telefonnummern ☎ und Adressen ⚑ mit Karte, Routing, Öffnungszeiten, Homepage, E-Mail, vCard und Firmendaten.</t>
  </si>
  <si>
    <t>Johann-Offner-Straße 14</t>
  </si>
  <si>
    <t>46.83806</t>
  </si>
  <si>
    <t>14.84572</t>
  </si>
  <si>
    <t>+4343522135</t>
  </si>
  <si>
    <t>winzely@outlook.com</t>
  </si>
  <si>
    <t>https://bilder.dasschnelle.at/DasSchnelle/50/5000/9949/042046/G_042046_P_906148539.adn.gif</t>
  </si>
  <si>
    <t>Autohaus Penz e.U. • Wolfsberg • Kärnten</t>
  </si>
  <si>
    <t>Autohandel • Autohaus Penz e.U., Industriestraße 28, Wolfsberg • Kontakt über aktuelle Telefonnummern ☎ und Adressen ⚑ mit Karte, Routing, Öffnungszeiten, Homepage, E-Mail, vCard und Firmendaten.</t>
  </si>
  <si>
    <t>Industriestraße 28</t>
  </si>
  <si>
    <t>46.81925</t>
  </si>
  <si>
    <t>14.84172</t>
  </si>
  <si>
    <t>+43435254595</t>
  </si>
  <si>
    <t>office@autohaus-penz.at</t>
  </si>
  <si>
    <t>https://bilder.dasschnelle.at/DasSchnelle/50/5000/9949/042046/G_042046_P_906147003.adn.gif</t>
  </si>
  <si>
    <t>Stadlmair, Sabine, Floristin • Esternberg • Oberösterreich</t>
  </si>
  <si>
    <t>Blumenhandel • Stadlmair, Sabine, Riedlbacher Straße 2, Esternberg • Kontakt über aktuelle Telefonnummern ☎ und Adressen ⚑ mit Karte, Routing, Öffnungszeiten, Homepage, E-Mail, vCard und Firmendaten.</t>
  </si>
  <si>
    <t>Riedlbacher Straße 2</t>
  </si>
  <si>
    <t>48.54299</t>
  </si>
  <si>
    <t>13.57566</t>
  </si>
  <si>
    <t>+43771420186</t>
  </si>
  <si>
    <t>info@floristik-sabine.at</t>
  </si>
  <si>
    <t>https://bilder.dasschnelle.at/DasSchnelle/50/5000/9926/042784/G_042784_P_906147163.adn.gif</t>
  </si>
  <si>
    <t>Dipl. Ing. Gerhard Lubowski ZT GmbH, Geometer • Haag • Niederösterreich</t>
  </si>
  <si>
    <t>Geometer, Vermessungsbüros • Dipl. Ing. Gerhard Lubowski ZT GmbH, Höllriglstraße 7, Haag • Kontakt über aktuelle Telefonnummern ☎ und Adressen ⚑ mit Karte, Routing, Öffnungszeiten, Homepage, E-Mail, vCard und Firmendaten.</t>
  </si>
  <si>
    <t>Höllriglstraße 7</t>
  </si>
  <si>
    <t>48.11226</t>
  </si>
  <si>
    <t>14.56778</t>
  </si>
  <si>
    <t>+437434424760</t>
  </si>
  <si>
    <t>office@lubowski.at</t>
  </si>
  <si>
    <t>https://bilder.dasschnelle.at/DasSchnelle/50/5000/9866/041691/G_041691_P_906151659.adn.gif</t>
  </si>
  <si>
    <t>Elektro Wolfgang Planberger • Sankt Gilgen • Salzburg</t>
  </si>
  <si>
    <t>Elektrogeräte u. -bedarf • Elektro Wolfgang Planberger, Lueger-Waldweg 4, Sankt Gilgen • Kontakt über aktuelle Telefonnummern ☎ und Adressen ⚑ mit Karte, Routing, Öffnungszeiten, Homepage, E-Mail, vCard und Firmendaten.</t>
  </si>
  <si>
    <t>Lueger-Waldweg 4</t>
  </si>
  <si>
    <t>47.76194</t>
  </si>
  <si>
    <t>13.36481</t>
  </si>
  <si>
    <t>+4362272545</t>
  </si>
  <si>
    <t>planberger@aon.at</t>
  </si>
  <si>
    <t>https://bilder.dasschnelle.at/DasSchnelle/50/5000/9909/043326/G_043326_P_906151665.adn.gif</t>
  </si>
  <si>
    <t>Billinger, Günter, Elektroanlagenbau • Wels • Oberösterreich</t>
  </si>
  <si>
    <t>Elektroinstallationsunternehmen • Billinger, Günter, Sommerfeldstraße 8, Wels • Kontakt über aktuelle Telefonnummern ☎ und Adressen ⚑ mit Karte, Routing, Öffnungszeiten, Homepage, E-Mail, vCard und Firmendaten.</t>
  </si>
  <si>
    <t>Sommerfeldstraße 8</t>
  </si>
  <si>
    <t>48.14116</t>
  </si>
  <si>
    <t>14.0034</t>
  </si>
  <si>
    <t>+436604058589;+4369910407322;+43724227468</t>
  </si>
  <si>
    <t>elektro@billinger.at</t>
  </si>
  <si>
    <t>https://bilder.dasschnelle.at/DasSchnelle/50/5000/9945/044547/I_044547_P_906151672_L_0036208373_1.png</t>
  </si>
  <si>
    <t>https://bilder.dasschnelle.at/DasSchnelle/50/5000/9945/044547/I_044547_P_906151672_B_0036208373_1.gal.png?height=533&amp;width=400;https://bilder.dasschnelle.at/DasSchnelle/50/5000/9945/044547/I_044547_P_906151672_B_0036208373_2.gal.png?height=300&amp;width=400;https://bilder.dasschnelle.at/DasSchnelle/50/5000/9945/044547/I_044547_P_906151672_B_0036208373_3.gal.png?height=300&amp;width=400;https://bilder.dasschnelle.at/DasSchnelle/50/5000/9945/044547/I_044547_P_906151672_B_0036208373_4.gal.png?height=132&amp;width=180</t>
  </si>
  <si>
    <t>Attersee Zahnärzte Dr. Claudiu Pop • Lenzing • Oberösterreich</t>
  </si>
  <si>
    <t>Ärzte / Fachärzte f. Zahn-, Mund u. Kieferheilkunde • Attersee Zahnärzte Dr. Claudiu Pop, Atterseestraße 40, Lenzing • Kontakt über aktuelle Telefonnummern ☎ und Adressen ⚑ mit Karte, Routing, Öffnungszeiten, Homepage, E-Mail, vCard und Firmendaten.</t>
  </si>
  <si>
    <t>Atterseestraße 40</t>
  </si>
  <si>
    <t>47.97586</t>
  </si>
  <si>
    <t>13.60947</t>
  </si>
  <si>
    <t>+43767292735</t>
  </si>
  <si>
    <t>drpopclaudiu@gmail.com</t>
  </si>
  <si>
    <t>https://bilder.dasschnelle.at/DasSchnelle/50/5000/9940/998342/G_998342_P_906151676.adn.gif</t>
  </si>
  <si>
    <t>Bogensport Weixlbaumer • Eidenberg • Oberösterreich</t>
  </si>
  <si>
    <t>Freizeitangebote u. -einrichtungen • Bogensport Weixlbaumer, Pointnerstraße 22, Eidenberg • Kontakt über aktuelle Telefonnummern ☎ und Adressen ⚑ mit Karte, Routing, Öffnungszeiten, Homepage, E-Mail, vCard und Firmendaten.</t>
  </si>
  <si>
    <t>Pointnerstraße 22</t>
  </si>
  <si>
    <t>48.40182</t>
  </si>
  <si>
    <t>14.23564</t>
  </si>
  <si>
    <t>+4369919007922</t>
  </si>
  <si>
    <t>dominik@weixlbaumer.net</t>
  </si>
  <si>
    <t>https://bilder.dasschnelle.at/DasSchnelle/50/5000/9939/042829/G_042829_P_906151678.adn.gif</t>
  </si>
  <si>
    <t>Ybbstal Apotheke Mag.pharm. Adelheid Tazreiter KG • Waidhofen an der Ybbs • Niederösterreich</t>
  </si>
  <si>
    <t>Apotheken • Ybbstal Apotheke Mag.pharm. Adelheid Tazreiter KG, Hammerschmiedstraße 2, Waidhofen an der Ybbs • Kontakt über aktuelle Telefonnummern ☎ und Adressen ⚑ mit Karte, Routing, Öffnungszeiten, Homepage, E-Mail, vCard und Firmendaten.</t>
  </si>
  <si>
    <t>Hammerschmiedstraße 2</t>
  </si>
  <si>
    <t>47.9494886</t>
  </si>
  <si>
    <t>14.7899090</t>
  </si>
  <si>
    <t>+43744255589</t>
  </si>
  <si>
    <t>office@ybbstal-apotheke.at</t>
  </si>
  <si>
    <t>https://bilder.dasschnelle.at/DasSchnelle/50/5000/9866/042059/G_042059_P_906152978.adn.gif</t>
  </si>
  <si>
    <t>Eichhorn, Peter, Dr., FA f. Innere Medizin • Amstetten • Niederösterreich</t>
  </si>
  <si>
    <t>Innere Medizin • Eichhorn, Peter, Dr., Krankenhausstraße 21, Amstetten • Kontakt über aktuelle Telefonnummern ☎ und Adressen ⚑ mit Karte, Routing, Öffnungszeiten, Homepage, E-Mail, vCard und Firmendaten.</t>
  </si>
  <si>
    <t>Krankenhausstraße 21</t>
  </si>
  <si>
    <t>48.03539</t>
  </si>
  <si>
    <t>14.93035</t>
  </si>
  <si>
    <t>+436645038226</t>
  </si>
  <si>
    <t>peter.eichhorn@amstetten.lknoe.at</t>
  </si>
  <si>
    <t>https://bilder.dasschnelle.at/DasSchnelle/50/5000/9866/042062/G_042062_P_906152980.adn.gif</t>
  </si>
  <si>
    <t>Jäger, Markus, Energietechnik • Fließ • Tirol</t>
  </si>
  <si>
    <t>Installationsunternehmen • Jäger, Markus, Dorf 30, Fließ • Kontakt über aktuelle Telefonnummern ☎ und Adressen ⚑ mit Karte, Routing, Öffnungszeiten, Homepage, E-Mail, vCard und Firmendaten.</t>
  </si>
  <si>
    <t>Dorf 30</t>
  </si>
  <si>
    <t>47.11837</t>
  </si>
  <si>
    <t>10.63113</t>
  </si>
  <si>
    <t>+43544920000;+436648470488</t>
  </si>
  <si>
    <t>office@jaegermarkus.at</t>
  </si>
  <si>
    <t>https://bilder.dasschnelle.at/DasSchnelle/50/5000/9903/044574/G_044574_P_906152984.adn.gif</t>
  </si>
  <si>
    <t>Schafelner, Gerhard, Dr., Rechtsanwalt • St. Valentin • Niederösterreich</t>
  </si>
  <si>
    <t>Rechtsanwälte • Schafelner, Gerhard, Dr., Hauptplatz 2, St. Valentin • Kontakt über aktuelle Telefonnummern ☎ und Adressen ⚑ mit Karte, Routing, Öffnungszeiten, Homepage, E-Mail, vCard und Firmendaten.</t>
  </si>
  <si>
    <t>48.17536</t>
  </si>
  <si>
    <t>14.53265</t>
  </si>
  <si>
    <t>+43743557755</t>
  </si>
  <si>
    <t>office@schafelner.com</t>
  </si>
  <si>
    <t>https://bilder.dasschnelle.at/DasSchnelle/50/5000/9866/041325/G_041325_P_906152987.adn.gif</t>
  </si>
  <si>
    <t>Lanzerstorfer GmbH Red Zac, Elektrogeräte u -bedarf • Ottensheim • Oberösterreich</t>
  </si>
  <si>
    <t>Elektrogeräte u. -bedarf • Lanzerstorfer GmbH Red Zac, Hostauerstraße 25, Ottensheim • Kontakt über aktuelle Telefonnummern ☎ und Adressen ⚑ mit Karte, Routing, Öffnungszeiten, Homepage, E-Mail, vCard und Firmendaten.</t>
  </si>
  <si>
    <t>Hostauerstraße 25</t>
  </si>
  <si>
    <t>48.33383</t>
  </si>
  <si>
    <t>14.17212</t>
  </si>
  <si>
    <t>+437234822290</t>
  </si>
  <si>
    <t>office@lanzerstorfergmbh.at</t>
  </si>
  <si>
    <t>https://bilder.dasschnelle.at/DasSchnelle/50/5000/9939/042831/G_042831_P_906152990.adn.gif</t>
  </si>
  <si>
    <t>Strasser, Karl, Mag., öffentlicher Notar • Amstetten • Niederösterreich</t>
  </si>
  <si>
    <t>Notare • Strasser, Karl, Mag., Hauptplatz 35, Amstetten • Kontakt über aktuelle Telefonnummern ☎ und Adressen ⚑ mit Karte, Routing, Öffnungszeiten, Homepage, E-Mail, vCard und Firmendaten.</t>
  </si>
  <si>
    <t>Hauptplatz 35</t>
  </si>
  <si>
    <t>48.12321</t>
  </si>
  <si>
    <t>14.8711</t>
  </si>
  <si>
    <t>+43747262271</t>
  </si>
  <si>
    <t>notar-strasser@ktvam.at</t>
  </si>
  <si>
    <t>https://bilder.dasschnelle.at/DasSchnelle/50/5000/9866/042062/G_042062_P_906152991.adn.gif</t>
  </si>
  <si>
    <t>Prömer-Kandelhart, Helvig, Dipl Tierarzt, Tierarzt • Waidhofen an der Ybbs • Niederösterreich</t>
  </si>
  <si>
    <t>Tierärzte • Prömer-Kandelhart, Helvig, Dipl Tierarzt, Unterzellerstraße 84, Waidhofen an der Ybbs • Kontakt über aktuelle Telefonnummern ☎ und Adressen ⚑ mit Karte, Routing, Öffnungszeiten, Homepage, E-Mail, vCard und Firmendaten.</t>
  </si>
  <si>
    <t>Unterzellerstraße 84</t>
  </si>
  <si>
    <t>47.97177</t>
  </si>
  <si>
    <t>14.76243</t>
  </si>
  <si>
    <t>+436502404400</t>
  </si>
  <si>
    <t>helvig.kandelhart@aon.at</t>
  </si>
  <si>
    <t>https://bilder.dasschnelle.at/DasSchnelle/50/5000/9866/998312/G_998312_P_906152992.adn.gif</t>
  </si>
  <si>
    <t>Bergmann-Weidmann, Birgit, Dr.med.univ., Ärzte / Fachärzte f Zahn-, Mund-u Kieferheilkunde • Frohnleiten • Steiermark</t>
  </si>
  <si>
    <t>Ärzte / Fachärzte f. Zahn-, Mund u. Kieferheilkunde • Bergmann-Weidmann, Birgit, Dr.med.univ., Brunnhof 3 B, Frohnleiten • Kontakt über aktuelle Telefonnummern ☎ und Adressen ⚑ mit Karte, Routing, Öffnungszeiten, Homepage, E-Mail, vCard und Firmendaten.</t>
  </si>
  <si>
    <t>Brunnhof 3 B</t>
  </si>
  <si>
    <t>47.2708935</t>
  </si>
  <si>
    <t>15.3314728</t>
  </si>
  <si>
    <t>+4331266262</t>
  </si>
  <si>
    <t>praxisteambbw@frohnleitenzahn.com</t>
  </si>
  <si>
    <t>https://bilder.dasschnelle.at/DasSchnelle/50/5000/9883/061362/G_061362_P_906152994.adn.gif</t>
  </si>
  <si>
    <t>Kuljuh, Elma, Dr., Ärzte / Fachärzte f Zahn-, Mund-u Kieferheilkunde • Frohnleiten • Steiermark</t>
  </si>
  <si>
    <t>Ärzte / Fachärzte f. Zahn-, Mund u. Kieferheilkunde • Kuljuh, Elma, Dr., Brückenkopf 1, Frohnleiten • Kontakt über aktuelle Telefonnummern ☎ und Adressen ⚑ mit Karte, Routing, Öffnungszeiten, Homepage, E-Mail, vCard und Firmendaten.</t>
  </si>
  <si>
    <t>Brückenkopf 1</t>
  </si>
  <si>
    <t>47.26948</t>
  </si>
  <si>
    <t>15.32472</t>
  </si>
  <si>
    <t>+4331263115;+436644514133</t>
  </si>
  <si>
    <t>info@zahnspange-drkuljuh.at</t>
  </si>
  <si>
    <t>https://bilder.dasschnelle.at/DasSchnelle/50/5000/9883/061362/G_061362_P_906152883.adn.gif</t>
  </si>
  <si>
    <t>Pfeiffer, Karl, Dachdecker • Langenrohr • Niederösterreich</t>
  </si>
  <si>
    <t>Dachdeckereien • Pfeiffer, Karl, Tullner Straße 29, Langenrohr • Kontakt über aktuelle Telefonnummern ☎ und Adressen ⚑ mit Karte, Routing, Öffnungszeiten, Homepage, E-Mail, vCard und Firmendaten.</t>
  </si>
  <si>
    <t>Tullner Straße 29</t>
  </si>
  <si>
    <t>48.3118</t>
  </si>
  <si>
    <t>16.01355</t>
  </si>
  <si>
    <t>+436764127556</t>
  </si>
  <si>
    <t>dach.pfeiffer@aon.at</t>
  </si>
  <si>
    <t>https://bilder.dasschnelle.at/DasSchnelle/50/5000/9938/044242/G_044242_P_906152889.adn.gif</t>
  </si>
  <si>
    <t>Haschkovitz, Herbert, Dr. med., Allgemeinmedizin • Traisen • Niederösterreich</t>
  </si>
  <si>
    <t>Ärzte / f Allgemeinmedizin • Haschkovitz, Herbert, Dr. med., Ebnerstraße 30, Traisen • Kontakt über aktuelle Telefonnummern ☎ und Adressen ⚑ mit Karte, Routing, Öffnungszeiten, Homepage, E-Mail, vCard und Firmendaten.</t>
  </si>
  <si>
    <t>Ebnerstraße 30</t>
  </si>
  <si>
    <t>48.04775</t>
  </si>
  <si>
    <t>15.62686</t>
  </si>
  <si>
    <t>+43276262507</t>
  </si>
  <si>
    <t>h.haschkovitz@gmx.at</t>
  </si>
  <si>
    <t>https://bilder.dasschnelle.at/DasSchnelle/50/5000/9906/041528/G_041528_P_906153002.adn.gif</t>
  </si>
  <si>
    <t>Djemai, Philippe Andre, Heilmasseur • Hohenberg • Niederösterreich</t>
  </si>
  <si>
    <t>Massagen • Djemai, Philippe Andre, Lindnerweg 1, Hohenberg • Kontakt über aktuelle Telefonnummern ☎ und Adressen ⚑ mit Karte, Routing, Öffnungszeiten, Homepage, E-Mail, vCard und Firmendaten.</t>
  </si>
  <si>
    <t>Lindnerweg 1</t>
  </si>
  <si>
    <t>47.9079748</t>
  </si>
  <si>
    <t>15.6207404</t>
  </si>
  <si>
    <t>+436643931822</t>
  </si>
  <si>
    <t>philippe.d@gmx.at</t>
  </si>
  <si>
    <t>https://bilder.dasschnelle.at/DasSchnelle/50/5000/9906/041519/G_041519_P_906153004.adn.gif</t>
  </si>
  <si>
    <t>Steinlechner, Walter, Immobilien • Sankt Veit • Kärnten</t>
  </si>
  <si>
    <t>Immobilien • Steinlechner, Walter, Hauptplatz 10, Sankt Veit • Kontakt über aktuelle Telefonnummern ☎ und Adressen ⚑ mit Karte, Routing, Öffnungszeiten, Homepage, E-Mail, vCard und Firmendaten.</t>
  </si>
  <si>
    <t>46.7677107</t>
  </si>
  <si>
    <t>14.3582974</t>
  </si>
  <si>
    <t>+43421228089</t>
  </si>
  <si>
    <t>walter.steinlechner@sreal.at</t>
  </si>
  <si>
    <t>https://bilder.dasschnelle.at/DasSchnelle/50/5000/9925/042125/G_042125_P_906153006.adn.gif</t>
  </si>
  <si>
    <t>Steuerberatungs-GesmbH E M Romberg • Tulln an der Donau • Niederösterreich</t>
  </si>
  <si>
    <t>Steuerberater • Steuerberatungs-GesmbH E M Romberg, Karlsgasse 8, Tulln an der Donau • Kontakt über aktuelle Telefonnummern ☎ und Adressen ⚑ mit Karte, Routing, Öffnungszeiten, Homepage, E-Mail, vCard und Firmendaten.</t>
  </si>
  <si>
    <t>Karlsgasse 8</t>
  </si>
  <si>
    <t>48.32998</t>
  </si>
  <si>
    <t>16.05296</t>
  </si>
  <si>
    <t>+432272626700;+436645101868</t>
  </si>
  <si>
    <t>office@romberg.at</t>
  </si>
  <si>
    <t>https://bilder.dasschnelle.at/DasSchnelle/50/5000/9938/044247/G_044247_P_906153787.adn.gif</t>
  </si>
  <si>
    <t>Mezei, Istvan, Malerei • Münzbach • Oberösterreich</t>
  </si>
  <si>
    <t>Malereibetriebe • Mezei, Istvan, Hauptstraße 1, Münzbach • Kontakt über aktuelle Telefonnummern ☎ und Adressen ⚑ mit Karte, Routing, Öffnungszeiten, Homepage, E-Mail, vCard und Firmendaten.</t>
  </si>
  <si>
    <t>48.26757</t>
  </si>
  <si>
    <t>14.71073</t>
  </si>
  <si>
    <t>+436641915343</t>
  </si>
  <si>
    <t>office@mezei.at</t>
  </si>
  <si>
    <t>https://bilder.dasschnelle.at/DasSchnelle/50/5000/9916/042525/I_042525_P_906153789_L_0038458314_1.png</t>
  </si>
  <si>
    <t>https://bilder.dasschnelle.at/DasSchnelle/50/5000/9916/042525/I_042525_P_906153789_B_0038458314_1.gal.png?height=538&amp;width=720;https://bilder.dasschnelle.at/DasSchnelle/50/5000/9916/042525/I_042525_P_906153789_B_0038458314_2.gal.png?height=535&amp;width=720;https://bilder.dasschnelle.at/DasSchnelle/50/5000/9916/042525/I_042525_P_906153789_B_0038458314_3.gal.png?height=538&amp;width=720</t>
  </si>
  <si>
    <t>C.O.R.D.A. GEIGER GmbH, Eisenwaren • Landeck • Tirol</t>
  </si>
  <si>
    <t>Eisenwaren • C.O.R.D.A. GEIGER GmbH, Bruggfeldstraße 15, Landeck • Kontakt über aktuelle Telefonnummern ☎ und Adressen ⚑ mit Karte, Routing, Öffnungszeiten, Homepage, E-Mail, vCard und Firmendaten.</t>
  </si>
  <si>
    <t>Bruggfeldstraße 15</t>
  </si>
  <si>
    <t>47.14095</t>
  </si>
  <si>
    <t>10.55706</t>
  </si>
  <si>
    <t>+43544269660</t>
  </si>
  <si>
    <t>info@cordageiger.at</t>
  </si>
  <si>
    <t>https://bilder.dasschnelle.at/DasSchnelle/50/5000/9903/044584/G_044584_P_906153643.adn.gif</t>
  </si>
  <si>
    <t>Pilsbacher, Ulrike, Mag. Dr., Steuerberater • Amstetten • Niederösterreich</t>
  </si>
  <si>
    <t>Steuerberater, Wirtschaftstreuhänder / Steuerberater • Pilsbacher, Ulrike, Mag. Dr., Preinsbacher Straße 43, Amstetten • Kontakt über aktuelle Telefonnummern ☎ und Adressen ⚑ mit Karte, Routing, Öffnungszeiten, Homepage, E-Mail, vCard und Firmendaten.</t>
  </si>
  <si>
    <t>Preinsbacher Straße 43</t>
  </si>
  <si>
    <t>48.12584</t>
  </si>
  <si>
    <t>14.88163</t>
  </si>
  <si>
    <t>+437472628600</t>
  </si>
  <si>
    <t>office@pilsbacher.at</t>
  </si>
  <si>
    <t>https://bilder.dasschnelle.at/DasSchnelle/50/5000/9866/998313/I_998313_P_906153646_L_0035994123_1.png</t>
  </si>
  <si>
    <t>https://bilder.dasschnelle.at/DasSchnelle/50/5000/9866/998313/I_998313_P_906153646_B_0035994123_1.gal.png?height=433&amp;width=650;https://bilder.dasschnelle.at/DasSchnelle/50/5000/9866/998313/I_998313_P_906153646_B_0035994123_2.gal.png?height=305&amp;width=720;https://bilder.dasschnelle.at/DasSchnelle/50/5000/9866/998313/I_998313_P_906153646_B_0035994123_3.gal.png?height=319&amp;width=586;https://bilder.dasschnelle.at/DasSchnelle/50/5000/9866/998313/I_998313_P_906153646_B_0035994123_4.gal.png?height=305&amp;width=720</t>
  </si>
  <si>
    <t>Günther Handle GmbH, Elektrotechnik • Ried im Oberinntal • Tirol</t>
  </si>
  <si>
    <t>Elektrotechnik • Günther Handle GmbH, Hauptstraße 54, Ried im Oberinntal • Kontakt über aktuelle Telefonnummern ☎ und Adressen ⚑ mit Karte, Routing, Öffnungszeiten, Homepage, E-Mail, vCard und Firmendaten.</t>
  </si>
  <si>
    <t>47.0548767</t>
  </si>
  <si>
    <t>10.6532278</t>
  </si>
  <si>
    <t>+4354726418</t>
  </si>
  <si>
    <t>officeried@handle.co.at</t>
  </si>
  <si>
    <t>https://bilder.dasschnelle.at/DasSchnelle/50/5000/9903/044590/G_044590_P_906153648.adn.gif</t>
  </si>
  <si>
    <t>Tierärztliche Gemeinschaftspraxis • Deutschfeistritz • Steiermark</t>
  </si>
  <si>
    <t>Tierärzte • Tierärztliche Gemeinschaftspraxis, Grazer Straße 15, Deutschfeistritz • Kontakt über aktuelle Telefonnummern ☎ und Adressen ⚑ mit Karte, Routing, Öffnungszeiten, Homepage, E-Mail, vCard und Firmendaten.</t>
  </si>
  <si>
    <t>47.1980567</t>
  </si>
  <si>
    <t>15.3363776</t>
  </si>
  <si>
    <t>https://bilder.dasschnelle.at/DasSchnelle/50/5000/9883/998315/G_998315_P_906153650.adn.gif</t>
  </si>
  <si>
    <t>Stiftinger Bau GmbH, Bauunternehmung • Bergen • Oberösterreich</t>
  </si>
  <si>
    <t>Bauunternehmen • Stiftinger Bau GmbH, Schußweg 1, Bergen • Kontakt über aktuelle Telefonnummern ☎ und Adressen ⚑ mit Karte, Routing, Öffnungszeiten, Homepage, E-Mail, vCard und Firmendaten.</t>
  </si>
  <si>
    <t>Schußweg 1</t>
  </si>
  <si>
    <t>4213</t>
  </si>
  <si>
    <t>Bergen</t>
  </si>
  <si>
    <t>48.37334</t>
  </si>
  <si>
    <t>14.45742</t>
  </si>
  <si>
    <t>+43723565185;+43723565535;+43723565231;+436608207394</t>
  </si>
  <si>
    <t>+43723565227</t>
  </si>
  <si>
    <t>office@stiftingerbau.at</t>
  </si>
  <si>
    <t>https://bilder.dasschnelle.at/DasSchnelle/50/5000/9939/041782/G_041782_P_906153909.adn.gif</t>
  </si>
  <si>
    <t>Steffen, Jörg, Dr.med., FA f Augenheilkunde u Optometrie • Frohnleiten • Steiermark</t>
  </si>
  <si>
    <t>Ärzte / Fachärzte f. Augenheilkunde u. Optometrie • Steffen, Jörg, Dr.med., Hauptplatz 41, Frohnleiten • Kontakt über aktuelle Telefonnummern ☎ und Adressen ⚑ mit Karte, Routing, Öffnungszeiten, Homepage, E-Mail, vCard und Firmendaten.</t>
  </si>
  <si>
    <t>Hauptplatz 41</t>
  </si>
  <si>
    <t>47.27131</t>
  </si>
  <si>
    <t>15.32731</t>
  </si>
  <si>
    <t>+43312630800</t>
  </si>
  <si>
    <t>+43312630808</t>
  </si>
  <si>
    <t>https://bilder.dasschnelle.at/DasSchnelle/50/5000/9883/061362/G_061362_P_906153919.adn.gif</t>
  </si>
  <si>
    <t>Gosch, August, Holzbau • Eschenau • Niederösterreich</t>
  </si>
  <si>
    <t>Holzbau • Gosch, August, Rotheau 32, Eschenau • Kontakt über aktuelle Telefonnummern ☎ und Adressen ⚑ mit Karte, Routing, Öffnungszeiten, Homepage, E-Mail, vCard und Firmendaten.</t>
  </si>
  <si>
    <t>Rotheau 32</t>
  </si>
  <si>
    <t>48.0671292</t>
  </si>
  <si>
    <t>15.5966613</t>
  </si>
  <si>
    <t>+43276268086;+436647815317</t>
  </si>
  <si>
    <t>holzbau.gosch@aon.at</t>
  </si>
  <si>
    <t>https://bilder.dasschnelle.at/DasSchnelle/50/5000/9906/041517/G_041517_P_906153924.adn.gif</t>
  </si>
  <si>
    <t>Ebner, Harald, Heizung-Sanitär-Gas • Mariazell • Steiermark</t>
  </si>
  <si>
    <t>Installationsunternehmen • Ebner, Harald, Ungarnstraße 20, Mariazell • Kontakt über aktuelle Telefonnummern ☎ und Adressen ⚑ mit Karte, Routing, Öffnungszeiten, Homepage, E-Mail, vCard und Firmendaten.</t>
  </si>
  <si>
    <t>Ungarnstraße 20</t>
  </si>
  <si>
    <t>47.76493</t>
  </si>
  <si>
    <t>15.33165</t>
  </si>
  <si>
    <t>+4338822080;+436644215720</t>
  </si>
  <si>
    <t>harald.ebner@sbm-web.at</t>
  </si>
  <si>
    <t>https://bilder.dasschnelle.at/DasSchnelle/50/5000/9906/061453/G_061453_P_906153929.adn.gif</t>
  </si>
  <si>
    <t>La Ciccia, Ristorante • Wilhelmsburg • Niederösterreich</t>
  </si>
  <si>
    <t>Restaurants • La Ciccia, Mariazellerstrasse 30A, Wilhelmsburg • Kontakt über aktuelle Telefonnummern ☎ und Adressen ⚑ mit Karte, Routing, Öffnungszeiten, Homepage, E-Mail, vCard und Firmendaten.</t>
  </si>
  <si>
    <t>Mariazellerstrasse 30A</t>
  </si>
  <si>
    <t>48.0806253</t>
  </si>
  <si>
    <t>15.5927992</t>
  </si>
  <si>
    <t>+4327468501</t>
  </si>
  <si>
    <t>https://bilder.dasschnelle.at/DasSchnelle/50/5000/9906/041920/G_041920_P_906153931.adn.gif</t>
  </si>
  <si>
    <t>Penz, Michael, Auto • St. Stefan • Kärnten</t>
  </si>
  <si>
    <t>Autohandel • Penz, Michael, Auenfischerstraße 109, St. Stefan • Kontakt über aktuelle Telefonnummern ☎ und Adressen ⚑ mit Karte, Routing, Öffnungszeiten, Homepage, E-Mail, vCard und Firmendaten.</t>
  </si>
  <si>
    <t>Auenfischerstraße 109</t>
  </si>
  <si>
    <t>46.80708</t>
  </si>
  <si>
    <t>14.8418</t>
  </si>
  <si>
    <t>+436642222795</t>
  </si>
  <si>
    <t>office@autopenz.at</t>
  </si>
  <si>
    <t>https://bilder.dasschnelle.at/DasSchnelle/50/5000/9949/042046/G_042046_P_906153862.adn.gif</t>
  </si>
  <si>
    <t>Leopold, Dietmar, Karosseriefachbetrieb • St. Stefan • Kärnten</t>
  </si>
  <si>
    <t>Karosseriebau, Kfz-Werkstätte, Lackierereien • Leopold, Dietmar, Rotkogelstraße 2, St. Stefan • Kontakt über aktuelle Telefonnummern ☎ und Adressen ⚑ mit Karte, Routing, Öffnungszeiten, Homepage, E-Mail, vCard und Firmendaten.</t>
  </si>
  <si>
    <t>Rotkogelstraße 2</t>
  </si>
  <si>
    <t>46.81112</t>
  </si>
  <si>
    <t>14.85039</t>
  </si>
  <si>
    <t>+43435223100</t>
  </si>
  <si>
    <t>+43435223105</t>
  </si>
  <si>
    <t>fa.leopold@aon.at</t>
  </si>
  <si>
    <t>https://bilder.dasschnelle.at/DasSchnelle/50/5000/9949/042046/G_042046_P_906153866.adn.gif</t>
  </si>
  <si>
    <t>Wohnkeramik Pichler GmbH, Fliesen • St. Paul im Lavanttal • Kärnten</t>
  </si>
  <si>
    <t>Fliesenfachhandel • Wohnkeramik Pichler GmbH, Bahnhofstraße 11, St. Paul im Lavanttal • Kontakt über aktuelle Telefonnummern ☎ und Adressen ⚑ mit Karte, Routing, Öffnungszeiten, Homepage, E-Mail, vCard und Firmendaten.</t>
  </si>
  <si>
    <t>46.7063516</t>
  </si>
  <si>
    <t>14.8667970</t>
  </si>
  <si>
    <t>+4343573455</t>
  </si>
  <si>
    <t>+434357345555</t>
  </si>
  <si>
    <t>info@wohnkeramik.com</t>
  </si>
  <si>
    <t>https://bilder.dasschnelle.at/DasSchnelle/50/5000/9949/042045/I_042045_P_906153871_L_0036003158_1.png</t>
  </si>
  <si>
    <t>https://bilder.dasschnelle.at/DasSchnelle/50/5000/9949/042045/I_042045_P_906153871_B_0036003158_1.gal.png?height=363&amp;width=500;https://bilder.dasschnelle.at/DasSchnelle/50/5000/9949/042045/I_042045_P_906153871_B_0036003158_2.gal.png?height=483&amp;width=624;https://bilder.dasschnelle.at/DasSchnelle/50/5000/9949/042045/I_042045_P_906153871_B_0036003158_3.gal.png?height=600&amp;width=800;https://bilder.dasschnelle.at/DasSchnelle/50/5000/9949/042045/I_042045_P_906153871_B_0036003158_4.gal.png?height=363&amp;width=500</t>
  </si>
  <si>
    <t>Jöbstl Haustechnik GmbH • St. Stefan • Kärnten</t>
  </si>
  <si>
    <t>Haustechnik • Jöbstl Haustechnik GmbH, Hauptstraße 11, St. Stefan • Kontakt über aktuelle Telefonnummern ☎ und Adressen ⚑ mit Karte, Routing, Öffnungszeiten, Homepage, E-Mail, vCard und Firmendaten.</t>
  </si>
  <si>
    <t>46.8106</t>
  </si>
  <si>
    <t>14.85055</t>
  </si>
  <si>
    <t>+43435240570;+436504977238</t>
  </si>
  <si>
    <t>+434352405722</t>
  </si>
  <si>
    <t>office@joebstl-gmbh.at</t>
  </si>
  <si>
    <t>https://bilder.dasschnelle.at/DasSchnelle/50/5000/9949/042046/G_042046_P_906153953.adn.gif</t>
  </si>
  <si>
    <t>Joham, Günther, Dachdecker • Wolfsberg • Kärnten</t>
  </si>
  <si>
    <t>Dachdeckereien • Joham, Günther, Grahofferstraße 11 A, Wolfsberg • Kontakt über aktuelle Telefonnummern ☎ und Adressen ⚑ mit Karte, Routing, Öffnungszeiten, Homepage, E-Mail, vCard und Firmendaten.</t>
  </si>
  <si>
    <t>Grahofferstraße 11 A</t>
  </si>
  <si>
    <t>46.8505533</t>
  </si>
  <si>
    <t>14.8369024</t>
  </si>
  <si>
    <t>+436644456902</t>
  </si>
  <si>
    <t>info@betz-daecher.at</t>
  </si>
  <si>
    <t>https://bilder.dasschnelle.at/DasSchnelle/50/5000/9949/042046/G_042046_P_906153957.adn.gif</t>
  </si>
  <si>
    <t>Grabner Thomas Kieswerk u. Recycling GmbH • Oberwang • Oberösterreich</t>
  </si>
  <si>
    <t>Kieswerke, Recycling • Grabner Thomas Kieswerk u. Recycling GmbH, Grossenschwandt 24, Oberwang • Kontakt über aktuelle Telefonnummern ☎ und Adressen ⚑ mit Karte, Routing, Öffnungszeiten, Homepage, E-Mail, vCard und Firmendaten.</t>
  </si>
  <si>
    <t>Grossenschwandt 24</t>
  </si>
  <si>
    <t>47.8761377</t>
  </si>
  <si>
    <t>13.4138884</t>
  </si>
  <si>
    <t>+4362338532</t>
  </si>
  <si>
    <t>office@grabner-kieswerk.at</t>
  </si>
  <si>
    <t>https://bilder.dasschnelle.at/DasSchnelle/50/5000/9909/043087/G_043087_P_906153962.adn.gif</t>
  </si>
  <si>
    <t>Heise RegioConcept GmbH &amp; Co. KG, Werbeagentur • Wels • Oberösterreich</t>
  </si>
  <si>
    <t>Verlagsanstalten, Werbeagenturen • Heise RegioConcept GmbH &amp; Co. KG, Franz-Fritsch-Straße 11, Wels • Kontakt über aktuelle Telefonnummern ☎ und Adressen ⚑ mit Karte, Routing, Öffnungszeiten, Homepage, E-Mail, vCard und Firmendaten.</t>
  </si>
  <si>
    <t>+43724220883000</t>
  </si>
  <si>
    <t>+43724220883090</t>
  </si>
  <si>
    <t>info@heise.at</t>
  </si>
  <si>
    <t>https://bilder.dasschnelle.at/DasSchnelle/50/5000/9945/044547/I_044547_P_906154239_L_0001717165_1.png</t>
  </si>
  <si>
    <t>https://bilder.dasschnelle.at/DasSchnelle/50/5000/9945/044547/I_044547_P_906154239_B_0001717165_1.gal.png?height=337&amp;width=720;https://bilder.dasschnelle.at/DasSchnelle/50/5000/9945/044547/I_044547_P_906154239_B_0001717165_2.gal.png?height=389&amp;width=720;https://bilder.dasschnelle.at/DasSchnelle/50/5000/9945/044547/I_044547_P_906154239_B_0001717165_3.gal.png?height=323&amp;width=720;https://bilder.dasschnelle.at/DasSchnelle/50/5000/9945/044547/I_044547_P_906154239_B_0001717165_4.gal.png?height=268&amp;width=720</t>
  </si>
  <si>
    <t>Van Mierlo, Romana, Mag., Psychologin • Hainfeld • Niederösterreich</t>
  </si>
  <si>
    <t>Psychologie • Van Mierlo, Romana, Mag., Ramsauer Straße 17, Hainfeld • Kontakt über aktuelle Telefonnummern ☎ und Adressen ⚑ mit Karte, Routing, Öffnungszeiten, Homepage, E-Mail, vCard und Firmendaten.</t>
  </si>
  <si>
    <t>Ramsauer Straße 17</t>
  </si>
  <si>
    <t>48.03209</t>
  </si>
  <si>
    <t>15.77454</t>
  </si>
  <si>
    <t>+4366499023600</t>
  </si>
  <si>
    <t>r.van.mierlo@psychologenteam.at</t>
  </si>
  <si>
    <t>https://bilder.dasschnelle.at/DasSchnelle/50/5000/9906/041518/I_041518_P_906155382_L_0036000331_1.png</t>
  </si>
  <si>
    <t>https://bilder.dasschnelle.at/DasSchnelle/50/5000/9906/041518/I_041518_P_906155382_B_0036000331_1.gal.png?height=281&amp;width=462;https://bilder.dasschnelle.at/DasSchnelle/50/5000/9906/041518/I_041518_P_906155382_B_0036000331_2.gal.png?height=416&amp;width=624;https://bilder.dasschnelle.at/DasSchnelle/50/5000/9906/041518/I_041518_P_906155382_B_0036000331_3.gal.png?height=416&amp;width=624;https://bilder.dasschnelle.at/DasSchnelle/50/5000/9906/041518/I_041518_P_906155382_B_0036000331_4.gal.png?height=480&amp;width=720;https://bilder.dasschnelle.at/DasSchnelle/50/5000/9906/041518/G_041518_P_906155382.adn.gif</t>
  </si>
  <si>
    <t>Trummer, Michaela, Dr., Dermatologie • Deutschfeistritz • Steiermark</t>
  </si>
  <si>
    <t>Ärzte / Fachärzte f. Haut u. Geschlechtskrankheiten • Trummer, Michaela, Dr., Feldgasse 2, Deutschfeistritz • Kontakt über aktuelle Telefonnummern ☎ und Adressen ⚑ mit Karte, Routing, Öffnungszeiten, Homepage, E-Mail, vCard und Firmendaten.</t>
  </si>
  <si>
    <t>Feldgasse 2</t>
  </si>
  <si>
    <t>47.1991400</t>
  </si>
  <si>
    <t>15.3377100</t>
  </si>
  <si>
    <t>+436765388467</t>
  </si>
  <si>
    <t>https://bilder.dasschnelle.at/DasSchnelle/50/5000/9883/998314/G_998314_P_906155386.adn.gif</t>
  </si>
  <si>
    <t>Zwittnig, Elisabeth, Dr.med., FA f Augenheilkunde u Optometrie • Straßengel • Steiermark</t>
  </si>
  <si>
    <t>Ärzte / Fachärzte f. Augenheilkunde u. Optometrie • Zwittnig, Elisabeth, Dr.med., Plankenwartherstraße 6, Straßengel • Kontakt über aktuelle Telefonnummern ☎ und Adressen ⚑ mit Karte, Routing, Öffnungszeiten, Homepage, E-Mail, vCard und Firmendaten.</t>
  </si>
  <si>
    <t>Plankenwartherstraße 6</t>
  </si>
  <si>
    <t>47.11206</t>
  </si>
  <si>
    <t>15.33436</t>
  </si>
  <si>
    <t>+4331245338033;+436644605161</t>
  </si>
  <si>
    <t>https://bilder.dasschnelle.at/DasSchnelle/50/5000/9883/061359/G_061359_P_906155389.adn.gif</t>
  </si>
  <si>
    <t>SHIATSU PRAXIS, Shiatsu • Gratwein • Steiermark</t>
  </si>
  <si>
    <t>Shiatsu • SHIATSU PRAXIS, Stallhofstraße 27, Gratwein • Kontakt über aktuelle Telefonnummern ☎ und Adressen ⚑ mit Karte, Routing, Öffnungszeiten, Homepage, E-Mail, vCard und Firmendaten.</t>
  </si>
  <si>
    <t>Stallhofstraße 27</t>
  </si>
  <si>
    <t>47.12469</t>
  </si>
  <si>
    <t>15.31848</t>
  </si>
  <si>
    <t>+436763201990</t>
  </si>
  <si>
    <t>office@shiatsu-christoefl.at</t>
  </si>
  <si>
    <t>https://bilder.dasschnelle.at/DasSchnelle/50/5000/9883/061359/G_061359_P_906155393.adn.gif</t>
  </si>
  <si>
    <t>Dr. David Dekovits, Allgemeine Zahnheilkunde • Hollabrunn • Niederösterreich</t>
  </si>
  <si>
    <t>Ärzte / Fachärzte f. Zahn-, Mund u. Kieferheilkunde • Dr. David Dekovits, Birkenweg 1, Hollabrunn • Kontakt über aktuelle Telefonnummern ☎ und Adressen ⚑ mit Karte, Routing, Öffnungszeiten, Homepage, E-Mail, vCard und Firmendaten.</t>
  </si>
  <si>
    <t>Birkenweg 1</t>
  </si>
  <si>
    <t>48.55613</t>
  </si>
  <si>
    <t>16.08839</t>
  </si>
  <si>
    <t>+4329522952</t>
  </si>
  <si>
    <t>ordination@micek-dekovics.at</t>
  </si>
  <si>
    <t>https://bilder.dasschnelle.at/DasSchnelle/50/5000/9892/045551/G_045551_P_906156552.adn.gif</t>
  </si>
  <si>
    <t>Dr. Beate Micek-Dekovics, Vertragskieferorthopädin • Hollabrunn • Niederösterreich</t>
  </si>
  <si>
    <t>Ärzte / Fachärzte f. Zahn-, Mund u. Kieferheilkunde • Dr. Beate Micek-Dekovics, Birkenweg 1, Hollabrunn • Kontakt über aktuelle Telefonnummern ☎ und Adressen ⚑ mit Karte, Routing, Öffnungszeiten, Homepage, E-Mail, vCard und Firmendaten.</t>
  </si>
  <si>
    <t>+43295234111</t>
  </si>
  <si>
    <t>https://bilder.dasschnelle.at/DasSchnelle/50/5000/9892/045551/G_045551_P_906156554.adn.gif</t>
  </si>
  <si>
    <t>Gasthof Greif • Landeck • Tirol</t>
  </si>
  <si>
    <t>Gastgewerbe - Gasthöfe, Hotels • Gasthof Greif, Marktplatz 6, Landeck • Kontakt über aktuelle Telefonnummern ☎ und Adressen ⚑ mit Karte, Routing, Öffnungszeiten, Homepage, E-Mail, vCard und Firmendaten.</t>
  </si>
  <si>
    <t>47.1389</t>
  </si>
  <si>
    <t>10.567</t>
  </si>
  <si>
    <t>+43544262268</t>
  </si>
  <si>
    <t>info@gasthof-greif.at</t>
  </si>
  <si>
    <t>https://bilder.dasschnelle.at/DasSchnelle/50/5000/9903/044584/G_044584_P_906156559.adn.gif</t>
  </si>
  <si>
    <t>Seibert-Schwarz, Dorit, Mag., Tierärzte • Nappersdorf • Niederösterreich</t>
  </si>
  <si>
    <t>Tierärzte • Seibert-Schwarz, Dorit, Mag., Nappersdorf 10, Nappersdorf • Kontakt über aktuelle Telefonnummern ☎ und Adressen ⚑ mit Karte, Routing, Öffnungszeiten, Homepage, E-Mail, vCard und Firmendaten.</t>
  </si>
  <si>
    <t>Nappersdorf 10</t>
  </si>
  <si>
    <t>2023</t>
  </si>
  <si>
    <t>Nappersdorf</t>
  </si>
  <si>
    <t>48.6279874</t>
  </si>
  <si>
    <t>16.1876128</t>
  </si>
  <si>
    <t>+4329532221</t>
  </si>
  <si>
    <t>seibertschwarz@aon.at</t>
  </si>
  <si>
    <t>https://bilder.dasschnelle.at/DasSchnelle/50/5000/9892/045554/I_045554_P_906156562_L_0036031524_1.png</t>
  </si>
  <si>
    <t>https://bilder.dasschnelle.at/DasSchnelle/50/5000/9892/045554/I_045554_P_906156562_B_0036031524_1.gal.png?height=506&amp;width=480;https://bilder.dasschnelle.at/DasSchnelle/50/5000/9892/045554/I_045554_P_906156562_B_0036031524_2.gal.png?height=467&amp;width=480;https://bilder.dasschnelle.at/DasSchnelle/50/5000/9892/045554/I_045554_P_906156562_B_0036031524_3.gal.png?height=378&amp;width=500;https://bilder.dasschnelle.at/DasSchnelle/50/5000/9892/045554/I_045554_P_906156562_B_0036031524_4.gal.png?height=299&amp;width=720</t>
  </si>
  <si>
    <t>Wasicek, Stefan, Ing., BEZ. Rauchfangkehrermeister • Ottensheim • Oberösterreich</t>
  </si>
  <si>
    <t>Rauchfangkehrer • Wasicek, Stefan, Ing., Am Hochgatter 1, Ottensheim • Kontakt über aktuelle Telefonnummern ☎ und Adressen ⚑ mit Karte, Routing, Öffnungszeiten, Homepage, E-Mail, vCard und Firmendaten.</t>
  </si>
  <si>
    <t>Am Hochgatter 1</t>
  </si>
  <si>
    <t>48.33597</t>
  </si>
  <si>
    <t>14.1687</t>
  </si>
  <si>
    <t>+43723482579;+436505214608</t>
  </si>
  <si>
    <t>rauchfangkehrer@ottensheim.at</t>
  </si>
  <si>
    <t>https://bilder.dasschnelle.at/DasSchnelle/50/5000/9939/043056/G_043056_P_906156563.adn.gif</t>
  </si>
  <si>
    <t>Tischlerei &amp; Fenstertechnik Golger • St. Andrä • Kärnten</t>
  </si>
  <si>
    <t>Fenster u. Türen, Tischlereien • Tischlerei &amp; Fenstertechnik Golger, Framrach 38, St. Andrä • Kontakt über aktuelle Telefonnummern ☎ und Adressen ⚑ mit Karte, Routing, Öffnungszeiten, Homepage, E-Mail, vCard und Firmendaten.</t>
  </si>
  <si>
    <t>Framrach 38</t>
  </si>
  <si>
    <t>46.7458540</t>
  </si>
  <si>
    <t>14.8192833</t>
  </si>
  <si>
    <t>+43435855371</t>
  </si>
  <si>
    <t>tischlerei@golger.com</t>
  </si>
  <si>
    <t>https://bilder.dasschnelle.at/DasSchnelle/50/5000/9949/042043/I_042043_P_906156569_L_0036032583_1.png</t>
  </si>
  <si>
    <t>https://bilder.dasschnelle.at/DasSchnelle/50/5000/9949/042043/I_042043_P_906156569_B_0036032583_1.gal.png?height=250&amp;width=600;https://bilder.dasschnelle.at/DasSchnelle/50/5000/9949/042043/I_042043_P_906156569_B_0036032583_2.gal.png?height=250&amp;width=600;https://bilder.dasschnelle.at/DasSchnelle/50/5000/9949/042043/I_042043_P_906156569_B_0036032583_3.gal.png?height=327&amp;width=720;https://bilder.dasschnelle.at/DasSchnelle/50/5000/9949/042043/I_042043_P_906156569_B_0036032583_4.gal.png?height=480&amp;width=720</t>
  </si>
  <si>
    <t>Maier, Jürgen Michael, Rauchfangkehrermeister • Wolfsberg • Kärnten</t>
  </si>
  <si>
    <t>Rauchfangkehrer • Maier, Jürgen Michael, Herrengasse 6, Wolfsberg • Kontakt über aktuelle Telefonnummern ☎ und Adressen ⚑ mit Karte, Routing, Öffnungszeiten, Homepage, E-Mail, vCard und Firmendaten.</t>
  </si>
  <si>
    <t>46.83962</t>
  </si>
  <si>
    <t>14.84219</t>
  </si>
  <si>
    <t>+4343522658;+4369912658000</t>
  </si>
  <si>
    <t>office@123-rauchfangkehrer.at</t>
  </si>
  <si>
    <t>https://bilder.dasschnelle.at/DasSchnelle/50/5000/9949/042046/G_042046_P_906156573.adn.gif</t>
  </si>
  <si>
    <t>Ebner, Erich, Reinigungstechnik • Wolfsberg • Kärnten</t>
  </si>
  <si>
    <t>Reinigungsanstalten • Ebner, Erich, Vorderwölchstraße 15, Wolfsberg • Kontakt über aktuelle Telefonnummern ☎ und Adressen ⚑ mit Karte, Routing, Öffnungszeiten, Homepage, E-Mail, vCard und Firmendaten.</t>
  </si>
  <si>
    <t>Vorderwölchstraße 15</t>
  </si>
  <si>
    <t>46.8579089</t>
  </si>
  <si>
    <t>14.8408202</t>
  </si>
  <si>
    <t>+4369918073336</t>
  </si>
  <si>
    <t>office@erichebner.at</t>
  </si>
  <si>
    <t>https://bilder.dasschnelle.at/DasSchnelle/50/5000/9949/042046/G_042046_P_906156576.adn.gif</t>
  </si>
  <si>
    <t>Pizzeria Paolo • Wolfsberg • Kärnten</t>
  </si>
  <si>
    <t>Pizzerias • Pizzeria Paolo, Bahnhofplatz 2, Wolfsberg • Kontakt über aktuelle Telefonnummern ☎ und Adressen ⚑ mit Karte, Routing, Öffnungszeiten, Homepage, E-Mail, vCard und Firmendaten.</t>
  </si>
  <si>
    <t>Bahnhofplatz 2</t>
  </si>
  <si>
    <t>46.84185</t>
  </si>
  <si>
    <t>14.83858</t>
  </si>
  <si>
    <t>+4343522508</t>
  </si>
  <si>
    <t>anita.koller@gmx.at</t>
  </si>
  <si>
    <t>https://bilder.dasschnelle.at/DasSchnelle/50/5000/9949/042046/I_042046_P_906156578_L_0036003097_1.png</t>
  </si>
  <si>
    <t>https://bilder.dasschnelle.at/DasSchnelle/50/5000/9949/042046/I_042046_P_906156578_B_0036003097_1.gal.png?height=233&amp;width=350;https://bilder.dasschnelle.at/DasSchnelle/50/5000/9949/042046/I_042046_P_906156578_B_0036003097_2.gal.png?height=1667&amp;width=2501;https://bilder.dasschnelle.at/DasSchnelle/50/5000/9949/042046/I_042046_P_906156578_B_0036003097_3.gal.png?height=711&amp;width=624;https://bilder.dasschnelle.at/DasSchnelle/50/5000/9949/042046/I_042046_P_906156578_B_0036003097_4.gal.png?height=411&amp;width=624</t>
  </si>
  <si>
    <t>Waxenegger, Gerald, Hafnermeister • Gußwerk • Steiermark</t>
  </si>
  <si>
    <t>Hafner • Waxenegger, Gerald, Feldspitz 4, Gußwerk • Kontakt über aktuelle Telefonnummern ☎ und Adressen ⚑ mit Karte, Routing, Öffnungszeiten, Homepage, E-Mail, vCard und Firmendaten.</t>
  </si>
  <si>
    <t>Feldspitz 4</t>
  </si>
  <si>
    <t>47.73423</t>
  </si>
  <si>
    <t>15.29362</t>
  </si>
  <si>
    <t>+436649179050</t>
  </si>
  <si>
    <t>office@kachelofen123.at</t>
  </si>
  <si>
    <t>https://bilder.dasschnelle.at/DasSchnelle/50/5000/9906/061453/G_061453_P_906155416.adn.gif</t>
  </si>
  <si>
    <t>Bestattung A. &amp; J. Kos GmbH • Wolfsberg • Kärnten</t>
  </si>
  <si>
    <t>Bestattungsunternehmen • Bestattung A. &amp; J. Kos GmbH, Krankenhausstraße 2 A, Wolfsberg • Kontakt über aktuelle Telefonnummern ☎ und Adressen ⚑ mit Karte, Routing, Öffnungszeiten, Homepage, E-Mail, vCard und Firmendaten.</t>
  </si>
  <si>
    <t>Krankenhausstraße 2 A</t>
  </si>
  <si>
    <t>+43435824144;+436502429898</t>
  </si>
  <si>
    <t>+43435235091</t>
  </si>
  <si>
    <t>wolfsberg@bestattung-kos.at</t>
  </si>
  <si>
    <t>https://bilder.dasschnelle.at/DasSchnelle/50/5000/9949/042046/I_042046_P_906155492_L_0035994056_1.png</t>
  </si>
  <si>
    <t>https://bilder.dasschnelle.at/DasSchnelle/50/5000/9949/042046/I_042046_P_906155492_B_0035994056_1.gal.png?height=562&amp;width=750;https://bilder.dasschnelle.at/DasSchnelle/50/5000/9949/042046/I_042046_P_906155492_B_0035994056_2.gal.png?height=562&amp;width=750;https://bilder.dasschnelle.at/DasSchnelle/50/5000/9949/042046/I_042046_P_906155492_B_0035994056_3.gal.png?height=562&amp;width=750;https://bilder.dasschnelle.at/DasSchnelle/50/5000/9949/042046/I_042046_P_906155492_B_0035994056_4.gal.png?height=562&amp;width=750</t>
  </si>
  <si>
    <t>Obrietan Stefan Installationen GmbH • Wolfsberg • Kärnten</t>
  </si>
  <si>
    <t>Installationsunternehmen • Obrietan Stefan Installationen GmbH, Schwalbenweg 10, Wolfsberg • Kontakt über aktuelle Telefonnummern ☎ und Adressen ⚑ mit Karte, Routing, Öffnungszeiten, Homepage, E-Mail, vCard und Firmendaten.</t>
  </si>
  <si>
    <t>Schwalbenweg 10</t>
  </si>
  <si>
    <t>46.82209</t>
  </si>
  <si>
    <t>14.83589</t>
  </si>
  <si>
    <t>+43435251641</t>
  </si>
  <si>
    <t>office@installation-obrietan.at</t>
  </si>
  <si>
    <t>https://bilder.dasschnelle.at/DasSchnelle/50/5000/9949/042046/I_042046_P_906155420_L_0035993724_1.png</t>
  </si>
  <si>
    <t>https://bilder.dasschnelle.at/DasSchnelle/50/5000/9949/042046/I_042046_P_906155420_B_0035993724_1.gal.png?height=334&amp;width=500;https://bilder.dasschnelle.at/DasSchnelle/50/5000/9949/042046/I_042046_P_906155420_B_0035993724_2.gal.png?height=414&amp;width=624;https://bilder.dasschnelle.at/DasSchnelle/50/5000/9949/042046/I_042046_P_906155420_B_0035993724_3.gal.png?height=305&amp;width=624;https://bilder.dasschnelle.at/DasSchnelle/50/5000/9949/042046/I_042046_P_906155420_B_0035993724_4.gal.png?height=334&amp;width=500</t>
  </si>
  <si>
    <t>Schifferl, Martin, Steinmetzbetriebe • Wolfsberg • Kärnten</t>
  </si>
  <si>
    <t>Steinmetzbetriebe • Schifferl, Martin, 10.-Oktober-Straße 3, Wolfsberg • Kontakt über aktuelle Telefonnummern ☎ und Adressen ⚑ mit Karte, Routing, Öffnungszeiten, Homepage, E-Mail, vCard und Firmendaten.</t>
  </si>
  <si>
    <t>10.-Oktober-Straße 3</t>
  </si>
  <si>
    <t>46.83144</t>
  </si>
  <si>
    <t>14.84279</t>
  </si>
  <si>
    <t>+4343522298</t>
  </si>
  <si>
    <t>+43435251440</t>
  </si>
  <si>
    <t>office@schifferl.com</t>
  </si>
  <si>
    <t>https://bilder.dasschnelle.at/DasSchnelle/50/5000/9949/042046/I_042046_P_906155424_L_0036003128_1.png</t>
  </si>
  <si>
    <t>https://bilder.dasschnelle.at/DasSchnelle/50/5000/9949/042046/I_042046_P_906155424_B_0036003128_1.gal.png?height=361&amp;width=640;https://bilder.dasschnelle.at/DasSchnelle/50/5000/9949/042046/I_042046_P_906155424_B_0036003128_2.gal.png?height=362&amp;width=640;https://bilder.dasschnelle.at/DasSchnelle/50/5000/9949/042046/I_042046_P_906155424_B_0036003128_3.gal.png?height=419&amp;width=640;https://bilder.dasschnelle.at/DasSchnelle/50/5000/9949/042046/I_042046_P_906155424_B_0036003128_4.gal.png?height=462&amp;width=640</t>
  </si>
  <si>
    <t>Pichler, Agnes, Gärtnerei • Wolfsberg • Kärnten</t>
  </si>
  <si>
    <t>Gärtnereien • Pichler, Agnes, Hügelweg 4, Wolfsberg • Kontakt über aktuelle Telefonnummern ☎ und Adressen ⚑ mit Karte, Routing, Öffnungszeiten, Homepage, E-Mail, vCard und Firmendaten.</t>
  </si>
  <si>
    <t>Hügelweg 4</t>
  </si>
  <si>
    <t>46.8293338</t>
  </si>
  <si>
    <t>14.833325</t>
  </si>
  <si>
    <t>+43435236082</t>
  </si>
  <si>
    <t>hubertpichler@drei.at</t>
  </si>
  <si>
    <t>https://bilder.dasschnelle.at/DasSchnelle/50/5000/9949/042046/G_042046_P_906155426.adn.gif</t>
  </si>
  <si>
    <t>Brandner-Stabauer, Tischlerei • Mondsee • Oberösterreich</t>
  </si>
  <si>
    <t>Tischlereien • Brandner-Stabauer, Schwarzindien 92, Mondsee • Kontakt über aktuelle Telefonnummern ☎ und Adressen ⚑ mit Karte, Routing, Öffnungszeiten, Homepage, E-Mail, vCard und Firmendaten.</t>
  </si>
  <si>
    <t>Schwarzindien 92</t>
  </si>
  <si>
    <t>47.8381</t>
  </si>
  <si>
    <t>13.34863</t>
  </si>
  <si>
    <t>+4362324553</t>
  </si>
  <si>
    <t>info@brandner-stabauer.at</t>
  </si>
  <si>
    <t>https://bilder.dasschnelle.at/DasSchnelle/50/5000/9909/043101/G_043101_P_906156421.adn.gif</t>
  </si>
  <si>
    <t>Horvath, Brigitte, Dipl-Tierarzt, Tierärzte • Michelhausen • Niederösterreich</t>
  </si>
  <si>
    <t>Tierärzte • Horvath, Brigitte, Dipl-Tierarzt, Tullnerstraße 20, Michelhausen • Kontakt über aktuelle Telefonnummern ☎ und Adressen ⚑ mit Karte, Routing, Öffnungszeiten, Homepage, E-Mail, vCard und Firmendaten.</t>
  </si>
  <si>
    <t>Tullnerstraße 20</t>
  </si>
  <si>
    <t>48.28983</t>
  </si>
  <si>
    <t>15.94167</t>
  </si>
  <si>
    <t>+43227520088</t>
  </si>
  <si>
    <t>tierarzt.horvath@aon.at</t>
  </si>
  <si>
    <t>https://bilder.dasschnelle.at/DasSchnelle/50/5000/9938/044243/G_044243_P_906155361.adn.gif</t>
  </si>
  <si>
    <t>Steger, Cornelia, Mag., Psychologische Praxis • Marktl • Niederösterreich</t>
  </si>
  <si>
    <t>Psychologie • Steger, Cornelia, Mag., Prefastraße 15, Marktl • Kontakt über aktuelle Telefonnummern ☎ und Adressen ⚑ mit Karte, Routing, Öffnungszeiten, Homepage, E-Mail, vCard und Firmendaten.</t>
  </si>
  <si>
    <t>Prefastraße 15</t>
  </si>
  <si>
    <t>Marktl</t>
  </si>
  <si>
    <t>48.02354</t>
  </si>
  <si>
    <t>15.60138</t>
  </si>
  <si>
    <t>+43276255115</t>
  </si>
  <si>
    <t>+4327625511514</t>
  </si>
  <si>
    <t>cornelia.steger@aon.at</t>
  </si>
  <si>
    <t>https://bilder.dasschnelle.at/DasSchnelle/50/5000/9906/041522/G_041522_P_906156445.adn.gif</t>
  </si>
  <si>
    <t>Kreativ-Keramik Peham GmbH, Hafnermeister • Saxen • Oberösterreich</t>
  </si>
  <si>
    <t>Kachelöfen • Kreativ-Keramik Peham GmbH, Saxen 153, Saxen • Kontakt über aktuelle Telefonnummern ☎ und Adressen ⚑ mit Karte, Routing, Öffnungszeiten, Homepage, E-Mail, vCard und Firmendaten.</t>
  </si>
  <si>
    <t>Saxen 153</t>
  </si>
  <si>
    <t>4351</t>
  </si>
  <si>
    <t>Saxen</t>
  </si>
  <si>
    <t>48.2115868</t>
  </si>
  <si>
    <t>14.7873844</t>
  </si>
  <si>
    <t>+4372696017</t>
  </si>
  <si>
    <t>office@kreativ-keramik.co.at</t>
  </si>
  <si>
    <t>https://bilder.dasschnelle.at/DasSchnelle/50/5000/9916/042535/G_042535_P_906155519.adn.gif</t>
  </si>
  <si>
    <t>Ruf, Martina, Dr., Ärzte / Fachärzte f Neurologie u Psychiatrie • Hollabrunn • Niederösterreich</t>
  </si>
  <si>
    <t>Ärzte / Fachärzte f. Neurologie u. Psychiatrie • Ruf, Martina, Dr., Sparkassegasse 36, Hollabrunn • Kontakt über aktuelle Telefonnummern ☎ und Adressen ⚑ mit Karte, Routing, Öffnungszeiten, Homepage, E-Mail, vCard und Firmendaten.</t>
  </si>
  <si>
    <t>Sparkassegasse 36</t>
  </si>
  <si>
    <t>+4329524697</t>
  </si>
  <si>
    <t>ruf.neuro@aon.at</t>
  </si>
  <si>
    <t>https://bilder.dasschnelle.at/DasSchnelle/50/5000/9892/045551/G_045551_P_906157516.adn.gif</t>
  </si>
  <si>
    <t>Greenservice Rosenfelder, Garten- u Landschaftspflege • Wolfsberg • Kärnten</t>
  </si>
  <si>
    <t>Garten- u. Landschaftspflege • Greenservice Rosenfelder, Industriestraße 18, Wolfsberg • Kontakt über aktuelle Telefonnummern ☎ und Adressen ⚑ mit Karte, Routing, Öffnungszeiten, Homepage, E-Mail, vCard und Firmendaten.</t>
  </si>
  <si>
    <t>+436643001186</t>
  </si>
  <si>
    <t>gartendoc@hotmail.com</t>
  </si>
  <si>
    <t>https://bilder.dasschnelle.at/DasSchnelle/50/5000/9949/042046/I_042046_P_906157522_L_0036177594_1.png</t>
  </si>
  <si>
    <t>https://bilder.dasschnelle.at/DasSchnelle/50/5000/9949/042046/I_042046_P_906157522_B_0036177594_1.gal.png?height=720&amp;width=533;https://bilder.dasschnelle.at/DasSchnelle/50/5000/9949/042046/I_042046_P_906157522_B_0036177594_2.gal.png?height=540&amp;width=720;https://bilder.dasschnelle.at/DasSchnelle/50/5000/9949/042046/I_042046_P_906157522_B_0036177594_3.gal.png?height=540&amp;width=720;https://bilder.dasschnelle.at/DasSchnelle/50/5000/9949/042046/I_042046_P_906157522_B_0036177594_4.gal.png?height=720&amp;width=720</t>
  </si>
  <si>
    <t>Fotografie Gutschi • Wolfsberg • Kärnten</t>
  </si>
  <si>
    <t>Fotografen • Fotografie Gutschi, Getreidemarkt 2, Wolfsberg • Kontakt über aktuelle Telefonnummern ☎ und Adressen ⚑ mit Karte, Routing, Öffnungszeiten, Homepage, E-Mail, vCard und Firmendaten.</t>
  </si>
  <si>
    <t>Getreidemarkt 2</t>
  </si>
  <si>
    <t>46.8392</t>
  </si>
  <si>
    <t>14.84603</t>
  </si>
  <si>
    <t>+4343524333</t>
  </si>
  <si>
    <t>office@fotografie-gutschi.at</t>
  </si>
  <si>
    <t>https://bilder.dasschnelle.at/DasSchnelle/50/5000/9949/042046/G_042046_P_906157524.adn.gif</t>
  </si>
  <si>
    <t>Die Immobilien GmbH • Klosterneuburg • Niederösterreich</t>
  </si>
  <si>
    <t>Immobilien • Die Immobilien GmbH, Wiener Straße 134, Klosterneuburg • Kontakt über aktuelle Telefonnummern ☎ und Adressen ⚑ mit Karte, Routing, Öffnungszeiten, Homepage, E-Mail, vCard und Firmendaten.</t>
  </si>
  <si>
    <t>Wiener Straße 134</t>
  </si>
  <si>
    <t>48.29491</t>
  </si>
  <si>
    <t>16.3357</t>
  </si>
  <si>
    <t>+43224320618</t>
  </si>
  <si>
    <t>office@mcimmobilien.at</t>
  </si>
  <si>
    <t>https://bilder.dasschnelle.at/DasSchnelle/50/5000/9897/061492/I_061492_P_906157526_L_0035993092_1.png</t>
  </si>
  <si>
    <t>https://bilder.dasschnelle.at/DasSchnelle/50/5000/9897/061492/I_061492_P_906157526_B_0035993092_1.gal.png?height=690&amp;width=831;https://bilder.dasschnelle.at/DasSchnelle/50/5000/9897/061492/I_061492_P_906157526_B_0035993092_2.gal.png?height=851&amp;width=567;https://bilder.dasschnelle.at/DasSchnelle/50/5000/9897/061492/I_061492_P_906157526_B_0035993092_3.gal.png?height=614&amp;width=920</t>
  </si>
  <si>
    <t>Pöttler, Elisabeth, Dr., Zahn-, Mund- und Kieferheilkunde • Altenmarkt im Pongau • Salzburg</t>
  </si>
  <si>
    <t>Ärzte / Fachärzte f. Zahn-, Mund u. Kieferheilkunde • Pöttler, Elisabeth, Dr., Oberndorfer Straße 46, Altenmarkt im Pongau • Kontakt über aktuelle Telefonnummern ☎ und Adressen ⚑ mit Karte, Routing, Öffnungszeiten, Homepage, E-Mail, vCard und Firmendaten.</t>
  </si>
  <si>
    <t>Oberndorfer Straße 46</t>
  </si>
  <si>
    <t>47.3864</t>
  </si>
  <si>
    <t>13.41409</t>
  </si>
  <si>
    <t>+43645230217</t>
  </si>
  <si>
    <t>praxis@meine-zahnaerztin.info</t>
  </si>
  <si>
    <t>https://bilder.dasschnelle.at/DasSchnelle/50/5000/9919/998253/G_998253_P_906157528.adn.gif</t>
  </si>
  <si>
    <t>Auto Stranig GesmbH, Stranig-Ford Vertragswerkst, LKW-PKW-Reparatur • Feldkirchen in Kärnten • Kärnten</t>
  </si>
  <si>
    <t>Autohandel, Autoreparaturen, Lastkraftwagen, Transportunternehmen • Auto Stranig GesmbH, Stranig-Ford Vertragswerkst, Industriestraße 16, Feldkirchen in Kärnten • Kontakt über aktuelle Telefonnummern ☎ und Adressen ⚑ mit Karte, Routing, Öffnungszeiten, Homepage, E-Mail, vCard und Firmendaten.</t>
  </si>
  <si>
    <t>Industriestraße 16</t>
  </si>
  <si>
    <t>46.7194729</t>
  </si>
  <si>
    <t>14.1003192</t>
  </si>
  <si>
    <t>+4342763276;+436642139653;+436643046035</t>
  </si>
  <si>
    <t>+4342765747</t>
  </si>
  <si>
    <t>autostranig@aon.at</t>
  </si>
  <si>
    <t>https://bilder.dasschnelle.at/DasSchnelle/50/5000/9880/042048/I_042048_P_906157536_L_0035993922_1.png</t>
  </si>
  <si>
    <t>https://bilder.dasschnelle.at/DasSchnelle/50/5000/9880/042048/I_042048_P_906157536_B_0035993922_1.gal.png?height=540&amp;width=720;https://bilder.dasschnelle.at/DasSchnelle/50/5000/9880/042048/I_042048_P_906157536_B_0035993922_2.gal.png?height=540&amp;width=720;https://bilder.dasschnelle.at/DasSchnelle/50/5000/9880/042048/I_042048_P_906157536_B_0035993922_3.gal.png?height=454&amp;width=680;https://bilder.dasschnelle.at/DasSchnelle/50/5000/9880/042048/I_042048_P_906157536_B_0035993922_4.gal.png?height=540&amp;width=720</t>
  </si>
  <si>
    <t>Rauter, Heinz, Jagd u Fischerei • Feldkirchen • Kärnten</t>
  </si>
  <si>
    <t>Bekleidung, Jagd u. Fischerei • Rauter, Heinz, Kindergartenstraße 1, Feldkirchen • Kontakt über aktuelle Telefonnummern ☎ und Adressen ⚑ mit Karte, Routing, Öffnungszeiten, Homepage, E-Mail, vCard und Firmendaten.</t>
  </si>
  <si>
    <t>Kindergartenstraße 1</t>
  </si>
  <si>
    <t>46.7242735</t>
  </si>
  <si>
    <t>14.0890604</t>
  </si>
  <si>
    <t>+43427637374</t>
  </si>
  <si>
    <t>heinz.rauter@jagd-rauter.at</t>
  </si>
  <si>
    <t>https://bilder.dasschnelle.at/DasSchnelle/50/5000/9880/042048/G_042048_P_906157541.adn.gif</t>
  </si>
  <si>
    <t>Juen, Stefan, Tischlerei • Kappl • Tirol</t>
  </si>
  <si>
    <t>Tischlereien • Juen, Stefan, Holdernacher Au 548, Kappl • Kontakt über aktuelle Telefonnummern ☎ und Adressen ⚑ mit Karte, Routing, Öffnungszeiten, Homepage, E-Mail, vCard und Firmendaten.</t>
  </si>
  <si>
    <t>Holdernacher Au 548</t>
  </si>
  <si>
    <t>47.07147</t>
  </si>
  <si>
    <t>10.41585</t>
  </si>
  <si>
    <t>+436503181264</t>
  </si>
  <si>
    <t>juen.stefan@aon.at</t>
  </si>
  <si>
    <t>Reisinger, Georg, Tischlereien • Esternberg • Oberösterreich</t>
  </si>
  <si>
    <t>Tischlereien • Reisinger, Georg, Hauptstraße 109, Esternberg • Kontakt über aktuelle Telefonnummern ☎ und Adressen ⚑ mit Karte, Routing, Öffnungszeiten, Homepage, E-Mail, vCard und Firmendaten.</t>
  </si>
  <si>
    <t>Hauptstraße 109</t>
  </si>
  <si>
    <t>48.54282</t>
  </si>
  <si>
    <t>13.59191</t>
  </si>
  <si>
    <t>+4377146647</t>
  </si>
  <si>
    <t>office@tischlerei-reisinger-keg.at</t>
  </si>
  <si>
    <t>https://bilder.dasschnelle.at/DasSchnelle/50/5000/9926/042784/G_042784_P_906158630.adn.gif</t>
  </si>
  <si>
    <t>Dr. Petra Krames, Fachärztin für Gynäkologie und Geburtshilfe • Wels • Oberösterreich</t>
  </si>
  <si>
    <t>Ärzte / Fachärzte f. Frauenheilkunde u. Geburtshilfe • Dr. Petra Krames, Oberfeldstraße 54 2.OG, Wels • Kontakt über aktuelle Telefonnummern ☎ und Adressen ⚑ mit Karte, Routing, Öffnungszeiten, Homepage, E-Mail, vCard und Firmendaten.</t>
  </si>
  <si>
    <t>Oberfeldstraße 54 2.OG</t>
  </si>
  <si>
    <t>48.17505</t>
  </si>
  <si>
    <t>14.00366</t>
  </si>
  <si>
    <t>+4369911791440</t>
  </si>
  <si>
    <t>https://bilder.dasschnelle.at/DasSchnelle/50/5000/9945/044547/G_044547_P_906158632.adn.gif</t>
  </si>
  <si>
    <t>Ingrid Binder, Physiotherapeutin • Horn • Niederösterreich</t>
  </si>
  <si>
    <t>Physiotherapie • Ingrid Binder, Barbaraweg 13, Horn • Kontakt über aktuelle Telefonnummern ☎ und Adressen ⚑ mit Karte, Routing, Öffnungszeiten, Homepage, E-Mail, vCard und Firmendaten.</t>
  </si>
  <si>
    <t>Barbaraweg 13</t>
  </si>
  <si>
    <t>48.69082</t>
  </si>
  <si>
    <t>15.65224</t>
  </si>
  <si>
    <t>+436641104283</t>
  </si>
  <si>
    <t>https://bilder.dasschnelle.at/DasSchnelle/50/5000/9893/041392/G_041392_P_906158634.adn.gif</t>
  </si>
  <si>
    <t>S-MS Rechtsanwalt OG • Wien • Niederösterreich</t>
  </si>
  <si>
    <t>Rechtsanwälte • S-MS Rechtsanwalt OG, Döblinger Hauptstraße 68, Wien • Kontakt über aktuelle Telefonnummern ☎ und Adressen ⚑ mit Karte, Routing, Öffnungszeiten, Homepage, E-Mail, vCard und Firmendaten.</t>
  </si>
  <si>
    <t>Döblinger Hauptstraße 68</t>
  </si>
  <si>
    <t>48.6009843</t>
  </si>
  <si>
    <t>15.6598334</t>
  </si>
  <si>
    <t>+4313687403</t>
  </si>
  <si>
    <t>kanzlei@singer.or.at</t>
  </si>
  <si>
    <t>https://bilder.dasschnelle.at/DasSchnelle/50/5000/9893/041390/G_041390_P_906158636.adn.gif</t>
  </si>
  <si>
    <t>Weixlbaumer, Christian, KFZ Service • Linz • Oberösterreich</t>
  </si>
  <si>
    <t>Autoreparaturen • Weixlbaumer, Christian, Salzburger Straße 258, Linz • Kontakt über aktuelle Telefonnummern ☎ und Adressen ⚑ mit Karte, Routing, Öffnungszeiten, Homepage, E-Mail, vCard und Firmendaten.</t>
  </si>
  <si>
    <t>Salzburger Straße 258</t>
  </si>
  <si>
    <t>https://bilder.dasschnelle.at/DasSchnelle/50/5000/9939/042827/I_042829_P_906158638_L_0035999220_1.png</t>
  </si>
  <si>
    <t>https://bilder.dasschnelle.at/DasSchnelle/50/5000/9939/042827/I_042829_P_906158638_B_0035999220_1.gal.png?height=405&amp;width=720</t>
  </si>
  <si>
    <t>Wiborny, Rudolf, Dr., FA f Gynäkologie u Geburtshilfe • Horn • Niederösterreich</t>
  </si>
  <si>
    <t>Ärzte / Fachärzte f. Frauenheilkunde u. Geburtshilfe • Wiborny, Rudolf, Dr., Ing.-Karl-Proksch-Gasse 11, Horn • Kontakt über aktuelle Telefonnummern ☎ und Adressen ⚑ mit Karte, Routing, Öffnungszeiten, Homepage, E-Mail, vCard und Firmendaten.</t>
  </si>
  <si>
    <t>Ing.-Karl-Proksch-Gasse 11</t>
  </si>
  <si>
    <t>48.6609271</t>
  </si>
  <si>
    <t>15.6568253</t>
  </si>
  <si>
    <t>+43298231300</t>
  </si>
  <si>
    <t>info@gsundinhorn.at</t>
  </si>
  <si>
    <t>https://bilder.dasschnelle.at/DasSchnelle/50/5000/9893/041392/I_041392_P_906158640_L_0036006218_1.png</t>
  </si>
  <si>
    <t>https://bilder.dasschnelle.at/DasSchnelle/50/5000/9893/041392/I_041392_P_906158640_B_0036006218_1.gal.png?height=400&amp;width=596;https://bilder.dasschnelle.at/DasSchnelle/50/5000/9893/041392/I_041392_P_906158640_B_0036006218_2.gal.png?height=672&amp;width=720</t>
  </si>
  <si>
    <t>Lausch-Köpf, Alexandra, Dr., Fachärztin für Augenheilkunde u. Optometrie • Eggenburg • Niederösterreich</t>
  </si>
  <si>
    <t>Ärzte / Fachärzte f. Augenheilkunde u. Optometrie • Lausch-Köpf, Alexandra, Dr., Grätzl 5, Eggenburg • Kontakt über aktuelle Telefonnummern ☎ und Adressen ⚑ mit Karte, Routing, Öffnungszeiten, Homepage, E-Mail, vCard und Firmendaten.</t>
  </si>
  <si>
    <t>Grätzl 5</t>
  </si>
  <si>
    <t>+4329842613</t>
  </si>
  <si>
    <t>a-lausch@gmx.at</t>
  </si>
  <si>
    <t>https://bilder.dasschnelle.at/DasSchnelle/50/5000/9893/041389/G_041389_P_906158642.adn.gif</t>
  </si>
  <si>
    <t>Okcu, Aslihan, Dr., Ärzte / Fachärzte f Haut-u Geschlechtskrankheiten • Gratkorn • Steiermark</t>
  </si>
  <si>
    <t>Ärzte / Fachärzte f. Haut u. Geschlechtskrankheiten • Okcu, Aslihan, Dr., Grazer Straße 53, Gratkorn • Kontakt über aktuelle Telefonnummern ☎ und Adressen ⚑ mit Karte, Routing, Öffnungszeiten, Homepage, E-Mail, vCard und Firmendaten.</t>
  </si>
  <si>
    <t>Grazer Straße 53</t>
  </si>
  <si>
    <t>47.12699</t>
  </si>
  <si>
    <t>15.34762</t>
  </si>
  <si>
    <t>+43312425470</t>
  </si>
  <si>
    <t>ordinationokcu@gmx.at</t>
  </si>
  <si>
    <t>https://bilder.dasschnelle.at/DasSchnelle/50/5000/9883/042322/G_042322_P_906158643.adn.gif</t>
  </si>
  <si>
    <t>Köberl, Michaela, Praxis für Shiatsu • Frohnleiten • Steiermark</t>
  </si>
  <si>
    <t>Shiatsu • Köberl, Michaela, Roseggerhöhe 3, Frohnleiten • Kontakt über aktuelle Telefonnummern ☎ und Adressen ⚑ mit Karte, Routing, Öffnungszeiten, Homepage, E-Mail, vCard und Firmendaten.</t>
  </si>
  <si>
    <t>Roseggerhöhe 3</t>
  </si>
  <si>
    <t>47.27166</t>
  </si>
  <si>
    <t>15.32263</t>
  </si>
  <si>
    <t>+436642002652;+436642002652</t>
  </si>
  <si>
    <t>info@shiatsu-frohnleiten.at</t>
  </si>
  <si>
    <t>https://bilder.dasschnelle.at/DasSchnelle/50/5000/9883/061362/G_061362_P_906158647.adn.gif</t>
  </si>
  <si>
    <t>Kampl, Adolf, Heilmasseur • Freistadt • Oberösterreich</t>
  </si>
  <si>
    <t>Massagen • Kampl, Adolf, Kaplanstraße 11, Freistadt • Kontakt über aktuelle Telefonnummern ☎ und Adressen ⚑ mit Karte, Routing, Öffnungszeiten, Homepage, E-Mail, vCard und Firmendaten.</t>
  </si>
  <si>
    <t>Kaplanstraße 11</t>
  </si>
  <si>
    <t>48.49351</t>
  </si>
  <si>
    <t>14.50353</t>
  </si>
  <si>
    <t>+436508708838</t>
  </si>
  <si>
    <t>info@massage-kampl.at</t>
  </si>
  <si>
    <t>https://bilder.dasschnelle.at/DasSchnelle/50/5000/9882/044815/I_044815_P_906158650_L_0035970475_1.png</t>
  </si>
  <si>
    <t>https://bilder.dasschnelle.at/DasSchnelle/50/5000/9882/044815/I_044815_P_906158650_B_0035970475_1.gal.png?height=450&amp;width=600;https://bilder.dasschnelle.at/DasSchnelle/50/5000/9882/044815/I_044815_P_906158650_B_0035970475_2.gal.png?height=450&amp;width=600;https://bilder.dasschnelle.at/DasSchnelle/50/5000/9882/044815/I_044815_P_906158650_B_0035970475_3.gal.png?height=450&amp;width=600;https://bilder.dasschnelle.at/DasSchnelle/50/5000/9882/044815/I_044815_P_906158650_B_0035970475_4.gal.png?height=450&amp;width=600</t>
  </si>
  <si>
    <t>Evgenidis, Angelika, DDr., FA f Zahn-, Mund- und Kieferheilkunde • Kirchenviertel • Steiermark</t>
  </si>
  <si>
    <t>Ärzte / Fachärzte f. Zahn-, Mund u. Kieferheilkunde • Evgenidis, Angelika, DDr., Brucker Straße 23 A, Kirchenviertel • Kontakt über aktuelle Telefonnummern ☎ und Adressen ⚑ mit Karte, Routing, Öffnungszeiten, Homepage, E-Mail, vCard und Firmendaten.</t>
  </si>
  <si>
    <t>Brucker Straße 23 A</t>
  </si>
  <si>
    <t>Kirchenviertel</t>
  </si>
  <si>
    <t>+4369911944302</t>
  </si>
  <si>
    <t>evgenidis@zahnateliergratkorn.at</t>
  </si>
  <si>
    <t>https://bilder.dasschnelle.at/DasSchnelle/50/5000/9883/042322/G_042322_P_906158753.adn.gif</t>
  </si>
  <si>
    <t>Sickinger, Christoph, Dipl., Tierärzte • Horn • Niederösterreich</t>
  </si>
  <si>
    <t>Tierärzte • Sickinger, Christoph, Dipl., Lagerhausstraße 27, Horn • Kontakt über aktuelle Telefonnummern ☎ und Adressen ⚑ mit Karte, Routing, Öffnungszeiten, Homepage, E-Mail, vCard und Firmendaten.</t>
  </si>
  <si>
    <t>Lagerhausstraße 27</t>
  </si>
  <si>
    <t>48.66669</t>
  </si>
  <si>
    <t>15.66782</t>
  </si>
  <si>
    <t>+4329822377</t>
  </si>
  <si>
    <t>https://bilder.dasschnelle.at/DasSchnelle/50/5000/9893/041392/G_041392_P_906159695.adn.gif</t>
  </si>
  <si>
    <t>Schönheitsladen Kathrein Sarah, Kosmetikstudio • Landeck • Tirol</t>
  </si>
  <si>
    <t>Kosmetik • Schönheitsladen Kathrein Sarah, Urichstraße 31, Landeck • Kontakt über aktuelle Telefonnummern ☎ und Adressen ⚑ mit Karte, Routing, Öffnungszeiten, Homepage, E-Mail, vCard und Firmendaten.</t>
  </si>
  <si>
    <t>Urichstraße 31</t>
  </si>
  <si>
    <t>47.14146</t>
  </si>
  <si>
    <t>10.57093</t>
  </si>
  <si>
    <t>+436606466205</t>
  </si>
  <si>
    <t>info@schoenheitsladen.at</t>
  </si>
  <si>
    <t>https://bilder.dasschnelle.at/DasSchnelle/50/5000/9903/044584/G_044584_P_906159699.adn.gif</t>
  </si>
  <si>
    <t>Stanek-Lemp, Vera, FA f Zahn-, Mund- u Kieferheilkunde • Horn • Niederösterreich</t>
  </si>
  <si>
    <t>Ärzte / Fachärzte f. Zahn-, Mund u. Kieferheilkunde • Stanek-Lemp, Vera, Prager Straße 3-5, Horn • Kontakt über aktuelle Telefonnummern ☎ und Adressen ⚑ mit Karte, Routing, Öffnungszeiten, Homepage, E-Mail, vCard und Firmendaten.</t>
  </si>
  <si>
    <t>Prager Straße 3-5</t>
  </si>
  <si>
    <t>48.6627831</t>
  </si>
  <si>
    <t>15.6557124</t>
  </si>
  <si>
    <t>+4329823239</t>
  </si>
  <si>
    <t>office@stanek-lemp.at</t>
  </si>
  <si>
    <t>https://bilder.dasschnelle.at/DasSchnelle/50/5000/9893/041392/G_041392_P_906159802.adn.gif</t>
  </si>
  <si>
    <t>Perfect Car, KFZ-Service • Ried im Oberinntal • Tirol</t>
  </si>
  <si>
    <t>Autoreparaturen • Perfect Car, Ried im Oberinntal 355 /8, Ried im Oberinntal • Kontakt über aktuelle Telefonnummern ☎ und Adressen ⚑ mit Karte, Routing, Öffnungszeiten, Homepage, E-Mail, vCard und Firmendaten.</t>
  </si>
  <si>
    <t>Ried im Oberinntal 355 /8</t>
  </si>
  <si>
    <t>47.0498306</t>
  </si>
  <si>
    <t>10.6429777</t>
  </si>
  <si>
    <t>+436769627388</t>
  </si>
  <si>
    <t>slavisasimic59@yahoo.com</t>
  </si>
  <si>
    <t>https://bilder.dasschnelle.at/DasSchnelle/50/5000/9903/044590/G_044590_P_906159804.adn.gif</t>
  </si>
  <si>
    <t>Dr. Eduard Gaisfuss, FA für Innere Med. • Horn • Niederösterreich</t>
  </si>
  <si>
    <t>Ärzte / Fachärzte f. Innere Medizin • Dr. Eduard Gaisfuss, Prager Straße 5, Horn • Kontakt über aktuelle Telefonnummern ☎ und Adressen ⚑ mit Karte, Routing, Öffnungszeiten, Homepage, E-Mail, vCard und Firmendaten.</t>
  </si>
  <si>
    <t>Prager Straße 5</t>
  </si>
  <si>
    <t>48.6627388</t>
  </si>
  <si>
    <t>15.6555877</t>
  </si>
  <si>
    <t>+436641269171</t>
  </si>
  <si>
    <t>eduard.gaisfuss@aon.at</t>
  </si>
  <si>
    <t>https://bilder.dasschnelle.at/DasSchnelle/50/5000/9893/041392/I_041392_P_906159807_B_0036000290_1.gal.png?height=418&amp;width=600;https://bilder.dasschnelle.at/DasSchnelle/50/5000/9893/041392/I_041392_P_906159807_B_0036000290_2.gal.png?height=480&amp;width=720;https://bilder.dasschnelle.at/DasSchnelle/50/5000/9893/041392/I_041392_P_906159807_B_0036000290_3.gal.png?height=540&amp;width=720;https://bilder.dasschnelle.at/DasSchnelle/50/5000/9893/041392/I_041392_P_906159807_B_0036000290_4.gal.png?height=480&amp;width=720</t>
  </si>
  <si>
    <t>Grundner, Kirsten, Dr., Ärztin für Allgemeinmedizin • Frohnleiten • Steiermark</t>
  </si>
  <si>
    <t>Akupunktur, Ärzte / f Allgemeinmedizin • Grundner, Kirsten, Dr., Hauptplatz 4, Frohnleiten • Kontakt über aktuelle Telefonnummern ☎ und Adressen ⚑ mit Karte, Routing, Öffnungszeiten, Homepage, E-Mail, vCard und Firmendaten.</t>
  </si>
  <si>
    <t>47.27014</t>
  </si>
  <si>
    <t>15.32509</t>
  </si>
  <si>
    <t>+43312620294</t>
  </si>
  <si>
    <t>office@ordination-grundner.at</t>
  </si>
  <si>
    <t>https://bilder.dasschnelle.at/DasSchnelle/50/5000/9883/061362/G_061362_P_906159812.adn.gif</t>
  </si>
  <si>
    <t>Holzmann, Karl, Dr.med., FA  f Innere Medizin • Reichenthal • Oberösterreich</t>
  </si>
  <si>
    <t>Ärzte / f Allgemeinmedizin • Holzmann, Karl, Dr.med., Schlossstraße 12, Reichenthal • Kontakt über aktuelle Telefonnummern ☎ und Adressen ⚑ mit Karte, Routing, Öffnungszeiten, Homepage, E-Mail, vCard und Firmendaten.</t>
  </si>
  <si>
    <t>Schlossstraße 12</t>
  </si>
  <si>
    <t>48.5412400</t>
  </si>
  <si>
    <t>14.3853200</t>
  </si>
  <si>
    <t>+4372144242;+436642850567;+43721420521</t>
  </si>
  <si>
    <t>karl.holzmann.kh@gmail.com</t>
  </si>
  <si>
    <t>https://bilder.dasschnelle.at/DasSchnelle/50/5000/9939/043059/G_043059_P_906159818.adn.gif</t>
  </si>
  <si>
    <t>Ernst, Günther, Dr., FA f Augenheilkunde • Bad Leonfelden • Oberösterreich</t>
  </si>
  <si>
    <t>Ärzte / Fachärzte f. Augenheilkunde u. Optometrie • Ernst, Günther, Dr., Hauptplatz 6, Bad Leonfelden • Kontakt über aktuelle Telefonnummern ☎ und Adressen ⚑ mit Karte, Routing, Öffnungszeiten, Homepage, E-Mail, vCard und Firmendaten.</t>
  </si>
  <si>
    <t>+43721320679</t>
  </si>
  <si>
    <t>+43721320699</t>
  </si>
  <si>
    <t>ordination@dr-ernst.net</t>
  </si>
  <si>
    <t>https://bilder.dasschnelle.at/DasSchnelle/50/5000/9939/042828/G_042828_P_906159824.adn.gif</t>
  </si>
  <si>
    <t>Markus Petter GmbH., Tischlerei • Kappl • Tirol</t>
  </si>
  <si>
    <t>Tischlereien • Markus Petter GmbH., Holdernach, Kappl • Kontakt über aktuelle Telefonnummern ☎ und Adressen ⚑ mit Karte, Routing, Öffnungszeiten, Homepage, E-Mail, vCard und Firmendaten.</t>
  </si>
  <si>
    <t>Holdernach</t>
  </si>
  <si>
    <t>47.0741414</t>
  </si>
  <si>
    <t>10.4225435</t>
  </si>
  <si>
    <t>+436506555325</t>
  </si>
  <si>
    <t>info@tischlerei-petter.at</t>
  </si>
  <si>
    <t>https://bilder.dasschnelle.at/DasSchnelle/50/5000/9903/044579/G_044579_P_906158810.adn.gif</t>
  </si>
  <si>
    <t>MAGS Werbetechnik • Stanz bei Landeck • Tirol</t>
  </si>
  <si>
    <t>Beschriftungen • MAGS Werbetechnik, Stampfle 173 B, Stanz bei Landeck • Kontakt über aktuelle Telefonnummern ☎ und Adressen ⚑ mit Karte, Routing, Öffnungszeiten, Homepage, E-Mail, vCard und Firmendaten.</t>
  </si>
  <si>
    <t>Stampfle 173 B</t>
  </si>
  <si>
    <t>Stanz bei Landeck</t>
  </si>
  <si>
    <t>10.54532</t>
  </si>
  <si>
    <t>+43544262566</t>
  </si>
  <si>
    <t>firma@mags-beschriftungen.at</t>
  </si>
  <si>
    <t>https://bilder.dasschnelle.at/DasSchnelle/50/5000/9903/044596/G_044596_P_906159783.adn.gif</t>
  </si>
  <si>
    <t>BM-Haus GmbH, Baumeister • St. Paul im Lavanttal • Kärnten</t>
  </si>
  <si>
    <t>Baumeister • BM-Haus GmbH, Abt Paulus-Schneider-Straße 4, St. Paul im Lavanttal • Kontakt über aktuelle Telefonnummern ☎ und Adressen ⚑ mit Karte, Routing, Öffnungszeiten, Homepage, E-Mail, vCard und Firmendaten.</t>
  </si>
  <si>
    <t>Abt Paulus-Schneider-Straße 4</t>
  </si>
  <si>
    <t>46.7084137</t>
  </si>
  <si>
    <t>14.8659286</t>
  </si>
  <si>
    <t>+436644226602</t>
  </si>
  <si>
    <t>office@bm-haus.at</t>
  </si>
  <si>
    <t>https://bilder.dasschnelle.at/DasSchnelle/50/5000/9949/042045/I_042045_P_906159759_L_0037672754_1.png</t>
  </si>
  <si>
    <t>https://bilder.dasschnelle.at/DasSchnelle/50/5000/9949/042045/I_042045_P_906159759_B_0037672754_1.gal.png?height=450&amp;width=600;https://bilder.dasschnelle.at/DasSchnelle/50/5000/9949/042045/I_042045_P_906159759_B_0037672754_2.gal.png?height=401&amp;width=600;https://bilder.dasschnelle.at/DasSchnelle/50/5000/9949/042045/I_042045_P_906159759_B_0037672754_3.gal.png?height=337&amp;width=600;https://bilder.dasschnelle.at/DasSchnelle/50/5000/9949/042045/I_042045_P_906159759_B_0037672754_4.gal.png?height=397&amp;width=600</t>
  </si>
  <si>
    <t>Jölli, Benjamin, Tischler • Maria Rojach • Kärnten</t>
  </si>
  <si>
    <t>Tischlereien • Jölli, Benjamin, Aich 20, Maria Rojach • Kontakt über aktuelle Telefonnummern ☎ und Adressen ⚑ mit Karte, Routing, Öffnungszeiten, Homepage, E-Mail, vCard und Firmendaten.</t>
  </si>
  <si>
    <t>Aich 20</t>
  </si>
  <si>
    <t>46.6998648</t>
  </si>
  <si>
    <t>14.8231660</t>
  </si>
  <si>
    <t>+436644169271</t>
  </si>
  <si>
    <t>benjaminjoelli@icloud.com</t>
  </si>
  <si>
    <t>https://bilder.dasschnelle.at/DasSchnelle/50/5000/9949/042043/I_042043_P_906159761_L_0038042966_1.png</t>
  </si>
  <si>
    <t>https://bilder.dasschnelle.at/DasSchnelle/50/5000/9949/042043/I_042043_P_906159761_B_0038042966_1.gal.png?height=420&amp;width=315;https://bilder.dasschnelle.at/DasSchnelle/50/5000/9949/042043/I_042043_P_906159761_B_0038042966_2.gal.png?height=420&amp;width=560;https://bilder.dasschnelle.at/DasSchnelle/50/5000/9949/042043/I_042043_P_906159761_B_0038042966_3.gal.png?height=420&amp;width=560;https://bilder.dasschnelle.at/DasSchnelle/50/5000/9949/042043/I_042043_P_906159761_B_0038042966_4.gal.png?height=420&amp;width=560</t>
  </si>
  <si>
    <t>Internisten Bartholomä • Sankt Oswald bei Plankenwarth • Steiermark</t>
  </si>
  <si>
    <t>Ärzte / Fachärzte f. Innere Medizin • Internisten Bartholomä, Sankt Bartholomä 77, Sankt Oswald bei Plankenwarth • Kontakt über aktuelle Telefonnummern ☎ und Adressen ⚑ mit Karte, Routing, Öffnungszeiten, Homepage, E-Mail, vCard und Firmendaten.</t>
  </si>
  <si>
    <t>Sankt Bartholomä 77</t>
  </si>
  <si>
    <t>47.0880135</t>
  </si>
  <si>
    <t>15.2798736</t>
  </si>
  <si>
    <t>+436649132626</t>
  </si>
  <si>
    <t>info@internistenbartholomae.at</t>
  </si>
  <si>
    <t>https://bilder.dasschnelle.at/DasSchnelle/50/5000/9883/998314/G_998314_P_906158808.adn.gif</t>
  </si>
  <si>
    <t>Ludwig Mayer, Holzschlägerungen • Englhartszell • Oberösterreich</t>
  </si>
  <si>
    <t>Holzschlägerung • Ludwig Mayer, Oberranna 2, Englhartszell • Kontakt über aktuelle Telefonnummern ☎ und Adressen ⚑ mit Karte, Routing, Öffnungszeiten, Homepage, E-Mail, vCard und Firmendaten.</t>
  </si>
  <si>
    <t>Oberranna 2</t>
  </si>
  <si>
    <t>Englhartszell</t>
  </si>
  <si>
    <t>48.4723880</t>
  </si>
  <si>
    <t>13.7731174</t>
  </si>
  <si>
    <t>+436644063534</t>
  </si>
  <si>
    <t>ludwig.ma@aon.at</t>
  </si>
  <si>
    <t>https://bilder.dasschnelle.at/DasSchnelle/50/5000/9926/042308/I_042308_P_906158909_B_0038452079_1.gal.png?height=616&amp;width=933;https://bilder.dasschnelle.at/DasSchnelle/50/5000/9926/042308/I_042308_P_906158909_B_0038452079_2.gal.png?height=614&amp;width=924;https://bilder.dasschnelle.at/DasSchnelle/50/5000/9926/042308/I_042308_P_906158909_B_0038452079_3.gal.png?height=617&amp;width=933;https://bilder.dasschnelle.at/DasSchnelle/50/5000/9926/042308/I_042308_P_906158909_B_0038452079_4.gal.png?height=615&amp;width=935</t>
  </si>
  <si>
    <t>Tschandl Farben &amp; Malerei • Fürstenfeld • Steiermark</t>
  </si>
  <si>
    <t>Farben u. Lacke • Tschandl Farben &amp; Malerei, Fehringer Straße 28, Fürstenfeld • Kontakt über aktuelle Telefonnummern ☎ und Adressen ⚑ mit Karte, Routing, Öffnungszeiten, Homepage, E-Mail, vCard und Firmendaten.</t>
  </si>
  <si>
    <t>Fehringer Straße 28</t>
  </si>
  <si>
    <t>47.03885</t>
  </si>
  <si>
    <t>16.08341</t>
  </si>
  <si>
    <t>+43338255349</t>
  </si>
  <si>
    <t>andreas@tarben-tschandl.at</t>
  </si>
  <si>
    <t>https://bilder.dasschnelle.at/DasSchnelle/50/5000/9884/061368/G_061368_P_906161847.adn.gif</t>
  </si>
  <si>
    <t>Kneringer, Alexander, Fliesen • Pfunds • Tirol</t>
  </si>
  <si>
    <t>Fliesenfachhandel, Natursteine u. -platten • Kneringer, Alexander, Schönegg 557, Pfunds • Kontakt über aktuelle Telefonnummern ☎ und Adressen ⚑ mit Karte, Routing, Öffnungszeiten, Homepage, E-Mail, vCard und Firmendaten.</t>
  </si>
  <si>
    <t>Schönegg 557</t>
  </si>
  <si>
    <t>47.0011</t>
  </si>
  <si>
    <t>10.58679</t>
  </si>
  <si>
    <t>+436765038628</t>
  </si>
  <si>
    <t>office@alexkneringer.at</t>
  </si>
  <si>
    <t>https://bilder.dasschnelle.at/DasSchnelle/50/5000/9903/044587/G_044587_P_906161849.adn.gif</t>
  </si>
  <si>
    <t>Physikotherapeutisches Ambulatorium GesmbH • Feldbach • Steiermark</t>
  </si>
  <si>
    <t>Physikalische Medizin • Physikotherapeutisches Ambulatorium GesmbH, Bismarckstraße 2, Feldbach • Kontakt über aktuelle Telefonnummern ☎ und Adressen ⚑ mit Karte, Routing, Öffnungszeiten, Homepage, E-Mail, vCard und Firmendaten.</t>
  </si>
  <si>
    <t>Bismarckstraße 2</t>
  </si>
  <si>
    <t>46.9524</t>
  </si>
  <si>
    <t>15.88769</t>
  </si>
  <si>
    <t>+4331524026</t>
  </si>
  <si>
    <t>info@pta-feldbach.at</t>
  </si>
  <si>
    <t>https://bilder.dasschnelle.at/DasSchnelle/50/5000/9879/061391/G_061391_P_906162663.adn.gif</t>
  </si>
  <si>
    <t>Fidesser, Franz, Dr., FA f. Augenheilk. und Optometrie • Eggenburg • Niederösterreich</t>
  </si>
  <si>
    <t>Ärzte / Fachärzte f. Augenheilkunde u. Optometrie • Fidesser, Franz, Dr., Grätzl 5, Eggenburg • Kontakt über aktuelle Telefonnummern ☎ und Adressen ⚑ mit Karte, Routing, Öffnungszeiten, Homepage, E-Mail, vCard und Firmendaten.</t>
  </si>
  <si>
    <t>https://bilder.dasschnelle.at/DasSchnelle/50/5000/9893/041389/G_041389_P_906160595.adn.gif</t>
  </si>
  <si>
    <t>Catalin, Esanu, Dr., Frauenheilkunde und Geburtshilfe • Horn • Niederösterreich</t>
  </si>
  <si>
    <t>Frauenheilkunde u. Geburtshilfe • Catalin, Esanu, Dr., Ing.-Karl-Proksch-Gasse 11, Horn • Kontakt über aktuelle Telefonnummern ☎ und Adressen ⚑ mit Karte, Routing, Öffnungszeiten, Homepage, E-Mail, vCard und Firmendaten.</t>
  </si>
  <si>
    <t>+436767723020</t>
  </si>
  <si>
    <t>https://bilder.dasschnelle.at/DasSchnelle/50/5000/9893/041392/G_998141_P_906160597.adn.gif</t>
  </si>
  <si>
    <t>Schindl, Andreas, DDr., FA f Haut- u Geschlechtskrankheiten • Retz • Niederösterreich</t>
  </si>
  <si>
    <t>Ärzte / Fachärzte f. Haut u. Geschlechtskrankheiten • Schindl, Andreas, DDr., Hauptplatz 29, Retz • Kontakt über aktuelle Telefonnummern ☎ und Adressen ⚑ mit Karte, Routing, Öffnungszeiten, Homepage, E-Mail, vCard und Firmendaten.</t>
  </si>
  <si>
    <t>Hauptplatz 29</t>
  </si>
  <si>
    <t>48.7574</t>
  </si>
  <si>
    <t>15.9501</t>
  </si>
  <si>
    <t>+436763706841</t>
  </si>
  <si>
    <t>retz@haut.co.at</t>
  </si>
  <si>
    <t>https://bilder.dasschnelle.at/DasSchnelle/50/5000/9892/998138/I_998138_P_906160598_B_0035969744_1.gal.png?height=572&amp;width=720;https://bilder.dasschnelle.at/DasSchnelle/50/5000/9892/998138/I_998138_P_906160598_B_0035969744_2.gal.png?height=469&amp;width=632;https://bilder.dasschnelle.at/DasSchnelle/50/5000/9892/998138/I_998138_P_906160598_B_0035969744_3.gal.png?height=638&amp;width=500;https://bilder.dasschnelle.at/DasSchnelle/50/5000/9892/998138/I_998138_P_906160598_B_0035969744_4.gal.png?height=480&amp;width=720</t>
  </si>
  <si>
    <t>Andreas Dumfart GmbH, Installateur • Ottensheim • Oberösterreich</t>
  </si>
  <si>
    <t>Installationsunternehmen • Andreas Dumfart GmbH, Mühlenweg 5, Ottensheim • Kontakt über aktuelle Telefonnummern ☎ und Adressen ⚑ mit Karte, Routing, Öffnungszeiten, Homepage, E-Mail, vCard und Firmendaten.</t>
  </si>
  <si>
    <t>Mühlenweg 5</t>
  </si>
  <si>
    <t>48.34016</t>
  </si>
  <si>
    <t>14.18486</t>
  </si>
  <si>
    <t>+43723482211</t>
  </si>
  <si>
    <t>office@a-dumfart.at</t>
  </si>
  <si>
    <t>https://bilder.dasschnelle.at/DasSchnelle/50/5000/9939/043056/G_043056_P_906160600.adn.gif</t>
  </si>
  <si>
    <t>Hanner, Ilse, Dr.med., Zahn-, Mund- u Kieferheilkunde • Gallneukirchen • Oberösterreich</t>
  </si>
  <si>
    <t>Ärzte / Fachärzte f. Zahn-, Mund u. Kieferheilkunde • Hanner, Ilse, Dr.med., Reichenauer Straße 2, Gallneukirchen • Kontakt über aktuelle Telefonnummern ☎ und Adressen ⚑ mit Karte, Routing, Öffnungszeiten, Homepage, E-Mail, vCard und Firmendaten.</t>
  </si>
  <si>
    <t>Reichenauer Straße 2</t>
  </si>
  <si>
    <t>48.35346</t>
  </si>
  <si>
    <t>14.41629</t>
  </si>
  <si>
    <t>+43723550280</t>
  </si>
  <si>
    <t>ilse.hanner@liwest.at</t>
  </si>
  <si>
    <t>https://bilder.dasschnelle.at/DasSchnelle/50/5000/9939/042832/G_042832_P_906160778.adn.gif</t>
  </si>
  <si>
    <t>Hutz Wilhelm Ing GmbH &amp; Co KG, Heizung-Sanitär-Klima-Lüftung-Gas • Wagrain • Salzburg</t>
  </si>
  <si>
    <t>Installationsunternehmen • Hutz Wilhelm Ing GmbH &amp; Co KG, Markt 47, Wagrain • Kontakt über aktuelle Telefonnummern ☎ und Adressen ⚑ mit Karte, Routing, Öffnungszeiten, Homepage, E-Mail, vCard und Firmendaten.</t>
  </si>
  <si>
    <t>Markt 47</t>
  </si>
  <si>
    <t>47.33037</t>
  </si>
  <si>
    <t>13.29893</t>
  </si>
  <si>
    <t>+43641382760</t>
  </si>
  <si>
    <t>hutz@aon.at</t>
  </si>
  <si>
    <t>https://bilder.dasschnelle.at/DasSchnelle/50/5000/9919/043356/G_043356_P_906160780.adn.gif</t>
  </si>
  <si>
    <t>Rieser, Hans-Peter, Dachdeckerei • Bad Hofgastein • Salzburg</t>
  </si>
  <si>
    <t>Dachdeckereien, Spenglereien • Rieser, Hans-Peter, Wasserfallgasse 27 B, Bad Hofgastein • Kontakt über aktuelle Telefonnummern ☎ und Adressen ⚑ mit Karte, Routing, Öffnungszeiten, Homepage, E-Mail, vCard und Firmendaten.</t>
  </si>
  <si>
    <t>Wasserfallgasse 27 B</t>
  </si>
  <si>
    <t>47.173085</t>
  </si>
  <si>
    <t>13.1087711</t>
  </si>
  <si>
    <t>+4369912145122</t>
  </si>
  <si>
    <t>info@dach-gastein.at</t>
  </si>
  <si>
    <t>https://bilder.dasschnelle.at/DasSchnelle/50/5000/9919/043335/G_043335_P_906160783.adn.gif</t>
  </si>
  <si>
    <t>KFZ Technik Kienbichl Alexander • Kernhof • Niederösterreich</t>
  </si>
  <si>
    <t>Autoreparaturen • KFZ Technik Kienbichl Alexander, Kernhof 21, Kernhof • Kontakt über aktuelle Telefonnummern ☎ und Adressen ⚑ mit Karte, Routing, Öffnungszeiten, Homepage, E-Mail, vCard und Firmendaten.</t>
  </si>
  <si>
    <t>Kernhof 21</t>
  </si>
  <si>
    <t>3195</t>
  </si>
  <si>
    <t>Kernhof</t>
  </si>
  <si>
    <t>47.8139571</t>
  </si>
  <si>
    <t>15.5424792</t>
  </si>
  <si>
    <t>+43276820017</t>
  </si>
  <si>
    <t>office@kfz-kienbichl.at</t>
  </si>
  <si>
    <t>https://bilder.dasschnelle.at/DasSchnelle/50/5000/9906/041526/G_041526_P_906160785.adn.gif</t>
  </si>
  <si>
    <t>Naar-Ziebart-Schroth, Anita, Dr., Ärzte / f Allgemeinmedizin • Horn • Niederösterreich</t>
  </si>
  <si>
    <t>Ärzte / f Allgemeinmedizin • Naar-Ziebart-Schroth, Anita, Dr., Robert-Hamerling-Straße 13, Horn • Kontakt über aktuelle Telefonnummern ☎ und Adressen ⚑ mit Karte, Routing, Öffnungszeiten, Homepage, E-Mail, vCard und Firmendaten.</t>
  </si>
  <si>
    <t>Robert-Hamerling-Straße 13</t>
  </si>
  <si>
    <t>48.66596</t>
  </si>
  <si>
    <t>15.66044</t>
  </si>
  <si>
    <t>+4329822345</t>
  </si>
  <si>
    <t>+4329824729</t>
  </si>
  <si>
    <t>https://bilder.dasschnelle.at/DasSchnelle/50/5000/9893/041392/G_041392_P_906161823.adn.gif</t>
  </si>
  <si>
    <t>Polt, Johannes, Mag., Rechtsanwalt • Horn • Niederösterreich</t>
  </si>
  <si>
    <t>Rechtsanwälte • Polt, Johannes, Mag., Prager Straße 5, Horn • Kontakt über aktuelle Telefonnummern ☎ und Adressen ⚑ mit Karte, Routing, Öffnungszeiten, Homepage, E-Mail, vCard und Firmendaten.</t>
  </si>
  <si>
    <t>48.6627757</t>
  </si>
  <si>
    <t>15.6555377</t>
  </si>
  <si>
    <t>+43298230430</t>
  </si>
  <si>
    <t>+432982304303</t>
  </si>
  <si>
    <t>kanzlei@ra-polt.at</t>
  </si>
  <si>
    <t>https://bilder.dasschnelle.at/DasSchnelle/50/5000/9893/041392/G_041392_P_906161903.adn.gif</t>
  </si>
  <si>
    <t>Schweda, Patrick Maximilian, Dr., Notare • Haugsdorf • Niederösterreich</t>
  </si>
  <si>
    <t>Notare • Schweda, Patrick Maximilian, Dr., Hauptplatz 1, Haugsdorf • Kontakt über aktuelle Telefonnummern ☎ und Adressen ⚑ mit Karte, Routing, Öffnungszeiten, Homepage, E-Mail, vCard und Firmendaten.</t>
  </si>
  <si>
    <t>2054</t>
  </si>
  <si>
    <t>Haugsdorf</t>
  </si>
  <si>
    <t>48.70815</t>
  </si>
  <si>
    <t>16.07657</t>
  </si>
  <si>
    <t>+4329442203</t>
  </si>
  <si>
    <t>kanzlei@notariat-schweda.at</t>
  </si>
  <si>
    <t>https://bilder.dasschnelle.at/DasSchnelle/50/5000/9892/045548/G_045548_P_906161906.adn.gif</t>
  </si>
  <si>
    <t>PILZ-INSTALLATIONEN e.U. • Engerwitzdorf • Oberösterreich</t>
  </si>
  <si>
    <t>Installationsunternehmen • PILZ-INSTALLATIONEN e.U., Engerwitzdorfer Straße 37, Engerwitzdorf • Kontakt über aktuelle Telefonnummern ☎ und Adressen ⚑ mit Karte, Routing, Öffnungszeiten, Homepage, E-Mail, vCard und Firmendaten.</t>
  </si>
  <si>
    <t>Engerwitzdorfer Straße 37</t>
  </si>
  <si>
    <t>4209</t>
  </si>
  <si>
    <t>Engerwitzdorf</t>
  </si>
  <si>
    <t>48.34433</t>
  </si>
  <si>
    <t>14.44048</t>
  </si>
  <si>
    <t>+43723563882</t>
  </si>
  <si>
    <t>office@pilz-installationen.at</t>
  </si>
  <si>
    <t>https://bilder.dasschnelle.at/DasSchnelle/50/5000/9939/042830/G_042830_P_906161908.adn.gif</t>
  </si>
  <si>
    <t>Leeb, Burkhard, Doz. Dr., FA f Innere Medizin • Hollabrunn • Niederösterreich</t>
  </si>
  <si>
    <t>Ärzte / Fachärzte f. Innere Medizin • Leeb, Burkhard, Doz. Dr., Babogasse 20, Hollabrunn • Kontakt über aktuelle Telefonnummern ☎ und Adressen ⚑ mit Karte, Routing, Öffnungszeiten, Homepage, E-Mail, vCard und Firmendaten.</t>
  </si>
  <si>
    <t>Babogasse 20</t>
  </si>
  <si>
    <t>48.56488</t>
  </si>
  <si>
    <t>16.08205</t>
  </si>
  <si>
    <t>+4329525201</t>
  </si>
  <si>
    <t>ordination@leeb-rheuma.at</t>
  </si>
  <si>
    <t>https://bilder.dasschnelle.at/DasSchnelle/50/5000/9892/045551/G_045551_P_906161912.adn.gif</t>
  </si>
  <si>
    <t>Haidinger, Cornelia, Dipl-PT, Physiotherapie • Wels • Oberösterreich</t>
  </si>
  <si>
    <t>Physiotherapie • Haidinger, Cornelia, Dipl-PT, Dr.-Salzmann-Straße 7, Wels • Kontakt über aktuelle Telefonnummern ☎ und Adressen ⚑ mit Karte, Routing, Öffnungszeiten, Homepage, E-Mail, vCard und Firmendaten.</t>
  </si>
  <si>
    <t>Dr.-Salzmann-Straße 7</t>
  </si>
  <si>
    <t>48.1572800</t>
  </si>
  <si>
    <t>14.0201600</t>
  </si>
  <si>
    <t>+436649653153</t>
  </si>
  <si>
    <t>c.haidinger@liwest.at</t>
  </si>
  <si>
    <t>https://bilder.dasschnelle.at/DasSchnelle/50/5000/9907/043585/G_043573_P_906161914.adn.gif</t>
  </si>
  <si>
    <t>Stadler, Robert, Mag., Rechtsanwalt • Gallneukirchen • Oberösterreich</t>
  </si>
  <si>
    <t>Rechtsanwälte • Stadler, Robert, Mag., Hauptstraße 47, Gallneukirchen • Kontakt über aktuelle Telefonnummern ☎ und Adressen ⚑ mit Karte, Routing, Öffnungszeiten, Homepage, E-Mail, vCard und Firmendaten.</t>
  </si>
  <si>
    <t>+43723561059</t>
  </si>
  <si>
    <t>office@robertstadler.at</t>
  </si>
  <si>
    <t>https://bilder.dasschnelle.at/DasSchnelle/50/5000/9939/042832/G_042832_P_906161917.adn.gif</t>
  </si>
  <si>
    <t>NL-Metalltechnik OG • Mandling • Salzburg</t>
  </si>
  <si>
    <t>Metallbau • NL-Metalltechnik OG, Filzmoosweg 3, Mandling • Kontakt über aktuelle Telefonnummern ☎ und Adressen ⚑ mit Karte, Routing, Öffnungszeiten, Homepage, E-Mail, vCard und Firmendaten.</t>
  </si>
  <si>
    <t>Filzmoosweg 3</t>
  </si>
  <si>
    <t>8974</t>
  </si>
  <si>
    <t>Mandling</t>
  </si>
  <si>
    <t>47.40458</t>
  </si>
  <si>
    <t>13.57361</t>
  </si>
  <si>
    <t>+43645472230;+436649153868</t>
  </si>
  <si>
    <t>nl-metalltechnik@a1.net</t>
  </si>
  <si>
    <t>https://bilder.dasschnelle.at/DasSchnelle/50/5000/9919/043350/I_043350_P_906161921_B_0038011993_1.gal.png?height=514&amp;width=831;https://bilder.dasschnelle.at/DasSchnelle/50/5000/9919/043350/I_043350_P_906161921_B_0038011993_2.gal.png?height=540&amp;width=637;https://bilder.dasschnelle.at/DasSchnelle/50/5000/9919/043350/I_043350_P_906161921_B_0038011993_3.gal.png?height=564&amp;width=1012;https://bilder.dasschnelle.at/DasSchnelle/50/5000/9919/043350/I_043350_P_906161921_B_0038011993_4.gal.png?height=421&amp;width=636</t>
  </si>
  <si>
    <t>Resl, Carina, Kosmetik • Marchtrenk • Oberösterreich</t>
  </si>
  <si>
    <t>Kosmetik u. Fußpflege, Kosmetikstudios • Resl, Carina, Linzer Straße 9, Marchtrenk • Kontakt über aktuelle Telefonnummern ☎ und Adressen ⚑ mit Karte, Routing, Öffnungszeiten, Homepage, E-Mail, vCard und Firmendaten.</t>
  </si>
  <si>
    <t>+43724356600</t>
  </si>
  <si>
    <t>deine@hautsache.jetzt</t>
  </si>
  <si>
    <t>https://bilder.dasschnelle.at/DasSchnelle/50/5000/9907/043573/G_043573_P_906162591.adn.gif</t>
  </si>
  <si>
    <t>Ordination Dr. Richard Ehrentraut, Allgemeinmediziner • Höflein an der Donau • Niederösterreich</t>
  </si>
  <si>
    <t>Ärzte / f Allgemeinmedizin • Ordination Dr. Richard Ehrentraut, Bahnstraße 46 -48, Höflein an der Donau • Kontakt über aktuelle Telefonnummern ☎ und Adressen ⚑ mit Karte, Routing, Öffnungszeiten, Homepage, E-Mail, vCard und Firmendaten.</t>
  </si>
  <si>
    <t>Bahnstraße 46 -48</t>
  </si>
  <si>
    <t>3421</t>
  </si>
  <si>
    <t>Höflein an der Donau</t>
  </si>
  <si>
    <t>48.3505373</t>
  </si>
  <si>
    <t>16.2737649</t>
  </si>
  <si>
    <t>+43224380120</t>
  </si>
  <si>
    <t>richard_ehrentraut@yahoo.de</t>
  </si>
  <si>
    <t>https://bilder.dasschnelle.at/DasSchnelle/50/5000/9897/998295/I_998295_P_906162593_B_0038452081_1.gal.png?height=609&amp;width=1103;https://bilder.dasschnelle.at/DasSchnelle/50/5000/9897/998295/G_998295_P_906162593.adn.gif</t>
  </si>
  <si>
    <t>Rudigier, Klaus • Grins • Tirol</t>
  </si>
  <si>
    <t>Erdbau • Rudigier, Klaus, Gmar 3 C, Grins • Kontakt über aktuelle Telefonnummern ☎ und Adressen ⚑ mit Karte, Routing, Öffnungszeiten, Homepage, E-Mail, vCard und Firmendaten.</t>
  </si>
  <si>
    <t>Gmar 3 C</t>
  </si>
  <si>
    <t>6591</t>
  </si>
  <si>
    <t>47.14103</t>
  </si>
  <si>
    <t>10.50593</t>
  </si>
  <si>
    <t>+436769729724;+436764006488</t>
  </si>
  <si>
    <t>erdbau.rudigier@gmx.at</t>
  </si>
  <si>
    <t>https://bilder.dasschnelle.at/DasSchnelle/50/5000/9903/044577/G_044577_P_906162596.adn.gif</t>
  </si>
  <si>
    <t>Kohlhofer, Thomas, Gasthof • Gußwerk • Steiermark</t>
  </si>
  <si>
    <t>Gastgewerbe - Gasthöfe • Kohlhofer, Thomas, Bahnhofstraße 11, Gußwerk • Kontakt über aktuelle Telefonnummern ☎ und Adressen ⚑ mit Karte, Routing, Öffnungszeiten, Homepage, E-Mail, vCard und Firmendaten.</t>
  </si>
  <si>
    <t>47.74201</t>
  </si>
  <si>
    <t>15.30388</t>
  </si>
  <si>
    <t>+4338822932</t>
  </si>
  <si>
    <t>kohlhofer@mariazellerland.at</t>
  </si>
  <si>
    <t>https://bilder.dasschnelle.at/DasSchnelle/50/5000/9906/061453/G_061453_P_906160752.adn.gif</t>
  </si>
  <si>
    <t>Weinberger Bernhard, Minibaggervermietung • Ettendorf • Kärnten</t>
  </si>
  <si>
    <t>Baggerverleih, Minibagger • Weinberger Bernhard, Unterholz 18, Ettendorf • Kontakt über aktuelle Telefonnummern ☎ und Adressen ⚑ mit Karte, Routing, Öffnungszeiten, Homepage, E-Mail, vCard und Firmendaten.</t>
  </si>
  <si>
    <t>Unterholz 18</t>
  </si>
  <si>
    <t>9472</t>
  </si>
  <si>
    <t>Ettendorf</t>
  </si>
  <si>
    <t>46.6771059</t>
  </si>
  <si>
    <t>14.9248524</t>
  </si>
  <si>
    <t>+436765658183</t>
  </si>
  <si>
    <t>bwminibagger@gmail.com</t>
  </si>
  <si>
    <t>BBG Fassadengestaltung GmbH, Fassaden • Pollheim • Kärnten</t>
  </si>
  <si>
    <t>Fassaden • BBG Fassadengestaltung GmbH, Pollheim 144, Pollheim • Kontakt über aktuelle Telefonnummern ☎ und Adressen ⚑ mit Karte, Routing, Öffnungszeiten, Homepage, E-Mail, vCard und Firmendaten.</t>
  </si>
  <si>
    <t>Pollheim 144</t>
  </si>
  <si>
    <t>Pollheim</t>
  </si>
  <si>
    <t>46.8400900</t>
  </si>
  <si>
    <t>14.7896600</t>
  </si>
  <si>
    <t>+43435262236</t>
  </si>
  <si>
    <t>fassaden@bbg.co.at</t>
  </si>
  <si>
    <t>https://bilder.dasschnelle.at/DasSchnelle/50/5000/9949/042046/I_042046_P_906160756_B_0036032539_1.gal.png?height=366&amp;width=585;https://bilder.dasschnelle.at/DasSchnelle/50/5000/9949/042046/I_042046_P_906160756_B_0036032539_2.gal.png?height=366&amp;width=585;https://bilder.dasschnelle.at/DasSchnelle/50/5000/9949/042046/I_042046_P_906160756_B_0036032539_3.gal.png?height=366&amp;width=585;https://bilder.dasschnelle.at/DasSchnelle/50/5000/9949/042046/I_042046_P_906160756_B_0036032539_4.gal.png?height=366&amp;width=585;https://bilder.dasschnelle.at/DasSchnelle/50/5000/9949/042046/G_042046_P_906160756.adn.gif</t>
  </si>
  <si>
    <t>Baumgartner, Siegbert, Installationen • Reichenfels • Kärnten</t>
  </si>
  <si>
    <t>Installationsunternehmen • Baumgartner, Siegbert, Liftstraße 12, Reichenfels • Kontakt über aktuelle Telefonnummern ☎ und Adressen ⚑ mit Karte, Routing, Öffnungszeiten, Homepage, E-Mail, vCard und Firmendaten.</t>
  </si>
  <si>
    <t>Liftstraße 12</t>
  </si>
  <si>
    <t>9463</t>
  </si>
  <si>
    <t>Reichenfels</t>
  </si>
  <si>
    <t>47.00578</t>
  </si>
  <si>
    <t>14.74476</t>
  </si>
  <si>
    <t>+43435922790</t>
  </si>
  <si>
    <t>ghw-baumgartner@aon.at</t>
  </si>
  <si>
    <t>https://bilder.dasschnelle.at/DasSchnelle/50/5000/9949/042042/G_042042_P_906160759.adn.gif</t>
  </si>
  <si>
    <t>Starkl Anton GmbH, Gartencenter • Tulln an der Donau • Niederösterreich</t>
  </si>
  <si>
    <t>Gartencenter • Starkl Anton GmbH, Gärtnerstraße 4, Tulln an der Donau • Kontakt über aktuelle Telefonnummern ☎ und Adressen ⚑ mit Karte, Routing, Öffnungszeiten, Homepage, E-Mail, vCard und Firmendaten.</t>
  </si>
  <si>
    <t>48.30856</t>
  </si>
  <si>
    <t>16.08164</t>
  </si>
  <si>
    <t>+432272642420</t>
  </si>
  <si>
    <t>+43227263670</t>
  </si>
  <si>
    <t>gestaltung.tulln@starkl.at</t>
  </si>
  <si>
    <t>https://bilder.dasschnelle.at/DasSchnelle/50/5000/9938/044247/I_044247_P_906160765_B_0036208390_1.gal.png?height=720&amp;width=514;https://bilder.dasschnelle.at/DasSchnelle/50/5000/9938/044247/I_044247_P_906160765_B_0036208390_2.gal.png?height=500&amp;width=500;https://bilder.dasschnelle.at/DasSchnelle/50/5000/9938/044247/I_044247_P_906160765_B_0036208390_3.gal.png?height=500&amp;width=500</t>
  </si>
  <si>
    <t>Mohl Christian, Transporte • St. Paul im Lavanttal • Kärnten</t>
  </si>
  <si>
    <t>Transportunternehmen • Mohl Christian, Unterrainz 12, St. Paul im Lavanttal • Kontakt über aktuelle Telefonnummern ☎ und Adressen ⚑ mit Karte, Routing, Öffnungszeiten, Homepage, E-Mail, vCard und Firmendaten.</t>
  </si>
  <si>
    <t>Unterrainz 12</t>
  </si>
  <si>
    <t>46.7029445</t>
  </si>
  <si>
    <t>14.8906056</t>
  </si>
  <si>
    <t>+436645201839</t>
  </si>
  <si>
    <t>transporte.mohl@a1.net</t>
  </si>
  <si>
    <t>https://bilder.dasschnelle.at/DasSchnelle/50/5000/9949/042045/G_042045_P_906161872.adn.gif</t>
  </si>
  <si>
    <t>Schnür-Wala, Alice, Fotografie • Weidling • Niederösterreich</t>
  </si>
  <si>
    <t>Fotografen • Schnür-Wala, Alice, Hauptstraße 110 /2, Weidling • Kontakt über aktuelle Telefonnummern ☎ und Adressen ⚑ mit Karte, Routing, Öffnungszeiten, Homepage, E-Mail, vCard und Firmendaten.</t>
  </si>
  <si>
    <t>Hauptstraße 110 /2</t>
  </si>
  <si>
    <t>Weidling</t>
  </si>
  <si>
    <t>48.2843</t>
  </si>
  <si>
    <t>16.29066</t>
  </si>
  <si>
    <t>+436764009140</t>
  </si>
  <si>
    <t>office@photo-schnuer.com</t>
  </si>
  <si>
    <t>https://bilder.dasschnelle.at/DasSchnelle/50/5000/9897/061492/G_061492_P_906162643.adn.gif</t>
  </si>
  <si>
    <t>Finger, Reinhard, Dr., FA f Mund-, Kiefer- u Gesichtschirurgie • Eggenburg • Niederösterreich</t>
  </si>
  <si>
    <t>Ärzte / Fachärzte f. Mund-, Kiefer- u. Gesichtschirurgie • Finger, Reinhard, Dr., Kühnringerstraße 5, Eggenburg • Kontakt über aktuelle Telefonnummern ☎ und Adressen ⚑ mit Karte, Routing, Öffnungszeiten, Homepage, E-Mail, vCard und Firmendaten.</t>
  </si>
  <si>
    <t>Kühnringerstraße 5</t>
  </si>
  <si>
    <t>48.64125</t>
  </si>
  <si>
    <t>15.81026</t>
  </si>
  <si>
    <t>+4329844410;+436642103171</t>
  </si>
  <si>
    <t>https://bilder.dasschnelle.at/DasSchnelle/50/5000/9893/041389/G_041389_P_906163831.adn.gif</t>
  </si>
  <si>
    <t>Kanzlei § Popp, Rechtsanwalt • Gratwein • Steiermark</t>
  </si>
  <si>
    <t>Rechtsanwälte • Kanzlei § Popp, Bahnhofstraße 9, Gratwein • Kontakt über aktuelle Telefonnummern ☎ und Adressen ⚑ mit Karte, Routing, Öffnungszeiten, Homepage, E-Mail, vCard und Firmendaten.</t>
  </si>
  <si>
    <t>Bahnhofstraße 9</t>
  </si>
  <si>
    <t>47.1292182</t>
  </si>
  <si>
    <t>15.3204221</t>
  </si>
  <si>
    <t>+433124550770</t>
  </si>
  <si>
    <t>kanzlei@rechtsanwalt-popp.at</t>
  </si>
  <si>
    <t>https://bilder.dasschnelle.at/DasSchnelle/50/5000/9883/061359/G_061359_P_906163838.adn.gif</t>
  </si>
  <si>
    <t>Huemer Kompost GmbH, Kompostierung • Veitsdorf • Oberösterreich</t>
  </si>
  <si>
    <t>Kompostierung • Huemer Kompost GmbH, Erdenweg 1, Veitsdorf • Kontakt über aktuelle Telefonnummern ☎ und Adressen ⚑ mit Karte, Routing, Öffnungszeiten, Homepage, E-Mail, vCard und Firmendaten.</t>
  </si>
  <si>
    <t>Erdenweg 1</t>
  </si>
  <si>
    <t>Veitsdorf</t>
  </si>
  <si>
    <t>48.3726663</t>
  </si>
  <si>
    <t>14.3952596</t>
  </si>
  <si>
    <t>+4372307652</t>
  </si>
  <si>
    <t>+43723076524</t>
  </si>
  <si>
    <t>office@huemerkompost.at</t>
  </si>
  <si>
    <t>https://bilder.dasschnelle.at/DasSchnelle/50/5000/9939/042826/G_042826_P_906163843.adn.gif</t>
  </si>
  <si>
    <t>Hiebl, Andrea, Mag., Steuerberater • Altenberg bei Linz • Oberösterreich</t>
  </si>
  <si>
    <t>Buchhaltungs- u. Wirtschaftsbüros, Steuerberater • Hiebl, Andrea, Mag., Raiffeisenweg 2, Altenberg bei Linz • Kontakt über aktuelle Telefonnummern ☎ und Adressen ⚑ mit Karte, Routing, Öffnungszeiten, Homepage, E-Mail, vCard und Firmendaten.</t>
  </si>
  <si>
    <t>Raiffeisenweg 2</t>
  </si>
  <si>
    <t>48.3742</t>
  </si>
  <si>
    <t>14.34889</t>
  </si>
  <si>
    <t>+43723070960</t>
  </si>
  <si>
    <t>office@hiebl.eu</t>
  </si>
  <si>
    <t>https://bilder.dasschnelle.at/DasSchnelle/50/5000/9939/042827/G_042827_P_906163846.adn.gif</t>
  </si>
  <si>
    <t>Noli e.U., Gartenpflege • Klosterneuburg • Niederösterreich</t>
  </si>
  <si>
    <t>Garten- u. Landschaftsgestaltung • Noli e.U., Hintersdorfer Straße 21, Klosterneuburg • Kontakt über aktuelle Telefonnummern ☎ und Adressen ⚑ mit Karte, Routing, Öffnungszeiten, Homepage, E-Mail, vCard und Firmendaten.</t>
  </si>
  <si>
    <t>+4369911839420</t>
  </si>
  <si>
    <t>office@anoli.at</t>
  </si>
  <si>
    <t>https://bilder.dasschnelle.at/DasSchnelle/50/5000/9897/061492/I_061492_P_906163848_L_0038011989_1.png</t>
  </si>
  <si>
    <t>https://bilder.dasschnelle.at/DasSchnelle/50/5000/9897/061492/I_061492_P_906163848_B_0038011989_1.gal.png?height=540&amp;width=720;https://bilder.dasschnelle.at/DasSchnelle/50/5000/9897/061492/I_061492_P_906163848_B_0038011989_2.gal.png?height=540&amp;width=720;https://bilder.dasschnelle.at/DasSchnelle/50/5000/9897/061492/I_061492_P_906163848_B_0038011989_3.gal.png?height=540&amp;width=720;https://bilder.dasschnelle.at/DasSchnelle/50/5000/9897/061492/I_061492_P_906163848_B_0038011989_4.gal.png?height=540&amp;width=720;https://bilder.dasschnelle.at/DasSchnelle/50/5000/9897/061492/G_061492_P_906163848.adn.gif</t>
  </si>
  <si>
    <t>Avega Bau e.U., Bauunternehmen • Klosterneuburg • Niederösterreich</t>
  </si>
  <si>
    <t>Bauunternehmen • Avega Bau e.U., Hintersdorfer Straße 21, Klosterneuburg • Kontakt über aktuelle Telefonnummern ☎ und Adressen ⚑ mit Karte, Routing, Öffnungszeiten, Homepage, E-Mail, vCard und Firmendaten.</t>
  </si>
  <si>
    <t>+436642002837</t>
  </si>
  <si>
    <t>office@avegabau.at</t>
  </si>
  <si>
    <t>https://bilder.dasschnelle.at/DasSchnelle/50/5000/9897/061492/I_061492_P_906163850_L_0038011981_1.png</t>
  </si>
  <si>
    <t>https://bilder.dasschnelle.at/DasSchnelle/50/5000/9897/061492/I_061492_P_906163850_B_0038011981_1.gal.png?height=150&amp;width=150;https://bilder.dasschnelle.at/DasSchnelle/50/5000/9897/061492/I_061492_P_906163850_B_0038011981_2.gal.png?height=150&amp;width=150;https://bilder.dasschnelle.at/DasSchnelle/50/5000/9897/061492/I_061492_P_906163850_B_0038011981_3.gal.png?height=194&amp;width=259;https://bilder.dasschnelle.at/DasSchnelle/50/5000/9897/061492/I_061492_P_906163850_B_0038011981_4.gal.png?height=150&amp;width=150;https://bilder.dasschnelle.at/DasSchnelle/50/5000/9897/061492/G_061492_P_906163850.adn.gif</t>
  </si>
  <si>
    <t>Kreidl, Walter jun, Dr. med. univ., Arzt f Allgemeinmedizin • Zell am Ziller • Tirol</t>
  </si>
  <si>
    <t>Ärzte / f Allgemeinmedizin • Kreidl, Walter jun, Dr. med. univ., Gerlosstraße 10, Zell am Ziller • Kontakt über aktuelle Telefonnummern ☎ und Adressen ⚑ mit Karte, Routing, Öffnungszeiten, Homepage, E-Mail, vCard und Firmendaten.</t>
  </si>
  <si>
    <t>Gerlosstraße 10</t>
  </si>
  <si>
    <t>47.2323000</t>
  </si>
  <si>
    <t>11.8841000</t>
  </si>
  <si>
    <t>+4352822330</t>
  </si>
  <si>
    <t>praxis@walter-kreidl.at</t>
  </si>
  <si>
    <t>https://bilder.dasschnelle.at/DasSchnelle/50/5000/9929/042855/G_042855_P_906164952.adn.gif</t>
  </si>
  <si>
    <t>Holz Schachinger, Konrad, Sägewerk • Atzbach • Oberösterreich</t>
  </si>
  <si>
    <t>Säge- u. Hobelwerke • Holz Schachinger, Konrad, Schnötzing 1, Atzbach • Kontakt über aktuelle Telefonnummern ☎ und Adressen ⚑ mit Karte, Routing, Öffnungszeiten, Homepage, E-Mail, vCard und Firmendaten.</t>
  </si>
  <si>
    <t>Schnötzing 1</t>
  </si>
  <si>
    <t>4904</t>
  </si>
  <si>
    <t>Atzbach</t>
  </si>
  <si>
    <t>48.0914481</t>
  </si>
  <si>
    <t>13.7133515</t>
  </si>
  <si>
    <t>+43767681470</t>
  </si>
  <si>
    <t>+43767681475</t>
  </si>
  <si>
    <t>office@holz-schachinger.at</t>
  </si>
  <si>
    <t>https://bilder.dasschnelle.at/DasSchnelle/50/5000/9940/043070/G_043070_P_906164963.adn.gif</t>
  </si>
  <si>
    <t>Axhillari, Enver, Spenglerei • Klosterneuburg • Niederösterreich</t>
  </si>
  <si>
    <t>Spenglereien • Axhillari, Enver, Hintersdorfer Straße 21, Klosterneuburg • Kontakt über aktuelle Telefonnummern ☎ und Adressen ⚑ mit Karte, Routing, Öffnungszeiten, Homepage, E-Mail, vCard und Firmendaten.</t>
  </si>
  <si>
    <t>https://bilder.dasschnelle.at/DasSchnelle/50/5000/9897/061492/G_061492_P_906163886.adn.gif</t>
  </si>
  <si>
    <t>Sorglos24 Immobilien- u Schadensanierungs GmbH • Klosterneuburg • Niederösterreich</t>
  </si>
  <si>
    <t>Bauunternehmen • Sorglos24 Immobilien- u Schadensanierungs GmbH, Inkustraße 1-7 Stg 8, Klosterneuburg • Kontakt über aktuelle Telefonnummern ☎ und Adressen ⚑ mit Karte, Routing, Öffnungszeiten, Homepage, E-Mail, vCard und Firmendaten.</t>
  </si>
  <si>
    <t>Inkustraße 1-7 Stg 8</t>
  </si>
  <si>
    <t>+4319332424</t>
  </si>
  <si>
    <t>office@sorglos24.at</t>
  </si>
  <si>
    <t>https://bilder.dasschnelle.at/DasSchnelle/50/5000/9897/061492/I_061492_P_906163888_L_0037244696_1.png</t>
  </si>
  <si>
    <t>https://bilder.dasschnelle.at/DasSchnelle/50/5000/9897/061492/I_061492_P_906163888_B_0037244696_1.gal.png?height=497&amp;width=663;https://bilder.dasschnelle.at/DasSchnelle/50/5000/9897/061492/I_061492_P_906163888_B_0037244696_2.gal.png?height=498&amp;width=668;https://bilder.dasschnelle.at/DasSchnelle/50/5000/9897/061492/I_061492_P_906163888_B_0037244696_3.gal.png?height=496&amp;width=666;https://bilder.dasschnelle.at/DasSchnelle/50/5000/9897/061492/I_061492_P_906163888_B_0037244696_4.gal.png?height=813&amp;width=606</t>
  </si>
  <si>
    <t>Holzbau Lenz  • See • Tirol</t>
  </si>
  <si>
    <t>Holzbau • Holzbau Lenz, Winkl 323, See • Kontakt über aktuelle Telefonnummern ☎ und Adressen ⚑ mit Karte, Routing, Öffnungszeiten, Homepage, E-Mail, vCard und Firmendaten.</t>
  </si>
  <si>
    <t>Winkl 323</t>
  </si>
  <si>
    <t>6553</t>
  </si>
  <si>
    <t>See</t>
  </si>
  <si>
    <t>47.0782</t>
  </si>
  <si>
    <t>10.46272</t>
  </si>
  <si>
    <t>+4369911325243</t>
  </si>
  <si>
    <t>info@holzbau-lenz.at</t>
  </si>
  <si>
    <t>https://bilder.dasschnelle.at/DasSchnelle/50/5000/9903/044593/G_044593_P_906163976.adn.gif</t>
  </si>
  <si>
    <t>Kopfsache - Doreen Walter, Friseure • Galtür • Tirol</t>
  </si>
  <si>
    <t>Friseure • Kopfsache - Doreen Walter, Galtür 44 A, Galtür • Kontakt über aktuelle Telefonnummern ☎ und Adressen ⚑ mit Karte, Routing, Öffnungszeiten, Homepage, E-Mail, vCard und Firmendaten.</t>
  </si>
  <si>
    <t>Galtür 44 A</t>
  </si>
  <si>
    <t>6563</t>
  </si>
  <si>
    <t>Galtür</t>
  </si>
  <si>
    <t>46.9684421</t>
  </si>
  <si>
    <t>10.1876091</t>
  </si>
  <si>
    <t>+436503401866</t>
  </si>
  <si>
    <t>kopfsache-galtuer@gmx.at</t>
  </si>
  <si>
    <t>https://bilder.dasschnelle.at/DasSchnelle/50/5000/9903/044576/G_044576_P_906166966.adn.gif</t>
  </si>
  <si>
    <t>Elektro Karl • Eidenberg • Oberösterreich</t>
  </si>
  <si>
    <t>Elektrotechnik • Elektro Karl, Lichtenberger Straße 9, Eidenberg • Kontakt über aktuelle Telefonnummern ☎ und Adressen ⚑ mit Karte, Routing, Öffnungszeiten, Homepage, E-Mail, vCard und Firmendaten.</t>
  </si>
  <si>
    <t>Lichtenberger Straße 9</t>
  </si>
  <si>
    <t>48.39379</t>
  </si>
  <si>
    <t>14.23403</t>
  </si>
  <si>
    <t>+43723920125</t>
  </si>
  <si>
    <t>office@elektrokarl.com</t>
  </si>
  <si>
    <t>https://bilder.dasschnelle.at/DasSchnelle/50/5000/9939/042829/G_042829_P_906166968.adn.gif</t>
  </si>
  <si>
    <t>Hogl Steuerberatung GmbH • Hollabrunn • Niederösterreich</t>
  </si>
  <si>
    <t>Steuerberater • Hogl Steuerberatung GmbH, Wienerstraße 17/7, Hollabrunn • Kontakt über aktuelle Telefonnummern ☎ und Adressen ⚑ mit Karte, Routing, Öffnungszeiten, Homepage, E-Mail, vCard und Firmendaten.</t>
  </si>
  <si>
    <t>Wienerstraße 17/7</t>
  </si>
  <si>
    <t>48.5580800</t>
  </si>
  <si>
    <t>16.0801000</t>
  </si>
  <si>
    <t>+43295290300</t>
  </si>
  <si>
    <t>office@hogl.co.at</t>
  </si>
  <si>
    <t>https://bilder.dasschnelle.at/DasSchnelle/50/5000/9892/045551/G_045551_P_906165762.adn.gif</t>
  </si>
  <si>
    <t>Schmöller, Friedrich, Prim.Dr., FA f Chirurgie u Gefäßchirurgie • Amstetten • Niederösterreich</t>
  </si>
  <si>
    <t>Ärzte / Fachärzte f. Chirurgie • Schmöller, Friedrich, Prim.Dr., Viehdorfer Straße 8, Amstetten • Kontakt über aktuelle Telefonnummern ☎ und Adressen ⚑ mit Karte, Routing, Öffnungszeiten, Homepage, E-Mail, vCard und Firmendaten.</t>
  </si>
  <si>
    <t>Viehdorfer Straße 8</t>
  </si>
  <si>
    <t>48.12588</t>
  </si>
  <si>
    <t>14.87056</t>
  </si>
  <si>
    <t>+436769501820</t>
  </si>
  <si>
    <t>https://bilder.dasschnelle.at/DasSchnelle/50/5000/9866/042062/G_042062_P_906165766.adn.gif</t>
  </si>
  <si>
    <t>Hehenberger, Konrad, Dipl-Tierarzt • Zeillern • Niederösterreich</t>
  </si>
  <si>
    <t>Tierärzte • Hehenberger, Konrad, Dipl-Tierarzt, Kleinberg 4, Zeillern • Kontakt über aktuelle Telefonnummern ☎ und Adressen ⚑ mit Karte, Routing, Öffnungszeiten, Homepage, E-Mail, vCard und Firmendaten.</t>
  </si>
  <si>
    <t>Kleinberg 4</t>
  </si>
  <si>
    <t>3311</t>
  </si>
  <si>
    <t>Zeillern</t>
  </si>
  <si>
    <t>48.11732</t>
  </si>
  <si>
    <t>14.79729</t>
  </si>
  <si>
    <t>+43747225574</t>
  </si>
  <si>
    <t>tierarzt-hehenberger@drei.at</t>
  </si>
  <si>
    <t>https://bilder.dasschnelle.at/DasSchnelle/50/5000/9866/041335/G_041335_P_906167049.adn.gif</t>
  </si>
  <si>
    <t>Alte Stadtapotheke "Zum Einhorn" • Waidhofen an der Ybbs • Niederösterreich</t>
  </si>
  <si>
    <t>Apotheken • Alte Stadtapotheke "Zum Einhorn", Oberer Stadtplatz 21, Waidhofen an der Ybbs • Kontakt über aktuelle Telefonnummern ☎ und Adressen ⚑ mit Karte, Routing, Öffnungszeiten, Homepage, E-Mail, vCard und Firmendaten.</t>
  </si>
  <si>
    <t>Oberer Stadtplatz 21</t>
  </si>
  <si>
    <t>47.9605806</t>
  </si>
  <si>
    <t>14.7755353</t>
  </si>
  <si>
    <t>+437442525740</t>
  </si>
  <si>
    <t>office@stadtapotheke-waidhofen.at</t>
  </si>
  <si>
    <t>https://bilder.dasschnelle.at/DasSchnelle/50/5000/9866/042059/G_042059_P_906167101.adn.gif</t>
  </si>
  <si>
    <t>ASLAN Faruk, Gartenservice • Freiland • Niederösterreich</t>
  </si>
  <si>
    <t>Garten- u. Landschaftspflege • ASLAN Faruk, Lehenrotte 36, Freiland • Kontakt über aktuelle Telefonnummern ☎ und Adressen ⚑ mit Karte, Routing, Öffnungszeiten, Homepage, E-Mail, vCard und Firmendaten.</t>
  </si>
  <si>
    <t>Lehenrotte 36</t>
  </si>
  <si>
    <t>Freiland</t>
  </si>
  <si>
    <t>47.9618419</t>
  </si>
  <si>
    <t>15.5537647</t>
  </si>
  <si>
    <t>+436763629693</t>
  </si>
  <si>
    <t>office@gartenservice-pool.at</t>
  </si>
  <si>
    <t>fix verfliest e.U., Fliesenleger • St. Stefan • Kärnten</t>
  </si>
  <si>
    <t>Fliesenfachhandel • fix verfliest e.U., Rosenfeldstraße 3, St. Stefan • Kontakt über aktuelle Telefonnummern ☎ und Adressen ⚑ mit Karte, Routing, Öffnungszeiten, Homepage, E-Mail, vCard und Firmendaten.</t>
  </si>
  <si>
    <t>Rosenfeldstraße 3</t>
  </si>
  <si>
    <t>46.81168</t>
  </si>
  <si>
    <t>14.84922</t>
  </si>
  <si>
    <t>+436508136190;+436508631142</t>
  </si>
  <si>
    <t>office@fix-verfliest.at</t>
  </si>
  <si>
    <t>https://bilder.dasschnelle.at/DasSchnelle/50/5000/9949/042046/G_042046_P_906167104.adn.gif</t>
  </si>
  <si>
    <t>Brunnmayr, Gudrun, Dr., FA f Frauenheilkunde u Geburtshilfe • Marchtrenk • Oberösterreich</t>
  </si>
  <si>
    <t>Ärzte / Fachärzte f. Frauenheilkunde u. Geburtshilfe • Brunnmayr, Gudrun, Dr., Linzer Straße 9, Marchtrenk • Kontakt über aktuelle Telefonnummern ☎ und Adressen ⚑ mit Karte, Routing, Öffnungszeiten, Homepage, E-Mail, vCard und Firmendaten.</t>
  </si>
  <si>
    <t>+436642624406</t>
  </si>
  <si>
    <t>ordination@frauenaerztin-brunnmayr.at</t>
  </si>
  <si>
    <t>https://bilder.dasschnelle.at/DasSchnelle/50/5000/9907/043573/I_043573_P_906165897_L_0035999171_1.png</t>
  </si>
  <si>
    <t>https://bilder.dasschnelle.at/DasSchnelle/50/5000/9907/043573/I_043573_P_906165897_B_0035999171_1.gal.png?height=498&amp;width=380;https://bilder.dasschnelle.at/DasSchnelle/50/5000/9907/043573/I_043573_P_906165897_B_0035999171_2.gal.png?height=360&amp;width=275;https://bilder.dasschnelle.at/DasSchnelle/50/5000/9907/043573/I_043573_P_906165897_B_0035999171_3.gal.png?height=480&amp;width=720;https://bilder.dasschnelle.at/DasSchnelle/50/5000/9907/043573/I_043573_P_906165897_B_0035999171_4.gal.png?height=479&amp;width=720;https://bilder.dasschnelle.at/DasSchnelle/50/5000/9907/043573/G_043573_P_906165897.adn.gif</t>
  </si>
  <si>
    <t>Zangl, Christian, Dr.med., FA f Orthopädie u orthop. Chirurgie • Hall in Tirol • Tirol</t>
  </si>
  <si>
    <t>Ärzte / Fachärzte f. Orthopädie u. Orthopädische Chirurgie • Zangl, Christian, Dr.med., Kaiser-Max-Straße 37, Hall in Tirol • Kontakt über aktuelle Telefonnummern ☎ und Adressen ⚑ mit Karte, Routing, Öffnungszeiten, Homepage, E-Mail, vCard und Firmendaten.</t>
  </si>
  <si>
    <t>Kaiser-Max-Straße 37</t>
  </si>
  <si>
    <t>6060</t>
  </si>
  <si>
    <t>Hall in Tirol</t>
  </si>
  <si>
    <t>47.2853547</t>
  </si>
  <si>
    <t>11.5216431</t>
  </si>
  <si>
    <t>+435223413140</t>
  </si>
  <si>
    <t>praxis@zangl.cc</t>
  </si>
  <si>
    <t>https://bilder.dasschnelle.at/DasSchnelle/50/5000/9929/042636/G_042636_P_906165899.adn.gif</t>
  </si>
  <si>
    <t>Bestattung Wolfsberg &amp; St. Paul, Bestattung • Wolfsberg • Kärnten</t>
  </si>
  <si>
    <t>Gemeinde • Bestattung Wolfsberg &amp; St. Paul, Lindhofstraße 2, Wolfsberg • Kontakt über aktuelle Telefonnummern ☎ und Adressen ⚑ mit Karte, Routing, Öffnungszeiten, Homepage, E-Mail, vCard und Firmendaten.</t>
  </si>
  <si>
    <t>Lindhofstraße 2</t>
  </si>
  <si>
    <t>46.8401100</t>
  </si>
  <si>
    <t>14.8440700</t>
  </si>
  <si>
    <t>+436642621255</t>
  </si>
  <si>
    <t>bestattung@wolfsberg.at</t>
  </si>
  <si>
    <t>https://bilder.dasschnelle.at/DasSchnelle/50/5000/9949/042046/I_042046_P_906166013_L_0036003221_1.png</t>
  </si>
  <si>
    <t>https://bilder.dasschnelle.at/DasSchnelle/50/5000/9949/042046/I_042046_P_906166013_B_0036003221_1.gal.png?height=375&amp;width=807;https://bilder.dasschnelle.at/DasSchnelle/50/5000/9949/042046/I_042046_P_906166013_B_0036003221_2.gal.png?height=312&amp;width=624;https://bilder.dasschnelle.at/DasSchnelle/50/5000/9949/042046/I_042046_P_906166013_B_0036003221_3.gal.png?height=229&amp;width=300</t>
  </si>
  <si>
    <t>Klade, Peter, Malermeister • Wolfsberg • Kärnten</t>
  </si>
  <si>
    <t>Malereibetriebe • Klade, Peter, Industriestraße 8, Wolfsberg • Kontakt über aktuelle Telefonnummern ☎ und Adressen ⚑ mit Karte, Routing, Öffnungszeiten, Homepage, E-Mail, vCard und Firmendaten.</t>
  </si>
  <si>
    <t>Industriestraße 8</t>
  </si>
  <si>
    <t>46.8229</t>
  </si>
  <si>
    <t>14.84108</t>
  </si>
  <si>
    <t>+436642612263</t>
  </si>
  <si>
    <t>peter.klade@aon.at</t>
  </si>
  <si>
    <t>Bergmoser, Anni, Fußpflege • Sankt Veit • Kärnten</t>
  </si>
  <si>
    <t>Fußpflege • Bergmoser, Anni, Landstraße 2, Sankt Veit • Kontakt über aktuelle Telefonnummern ☎ und Adressen ⚑ mit Karte, Routing, Öffnungszeiten, Homepage, E-Mail, vCard und Firmendaten.</t>
  </si>
  <si>
    <t>Landstraße 2</t>
  </si>
  <si>
    <t>46.7661073</t>
  </si>
  <si>
    <t>14.3597654</t>
  </si>
  <si>
    <t>+43421271272</t>
  </si>
  <si>
    <t>probeauty@aon.at</t>
  </si>
  <si>
    <t>https://bilder.dasschnelle.at/DasSchnelle/50/5000/9925/042125/G_042125_P_906167015.adn.gif</t>
  </si>
  <si>
    <t>Dr. Thomas Schwarz, Augenarzt • Jennersdorf • Burgenland</t>
  </si>
  <si>
    <t>Ärzte / Fachärzte f. Augenheilkunde u. Optometrie • Dr. Thomas Schwarz, Kirchenstraße 4, Jennersdorf • Kontakt über aktuelle Telefonnummern ☎ und Adressen ⚑ mit Karte, Routing, Öffnungszeiten, Homepage, E-Mail, vCard und Firmendaten.</t>
  </si>
  <si>
    <t>Kirchenstraße 4</t>
  </si>
  <si>
    <t>46.93794</t>
  </si>
  <si>
    <t>16.14188</t>
  </si>
  <si>
    <t>+43332945733</t>
  </si>
  <si>
    <t>jennersdorf@schwarz-augenarzt.at</t>
  </si>
  <si>
    <t>https://bilder.dasschnelle.at/DasSchnelle/50/5000/9884/041575/G_041575_P_906166079.adn.gif</t>
  </si>
  <si>
    <t>Mag. DDr. Ruth-Maria Friewald • Amstetten • Niederösterreich</t>
  </si>
  <si>
    <t>Ärzte / Fachärzte f. Kinder u. Jugendheilkunde • Mag. DDr. Ruth-Maria Friewald, Schulstraße 1 TOP 3, Amstetten • Kontakt über aktuelle Telefonnummern ☎ und Adressen ⚑ mit Karte, Routing, Öffnungszeiten, Homepage, E-Mail, vCard und Firmendaten.</t>
  </si>
  <si>
    <t>Schulstraße 1 TOP 3</t>
  </si>
  <si>
    <t>48.1231</t>
  </si>
  <si>
    <t>14.87672</t>
  </si>
  <si>
    <t>+43747262136</t>
  </si>
  <si>
    <t>office@kjp-friewald.at</t>
  </si>
  <si>
    <t>https://bilder.dasschnelle.at/DasSchnelle/50/5000/9866/042062/G_042062_P_906166086.adn.gif</t>
  </si>
  <si>
    <t>Christoph Langsenlehner KG, Baggerungen • Haidershofen • Niederösterreich</t>
  </si>
  <si>
    <t>Baggerungen u. Transporte • Christoph Langsenlehner KG, Tröstlberg 23, Haidershofen • Kontakt über aktuelle Telefonnummern ☎ und Adressen ⚑ mit Karte, Routing, Öffnungszeiten, Homepage, E-Mail, vCard und Firmendaten.</t>
  </si>
  <si>
    <t>Tröstlberg 23</t>
  </si>
  <si>
    <t>Haidershofen</t>
  </si>
  <si>
    <t>48.0531937</t>
  </si>
  <si>
    <t>14.5247230</t>
  </si>
  <si>
    <t>+43743445184</t>
  </si>
  <si>
    <t>https://bilder.dasschnelle.at/DasSchnelle/50/5000/9866/041692/G_041692_P_906166087.adn.gif</t>
  </si>
  <si>
    <t>Hotel Post  • St. Valentin • Niederösterreich</t>
  </si>
  <si>
    <t>Gastgewerbe - Gasthöfe • Hotel Post, Westbahnstr. 36, St. Valentin • Kontakt über aktuelle Telefonnummern ☎ und Adressen ⚑ mit Karte, Routing, Öffnungszeiten, Homepage, E-Mail, vCard und Firmendaten.</t>
  </si>
  <si>
    <t>Westbahnstr. 36</t>
  </si>
  <si>
    <t>48.17904</t>
  </si>
  <si>
    <t>14.52278</t>
  </si>
  <si>
    <t>+43743552377</t>
  </si>
  <si>
    <t>info@hotel-rogl.at</t>
  </si>
  <si>
    <t>https://bilder.dasschnelle.at/DasSchnelle/50/5000/9924/041325/G_041325_P_906167133.adn.gif</t>
  </si>
  <si>
    <t>Mag. Matthias Leitner, Rechtsanwalt • Waidhofen/Ybbs • Niederösterreich</t>
  </si>
  <si>
    <t>Rechtsanwälte • Mag. Matthias Leitner, Kapuzingerg. 9, Waidhofen/Ybbs • Kontakt über aktuelle Telefonnummern ☎ und Adressen ⚑ mit Karte, Routing, Öffnungszeiten, Homepage, E-Mail, vCard und Firmendaten.</t>
  </si>
  <si>
    <t>Kapuzingerg. 9</t>
  </si>
  <si>
    <t>Waidhofen/Ybbs</t>
  </si>
  <si>
    <t>47.9585482</t>
  </si>
  <si>
    <t>14.7771731</t>
  </si>
  <si>
    <t>+43744253133</t>
  </si>
  <si>
    <t>leitner@rechtsanwalt.co.at</t>
  </si>
  <si>
    <t>https://bilder.dasschnelle.at/DasSchnelle/50/5000/9866/042059/G_042059_P_906167919.adn.gif</t>
  </si>
  <si>
    <t>Gruber, Nicole, Dr.med.univ., Ärzte / Fachärzte f Innere Medizin • Zell am Ziller • Tirol</t>
  </si>
  <si>
    <t>Ärzte / Fachärzte f. Innere Medizin • Gruber, Nicole, Dr.med.univ., Unterau 7 B, Zell am Ziller • Kontakt über aktuelle Telefonnummern ☎ und Adressen ⚑ mit Karte, Routing, Öffnungszeiten, Homepage, E-Mail, vCard und Firmendaten.</t>
  </si>
  <si>
    <t>Unterau 7 B</t>
  </si>
  <si>
    <t>47.23716</t>
  </si>
  <si>
    <t>11.886</t>
  </si>
  <si>
    <t>+4352823277</t>
  </si>
  <si>
    <t>ordination@nicole-gruber.at</t>
  </si>
  <si>
    <t>https://bilder.dasschnelle.at/DasSchnelle/50/5000/9929/042855/I_042855_P_906167921_B_0036006330_1.gal.png?height=360&amp;width=960;https://bilder.dasschnelle.at/DasSchnelle/50/5000/9929/042855/I_042855_P_906167921_B_0036006330_2.gal.png?height=594&amp;width=890</t>
  </si>
  <si>
    <t>Röntgendiagnostik in Hollabrunn OG, FA f Radiologie • Hollabrunn • Niederösterreich</t>
  </si>
  <si>
    <t>Ärzte / Fachärzte f. Radiologie • Röntgendiagnostik in Hollabrunn OG, Brünnlgasse 1, Hollabrunn • Kontakt über aktuelle Telefonnummern ☎ und Adressen ⚑ mit Karte, Routing, Öffnungszeiten, Homepage, E-Mail, vCard und Firmendaten.</t>
  </si>
  <si>
    <t>Brünnlgasse 1</t>
  </si>
  <si>
    <t>48.56447</t>
  </si>
  <si>
    <t>16.09185</t>
  </si>
  <si>
    <t>+4329522880</t>
  </si>
  <si>
    <t>ordination@roentgen-hollabrunn.at</t>
  </si>
  <si>
    <t>https://bilder.dasschnelle.at/DasSchnelle/50/5000/9892/045551/G_045551_P_906169291.adn.gif</t>
  </si>
  <si>
    <t>Freunberger, Josef, Türen-Tore-Zäune • Oberwang • Oberösterreich</t>
  </si>
  <si>
    <t>Tore • Freunberger, Josef, Oberaschau 7, Oberwang • Kontakt über aktuelle Telefonnummern ☎ und Adressen ⚑ mit Karte, Routing, Öffnungszeiten, Homepage, E-Mail, vCard und Firmendaten.</t>
  </si>
  <si>
    <t>Oberaschau 7</t>
  </si>
  <si>
    <t>47.8396019</t>
  </si>
  <si>
    <t>13.4765826</t>
  </si>
  <si>
    <t>+4362338310</t>
  </si>
  <si>
    <t>freunberger@tortech.at</t>
  </si>
  <si>
    <t>https://bilder.dasschnelle.at/DasSchnelle/50/5000/9940/043555/G_043555_P_906169289.adn.gif</t>
  </si>
  <si>
    <t>Augenzentrum Horn, Dr. Frischauf &amp; Dr. Sulzer • Horn • Niederösterreich</t>
  </si>
  <si>
    <t>Ärzte / Fachärzte f. Augenheilkunde u. Optometrie • Augenzentrum Horn, Dr. Frischauf &amp; Dr. Sulzer, Riedenburgstraße 1 A, Horn • Kontakt über aktuelle Telefonnummern ☎ und Adressen ⚑ mit Karte, Routing, Öffnungszeiten, Homepage, E-Mail, vCard und Firmendaten.</t>
  </si>
  <si>
    <t>Riedenburgstraße 1 A</t>
  </si>
  <si>
    <t>48.66178</t>
  </si>
  <si>
    <t>15.65618</t>
  </si>
  <si>
    <t>+4329822803</t>
  </si>
  <si>
    <t>https://bilder.dasschnelle.at/DasSchnelle/50/5000/9893/998141/G_998141_P_906169293.adn.gif</t>
  </si>
  <si>
    <t>Hauzenberger GmbH Autohaus • Zwettl an der Rodl • Oberösterreich</t>
  </si>
  <si>
    <t>Autoreparaturen • Hauzenberger GmbH Autohaus, Linzer Straße 14, Zwettl an der Rodl • Kontakt über aktuelle Telefonnummern ☎ und Adressen ⚑ mit Karte, Routing, Öffnungszeiten, Homepage, E-Mail, vCard und Firmendaten.</t>
  </si>
  <si>
    <t>4180</t>
  </si>
  <si>
    <t>Zwettl an der Rodl</t>
  </si>
  <si>
    <t>48.46289</t>
  </si>
  <si>
    <t>14.27082</t>
  </si>
  <si>
    <t>+4372126666</t>
  </si>
  <si>
    <t>+43721266666</t>
  </si>
  <si>
    <t>office@ford-hauzenberger.at</t>
  </si>
  <si>
    <t>https://bilder.dasschnelle.at/DasSchnelle/50/5000/9939/043066/G_043066_P_906169297.adn.gif</t>
  </si>
  <si>
    <t>Malek, C., Dr.med.univ. • Ravelsbach • Niederösterreich</t>
  </si>
  <si>
    <t>Ärzte / Fachärzte f. Zahn-, Mund u. Kieferheilkunde • Malek, C., Dr.med.univ., Hauptplatz 3, Ravelsbach • Kontakt über aktuelle Telefonnummern ☎ und Adressen ⚑ mit Karte, Routing, Öffnungszeiten, Homepage, E-Mail, vCard und Firmendaten.</t>
  </si>
  <si>
    <t>48.55168</t>
  </si>
  <si>
    <t>15.84935</t>
  </si>
  <si>
    <t>+43295882457</t>
  </si>
  <si>
    <t>c.malek@gmx.at</t>
  </si>
  <si>
    <t>https://bilder.dasschnelle.at/DasSchnelle/50/5000/9892/041376/G_041376_P_906169299.adn.gif</t>
  </si>
  <si>
    <t>Dr.med. Othmar Ablinger, FA f. Lungenheilkunde • Thalheim • Oberösterreich</t>
  </si>
  <si>
    <t>Ärzte / Fachärzte f. Lungenkrankheiten • Dr.med. Othmar Ablinger, Pater-Bernhard-Rodlberger-Str. 14, Thalheim • Kontakt über aktuelle Telefonnummern ☎ und Adressen ⚑ mit Karte, Routing, Öffnungszeiten, Homepage, E-Mail, vCard und Firmendaten.</t>
  </si>
  <si>
    <t>Pater-Bernhard-Rodlberger-Str. 14</t>
  </si>
  <si>
    <t>48.1527611</t>
  </si>
  <si>
    <t>14.0294897</t>
  </si>
  <si>
    <t>+437242350053</t>
  </si>
  <si>
    <t>ordination@lunge-ablinger.at</t>
  </si>
  <si>
    <t>https://bilder.dasschnelle.at/DasSchnelle/50/5000/9945/043584/G_043584_P_906170944.adn.gif</t>
  </si>
  <si>
    <t>Siess, Andreas, Bauleitung &amp; Baumanagement • Landeck • Tirol</t>
  </si>
  <si>
    <t>Bauunternehmen • Siess, Andreas, Bruggfeldstraße LanTec 5, Landeck • Kontakt über aktuelle Telefonnummern ☎ und Adressen ⚑ mit Karte, Routing, Öffnungszeiten, Homepage, E-Mail, vCard und Firmendaten.</t>
  </si>
  <si>
    <t>Bruggfeldstraße LanTec 5</t>
  </si>
  <si>
    <t>47.1414381</t>
  </si>
  <si>
    <t>10.5154550</t>
  </si>
  <si>
    <t>+436641849600;+436645135501</t>
  </si>
  <si>
    <t>office@bauleitung-siess.at</t>
  </si>
  <si>
    <t>https://bilder.dasschnelle.at/DasSchnelle/50/5000/9903/044584/G_044584_P_906170948.adn.gif</t>
  </si>
  <si>
    <t>MBA Manuela Pöschl, Manuela Pöschl, MBA, Steuerberaterin • Amstetten • Niederösterreich</t>
  </si>
  <si>
    <t>Steuerberater, Wirtschaftstreuhänder / Steuerberater • MBA Manuela Pöschl, Manuela Pöschl, MBA, Wiener Str. 75, Amstetten • Kontakt über aktuelle Telefonnummern ☎ und Adressen ⚑ mit Karte, Routing, Öffnungszeiten, Homepage, E-Mail, vCard und Firmendaten.</t>
  </si>
  <si>
    <t>Wiener Str. 75</t>
  </si>
  <si>
    <t>48.12287</t>
  </si>
  <si>
    <t>14.88349</t>
  </si>
  <si>
    <t>+43747261210</t>
  </si>
  <si>
    <t>office@poeschl.at</t>
  </si>
  <si>
    <t>https://bilder.dasschnelle.at/DasSchnelle/50/5000/9866/042062/G_042062_P_906170952.adn.gif</t>
  </si>
  <si>
    <t>Gruppenpraxis Innere Medizin Dr. Kies &amp; Dr. Meyer &amp; Dr. Hodzic OG • Amstetten • Niederösterreich</t>
  </si>
  <si>
    <t>Ärzte / Fachärzte f. Innere Medizin • Gruppenpraxis Innere Medizin Dr. Kies &amp; Dr. Meyer &amp; Dr. Hodzic OG, Eggersdorfer Straße 7, Amstetten • Kontakt über aktuelle Telefonnummern ☎ und Adressen ⚑ mit Karte, Routing, Öffnungszeiten, Homepage, E-Mail, vCard und Firmendaten.</t>
  </si>
  <si>
    <t>Eggersdorfer Straße 7</t>
  </si>
  <si>
    <t>48.12112</t>
  </si>
  <si>
    <t>14.87382</t>
  </si>
  <si>
    <t>+43747223583</t>
  </si>
  <si>
    <t>info@internist-kies.at</t>
  </si>
  <si>
    <t>https://bilder.dasschnelle.at/DasSchnelle/50/5000/9866/042062/G_042062_P_906170955.adn.gif</t>
  </si>
  <si>
    <t>Ebenbichler, Heinz, Dipl.-Ing. • Brandberg • Tirol</t>
  </si>
  <si>
    <t>Vermessungsbüros • Ebenbichler, Heinz, Dipl.-Ing., Pignellen 137, Brandberg • Kontakt über aktuelle Telefonnummern ☎ und Adressen ⚑ mit Karte, Routing, Öffnungszeiten, Homepage, E-Mail, vCard und Firmendaten.</t>
  </si>
  <si>
    <t>Pignellen 137</t>
  </si>
  <si>
    <t>Brandberg</t>
  </si>
  <si>
    <t>47.15811</t>
  </si>
  <si>
    <t>11.87369</t>
  </si>
  <si>
    <t>+43528563733</t>
  </si>
  <si>
    <t>+43528563056</t>
  </si>
  <si>
    <t>mayrhofen@ebenbichler.com</t>
  </si>
  <si>
    <t>https://bilder.dasschnelle.at/DasSchnelle/50/5000/9929/042630/G_042630_P_906169357.adn.gif</t>
  </si>
  <si>
    <t>Edelbacher, Otmar, DI • Mariazell • Steiermark</t>
  </si>
  <si>
    <t>Privatzimmer • Edelbacher, Otmar, DI, Grazer Straße 15, Mariazell • Kontakt über aktuelle Telefonnummern ☎ und Adressen ⚑ mit Karte, Routing, Öffnungszeiten, Homepage, E-Mail, vCard und Firmendaten.</t>
  </si>
  <si>
    <t>47.77183</t>
  </si>
  <si>
    <t>15.31565</t>
  </si>
  <si>
    <t>+43388221180</t>
  </si>
  <si>
    <t>office@arch-edelbacher.at</t>
  </si>
  <si>
    <t>https://bilder.dasschnelle.at/DasSchnelle/50/5000/9906/061453/G_061453_P_906169359.adn.gif</t>
  </si>
  <si>
    <t>Mayer, Sabine, Glaserei • Hollabrunn • Niederösterreich</t>
  </si>
  <si>
    <t>Glas u. Service, Glasereien • Mayer, Sabine, Lothringerplatz 2, Hollabrunn • Kontakt über aktuelle Telefonnummern ☎ und Adressen ⚑ mit Karte, Routing, Öffnungszeiten, Homepage, E-Mail, vCard und Firmendaten.</t>
  </si>
  <si>
    <t>Lothringerplatz 2</t>
  </si>
  <si>
    <t>48.56609</t>
  </si>
  <si>
    <t>16.07962</t>
  </si>
  <si>
    <t>+4329522352</t>
  </si>
  <si>
    <t>glaserei-mayer@aon.at</t>
  </si>
  <si>
    <t>https://bilder.dasschnelle.at/DasSchnelle/50/5000/9892/045551/G_045551_P_906169363.adn.gif</t>
  </si>
  <si>
    <t>Restaurant Reisinger • Hollabrunn • Niederösterreich</t>
  </si>
  <si>
    <t>Restaurants • Restaurant Reisinger, Hauptplatz 11, Hollabrunn • Kontakt über aktuelle Telefonnummern ☎ und Adressen ⚑ mit Karte, Routing, Öffnungszeiten, Homepage, E-Mail, vCard und Firmendaten.</t>
  </si>
  <si>
    <t>48.56291</t>
  </si>
  <si>
    <t>16.07929</t>
  </si>
  <si>
    <t>+4329522162</t>
  </si>
  <si>
    <t>birgit.reisinger@aon.at</t>
  </si>
  <si>
    <t>https://bilder.dasschnelle.at/DasSchnelle/50/5000/9892/045551/G_045551_P_906170855.adn.gif</t>
  </si>
  <si>
    <t>Mag. Johanna Forster, Tierärztin • Amstetten • Niederösterreich</t>
  </si>
  <si>
    <t>Tierärzte • Mag. Johanna Forster, Bahnhofstr. 13, Amstetten • Kontakt über aktuelle Telefonnummern ☎ und Adressen ⚑ mit Karte, Routing, Öffnungszeiten, Homepage, E-Mail, vCard und Firmendaten.</t>
  </si>
  <si>
    <t>Bahnhofstr. 13</t>
  </si>
  <si>
    <t>48.12376</t>
  </si>
  <si>
    <t>14.87782</t>
  </si>
  <si>
    <t>+43747264147</t>
  </si>
  <si>
    <t>forster@tierarzt-amstetten.at</t>
  </si>
  <si>
    <t>https://bilder.dasschnelle.at/DasSchnelle/50/5000/9866/042062/G_042062_P_906171005.adn.gif</t>
  </si>
  <si>
    <t>Klemens Hintermaier • Perg • Oberösterreich</t>
  </si>
  <si>
    <t>Garten- u. Landschaftsgestaltung • Klemens Hintermaier, Friedhofstraße 11, Perg • Kontakt über aktuelle Telefonnummern ☎ und Adressen ⚑ mit Karte, Routing, Öffnungszeiten, Homepage, E-Mail, vCard und Firmendaten.</t>
  </si>
  <si>
    <t>Friedhofstraße 11</t>
  </si>
  <si>
    <t>48.25202</t>
  </si>
  <si>
    <t>14.62829</t>
  </si>
  <si>
    <t>+43726253489</t>
  </si>
  <si>
    <t>klemens.hintermaier@aon.at</t>
  </si>
  <si>
    <t>https://bilder.dasschnelle.at/DasSchnelle/50/5000/9916/042528/G_042528_P_906171007.adn.gif</t>
  </si>
  <si>
    <t>Reichart Dr. KG, Wirtschaftstreuhandgesellschaft • Wels • Oberösterreich</t>
  </si>
  <si>
    <t>Steuerberater, Wirtschaftstreuhänder / Steuerberater • Reichart Dr. KG, Wirtschaftstreuhandgesellschaft, Herrengasse 3, Wels • Kontakt über aktuelle Telefonnummern ☎ und Adressen ⚑ mit Karte, Routing, Öffnungszeiten, Homepage, E-Mail, vCard und Firmendaten.</t>
  </si>
  <si>
    <t>Herrengasse 3</t>
  </si>
  <si>
    <t>48.15971</t>
  </si>
  <si>
    <t>14.02809</t>
  </si>
  <si>
    <t>+437242418350;+436641007016;+4369910541835</t>
  </si>
  <si>
    <t>+437242418355</t>
  </si>
  <si>
    <t>office@reichart.at</t>
  </si>
  <si>
    <t>https://bilder.dasschnelle.at/DasSchnelle/50/5000/9945/044547/G_044547_P_906171649.adn.gif</t>
  </si>
  <si>
    <t>Eder, Michael, Massage • Wels • Oberösterreich</t>
  </si>
  <si>
    <t>Massagen • Eder, Michael, Thalbachweg 2, Wels • Kontakt über aktuelle Telefonnummern ☎ und Adressen ⚑ mit Karte, Routing, Öffnungszeiten, Homepage, E-Mail, vCard und Firmendaten.</t>
  </si>
  <si>
    <t>Thalbachweg 2</t>
  </si>
  <si>
    <t>48.1535500</t>
  </si>
  <si>
    <t>14.0476183</t>
  </si>
  <si>
    <t>+436509483210</t>
  </si>
  <si>
    <t>michael.eder@eder-massage.at</t>
  </si>
  <si>
    <t>https://bilder.dasschnelle.at/DasSchnelle/50/5000/9945/043584/G_043584_P_906171812.adn.gif</t>
  </si>
  <si>
    <t>Tischlerei Lehner e.U. • Buchkirchen • Oberösterreich</t>
  </si>
  <si>
    <t>Tischlereien • Tischlerei Lehner e.U., Hundshamerstraße 16, Buchkirchen • Kontakt über aktuelle Telefonnummern ☎ und Adressen ⚑ mit Karte, Routing, Öffnungszeiten, Homepage, E-Mail, vCard und Firmendaten.</t>
  </si>
  <si>
    <t>Hundshamerstraße 16</t>
  </si>
  <si>
    <t>48.22596</t>
  </si>
  <si>
    <t>14.02085</t>
  </si>
  <si>
    <t>+436764055200</t>
  </si>
  <si>
    <t>office@tischler-lehner.at</t>
  </si>
  <si>
    <t>https://bilder.dasschnelle.at/DasSchnelle/50/5000/9945/043565/G_043565_P_906171819.adn.gif</t>
  </si>
  <si>
    <t>Kravutske, Wolfgang, Dr., FA f HNO • Wels • Oberösterreich</t>
  </si>
  <si>
    <t>Ärzte / Fachärzte f. Hals-, Nasen u. Ohrenkrankheiten • Kravutske, Wolfgang, Dr., Wallerer Straße 10, Wels • Kontakt über aktuelle Telefonnummern ☎ und Adressen ⚑ mit Karte, Routing, Öffnungszeiten, Homepage, E-Mail, vCard und Firmendaten.</t>
  </si>
  <si>
    <t>Wallerer Straße 10</t>
  </si>
  <si>
    <t>48.1675</t>
  </si>
  <si>
    <t>14.0232</t>
  </si>
  <si>
    <t>+43724258440;+436765008376;+436765008375</t>
  </si>
  <si>
    <t>+4372425844030</t>
  </si>
  <si>
    <t>https://bilder.dasschnelle.at/DasSchnelle/50/5000/9945/044547/G_044547_P_906173086.adn.gif</t>
  </si>
  <si>
    <t>Dopetsberger, Thomas, Gärtnerei • Wels • Oberösterreich</t>
  </si>
  <si>
    <t>Gärtnereien • Dopetsberger, Thomas, Oberhartstraße 9, Wels • Kontakt über aktuelle Telefonnummern ☎ und Adressen ⚑ mit Karte, Routing, Öffnungszeiten, Homepage, E-Mail, vCard und Firmendaten.</t>
  </si>
  <si>
    <t>Oberhartstraße 9</t>
  </si>
  <si>
    <t>48.17104</t>
  </si>
  <si>
    <t>14.03448</t>
  </si>
  <si>
    <t>+43724241208</t>
  </si>
  <si>
    <t>office@dopetsberger.at</t>
  </si>
  <si>
    <t>https://bilder.dasschnelle.at/DasSchnelle/50/5000/9945/044547/I_044547_P_906173094_L_0037232601_1.png</t>
  </si>
  <si>
    <t>https://bilder.dasschnelle.at/DasSchnelle/50/5000/9945/044547/I_044547_P_906173094_B_0037232601_1.gal.png?height=450&amp;width=600;https://bilder.dasschnelle.at/DasSchnelle/50/5000/9945/044547/I_044547_P_906173094_B_0037232601_2.gal.png?height=450&amp;width=600;https://bilder.dasschnelle.at/DasSchnelle/50/5000/9945/044547/I_044547_P_906173094_B_0037232601_3.gal.png?height=600&amp;width=600;https://bilder.dasschnelle.at/DasSchnelle/50/5000/9945/044547/I_044547_P_906173094_B_0037232601_4.gal.png?height=600&amp;width=600</t>
  </si>
  <si>
    <t>Huber, Barbara, Dr., FA f Augenheilkunde • Wels • Oberösterreich</t>
  </si>
  <si>
    <t>Ärzte / Fachärzte f. Augenheilkunde u. Optometrie • Huber, Barbara, Dr., Bauernstraße 11, Wels • Kontakt über aktuelle Telefonnummern ☎ und Adressen ⚑ mit Karte, Routing, Öffnungszeiten, Homepage, E-Mail, vCard und Firmendaten.</t>
  </si>
  <si>
    <t>Bauernstraße 11</t>
  </si>
  <si>
    <t>48.15071</t>
  </si>
  <si>
    <t>14.00946</t>
  </si>
  <si>
    <t>+43724265778</t>
  </si>
  <si>
    <t>augenarzt.huber@gmail.com</t>
  </si>
  <si>
    <t>https://bilder.dasschnelle.at/DasSchnelle/50/5000/9945/044547/G_044547_P_906173091.adn.gif</t>
  </si>
  <si>
    <t>Stadler, Klaus, Dr., FA für Neurologie • Wels • Oberösterreich</t>
  </si>
  <si>
    <t>Ärzte / Fachärzte f. Neurologie • Stadler, Klaus, Dr., Bauernstraße 3 /2 OG, Wels • Kontakt über aktuelle Telefonnummern ☎ und Adressen ⚑ mit Karte, Routing, Öffnungszeiten, Homepage, E-Mail, vCard und Firmendaten.</t>
  </si>
  <si>
    <t>Bauernstraße 3 /2 OG</t>
  </si>
  <si>
    <t>48.1541394</t>
  </si>
  <si>
    <t>14.0076707</t>
  </si>
  <si>
    <t>+43724222833</t>
  </si>
  <si>
    <t>dr.stadler@neurologe.co.at</t>
  </si>
  <si>
    <t>https://bilder.dasschnelle.at/DasSchnelle/50/5000/9945/044547/G_044547_P_906173096.adn.gif</t>
  </si>
  <si>
    <t>F &amp; S Bauunternehmung GmbH • Gars • Niederösterreich</t>
  </si>
  <si>
    <t>Bauunternehmen • F &amp; S Bauunternehmung GmbH, Schillerstraße 163, Gars • Kontakt über aktuelle Telefonnummern ☎ und Adressen ⚑ mit Karte, Routing, Öffnungszeiten, Homepage, E-Mail, vCard und Firmendaten.</t>
  </si>
  <si>
    <t>+43298527200</t>
  </si>
  <si>
    <t>fs-bau@klipso.at</t>
  </si>
  <si>
    <t>https://bilder.dasschnelle.at/DasSchnelle/50/5000/9893/041390/I_041390_P_906173100_L_0035999038_1.png</t>
  </si>
  <si>
    <t>https://bilder.dasschnelle.at/DasSchnelle/50/5000/9893/041390/I_041390_P_906173100_B_0035999038_1.gal.png?height=264&amp;width=264;https://bilder.dasschnelle.at/DasSchnelle/50/5000/9893/041390/I_041390_P_906173100_B_0035999038_2.gal.png?height=264&amp;width=264;https://bilder.dasschnelle.at/DasSchnelle/50/5000/9893/041390/I_041390_P_906173100_B_0035999038_3.gal.png?height=264&amp;width=264;https://bilder.dasschnelle.at/DasSchnelle/50/5000/9893/041390/I_041390_P_906173100_B_0035999038_4.gal.png?height=264&amp;width=264</t>
  </si>
  <si>
    <t>Godetz, Martin, Kegel- und Bowlingbahnen • Wels • Oberösterreich</t>
  </si>
  <si>
    <t>Cafés, Kegelbahnen • Godetz, Martin, Laahener Straße 28, Wels • Kontakt über aktuelle Telefonnummern ☎ und Adressen ⚑ mit Karte, Routing, Öffnungszeiten, Homepage, E-Mail, vCard und Firmendaten.</t>
  </si>
  <si>
    <t>Laahener Straße 28</t>
  </si>
  <si>
    <t>48.16619</t>
  </si>
  <si>
    <t>14.01374</t>
  </si>
  <si>
    <t>+43724246603;+4369911850492</t>
  </si>
  <si>
    <t>martin.godetz@liwest.at</t>
  </si>
  <si>
    <t>https://bilder.dasschnelle.at/DasSchnelle/50/5000/9945/044547/G_044547_P_906171876.adn.gif</t>
  </si>
  <si>
    <t>Heimtextilien Annemarie • Perg • Oberösterreich</t>
  </si>
  <si>
    <t>Textilbearbeitung • Heimtextilien Annemarie, Linzerstraße 1, Perg • Kontakt über aktuelle Telefonnummern ☎ und Adressen ⚑ mit Karte, Routing, Öffnungszeiten, Homepage, E-Mail, vCard und Firmendaten.</t>
  </si>
  <si>
    <t>Linzerstraße 1</t>
  </si>
  <si>
    <t>48.25023</t>
  </si>
  <si>
    <t>14.63282</t>
  </si>
  <si>
    <t>+437262525200</t>
  </si>
  <si>
    <t>office@heimtex-perg.at</t>
  </si>
  <si>
    <t>https://bilder.dasschnelle.at/DasSchnelle/50/5000/9916/042528/G_042528_P_906173153.adn.gif</t>
  </si>
  <si>
    <t>Prorok, Christian, Dr. med., Ärzte / Fachärzte f Urologie • Wels • Oberösterreich</t>
  </si>
  <si>
    <t>Ärzte / Fachärzte f. Urologie • Prorok, Christian, Dr. med., Franz-Keim-Straße 4, Wels • Kontakt über aktuelle Telefonnummern ☎ und Adressen ⚑ mit Karte, Routing, Öffnungszeiten, Homepage, E-Mail, vCard und Firmendaten.</t>
  </si>
  <si>
    <t>Franz-Keim-Straße 4</t>
  </si>
  <si>
    <t>48.16887</t>
  </si>
  <si>
    <t>14.02549</t>
  </si>
  <si>
    <t>+43724246818</t>
  </si>
  <si>
    <t>prorok.uro@gmail.com</t>
  </si>
  <si>
    <t>https://bilder.dasschnelle.at/DasSchnelle/50/5000/9945/044547/G_044547_P_906174203.adn.gif</t>
  </si>
  <si>
    <t>Reinhart, Vera, Dr., FA f Dermatologie • Wels • Oberösterreich</t>
  </si>
  <si>
    <t>Ärzte / Fachärzte f. Haut u. Geschlechtskrankheiten • Reinhart, Vera, Dr., Knorrstraße 15, Wels • Kontakt über aktuelle Telefonnummern ☎ und Adressen ⚑ mit Karte, Routing, Öffnungszeiten, Homepage, E-Mail, vCard und Firmendaten.</t>
  </si>
  <si>
    <t>Knorrstraße 15</t>
  </si>
  <si>
    <t>14.03693</t>
  </si>
  <si>
    <t>+437242360360</t>
  </si>
  <si>
    <t>info@reinhart-haut.at</t>
  </si>
  <si>
    <t>https://bilder.dasschnelle.at/DasSchnelle/50/5000/9945/044547/G_044547_P_906174206.adn.gif</t>
  </si>
  <si>
    <t>Falkner, Andreas, Dr., öffentl. Notar • Zell am Ziller • Tirol</t>
  </si>
  <si>
    <t>Notare • Falkner, Andreas, Dr., Bahnhofstraße 6, Zell am Ziller • Kontakt über aktuelle Telefonnummern ☎ und Adressen ⚑ mit Karte, Routing, Öffnungszeiten, Homepage, E-Mail, vCard und Firmendaten.</t>
  </si>
  <si>
    <t>47.23237</t>
  </si>
  <si>
    <t>11.88091</t>
  </si>
  <si>
    <t>+43528222822</t>
  </si>
  <si>
    <t>+4352822282220</t>
  </si>
  <si>
    <t>office@notar-falkner.at</t>
  </si>
  <si>
    <t>https://bilder.dasschnelle.at/DasSchnelle/50/5000/9929/042855/I_042855_P_906174210_L_0036003073_1.png</t>
  </si>
  <si>
    <t>https://bilder.dasschnelle.at/DasSchnelle/50/5000/9929/042855/I_042855_P_906174210_B_0036003073_1.gal.png?height=396&amp;width=600;https://bilder.dasschnelle.at/DasSchnelle/50/5000/9929/042855/I_042855_P_906174210_B_0036003073_2.gal.png?height=401&amp;width=600;https://bilder.dasschnelle.at/DasSchnelle/50/5000/9929/042855/I_042855_P_906174210_B_0036003073_3.gal.png?height=463&amp;width=600;https://bilder.dasschnelle.at/DasSchnelle/50/5000/9929/042855/I_042855_P_906174210_B_0036003073_4.gal.png?height=376&amp;width=600</t>
  </si>
  <si>
    <t>Reitter, Josef, Mag., öffentl Notar • Zell am Ziller • Tirol</t>
  </si>
  <si>
    <t>Notare • Reitter, Josef, Mag., Rohrerstraße 1, Zell am Ziller • Kontakt über aktuelle Telefonnummern ☎ und Adressen ⚑ mit Karte, Routing, Öffnungszeiten, Homepage, E-Mail, vCard und Firmendaten.</t>
  </si>
  <si>
    <t>Rohrerstraße 1</t>
  </si>
  <si>
    <t>47.34729</t>
  </si>
  <si>
    <t>11.71051</t>
  </si>
  <si>
    <t>+43528255122</t>
  </si>
  <si>
    <t>+4352825512255</t>
  </si>
  <si>
    <t>reitter@notar.at</t>
  </si>
  <si>
    <t>https://bilder.dasschnelle.at/DasSchnelle/50/5000/9929/042636/G_042636_P_906174215.adn.gif</t>
  </si>
  <si>
    <t>Tikal GesmbH &amp; Co KG, Raumausstattung • Wels • Oberösterreich</t>
  </si>
  <si>
    <t>Bodenbeläge • Tikal GesmbH &amp; Co KG, Dragonerstraße 69, Wels • Kontakt über aktuelle Telefonnummern ☎ und Adressen ⚑ mit Karte, Routing, Öffnungszeiten, Homepage, E-Mail, vCard und Firmendaten.</t>
  </si>
  <si>
    <t>Dragonerstraße 69</t>
  </si>
  <si>
    <t>4604</t>
  </si>
  <si>
    <t>48.15408</t>
  </si>
  <si>
    <t>14.00624</t>
  </si>
  <si>
    <t>+437242663110</t>
  </si>
  <si>
    <t>office@tikal.at</t>
  </si>
  <si>
    <t>https://bilder.dasschnelle.at/DasSchnelle/50/5000/9945/044547/G_044547_P_906175709.adn.gif</t>
  </si>
  <si>
    <t>Lothaller, Robert, Dr.med., FA f Hals-Nasen-Ohrenkrankheiten • Horn • Niederösterreich</t>
  </si>
  <si>
    <t>Ärzte / Fachärzte f. Hals-, Nasen u. Ohrenkrankheiten • Lothaller, Robert, Dr.med., Prager Straße 3 -5, Horn • Kontakt über aktuelle Telefonnummern ☎ und Adressen ⚑ mit Karte, Routing, Öffnungszeiten, Homepage, E-Mail, vCard und Firmendaten.</t>
  </si>
  <si>
    <t>Prager Straße 3 -5</t>
  </si>
  <si>
    <t>+43298243320</t>
  </si>
  <si>
    <t>m.ivansich@gmail.com</t>
  </si>
  <si>
    <t>https://bilder.dasschnelle.at/DasSchnelle/50/5000/9893/041392/G_041392_P_906175718.adn.gif</t>
  </si>
  <si>
    <t>Pfister + Schwaiger Steuerberatungs-GmbH &amp; Co KG • Jenbach • Tirol</t>
  </si>
  <si>
    <t>Steuerberater, Wirtschaftstreuhänder / Steuerberater • Pfister + Schwaiger Steuerberatungs-GmbH &amp; Co KG, Auf der Huben 1, Jenbach • Kontakt über aktuelle Telefonnummern ☎ und Adressen ⚑ mit Karte, Routing, Öffnungszeiten, Homepage, E-Mail, vCard und Firmendaten.</t>
  </si>
  <si>
    <t>Auf der Huben 1</t>
  </si>
  <si>
    <t>47.39202</t>
  </si>
  <si>
    <t>11.77254</t>
  </si>
  <si>
    <t>+435244638180</t>
  </si>
  <si>
    <t>office@pfister.co.at</t>
  </si>
  <si>
    <t>https://bilder.dasschnelle.at/DasSchnelle/50/5000/9929/042628/G_042628_P_906175839.adn.gif</t>
  </si>
  <si>
    <t>Wurzrainer, Christian, Spenglerei • Bruck • Salzburg</t>
  </si>
  <si>
    <t>Spenglereien • Wurzrainer, Christian, Bahnhofstraße 18, Bruck • Kontakt über aktuelle Telefonnummern ☎ und Adressen ⚑ mit Karte, Routing, Öffnungszeiten, Homepage, E-Mail, vCard und Firmendaten.</t>
  </si>
  <si>
    <t>Bahnhofstraße 18</t>
  </si>
  <si>
    <t>5671</t>
  </si>
  <si>
    <t>47.2848458</t>
  </si>
  <si>
    <t>12.8293146</t>
  </si>
  <si>
    <t>+43654520234</t>
  </si>
  <si>
    <t>spenglerei.wurzrainer@sbg.at</t>
  </si>
  <si>
    <t>https://bilder.dasschnelle.at/DasSchnelle/50/5000/9918/045561/G_045561_P_906175841.adn.gif</t>
  </si>
  <si>
    <t>Freimüller, Karl, Dr.med., FA f Frauenheilkunde u Geburtshilfe • Marchtrenk • Oberösterreich</t>
  </si>
  <si>
    <t>Ärzte / Fachärzte f. Frauenheilkunde u. Geburtshilfe • Freimüller, Karl, Dr.med., Linzer Straße 32 A, Marchtrenk • Kontakt über aktuelle Telefonnummern ☎ und Adressen ⚑ mit Karte, Routing, Öffnungszeiten, Homepage, E-Mail, vCard und Firmendaten.</t>
  </si>
  <si>
    <t>Linzer Straße 32 A</t>
  </si>
  <si>
    <t>48.19049</t>
  </si>
  <si>
    <t>14.11426</t>
  </si>
  <si>
    <t>+43724357099</t>
  </si>
  <si>
    <t>ord.freimueller@aon.at</t>
  </si>
  <si>
    <t>https://bilder.dasschnelle.at/DasSchnelle/50/5000/9907/043573/G_043573_P_906176457.adn.gif</t>
  </si>
  <si>
    <t>Tipotsch, Christian, Dr., FA f. Innere Medizin • Schwaz • Tirol</t>
  </si>
  <si>
    <t>Innere Medizin • Tipotsch, Christian, Dr., Innsbrucker Straße 7, Schwaz • Kontakt über aktuelle Telefonnummern ☎ und Adressen ⚑ mit Karte, Routing, Öffnungszeiten, Homepage, E-Mail, vCard und Firmendaten.</t>
  </si>
  <si>
    <t>Innsbrucker Straße 7</t>
  </si>
  <si>
    <t>47.3444</t>
  </si>
  <si>
    <t>11.70812</t>
  </si>
  <si>
    <t>+435242647410;+43524263348</t>
  </si>
  <si>
    <t>https://bilder.dasschnelle.at/DasSchnelle/50/5000/9929/042636/G_042636_P_906177153.adn.gif</t>
  </si>
  <si>
    <t>Therapiezentrum Balance • Fügen • Tirol</t>
  </si>
  <si>
    <t>Ergotherapie, Logopädie, Physiotherapie • Therapiezentrum Balance, Bahnhofstraße 8, Fügen • Kontakt über aktuelle Telefonnummern ☎ und Adressen ⚑ mit Karte, Routing, Öffnungszeiten, Homepage, E-Mail, vCard und Firmendaten.</t>
  </si>
  <si>
    <t>47.34495</t>
  </si>
  <si>
    <t>11.85099</t>
  </si>
  <si>
    <t>+43528863880</t>
  </si>
  <si>
    <t>b.kupfner@therapie-balance.at</t>
  </si>
  <si>
    <t>https://bilder.dasschnelle.at/DasSchnelle/50/5000/9929/042620/G_042620_P_906177156.adn.gif</t>
  </si>
  <si>
    <t>Klimbacher, Peter, Ing., Schlüsseldienst • Wolfsberg • Kärnten</t>
  </si>
  <si>
    <t>Schlüssel u. Aufsperrdienste • Klimbacher, Peter, Ing., Johann-Offner-Straße 5, Wolfsberg • Kontakt über aktuelle Telefonnummern ☎ und Adressen ⚑ mit Karte, Routing, Öffnungszeiten, Homepage, E-Mail, vCard und Firmendaten.</t>
  </si>
  <si>
    <t>Johann-Offner-Straße 5</t>
  </si>
  <si>
    <t>46.83854</t>
  </si>
  <si>
    <t>14.84594</t>
  </si>
  <si>
    <t>+4343522696</t>
  </si>
  <si>
    <t>wolfsberger-schluesseldienst@gmx.at</t>
  </si>
  <si>
    <t>https://bilder.dasschnelle.at/DasSchnelle/50/5000/9949/042046/G_042046_P_906177167.adn.gif</t>
  </si>
  <si>
    <t>hagebau Bauzentrum GmbH • Wolfsberg • Kärnten</t>
  </si>
  <si>
    <t>Baumärkte, Baustoffhandel • hagebau Bauzentrum GmbH, Industriestraße 26 A, Wolfsberg • Kontakt über aktuelle Telefonnummern ☎ und Adressen ⚑ mit Karte, Routing, Öffnungszeiten, Homepage, E-Mail, vCard und Firmendaten.</t>
  </si>
  <si>
    <t>Industriestraße 26 A</t>
  </si>
  <si>
    <t>46.81991</t>
  </si>
  <si>
    <t>14.84139</t>
  </si>
  <si>
    <t>+43435230445;+43435230469</t>
  </si>
  <si>
    <t>office@hagebaubauzentrum.at</t>
  </si>
  <si>
    <t>https://bilder.dasschnelle.at/DasSchnelle/50/5000/9949/042046/I_042046_P_906175927_L_0037238666_1.png</t>
  </si>
  <si>
    <t>https://bilder.dasschnelle.at/DasSchnelle/50/5000/9949/042046/I_042046_P_906175927_B_0037238666_1.gal.png?height=448&amp;width=685;https://bilder.dasschnelle.at/DasSchnelle/50/5000/9949/042046/I_042046_P_906175927_B_0037238666_2.gal.png?height=448&amp;width=685;https://bilder.dasschnelle.at/DasSchnelle/50/5000/9949/042046/I_042046_P_906175927_B_0037238666_3.gal.png?height=448&amp;width=700;https://bilder.dasschnelle.at/DasSchnelle/50/5000/9949/042046/G_042046_P_906175927.adn.gif</t>
  </si>
  <si>
    <t>Fritz Installationen • Tulln • Niederösterreich</t>
  </si>
  <si>
    <t>Installationsunternehmen • Fritz Installationen, Königstetter Straße 39, Tulln • Kontakt über aktuelle Telefonnummern ☎ und Adressen ⚑ mit Karte, Routing, Öffnungszeiten, Homepage, E-Mail, vCard und Firmendaten.</t>
  </si>
  <si>
    <t>Königstetter Straße 39</t>
  </si>
  <si>
    <t>48.32591</t>
  </si>
  <si>
    <t>16.06332</t>
  </si>
  <si>
    <t>+43227262690</t>
  </si>
  <si>
    <t>office@fritz-installationen.at</t>
  </si>
  <si>
    <t>https://bilder.dasschnelle.at/DasSchnelle/50/5000/9938/044247/I_044247_P_906176001_L_0036208440_1.png</t>
  </si>
  <si>
    <t>https://bilder.dasschnelle.at/DasSchnelle/50/5000/9938/044247/I_044247_P_906176001_B_0036208440_1.gal.png?height=400&amp;width=600;https://bilder.dasschnelle.at/DasSchnelle/50/5000/9938/044247/I_044247_P_906176001_B_0036208440_2.gal.png?height=610&amp;width=600;https://bilder.dasschnelle.at/DasSchnelle/50/5000/9938/044247/I_044247_P_906176001_B_0036208440_3.gal.png?height=400&amp;width=600;https://bilder.dasschnelle.at/DasSchnelle/50/5000/9938/044247/I_044247_P_906176001_B_0036208440_4.gal.png?height=400&amp;width=600</t>
  </si>
  <si>
    <t>Haun, Martin, Dr., Arzt f Allgemeinmedizin • Fügen • Tirol</t>
  </si>
  <si>
    <t>Ärzte / f Allgemeinmedizin • Haun, Martin, Dr., Zillerweg 6, Fügen • Kontakt über aktuelle Telefonnummern ☎ und Adressen ⚑ mit Karte, Routing, Öffnungszeiten, Homepage, E-Mail, vCard und Firmendaten.</t>
  </si>
  <si>
    <t>Zillerweg 6</t>
  </si>
  <si>
    <t>47.34871</t>
  </si>
  <si>
    <t>11.85162</t>
  </si>
  <si>
    <t>+435288628150</t>
  </si>
  <si>
    <t>+435288628154</t>
  </si>
  <si>
    <t>martin.haun@aon.at</t>
  </si>
  <si>
    <t>https://bilder.dasschnelle.at/DasSchnelle/50/5000/9929/042620/G_042620_P_906178035.adn.gif</t>
  </si>
  <si>
    <t>Elektro Hans Stöckl GmbH &amp; Co KG, Elektrounternehmen • Saalfelden • Salzburg</t>
  </si>
  <si>
    <t>Elektrounternehmen • Elektro Hans Stöckl GmbH &amp; Co KG, Loferer Bundesstraße 7, Saalfelden • Kontakt über aktuelle Telefonnummern ☎ und Adressen ⚑ mit Karte, Routing, Öffnungszeiten, Homepage, E-Mail, vCard und Firmendaten.</t>
  </si>
  <si>
    <t>Loferer Bundesstraße 7</t>
  </si>
  <si>
    <t>47.4317256</t>
  </si>
  <si>
    <t>12.8445651</t>
  </si>
  <si>
    <t>+436582741080;+436643512545;+436642206890;+436643512547;+436643512548;+436644556381</t>
  </si>
  <si>
    <t>office@elektrostoeckl.at</t>
  </si>
  <si>
    <t>https://bilder.dasschnelle.at/DasSchnelle/50/5000/9918/045578/G_045578_P_906178048.adn.gif</t>
  </si>
  <si>
    <t>Vorderegger, Hans, Dachdeckerei • Harham • Salzburg</t>
  </si>
  <si>
    <t>Dachdeckereien, Spenglereien • Vorderegger, Hans, Harham • Kontakt über aktuelle Telefonnummern ☎ und Adressen ⚑ mit Karte, Routing, Öffnungszeiten, Homepage, E-Mail, vCard und Firmendaten.</t>
  </si>
  <si>
    <t>Harham</t>
  </si>
  <si>
    <t>47.3999315</t>
  </si>
  <si>
    <t>12.8050249</t>
  </si>
  <si>
    <t>+43658220926</t>
  </si>
  <si>
    <t>+43658220927</t>
  </si>
  <si>
    <t>https://bilder.dasschnelle.at/DasSchnelle/50/5000/9918/045578/G_045578_P_906179403.adn.gif</t>
  </si>
  <si>
    <t>Suchan, Leopold, Schmiede • Winkl • Niederösterreich</t>
  </si>
  <si>
    <t>Schmieden • Suchan, Leopold, Winkl • Kontakt über aktuelle Telefonnummern ☎ und Adressen ⚑ mit Karte, Routing, Öffnungszeiten, Homepage, E-Mail, vCard und Firmendaten.</t>
  </si>
  <si>
    <t>3592</t>
  </si>
  <si>
    <t>Winkl</t>
  </si>
  <si>
    <t>48.6684203</t>
  </si>
  <si>
    <t>15.4788986</t>
  </si>
  <si>
    <t>+43298980350;+436766829913</t>
  </si>
  <si>
    <t>info@suchan.at</t>
  </si>
  <si>
    <t>https://bilder.dasschnelle.at/DasSchnelle/50/5000/9893/041398/G_041398_P_906178009.adn.gif</t>
  </si>
  <si>
    <t>Watzinger, Kurt, Erdbau u Transporte • Maissau • Niederösterreich</t>
  </si>
  <si>
    <t>Erdarbeiten • Watzinger, Kurt, Leopold-Figl-Straße 7, Maissau • Kontakt über aktuelle Telefonnummern ☎ und Adressen ⚑ mit Karte, Routing, Öffnungszeiten, Homepage, E-Mail, vCard und Firmendaten.</t>
  </si>
  <si>
    <t>Leopold-Figl-Straße 7</t>
  </si>
  <si>
    <t>48.57267</t>
  </si>
  <si>
    <t>15.83273</t>
  </si>
  <si>
    <t>+4329588671;+436641214455;+436646539059</t>
  </si>
  <si>
    <t>office@watzinger-maissau.at</t>
  </si>
  <si>
    <t>https://bilder.dasschnelle.at/DasSchnelle/50/5000/9892/045553/G_045553_P_906178016.adn.gif</t>
  </si>
  <si>
    <t>Mladek, Franz, Fliesenfachgesch • Hollabrunn • Niederösterreich</t>
  </si>
  <si>
    <t>Fliesenfachhandel • Mladek, Franz, Schulgasse 6, Hollabrunn • Kontakt über aktuelle Telefonnummern ☎ und Adressen ⚑ mit Karte, Routing, Öffnungszeiten, Homepage, E-Mail, vCard und Firmendaten.</t>
  </si>
  <si>
    <t>Schulgasse 6</t>
  </si>
  <si>
    <t>48.5597616</t>
  </si>
  <si>
    <t>16.0800608</t>
  </si>
  <si>
    <t>+43295222880</t>
  </si>
  <si>
    <t>+432952228876</t>
  </si>
  <si>
    <t>office@mladek-fliesen.at</t>
  </si>
  <si>
    <t>https://bilder.dasschnelle.at/DasSchnelle/50/5000/9892/045551/G_045551_P_906178022.adn.gif</t>
  </si>
  <si>
    <t>dental praxis • Schwaz • Tirol</t>
  </si>
  <si>
    <t>Ärzte / Zahnärzte • dental praxis, Andreas-Hofer-Straße 8, Schwaz • Kontakt über aktuelle Telefonnummern ☎ und Adressen ⚑ mit Karte, Routing, Öffnungszeiten, Homepage, E-Mail, vCard und Firmendaten.</t>
  </si>
  <si>
    <t>Andreas-Hofer-Straße 8</t>
  </si>
  <si>
    <t>47.3459735</t>
  </si>
  <si>
    <t>11.7073303</t>
  </si>
  <si>
    <t>+43524298244</t>
  </si>
  <si>
    <t>office@dental-praxis.at</t>
  </si>
  <si>
    <t>https://bilder.dasschnelle.at/DasSchnelle/50/5000/9929/042636/G_042636_P_906178024.adn.gif</t>
  </si>
  <si>
    <t>Krichbaum, Michael, Dr., Ärzte / f Allgemeinmedizin • Ampflwang • Oberösterreich</t>
  </si>
  <si>
    <t>Ärzte / f Allgemeinmedizin • Krichbaum, Michael, Dr., Ort 5, Ampflwang • Kontakt über aktuelle Telefonnummern ☎ und Adressen ⚑ mit Karte, Routing, Öffnungszeiten, Homepage, E-Mail, vCard und Firmendaten.</t>
  </si>
  <si>
    <t>Ort 5</t>
  </si>
  <si>
    <t>48.0861356</t>
  </si>
  <si>
    <t>13.5682203</t>
  </si>
  <si>
    <t>+4376752753</t>
  </si>
  <si>
    <t>ordination@dr-krichbaum.at</t>
  </si>
  <si>
    <t>https://bilder.dasschnelle.at/DasSchnelle/50/5000/9940/043067/G_043067_P_906180071.adn.gif</t>
  </si>
  <si>
    <t>ANE-Restaurant GmbH, Restaurant • Vöcklabruck • Oberösterreich</t>
  </si>
  <si>
    <t>Restaurants • ANE-Restaurant GmbH, Stadtplatz 36, Vöcklabruck • Kontakt über aktuelle Telefonnummern ☎ und Adressen ⚑ mit Karte, Routing, Öffnungszeiten, Homepage, E-Mail, vCard und Firmendaten.</t>
  </si>
  <si>
    <t>+43767278312</t>
  </si>
  <si>
    <t>info@pizza-vb.at</t>
  </si>
  <si>
    <t>https://bilder.dasschnelle.at/DasSchnelle/50/5000/9940/043555/G_043555_P_906180073.adn.gif</t>
  </si>
  <si>
    <t>Dachdeckerei Höttl • Saalfelden • Salzburg</t>
  </si>
  <si>
    <t>Dachdeckereien • Dachdeckerei Höttl, Haid 154, Saalfelden • Kontakt über aktuelle Telefonnummern ☎ und Adressen ⚑ mit Karte, Routing, Öffnungszeiten, Homepage, E-Mail, vCard und Firmendaten.</t>
  </si>
  <si>
    <t>Haid 154</t>
  </si>
  <si>
    <t>47.4097456</t>
  </si>
  <si>
    <t>12.8202537</t>
  </si>
  <si>
    <t>+436641624728</t>
  </si>
  <si>
    <t>office@hoettl-dach.at</t>
  </si>
  <si>
    <t>https://bilder.dasschnelle.at/DasSchnelle/50/5000/9918/045578/G_045578_P_906178166.adn.gif</t>
  </si>
  <si>
    <t>Band Garten GmbH, Gärtnerei • Horn • Niederösterreich</t>
  </si>
  <si>
    <t>Gärtnereien • Band Garten GmbH, Wiesengasse 5, Horn • Kontakt über aktuelle Telefonnummern ☎ und Adressen ⚑ mit Karte, Routing, Öffnungszeiten, Homepage, E-Mail, vCard und Firmendaten.</t>
  </si>
  <si>
    <t>Wiesengasse 5</t>
  </si>
  <si>
    <t>48.66772</t>
  </si>
  <si>
    <t>15.65436</t>
  </si>
  <si>
    <t>+4329822640</t>
  </si>
  <si>
    <t>+432982264015</t>
  </si>
  <si>
    <t>office@band-garten.at</t>
  </si>
  <si>
    <t>https://bilder.dasschnelle.at/DasSchnelle/50/5000/9893/041392/G_041392_P_906180085.adn.gif</t>
  </si>
  <si>
    <t>Müller Johann GesmbH, Bauträger • Wolfsberg • Kärnten</t>
  </si>
  <si>
    <t>Bauträger, Bauunternehmen • Müller Johann GesmbH, Industriestraße 12, Wolfsberg • Kontakt über aktuelle Telefonnummern ☎ und Adressen ⚑ mit Karte, Routing, Öffnungszeiten, Homepage, E-Mail, vCard und Firmendaten.</t>
  </si>
  <si>
    <t>14.84043</t>
  </si>
  <si>
    <t>+43435239860</t>
  </si>
  <si>
    <t>+434352398618</t>
  </si>
  <si>
    <t>office@bm-mueller.at</t>
  </si>
  <si>
    <t>https://bilder.dasschnelle.at/DasSchnelle/50/5000/9949/042046/G_042046_P_906182581.adn.gif</t>
  </si>
  <si>
    <t>Loike Bau GmbH, Bauunternehmen • Wolfsberg • Kärnten</t>
  </si>
  <si>
    <t>Bauunternehmen • Loike Bau GmbH, Weinzedleistraße 15, Wolfsberg • Kontakt über aktuelle Telefonnummern ☎ und Adressen ⚑ mit Karte, Routing, Öffnungszeiten, Homepage, E-Mail, vCard und Firmendaten.</t>
  </si>
  <si>
    <t>Weinzedleistraße 15</t>
  </si>
  <si>
    <t>46.85523</t>
  </si>
  <si>
    <t>14.84037</t>
  </si>
  <si>
    <t>+4343522156;+436644943090;+436642207069</t>
  </si>
  <si>
    <t>office@loike-bau.at</t>
  </si>
  <si>
    <t>https://bilder.dasschnelle.at/DasSchnelle/50/5000/9949/042046/G_042046_P_906182588.adn.gif</t>
  </si>
  <si>
    <t>Hartl &amp; Melcher GmbH &amp; Co KG, Installationstechnik • St. Michael • Kärnten</t>
  </si>
  <si>
    <t>Installationsunternehmen • Hartl &amp; Melcher GmbH &amp; Co KG, St. Michael 75, St. Michael • Kontakt über aktuelle Telefonnummern ☎ und Adressen ⚑ mit Karte, Routing, Öffnungszeiten, Homepage, E-Mail, vCard und Firmendaten.</t>
  </si>
  <si>
    <t>St. Michael 75</t>
  </si>
  <si>
    <t>46.8347431</t>
  </si>
  <si>
    <t>14.7997427</t>
  </si>
  <si>
    <t>+43435261950;+436649633690</t>
  </si>
  <si>
    <t>+43435261228</t>
  </si>
  <si>
    <t>installationstechnik@hartl-melcher.at</t>
  </si>
  <si>
    <t>https://bilder.dasschnelle.at/DasSchnelle/50/5000/9949/042046/G_042046_P_906182596.adn.gif</t>
  </si>
  <si>
    <t>Told Autoservice GesmbH Rainer Told, Kfz-Werkstätte • Fügen • Tirol</t>
  </si>
  <si>
    <t>Abschleppdienste • Told Autoservice GesmbH Rainer Told, Zillertalstraße 14, Fügen • Kontakt über aktuelle Telefonnummern ☎ und Adressen ⚑ mit Karte, Routing, Öffnungszeiten, Homepage, E-Mail, vCard und Firmendaten.</t>
  </si>
  <si>
    <t>Zillertalstraße 14</t>
  </si>
  <si>
    <t>47.35115</t>
  </si>
  <si>
    <t>11.85131</t>
  </si>
  <si>
    <t>+43528862235</t>
  </si>
  <si>
    <t>+4352886223543</t>
  </si>
  <si>
    <t>told-auto@tirol.com</t>
  </si>
  <si>
    <t>https://bilder.dasschnelle.at/DasSchnelle/50/5000/9929/042620/G_042620_P_906183597.adn.gif</t>
  </si>
  <si>
    <t>DD Putz, Verputzungen • Saalfelden am Steinernen Meer • Salzburg</t>
  </si>
  <si>
    <t>Baustoffhandel • DD Putz, Lofererstraße 38, Saalfelden am Steinernen Meer • Kontakt über aktuelle Telefonnummern ☎ und Adressen ⚑ mit Karte, Routing, Öffnungszeiten, Homepage, E-Mail, vCard und Firmendaten.</t>
  </si>
  <si>
    <t>Lofererstraße 38</t>
  </si>
  <si>
    <t>Saalfelden am Steinernen Meer</t>
  </si>
  <si>
    <t>47.4276838</t>
  </si>
  <si>
    <t>12.8491458</t>
  </si>
  <si>
    <t>+436646384303</t>
  </si>
  <si>
    <t>info@dd-putz.at</t>
  </si>
  <si>
    <t>https://bilder.dasschnelle.at/DasSchnelle/50/5000/9918/045578/I_045578_P_906184708_L_0035970131_1.png</t>
  </si>
  <si>
    <t>https://bilder.dasschnelle.at/DasSchnelle/50/5000/9918/045578/I_045578_P_906184708_B_0035970131_1.gal.png?height=548&amp;width=768;https://bilder.dasschnelle.at/DasSchnelle/50/5000/9918/045578/I_045578_P_906184708_B_0035970131_2.gal.png?height=609&amp;width=831;https://bilder.dasschnelle.at/DasSchnelle/50/5000/9918/045578/I_045578_P_906184708_B_0035970131_3.gal.png?height=615&amp;width=826;https://bilder.dasschnelle.at/DasSchnelle/50/5000/9918/045578/I_045578_P_906184708_B_0035970131_4.gal.png?height=583&amp;width=831</t>
  </si>
  <si>
    <t>Holzbau Wegscheider Innovative Bau GmbH, Holzbau • Pill • Tirol</t>
  </si>
  <si>
    <t>Holzbau • Holzbau Wegscheider Innovative Bau GmbH, Innstraße 2, Pill • Kontakt über aktuelle Telefonnummern ☎ und Adressen ⚑ mit Karte, Routing, Öffnungszeiten, Homepage, E-Mail, vCard und Firmendaten.</t>
  </si>
  <si>
    <t>Innstraße 2</t>
  </si>
  <si>
    <t>6136</t>
  </si>
  <si>
    <t>Pill</t>
  </si>
  <si>
    <t>47.32145</t>
  </si>
  <si>
    <t>11.68249</t>
  </si>
  <si>
    <t>+435242622200</t>
  </si>
  <si>
    <t>+435242622204</t>
  </si>
  <si>
    <t>office@holzbau-wegscheider.at</t>
  </si>
  <si>
    <t>https://bilder.dasschnelle.at/DasSchnelle/50/5000/9929/042631/G_042631_P_906184734.adn.gif</t>
  </si>
  <si>
    <t>Siegfried Tutschek e.U., Obst-Gemüse-Blumen • Eggenburg • Niederösterreich</t>
  </si>
  <si>
    <t>Obst u. Gemüse • Siegfried Tutschek e.U., Luegerring 16, Eggenburg • Kontakt über aktuelle Telefonnummern ☎ und Adressen ⚑ mit Karte, Routing, Öffnungszeiten, Homepage, E-Mail, vCard und Firmendaten.</t>
  </si>
  <si>
    <t>Luegerring 16</t>
  </si>
  <si>
    <t>48.63992</t>
  </si>
  <si>
    <t>15.8196</t>
  </si>
  <si>
    <t>+4329842250</t>
  </si>
  <si>
    <t>office@tutschek.at</t>
  </si>
  <si>
    <t>https://bilder.dasschnelle.at/DasSchnelle/50/5000/9893/041389/G_041389_P_906184740.adn.gif</t>
  </si>
  <si>
    <t>Brandner, Thomas, Tischlerei, Bodenbeläge • Mitterkirchen • Oberösterreich</t>
  </si>
  <si>
    <t>Tischlereien • Brandner, Thomas, Haid 5, Mitterkirchen • Kontakt über aktuelle Telefonnummern ☎ und Adressen ⚑ mit Karte, Routing, Öffnungszeiten, Homepage, E-Mail, vCard und Firmendaten.</t>
  </si>
  <si>
    <t>Haid 5</t>
  </si>
  <si>
    <t>48.2062521</t>
  </si>
  <si>
    <t>14.6895513</t>
  </si>
  <si>
    <t>+4372694120</t>
  </si>
  <si>
    <t>brandner@tischlerei-brandner.at</t>
  </si>
  <si>
    <t>https://bilder.dasschnelle.at/DasSchnelle/50/5000/9866/042062/I_042062_P_906183569_L_0035994263_1.png</t>
  </si>
  <si>
    <t>https://bilder.dasschnelle.at/DasSchnelle/50/5000/9866/042062/I_042062_P_906183569_B_0035994263_1.gal.png?height=318&amp;width=392;https://bilder.dasschnelle.at/DasSchnelle/50/5000/9866/042062/I_042062_P_906183569_B_0035994263_2.gal.png?height=319&amp;width=294;https://bilder.dasschnelle.at/DasSchnelle/50/5000/9866/042062/I_042062_P_906183569_B_0035994263_3.gal.png?height=317&amp;width=174;https://bilder.dasschnelle.at/DasSchnelle/50/5000/9866/042062/I_042062_P_906183569_B_0035994263_4.gal.png?height=278&amp;width=416</t>
  </si>
  <si>
    <t>Eberharter &amp; Gruber GesmbH, Verputzarbeiten • Fügen • Tirol</t>
  </si>
  <si>
    <t>Verputzarbeiten • Eberharter &amp; Gruber GesmbH, Gewerbeweg 15, Fügen • Kontakt über aktuelle Telefonnummern ☎ und Adressen ⚑ mit Karte, Routing, Öffnungszeiten, Homepage, E-Mail, vCard und Firmendaten.</t>
  </si>
  <si>
    <t>Gewerbeweg 15</t>
  </si>
  <si>
    <t>47.36586</t>
  </si>
  <si>
    <t>11.84793</t>
  </si>
  <si>
    <t>+43528864147</t>
  </si>
  <si>
    <t>+4352886414747</t>
  </si>
  <si>
    <t>office@eug-bau.at</t>
  </si>
  <si>
    <t>https://bilder.dasschnelle.at/DasSchnelle/50/5000/9929/042620/G_042620_P_906183683.adn.gif</t>
  </si>
  <si>
    <t>Probst - Fassaden &amp; Putze GmbH, Fassaden • St. Andrä • Kärnten</t>
  </si>
  <si>
    <t>Innen- u. Aussenputze • Probst - Fassaden &amp; Putze GmbH, Winkling-Nord 52, St. Andrä • Kontakt über aktuelle Telefonnummern ☎ und Adressen ⚑ mit Karte, Routing, Öffnungszeiten, Homepage, E-Mail, vCard und Firmendaten.</t>
  </si>
  <si>
    <t>Winkling-Nord 52</t>
  </si>
  <si>
    <t>46.7909859</t>
  </si>
  <si>
    <t>14.8061722</t>
  </si>
  <si>
    <t>+43435828055;+436648444234;+436643079906;+436647828613</t>
  </si>
  <si>
    <t>+43435828066</t>
  </si>
  <si>
    <t>office@probst-putze.at</t>
  </si>
  <si>
    <t>https://bilder.dasschnelle.at/DasSchnelle/50/5000/9949/042043/I_042043_P_906186623_L_0036003147_1.png</t>
  </si>
  <si>
    <t>https://bilder.dasschnelle.at/DasSchnelle/50/5000/9949/042043/I_042043_P_906186623_B_0036003147_1.gal.png?height=166&amp;width=250</t>
  </si>
  <si>
    <t>Dr. Johannes Mitterhuber, FA f. Urlologie • Thalheim b. Wels • Oberösterreich</t>
  </si>
  <si>
    <t>Ärzte / Fachärzte f. Urologie • Dr. Johannes Mitterhuber, Traunufer Arkade 1, Thalheim b. Wels • Kontakt über aktuelle Telefonnummern ☎ und Adressen ⚑ mit Karte, Routing, Öffnungszeiten, Homepage, E-Mail, vCard und Firmendaten.</t>
  </si>
  <si>
    <t>Thalheim b. Wels</t>
  </si>
  <si>
    <t>+437242224488</t>
  </si>
  <si>
    <t>https://bilder.dasschnelle.at/DasSchnelle/50/5000/9945/043584/G_043584_P_906186412.adn.gif</t>
  </si>
  <si>
    <t>Karamat, Lukas, Dr.med., FA f. Orthopädie u. Orthopäd. Chirurgie • Hollabrunn • Niederösterreich</t>
  </si>
  <si>
    <t>Ärzte / Fachärzte f. Orthopädie u. Orthopädische Chirurgie • Karamat, Lukas, Dr.med., Klostergasse 4, Hollabrunn • Kontakt über aktuelle Telefonnummern ☎ und Adressen ⚑ mit Karte, Routing, Öffnungszeiten, Homepage, E-Mail, vCard und Firmendaten.</t>
  </si>
  <si>
    <t>Klostergasse 4</t>
  </si>
  <si>
    <t>48.56293</t>
  </si>
  <si>
    <t>16.07988</t>
  </si>
  <si>
    <t>+436643908408</t>
  </si>
  <si>
    <t>lukas.karamat@oss.at</t>
  </si>
  <si>
    <t>https://bilder.dasschnelle.at/DasSchnelle/50/5000/9892/998138/G_998138_P_906186414.adn.gif</t>
  </si>
  <si>
    <t>EP: Kollegger, Alarmanlagen • Bad St. Leonhard im Lavanttal • Kärnten</t>
  </si>
  <si>
    <t>Alarmanlagen u. Sicherheitssysteme • EP: Kollegger, Postgasse 52, Bad St. Leonhard im Lavanttal • Kontakt über aktuelle Telefonnummern ☎ und Adressen ⚑ mit Karte, Routing, Öffnungszeiten, Homepage, E-Mail, vCard und Firmendaten.</t>
  </si>
  <si>
    <t>Postgasse 52</t>
  </si>
  <si>
    <t>46.9627700</t>
  </si>
  <si>
    <t>14.7897400</t>
  </si>
  <si>
    <t>+43345033362;+436604739977</t>
  </si>
  <si>
    <t>christianandreas.baumgartner@gmail.com</t>
  </si>
  <si>
    <t>https://bilder.dasschnelle.at/DasSchnelle/50/5000/9949/042038/G_042038_P_906186422.adn.gif</t>
  </si>
  <si>
    <t>Titze, Walter, Dr., FA f Unfallchirurgie • Unterach • Oberösterreich</t>
  </si>
  <si>
    <t>Ärzte / f Allgemeinmedizin, Ärzte / Fachärzte f. Unfallchirurgie • Titze, Walter, Dr., Elisabethallee 12, Unterach • Kontakt über aktuelle Telefonnummern ☎ und Adressen ⚑ mit Karte, Routing, Öffnungszeiten, Homepage, E-Mail, vCard und Firmendaten.</t>
  </si>
  <si>
    <t>Elisabethallee 12</t>
  </si>
  <si>
    <t>47.80235</t>
  </si>
  <si>
    <t>13.48222</t>
  </si>
  <si>
    <t>+4376657300</t>
  </si>
  <si>
    <t>+4376657349</t>
  </si>
  <si>
    <t>tiklinik@aol.com</t>
  </si>
  <si>
    <t>https://bilder.dasschnelle.at/DasSchnelle/50/5000/9909/043554/G_043554_P_906187824.adn.gif</t>
  </si>
  <si>
    <t>Pachatz, Alfred, Dachdeckerei • St. Michael • Kärnten</t>
  </si>
  <si>
    <t>Dachdeckereien • Pachatz, Alfred, Altendorf 103, St. Michael • Kontakt über aktuelle Telefonnummern ☎ und Adressen ⚑ mit Karte, Routing, Öffnungszeiten, Homepage, E-Mail, vCard und Firmendaten.</t>
  </si>
  <si>
    <t>Altendorf 103</t>
  </si>
  <si>
    <t>46.8324</t>
  </si>
  <si>
    <t>14.81589</t>
  </si>
  <si>
    <t>+436643635538</t>
  </si>
  <si>
    <t>alfred.pachatz@aon.at</t>
  </si>
  <si>
    <t>https://bilder.dasschnelle.at/DasSchnelle/50/5000/9949/042046/G_042046_P_906187974.adn.gif</t>
  </si>
  <si>
    <t>Heim Josef KG, Versicherungsmakler • Fügen • Tirol</t>
  </si>
  <si>
    <t>Versicherungsmakler • Heim Josef KG, Kapfingerstraße 7, Fügen • Kontakt über aktuelle Telefonnummern ☎ und Adressen ⚑ mit Karte, Routing, Öffnungszeiten, Homepage, E-Mail, vCard und Firmendaten.</t>
  </si>
  <si>
    <t>Kapfingerstraße 7</t>
  </si>
  <si>
    <t>47.33217</t>
  </si>
  <si>
    <t>11.85829</t>
  </si>
  <si>
    <t>+43528863022</t>
  </si>
  <si>
    <t>+435288630224</t>
  </si>
  <si>
    <t>info@josef-heim.at</t>
  </si>
  <si>
    <t>https://bilder.dasschnelle.at/DasSchnelle/50/5000/9929/042620/G_042620_P_906189333.adn.gif</t>
  </si>
  <si>
    <t>Krätschmer, Herbert, Installationsunternehmen • Katzbach • Oberösterreich</t>
  </si>
  <si>
    <t>Installationsunternehmen • Krätschmer, Herbert, Hochroithen 10, Katzbach • Kontakt über aktuelle Telefonnummern ☎ und Adressen ⚑ mit Karte, Routing, Öffnungszeiten, Homepage, E-Mail, vCard und Firmendaten.</t>
  </si>
  <si>
    <t>Hochroithen 10</t>
  </si>
  <si>
    <t>4631</t>
  </si>
  <si>
    <t>Katzbach</t>
  </si>
  <si>
    <t>48.1957</t>
  </si>
  <si>
    <t>13.97145</t>
  </si>
  <si>
    <t>+43724945586;+436763238486</t>
  </si>
  <si>
    <t>herbert.kraetschmer@aon.at</t>
  </si>
  <si>
    <t>https://bilder.dasschnelle.at/DasSchnelle/50/5000/9945/043571/I_043571_P_906190370_L_0036006089_1.png</t>
  </si>
  <si>
    <t>https://bilder.dasschnelle.at/DasSchnelle/50/5000/9945/043571/I_043571_P_906190370_B_0036006089_1.gal.png?height=600&amp;width=401;https://bilder.dasschnelle.at/DasSchnelle/50/5000/9945/043571/I_043571_P_906190370_B_0036006089_2.gal.png?height=450&amp;width=600;https://bilder.dasschnelle.at/DasSchnelle/50/5000/9945/043571/I_043571_P_906190370_B_0036006089_3.gal.png?height=600&amp;width=450</t>
  </si>
  <si>
    <t>VVM   • Marchtrenk • Oberösterreich</t>
  </si>
  <si>
    <t>Versicherungsagentur • VVM, Linzer Straße 35, Marchtrenk • Kontakt über aktuelle Telefonnummern ☎ und Adressen ⚑ mit Karte, Routing, Öffnungszeiten, Homepage, E-Mail, vCard und Firmendaten.</t>
  </si>
  <si>
    <t>Linzer Straße 35</t>
  </si>
  <si>
    <t>48.1916400</t>
  </si>
  <si>
    <t>14.1168000</t>
  </si>
  <si>
    <t>+437243581460;+4369918796003</t>
  </si>
  <si>
    <t>florian.neissl@top-vs.at</t>
  </si>
  <si>
    <t>https://bilder.dasschnelle.at/DasSchnelle/50/5000/9907/043573/G_043573_P_906190606.adn.gif</t>
  </si>
  <si>
    <t>Installationen Loinger • Schwaz • Tirol</t>
  </si>
  <si>
    <t>Installationsunternehmen • Installationen Loinger, Münchner Straße 44, Schwaz • Kontakt über aktuelle Telefonnummern ☎ und Adressen ⚑ mit Karte, Routing, Öffnungszeiten, Homepage, E-Mail, vCard und Firmendaten.</t>
  </si>
  <si>
    <t>Münchner Straße 44</t>
  </si>
  <si>
    <t>47.35287</t>
  </si>
  <si>
    <t>11.70768</t>
  </si>
  <si>
    <t>+43524266454</t>
  </si>
  <si>
    <t>loinger.installationen@aon.at</t>
  </si>
  <si>
    <t>https://bilder.dasschnelle.at/DasSchnelle/50/5000/9929/042636/G_042636_P_906190551.adn.gif</t>
  </si>
  <si>
    <t>Reitzinger, Johannes, Dipl-Tierarzt, Tierarztpraxis • St. Valentin • Niederösterreich</t>
  </si>
  <si>
    <t>Tierärzte • Reitzinger, Johannes, Dipl-Tierarzt, Haagerstraße 10, St. Valentin • Kontakt über aktuelle Telefonnummern ☎ und Adressen ⚑ mit Karte, Routing, Öffnungszeiten, Homepage, E-Mail, vCard und Firmendaten.</t>
  </si>
  <si>
    <t>Haagerstraße 10</t>
  </si>
  <si>
    <t>48.1720100</t>
  </si>
  <si>
    <t>14.5317200</t>
  </si>
  <si>
    <t>+43743557311</t>
  </si>
  <si>
    <t>tierarztpraxis@reitzinger.at</t>
  </si>
  <si>
    <t>https://bilder.dasschnelle.at/DasSchnelle/50/5000/9924/041325/G_041325_P_906191764.adn.gif</t>
  </si>
  <si>
    <t>Bestattung der Stadt Wels GmbH • Wels • Oberösterreich</t>
  </si>
  <si>
    <t>Bestattungsunternehmen • Bestattung der Stadt Wels GmbH, Stadtplatz 20, Wels • Kontakt über aktuelle Telefonnummern ☎ und Adressen ⚑ mit Karte, Routing, Öffnungszeiten, Homepage, E-Mail, vCard und Firmendaten.</t>
  </si>
  <si>
    <t>48.15746</t>
  </si>
  <si>
    <t>14.02717</t>
  </si>
  <si>
    <t>+43724247064</t>
  </si>
  <si>
    <t>office@bestattung-wels.at</t>
  </si>
  <si>
    <t>https://bilder.dasschnelle.at/DasSchnelle/50/5000/9945/044547/I_044547_P_906191768_L_0036006286_1.png</t>
  </si>
  <si>
    <t>https://bilder.dasschnelle.at/DasSchnelle/50/5000/9945/044547/I_044547_P_906191768_B_0036006286_1.gal.png?height=249&amp;width=289</t>
  </si>
  <si>
    <t>Neuwirth, Zvonko, Autoglas • Wels • Oberösterreich</t>
  </si>
  <si>
    <t>Autoglashandel • Neuwirth, Zvonko, Salzburger Straße 44, Wels • Kontakt über aktuelle Telefonnummern ☎ und Adressen ⚑ mit Karte, Routing, Öffnungszeiten, Homepage, E-Mail, vCard und Firmendaten.</t>
  </si>
  <si>
    <t>Salzburger Straße 44</t>
  </si>
  <si>
    <t>48.15954</t>
  </si>
  <si>
    <t>14.01582</t>
  </si>
  <si>
    <t>+437242600979</t>
  </si>
  <si>
    <t>office@autoglas-neuwirth.at</t>
  </si>
  <si>
    <t>https://bilder.dasschnelle.at/DasSchnelle/50/5000/9945/044547/I_044547_P_906191772_L_0035970467_1.png</t>
  </si>
  <si>
    <t>https://bilder.dasschnelle.at/DasSchnelle/50/5000/9945/044547/I_044547_P_906191772_B_0035970467_1.gal.png?height=375&amp;width=600;https://bilder.dasschnelle.at/DasSchnelle/50/5000/9945/044547/I_044547_P_906191772_B_0035970467_2.gal.png?height=275&amp;width=275;https://bilder.dasschnelle.at/DasSchnelle/50/5000/9945/044547/I_044547_P_906191772_B_0035970467_3.gal.png?height=275&amp;width=275;https://bilder.dasschnelle.at/DasSchnelle/50/5000/9945/044547/I_044547_P_906191772_B_0035970467_4.gal.png?height=275&amp;width=275</t>
  </si>
  <si>
    <t>Haustechnik Miesl GmbH • Kehlbach • Salzburg</t>
  </si>
  <si>
    <t>Haustechnik • Haustechnik Miesl GmbH, Kehlbach 61, Kehlbach • Kontakt über aktuelle Telefonnummern ☎ und Adressen ⚑ mit Karte, Routing, Öffnungszeiten, Homepage, E-Mail, vCard und Firmendaten.</t>
  </si>
  <si>
    <t>Kehlbach 61</t>
  </si>
  <si>
    <t>Kehlbach</t>
  </si>
  <si>
    <t>47.4175171</t>
  </si>
  <si>
    <t>12.8182428</t>
  </si>
  <si>
    <t>+43658270550</t>
  </si>
  <si>
    <t>office@miesl.at</t>
  </si>
  <si>
    <t>https://bilder.dasschnelle.at/DasSchnelle/50/5000/9918/045578/G_045578_P_906191909.adn.gif</t>
  </si>
  <si>
    <t>Gebr. Lechner, Druckerei • Schwaz • Tirol</t>
  </si>
  <si>
    <t>Druckereien • Gebr. Lechner, Innsbrucker Straße 18, Schwaz • Kontakt über aktuelle Telefonnummern ☎ und Adressen ⚑ mit Karte, Routing, Öffnungszeiten, Homepage, E-Mail, vCard und Firmendaten.</t>
  </si>
  <si>
    <t>Innsbrucker Straße 18</t>
  </si>
  <si>
    <t>47.34358</t>
  </si>
  <si>
    <t>11.70748</t>
  </si>
  <si>
    <t>+43524298204</t>
  </si>
  <si>
    <t>office@lechnerdruck.at</t>
  </si>
  <si>
    <t>https://bilder.dasschnelle.at/DasSchnelle/50/5000/9929/042636/G_042636_P_906191958.adn.gif</t>
  </si>
  <si>
    <t>K&amp;K Küchen • Klagenfurt • Kärnten</t>
  </si>
  <si>
    <t>Küchenstudios • K&amp;K Küchen, Pischelsdorferstraße 123, Klagenfurt • Kontakt über aktuelle Telefonnummern ☎ und Adressen ⚑ mit Karte, Routing, Öffnungszeiten, Homepage, E-Mail, vCard und Firmendaten.</t>
  </si>
  <si>
    <t>Pischelsdorferstraße 123</t>
  </si>
  <si>
    <t>46.6367562</t>
  </si>
  <si>
    <t>14.3277490</t>
  </si>
  <si>
    <t>+43463420200</t>
  </si>
  <si>
    <t>info@kk-kuechen.at</t>
  </si>
  <si>
    <t>https://bilder.dasschnelle.at/DasSchnelle/50/5000/9925/042125/I_506175_P_906190603_L_0039042283_1.png</t>
  </si>
  <si>
    <t>https://bilder.dasschnelle.at/DasSchnelle/50/5000/9925/042125/I_506175_P_906190603_B_0039042283_1.gal.png?height=411&amp;width=720;https://bilder.dasschnelle.at/DasSchnelle/50/5000/9925/042125/I_506175_P_906190603_B_0039042283_2.gal.png?height=512&amp;width=720;https://bilder.dasschnelle.at/DasSchnelle/50/5000/9925/042125/I_506175_P_906190603_B_0039042283_3.gal.png?height=427&amp;width=720;https://bilder.dasschnelle.at/DasSchnelle/50/5000/9925/042125/I_506175_P_906190603_B_0039042283_4.gal.png?height=343&amp;width=720</t>
  </si>
  <si>
    <t>Rainer, Sabine, Dr.med., Hautfachärztin • Wolfsberg • Kärnten</t>
  </si>
  <si>
    <t>Ärzte / Fachärzte f. Haut u. Geschlechtskrankheiten • Rainer, Sabine, Dr.med., Spanheimerstraße 13, Wolfsberg • Kontakt über aktuelle Telefonnummern ☎ und Adressen ⚑ mit Karte, Routing, Öffnungszeiten, Homepage, E-Mail, vCard und Firmendaten.</t>
  </si>
  <si>
    <t>Spanheimerstraße 13</t>
  </si>
  <si>
    <t>46.83914</t>
  </si>
  <si>
    <t>14.8401</t>
  </si>
  <si>
    <t>+43435230900</t>
  </si>
  <si>
    <t>+4343523090020</t>
  </si>
  <si>
    <t>hautarzt.rainer@aon.at</t>
  </si>
  <si>
    <t>https://bilder.dasschnelle.at/DasSchnelle/50/5000/9949/042046/G_042046_P_906190322.adn.gif</t>
  </si>
  <si>
    <t>Mag. Jörg Jäger, Notariat • Mariazell • Steiermark</t>
  </si>
  <si>
    <t>Notare • Mag. Jörg Jäger, Grazerstraße 15, Mariazell • Kontakt über aktuelle Telefonnummern ☎ und Adressen ⚑ mit Karte, Routing, Öffnungszeiten, Homepage, E-Mail, vCard und Firmendaten.</t>
  </si>
  <si>
    <t>Grazerstraße 15</t>
  </si>
  <si>
    <t>+4338822411</t>
  </si>
  <si>
    <t>kanzlei@notar-jaeger.at</t>
  </si>
  <si>
    <t>https://bilder.dasschnelle.at/DasSchnelle/50/5000/9906/061453/G_061453_P_906191899.adn.gif</t>
  </si>
  <si>
    <t>Völkl, Manuel, Restaurant • Horn • Niederösterreich</t>
  </si>
  <si>
    <t>Gastronomiebetriebe • Völkl, Manuel, Wiener Straße 2, Horn • Kontakt über aktuelle Telefonnummern ☎ und Adressen ⚑ mit Karte, Routing, Öffnungszeiten, Homepage, E-Mail, vCard und Firmendaten.</t>
  </si>
  <si>
    <t>48.6639</t>
  </si>
  <si>
    <t>15.65909</t>
  </si>
  <si>
    <t>+43298220685</t>
  </si>
  <si>
    <t>info@ausklang-in-horn.at</t>
  </si>
  <si>
    <t>https://bilder.dasschnelle.at/DasSchnelle/50/5000/9893/041392/G_041392_P_906192972.adn.gif</t>
  </si>
  <si>
    <t>Öffentlicher Notar Dr. Franz Stenitzer &amp; Partner, Notar • Wolfsberg • Kärnten</t>
  </si>
  <si>
    <t>Notare • Öffentlicher Notar Dr. Franz Stenitzer &amp; Partner, Bambergerstraße 4, Wolfsberg • Kontakt über aktuelle Telefonnummern ☎ und Adressen ⚑ mit Karte, Routing, Öffnungszeiten, Homepage, E-Mail, vCard und Firmendaten.</t>
  </si>
  <si>
    <t>Bambergerstraße 4</t>
  </si>
  <si>
    <t>46.84038</t>
  </si>
  <si>
    <t>14.84169</t>
  </si>
  <si>
    <t>+4343522195;+43435251424</t>
  </si>
  <si>
    <t>office@notar-stenitzer.at</t>
  </si>
  <si>
    <t>https://bilder.dasschnelle.at/DasSchnelle/50/5000/9949/042046/G_042046_P_906193027.adn.gif</t>
  </si>
  <si>
    <t>Diagnose Team Horn, Radiologische Gruppenpraxis OG, Radiologie • Horn • Niederösterreich</t>
  </si>
  <si>
    <t>Ärzte / Fachärzte f. Radiologie • Diagnose Team Horn, Radiologische Gruppenpraxis OG, Feldgasse 19, Horn • Kontakt über aktuelle Telefonnummern ☎ und Adressen ⚑ mit Karte, Routing, Öffnungszeiten, Homepage, E-Mail, vCard und Firmendaten.</t>
  </si>
  <si>
    <t>Feldgasse 19</t>
  </si>
  <si>
    <t>48.6683</t>
  </si>
  <si>
    <t>15.65897</t>
  </si>
  <si>
    <t>+4329822609</t>
  </si>
  <si>
    <t>+4329822797</t>
  </si>
  <si>
    <t>ordi@dthorn.at</t>
  </si>
  <si>
    <t>https://bilder.dasschnelle.at/DasSchnelle/50/5000/9893/041392/G_041392_P_906194724.adn.gif</t>
  </si>
  <si>
    <t>Hirschbichler Installationen Gmb • Sankt Martin bei Lofer • Salzburg</t>
  </si>
  <si>
    <t>Sanitäranlagen u. -einrichtungen • Hirschbichler Installationen Gmb, Wildental 13, Sankt Martin bei Lofer • Kontakt über aktuelle Telefonnummern ☎ und Adressen ⚑ mit Karte, Routing, Öffnungszeiten, Homepage, E-Mail, vCard und Firmendaten.</t>
  </si>
  <si>
    <t>Wildental 13</t>
  </si>
  <si>
    <t>5092</t>
  </si>
  <si>
    <t>Sankt Martin bei Lofer</t>
  </si>
  <si>
    <t>47.5597605</t>
  </si>
  <si>
    <t>12.7627626</t>
  </si>
  <si>
    <t>+4365887165;+43658820197</t>
  </si>
  <si>
    <t>installationen@hirschbichler.net</t>
  </si>
  <si>
    <t>https://bilder.dasschnelle.at/DasSchnelle/50/5000/9918/045579/G_045579_P_906194868.adn.gif</t>
  </si>
  <si>
    <t>Grill Silvio Raumdesign • Sankt Martin bei Lofer • Salzburg</t>
  </si>
  <si>
    <t>Raumgestaltung • Grill Silvio Raumdesign, Wildmoos 53, Sankt Martin bei Lofer • Kontakt über aktuelle Telefonnummern ☎ und Adressen ⚑ mit Karte, Routing, Öffnungszeiten, Homepage, E-Mail, vCard und Firmendaten.</t>
  </si>
  <si>
    <t>Wildmoos 53</t>
  </si>
  <si>
    <t>47.57273</t>
  </si>
  <si>
    <t>12.69437</t>
  </si>
  <si>
    <t>+4365887766</t>
  </si>
  <si>
    <t>raumdesign.silviogrill@lofer.at</t>
  </si>
  <si>
    <t>https://bilder.dasschnelle.at/DasSchnelle/50/5000/9918/045579/G_045579_P_906194875.adn.gif</t>
  </si>
  <si>
    <t>Ofenbaumeister GmbH, Ofenbau &amp; Fliesen • Fusch • Salzburg</t>
  </si>
  <si>
    <t>Kachelöfen • Ofenbaumeister GmbH, Großglocknerstraße Z 117, Fusch • Kontakt über aktuelle Telefonnummern ☎ und Adressen ⚑ mit Karte, Routing, Öffnungszeiten, Homepage, E-Mail, vCard und Firmendaten.</t>
  </si>
  <si>
    <t>Großglocknerstraße Z 117</t>
  </si>
  <si>
    <t>5672</t>
  </si>
  <si>
    <t>Fusch</t>
  </si>
  <si>
    <t>47.2293756</t>
  </si>
  <si>
    <t>12.8266259</t>
  </si>
  <si>
    <t>+4365462680</t>
  </si>
  <si>
    <t>https://bilder.dasschnelle.at/DasSchnelle/50/5000/9918/045563/G_045563_P_906194903.adn.gif</t>
  </si>
  <si>
    <t>Weber-Gredler, Katharina, Dr.med., Ärzte / f Allgemeinmedizin • Mayrhofen • Tirol</t>
  </si>
  <si>
    <t>Ärzte / f Allgemeinmedizin • Weber-Gredler, Katharina, Dr.med., Hauptstraße 456, Mayrhofen • Kontakt über aktuelle Telefonnummern ☎ und Adressen ⚑ mit Karte, Routing, Öffnungszeiten, Homepage, E-Mail, vCard und Firmendaten.</t>
  </si>
  <si>
    <t>Hauptstraße 456</t>
  </si>
  <si>
    <t>47.16465</t>
  </si>
  <si>
    <t>11.86181</t>
  </si>
  <si>
    <t>+43528562550</t>
  </si>
  <si>
    <t>+4352856255014</t>
  </si>
  <si>
    <t>k.weber-gredler@medway.at</t>
  </si>
  <si>
    <t>https://bilder.dasschnelle.at/DasSchnelle/50/5000/9929/042630/G_042630_P_906196376.adn.gif</t>
  </si>
  <si>
    <t>Breitwieser Haustechnik, Haustechnik • Steinhaus • Oberösterreich</t>
  </si>
  <si>
    <t>Haustechnik • Breitwieser Haustechnik, Oberhart 7, Steinhaus • Kontakt über aktuelle Telefonnummern ☎ und Adressen ⚑ mit Karte, Routing, Öffnungszeiten, Homepage, E-Mail, vCard und Firmendaten.</t>
  </si>
  <si>
    <t>Oberhart 7</t>
  </si>
  <si>
    <t>48.1037030</t>
  </si>
  <si>
    <t>14.0292739</t>
  </si>
  <si>
    <t>+436645131096</t>
  </si>
  <si>
    <t>breitwieser.haustechnik@a1.net</t>
  </si>
  <si>
    <t>https://bilder.dasschnelle.at/DasSchnelle/50/5000/9945/043583/I_043583_P_906197237_L_0035971203_1.png</t>
  </si>
  <si>
    <t>https://bilder.dasschnelle.at/DasSchnelle/50/5000/9945/043583/I_043583_P_906197237_B_0035971203_1.gal.png?height=666&amp;width=1000;https://bilder.dasschnelle.at/DasSchnelle/50/5000/9945/043583/I_043583_P_906197237_B_0035971203_2.gal.png?height=667&amp;width=1000;https://bilder.dasschnelle.at/DasSchnelle/50/5000/9945/043583/I_043583_P_906197237_B_0035971203_3.gal.png?height=667&amp;width=1000;https://bilder.dasschnelle.at/DasSchnelle/50/5000/9945/043583/I_043583_P_906197237_B_0035971203_4.gal.png?height=667&amp;width=1000</t>
  </si>
  <si>
    <t>Eckerstorfer, P., Dr. med., FA f Kinder- u Jugendheilkunde • Wels • Oberösterreich</t>
  </si>
  <si>
    <t>Ärzte / Fachärzte f. Kinder u. Jugendheilkunde • Eckerstorfer, P., Dr. med., Puchberger Straße 41, Wels • Kontakt über aktuelle Telefonnummern ☎ und Adressen ⚑ mit Karte, Routing, Öffnungszeiten, Homepage, E-Mail, vCard und Firmendaten.</t>
  </si>
  <si>
    <t>Puchberger Straße 41</t>
  </si>
  <si>
    <t>48.16269</t>
  </si>
  <si>
    <t>14.02403</t>
  </si>
  <si>
    <t>+436606836878</t>
  </si>
  <si>
    <t>kontakt@kinderarztwels.at</t>
  </si>
  <si>
    <t>https://bilder.dasschnelle.at/DasSchnelle/50/5000/9945/998088/G_998088_P_906197243.adn.gif</t>
  </si>
  <si>
    <t>Sehen &amp; Hören Maurer GmbH, Optikermeister • Mittersill • Salzburg</t>
  </si>
  <si>
    <t>Optik • Sehen &amp; Hören Maurer GmbH, Zeller Straße 9, Mittersill • Kontakt über aktuelle Telefonnummern ☎ und Adressen ⚑ mit Karte, Routing, Öffnungszeiten, Homepage, E-Mail, vCard und Firmendaten.</t>
  </si>
  <si>
    <t>Zeller Straße 9</t>
  </si>
  <si>
    <t>47.28318</t>
  </si>
  <si>
    <t>12.48248</t>
  </si>
  <si>
    <t>+4365624781</t>
  </si>
  <si>
    <t>optik.maurer@sol.at</t>
  </si>
  <si>
    <t>https://bilder.dasschnelle.at/DasSchnelle/50/5000/9918/045572/G_045572_P_906197245.adn.gif</t>
  </si>
  <si>
    <t>Menges, Dietmar, Malermeister • Wels • Oberösterreich</t>
  </si>
  <si>
    <t>Malereibetriebe • Menges, Dietmar, Herderstraße 40, Wels • Kontakt über aktuelle Telefonnummern ☎ und Adressen ⚑ mit Karte, Routing, Öffnungszeiten, Homepage, E-Mail, vCard und Firmendaten.</t>
  </si>
  <si>
    <t>Herderstraße 40</t>
  </si>
  <si>
    <t>48.16695</t>
  </si>
  <si>
    <t>14.05277</t>
  </si>
  <si>
    <t>+437242225580;+436764868401</t>
  </si>
  <si>
    <t>malermeister_menges@liwest.at</t>
  </si>
  <si>
    <t>https://bilder.dasschnelle.at/DasSchnelle/50/5000/9945/044547/G_044547_P_906198269.adn.gif</t>
  </si>
  <si>
    <t>Steiner GmbH, Baggerungen • Wels • Oberösterreich</t>
  </si>
  <si>
    <t>Baggerungen u. Transporte • Steiner GmbH, Schafwiesen 48, Wels • Kontakt über aktuelle Telefonnummern ☎ und Adressen ⚑ mit Karte, Routing, Öffnungszeiten, Homepage, E-Mail, vCard und Firmendaten.</t>
  </si>
  <si>
    <t>Schafwiesen 48</t>
  </si>
  <si>
    <t>48.1681881</t>
  </si>
  <si>
    <t>14.0597572</t>
  </si>
  <si>
    <t>+436642828395</t>
  </si>
  <si>
    <t>steiner.wels@aon.at</t>
  </si>
  <si>
    <t>Energie Direct MineralölhandelsgesmbH, Mineralölhandel • Aschau • Tirol</t>
  </si>
  <si>
    <t>Mineralölprodukte • Energie Direct MineralölhandelsgesmbH, Dorfstraße 70, Aschau • Kontakt über aktuelle Telefonnummern ☎ und Adressen ⚑ mit Karte, Routing, Öffnungszeiten, Homepage, E-Mail, vCard und Firmendaten.</t>
  </si>
  <si>
    <t>Dorfstraße 70</t>
  </si>
  <si>
    <t>47.2592882</t>
  </si>
  <si>
    <t>11.8940109</t>
  </si>
  <si>
    <t>+4352822910</t>
  </si>
  <si>
    <t>marketing@energiedirect.at</t>
  </si>
  <si>
    <t>https://bilder.dasschnelle.at/DasSchnelle/50/5000/9929/042614/G_042614_P_906198275.adn.gif</t>
  </si>
  <si>
    <t>Gartencenter Leo GmbH, Gartencenter • Schwaz • Tirol</t>
  </si>
  <si>
    <t>Gartencenter • Gartencenter Leo GmbH, Hermine-Berghofer-Straße 50 -52, Schwaz • Kontakt über aktuelle Telefonnummern ☎ und Adressen ⚑ mit Karte, Routing, Öffnungszeiten, Homepage, E-Mail, vCard und Firmendaten.</t>
  </si>
  <si>
    <t>Hermine-Berghofer-Straße 50 -52</t>
  </si>
  <si>
    <t>47.36002</t>
  </si>
  <si>
    <t>11.72065</t>
  </si>
  <si>
    <t>+43524222244</t>
  </si>
  <si>
    <t>info@gartencenter-leo.at</t>
  </si>
  <si>
    <t>https://bilder.dasschnelle.at/DasSchnelle/50/5000/9929/042636/G_042636_P_906198421.adn.gif</t>
  </si>
  <si>
    <t>Brunner, Bernhard, Spenglerei • Schwaz • Tirol</t>
  </si>
  <si>
    <t>Spenglereien • Brunner, Bernhard, Archengasse 39, Schwaz • Kontakt über aktuelle Telefonnummern ☎ und Adressen ⚑ mit Karte, Routing, Öffnungszeiten, Homepage, E-Mail, vCard und Firmendaten.</t>
  </si>
  <si>
    <t>Archengasse 39</t>
  </si>
  <si>
    <t>47.34819</t>
  </si>
  <si>
    <t>11.71149</t>
  </si>
  <si>
    <t>+436767889606</t>
  </si>
  <si>
    <t>office@spenglerei-brunner.at</t>
  </si>
  <si>
    <t>https://bilder.dasschnelle.at/DasSchnelle/50/5000/9929/042636/G_042636_P_906198341.adn.gif</t>
  </si>
  <si>
    <t>Tischlerei  Montageservice • Gnesau • Kärnten</t>
  </si>
  <si>
    <t>Tischlereien • Tischlerei  Montageservice, Gnesau 130, Gnesau • Kontakt über aktuelle Telefonnummern ☎ und Adressen ⚑ mit Karte, Routing, Öffnungszeiten, Homepage, E-Mail, vCard und Firmendaten.</t>
  </si>
  <si>
    <t>Gnesau 130</t>
  </si>
  <si>
    <t>46.7780481</t>
  </si>
  <si>
    <t>13.9631143</t>
  </si>
  <si>
    <t>+436767373494</t>
  </si>
  <si>
    <t>poecher.franz@ffpf.at</t>
  </si>
  <si>
    <t>https://bilder.dasschnelle.at/DasSchnelle/50/5000/9880/042050/I_042050_P_906198349_L_0039095557_1.png</t>
  </si>
  <si>
    <t>Braunegger Erdbau • Thalgau • Salzburg</t>
  </si>
  <si>
    <t>Erdbau • Braunegger Erdbau, Ruchtifeldsiedlung 27, Thalgau • Kontakt über aktuelle Telefonnummern ☎ und Adressen ⚑ mit Karte, Routing, Öffnungszeiten, Homepage, E-Mail, vCard und Firmendaten.</t>
  </si>
  <si>
    <t>Ruchtifeldsiedlung 27</t>
  </si>
  <si>
    <t>47.8379100</t>
  </si>
  <si>
    <t>13.2594000</t>
  </si>
  <si>
    <t>+436766804466</t>
  </si>
  <si>
    <t>info@braunegger-erdbau.at</t>
  </si>
  <si>
    <t>https://bilder.dasschnelle.at/DasSchnelle/50/5000/9909/043331/I_043331_P_906198503_L_0038848295_1.png</t>
  </si>
  <si>
    <t>https://bilder.dasschnelle.at/DasSchnelle/50/5000/9909/043331/I_043331_P_906198503_B_0038848295_1.gal.png?height=400&amp;width=600;https://bilder.dasschnelle.at/DasSchnelle/50/5000/9909/043331/I_043331_P_906198503_B_0038848295_2.gal.png?height=400&amp;width=600;https://bilder.dasschnelle.at/DasSchnelle/50/5000/9909/043331/I_043331_P_906198503_B_0038848295_3.gal.png?height=400&amp;width=600;https://bilder.dasschnelle.at/DasSchnelle/50/5000/9909/043331/I_043331_P_906198503_B_0038848295_4.gal.png?height=400&amp;width=600</t>
  </si>
  <si>
    <t>Magerle, Conny, Physiotherapeutin • St. Paul im Lavanttal • Kärnten</t>
  </si>
  <si>
    <t>Physiotherapie • Magerle, Conny, Hugo-Wolf-Straße 21, St. Paul im Lavanttal • Kontakt über aktuelle Telefonnummern ☎ und Adressen ⚑ mit Karte, Routing, Öffnungszeiten, Homepage, E-Mail, vCard und Firmendaten.</t>
  </si>
  <si>
    <t>Hugo-Wolf-Straße 21</t>
  </si>
  <si>
    <t>46.7073327</t>
  </si>
  <si>
    <t>14.8636490</t>
  </si>
  <si>
    <t>+436644129095</t>
  </si>
  <si>
    <t>conny.magerle@gmx.at</t>
  </si>
  <si>
    <t>https://bilder.dasschnelle.at/DasSchnelle/50/5000/9949/042045/G_042045_P_906200541.adn.gif</t>
  </si>
  <si>
    <t>Derhaschnig, Johann, Dr.med., FA f Haut- u Geschlechtskrankheiten • Wolfsberg • Kärnten</t>
  </si>
  <si>
    <t>Ärzte / Fachärzte f. Haut u. Geschlechtskrankheiten • Derhaschnig, Johann, Dr.med., Spanheimerstraße 26, Wolfsberg • Kontakt über aktuelle Telefonnummern ☎ und Adressen ⚑ mit Karte, Routing, Öffnungszeiten, Homepage, E-Mail, vCard und Firmendaten.</t>
  </si>
  <si>
    <t>Spanheimerstraße 26</t>
  </si>
  <si>
    <t>46.83957</t>
  </si>
  <si>
    <t>14.83935</t>
  </si>
  <si>
    <t>+434352303030</t>
  </si>
  <si>
    <t>https://bilder.dasschnelle.at/DasSchnelle/50/5000/9949/042046/G_042046_P_906200542.adn.gif</t>
  </si>
  <si>
    <t>Felderer, Regina, Dr.med.univ., FA f Frauenheilkunde u Geburtshilfe • Wolfsberg • Kärnten</t>
  </si>
  <si>
    <t>Ärzte / Fachärzte f. Frauenheilkunde u. Geburtshilfe • Felderer, Regina, Dr.med.univ., Spanheimerstraße 13, Wolfsberg • Kontakt über aktuelle Telefonnummern ☎ und Adressen ⚑ mit Karte, Routing, Öffnungszeiten, Homepage, E-Mail, vCard und Firmendaten.</t>
  </si>
  <si>
    <t>+43435235505</t>
  </si>
  <si>
    <t>praxis@drfelderer.at</t>
  </si>
  <si>
    <t>https://bilder.dasschnelle.at/DasSchnelle/50/5000/9949/042046/G_042046_P_906201728.adn.gif</t>
  </si>
  <si>
    <t>Jeggle-Riha, Karin, Dr., Frauenarzt • Jenbach • Tirol</t>
  </si>
  <si>
    <t>Ärzte / Fachärzte f. Frauenheilkunde u. Geburtshilfe • Jeggle-Riha, Karin, Dr., Südtiroler Platz 3, Jenbach • Kontakt über aktuelle Telefonnummern ☎ und Adressen ⚑ mit Karte, Routing, Öffnungszeiten, Homepage, E-Mail, vCard und Firmendaten.</t>
  </si>
  <si>
    <t>Südtiroler Platz 3</t>
  </si>
  <si>
    <t>47.39156</t>
  </si>
  <si>
    <t>11.77208</t>
  </si>
  <si>
    <t>+43524462050</t>
  </si>
  <si>
    <t>+43524461881</t>
  </si>
  <si>
    <t>karin.jeggle-riha@kh-schwaz.at</t>
  </si>
  <si>
    <t>https://bilder.dasschnelle.at/DasSchnelle/50/5000/9929/042628/G_042628_P_906200367.adn.gif</t>
  </si>
  <si>
    <t>BESTATTUNG GSCHWANDTNER • Hollersbach im Pinzgau • Salzburg</t>
  </si>
  <si>
    <t>Bestattungsunternehmen • BESTATTUNG GSCHWANDTNER, Dorf 9, Hollersbach im Pinzgau • Kontakt über aktuelle Telefonnummern ☎ und Adressen ⚑ mit Karte, Routing, Öffnungszeiten, Homepage, E-Mail, vCard und Firmendaten.</t>
  </si>
  <si>
    <t>Dorf 9</t>
  </si>
  <si>
    <t>47.2850895</t>
  </si>
  <si>
    <t>12.4226297</t>
  </si>
  <si>
    <t>+436642828013</t>
  </si>
  <si>
    <t>office@bestattung-gschwandtner.at</t>
  </si>
  <si>
    <t>https://bilder.dasschnelle.at/DasSchnelle/50/5000/9918/045564/G_045564_P_906200374.adn.gif</t>
  </si>
  <si>
    <t>Meisel, Eduard, Maler • Buchkirchen • Oberösterreich</t>
  </si>
  <si>
    <t>Malereibetriebe • Meisel, Eduard, Eppinger Straße 26, Buchkirchen • Kontakt über aktuelle Telefonnummern ☎ und Adressen ⚑ mit Karte, Routing, Öffnungszeiten, Homepage, E-Mail, vCard und Firmendaten.</t>
  </si>
  <si>
    <t>Eppinger Straße 26</t>
  </si>
  <si>
    <t>48.2343</t>
  </si>
  <si>
    <t>14.03183</t>
  </si>
  <si>
    <t>+43724228873;+436764549330;+436765510986;+436765510987;+4369910362456;+4369916534470</t>
  </si>
  <si>
    <t>firma@malermeisel.at</t>
  </si>
  <si>
    <t>https://bilder.dasschnelle.at/DasSchnelle/50/5000/9907/043565/G_043565_P_906201673.adn.gif</t>
  </si>
  <si>
    <t>Hager Erdbewegung GmbH &amp; Co. KG • Freiling • Oberösterreich</t>
  </si>
  <si>
    <t>Erdbau • Hager Erdbewegung GmbH &amp; Co. KG, Holzstraße 11, Freiling • Kontakt über aktuelle Telefonnummern ☎ und Adressen ⚑ mit Karte, Routing, Öffnungszeiten, Homepage, E-Mail, vCard und Firmendaten.</t>
  </si>
  <si>
    <t>Holzstraße 11</t>
  </si>
  <si>
    <t>4064</t>
  </si>
  <si>
    <t>Freiling</t>
  </si>
  <si>
    <t>48.23499</t>
  </si>
  <si>
    <t>14.12507</t>
  </si>
  <si>
    <t>+436642509260</t>
  </si>
  <si>
    <t>erdbewegungen@rene-hager.at</t>
  </si>
  <si>
    <t>https://bilder.dasschnelle.at/DasSchnelle/50/5000/9907/046115/G_046115_P_906201758.adn.gif</t>
  </si>
  <si>
    <t>Elektro Hartl, Elektro • Zell am See • Salzburg</t>
  </si>
  <si>
    <t>Elektrogeräte u. -bedarf • Elektro Hartl, Schmittenstraße 10, Zell am See • Kontakt über aktuelle Telefonnummern ☎ und Adressen ⚑ mit Karte, Routing, Öffnungszeiten, Homepage, E-Mail, vCard und Firmendaten.</t>
  </si>
  <si>
    <t>Schmittenstraße 10</t>
  </si>
  <si>
    <t>Zell am See</t>
  </si>
  <si>
    <t>47.3239141</t>
  </si>
  <si>
    <t>12.7946338</t>
  </si>
  <si>
    <t>+436644349516</t>
  </si>
  <si>
    <t>r.hartl1@gmx.at</t>
  </si>
  <si>
    <t>https://bilder.dasschnelle.at/DasSchnelle/50/5000/9918/045587/I_045587_P_906200460_L_0038061373_1.png</t>
  </si>
  <si>
    <t>Empl BaugesmbH, Bauunternehmen • Rettenbach • Salzburg</t>
  </si>
  <si>
    <t>Bauunternehmen • Empl BaugesmbH, Rettenbachstraße 1, Rettenbach • Kontakt über aktuelle Telefonnummern ☎ und Adressen ⚑ mit Karte, Routing, Öffnungszeiten, Homepage, E-Mail, vCard und Firmendaten.</t>
  </si>
  <si>
    <t>Rettenbachstraße 1</t>
  </si>
  <si>
    <t>Rettenbach</t>
  </si>
  <si>
    <t>47.2831</t>
  </si>
  <si>
    <t>12.4449</t>
  </si>
  <si>
    <t>+4365628550</t>
  </si>
  <si>
    <t>office@empl-bau.at</t>
  </si>
  <si>
    <t>https://bilder.dasschnelle.at/DasSchnelle/50/5000/9918/045572/I_045572_P_906201715_L_0036233246_1.png</t>
  </si>
  <si>
    <t>https://bilder.dasschnelle.at/DasSchnelle/50/5000/9918/045572/I_045572_P_906201715_B_0036233246_1.gal.png?height=480&amp;width=831;https://bilder.dasschnelle.at/DasSchnelle/50/5000/9918/045572/I_045572_P_906201715_B_0036233246_2.gal.png?height=416&amp;width=624;https://bilder.dasschnelle.at/DasSchnelle/50/5000/9918/045572/I_045572_P_906201715_B_0036233246_3.gal.png?height=260&amp;width=512;https://bilder.dasschnelle.at/DasSchnelle/50/5000/9918/045572/I_045572_P_906201715_B_0036233246_4.gal.png?height=416&amp;width=624</t>
  </si>
  <si>
    <t>HDB Instandhaltung v Maschinen u Anlagen GmbH, Schlosserei • Unterhart • Oberösterreich</t>
  </si>
  <si>
    <t>Schlossereien • HDB Instandhaltung v Maschinen u Anlagen GmbH, Hovalstraße 11, Unterhart • Kontakt über aktuelle Telefonnummern ☎ und Adressen ⚑ mit Karte, Routing, Öffnungszeiten, Homepage, E-Mail, vCard und Firmendaten.</t>
  </si>
  <si>
    <t>Hovalstraße 11</t>
  </si>
  <si>
    <t>Unterhart</t>
  </si>
  <si>
    <t>48.19602</t>
  </si>
  <si>
    <t>14.08025</t>
  </si>
  <si>
    <t>+43724350850</t>
  </si>
  <si>
    <t>office@hdb.at</t>
  </si>
  <si>
    <t>https://bilder.dasschnelle.at/DasSchnelle/50/5000/9907/043573/I_043573_P_906202536_L_0036006329_1.png</t>
  </si>
  <si>
    <t>https://bilder.dasschnelle.at/DasSchnelle/50/5000/9907/043573/I_043573_P_906202536_B_0036006329_1.gal.png?height=375&amp;width=500;https://bilder.dasschnelle.at/DasSchnelle/50/5000/9907/043573/I_043573_P_906202536_B_0036006329_2.gal.png?height=375&amp;width=500;https://bilder.dasschnelle.at/DasSchnelle/50/5000/9907/043573/I_043573_P_906202536_B_0036006329_3.gal.png?height=375&amp;width=500;https://bilder.dasschnelle.at/DasSchnelle/50/5000/9907/043573/I_043573_P_906202536_B_0036006329_4.gal.png?height=375&amp;width=500;https://bilder.dasschnelle.at/DasSchnelle/50/5000/9907/043573/G_043573_P_906202536.adn.gif</t>
  </si>
  <si>
    <t>Osteamed Windhager, Osteamed • Marchtrenk • Oberösterreich</t>
  </si>
  <si>
    <t>Alternative Heilmethoden • Osteamed Windhager, Lindenstraße 23, Marchtrenk • Kontakt über aktuelle Telefonnummern ☎ und Adressen ⚑ mit Karte, Routing, Öffnungszeiten, Homepage, E-Mail, vCard und Firmendaten.</t>
  </si>
  <si>
    <t>Lindenstraße 23</t>
  </si>
  <si>
    <t>48.19843</t>
  </si>
  <si>
    <t>14.11736</t>
  </si>
  <si>
    <t>+436602703623</t>
  </si>
  <si>
    <t>markus.windhager@gmx.net</t>
  </si>
  <si>
    <t>https://bilder.dasschnelle.at/DasSchnelle/50/5000/9907/043573/I_043573_P_906202538_L_0038019819_1.png</t>
  </si>
  <si>
    <t>https://bilder.dasschnelle.at/DasSchnelle/50/5000/9907/043573/I_043573_P_906202538_B_0038019819_1.gal.png?height=262&amp;width=262;https://bilder.dasschnelle.at/DasSchnelle/50/5000/9907/043573/I_043573_P_906202538_B_0038019819_2.gal.png?height=160&amp;width=320;https://bilder.dasschnelle.at/DasSchnelle/50/5000/9907/043573/I_043573_P_906202538_B_0038019819_3.gal.png?height=267&amp;width=189;https://bilder.dasschnelle.at/DasSchnelle/50/5000/9907/043573/I_043573_P_906202538_B_0038019819_4.gal.png?height=243&amp;width=189</t>
  </si>
  <si>
    <t>Beautiful Moments, Kosmetik • Hörsching • Oberösterreich</t>
  </si>
  <si>
    <t>Kosmetik u. Fußpflege • Beautiful Moments, Humerstraße 21, Hörsching • Kontakt über aktuelle Telefonnummern ☎ und Adressen ⚑ mit Karte, Routing, Öffnungszeiten, Homepage, E-Mail, vCard und Firmendaten.</t>
  </si>
  <si>
    <t>https://bilder.dasschnelle.at/DasSchnelle/50/5000/9907/046107/G_046107_P_906202651.adn.gif</t>
  </si>
  <si>
    <t>Mystik art Design, Goldschmied • Marchtrenk • Oberösterreich</t>
  </si>
  <si>
    <t>Kunsthandwerk, Schmuck u. Schmuckwaren • Mystik art Design, Linzer Straße 14, Marchtrenk • Kontakt über aktuelle Telefonnummern ☎ und Adressen ⚑ mit Karte, Routing, Öffnungszeiten, Homepage, E-Mail, vCard und Firmendaten.</t>
  </si>
  <si>
    <t>48.19008</t>
  </si>
  <si>
    <t>14.11276</t>
  </si>
  <si>
    <t>+43724351313;+436645218875</t>
  </si>
  <si>
    <t>office@schmuckunikate.at</t>
  </si>
  <si>
    <t>https://bilder.dasschnelle.at/DasSchnelle/50/5000/9907/043573/G_043573_P_906202659.adn.gif</t>
  </si>
  <si>
    <t>Blaha, Ronald, Friseursalon • Marchtrenk • Oberösterreich</t>
  </si>
  <si>
    <t>Friseure • Blaha, Ronald, Linzer Straße 18, Marchtrenk • Kontakt über aktuelle Telefonnummern ☎ und Adressen ⚑ mit Karte, Routing, Öffnungszeiten, Homepage, E-Mail, vCard und Firmendaten.</t>
  </si>
  <si>
    <t>Linzer Straße 18</t>
  </si>
  <si>
    <t>48.19016</t>
  </si>
  <si>
    <t>14.11332</t>
  </si>
  <si>
    <t>+43724350585;+436641544411</t>
  </si>
  <si>
    <t>office@ronald-blaha.at</t>
  </si>
  <si>
    <t>https://bilder.dasschnelle.at/DasSchnelle/50/5000/9907/043573/G_043573_P_906202665.adn.gif</t>
  </si>
  <si>
    <t>Hubalek, Michael, Doz.Dr., Ärzte / Fachärzte f Frauenheilkunde u Geburtshilfe • Schwaz • Tirol</t>
  </si>
  <si>
    <t>Ärzte / Fachärzte f. Frauenheilkunde u. Geburtshilfe • Hubalek, Michael, Doz.Dr., Andreas-Hofer-Straße 8, Schwaz • Kontakt über aktuelle Telefonnummern ☎ und Adressen ⚑ mit Karte, Routing, Öffnungszeiten, Homepage, E-Mail, vCard und Firmendaten.</t>
  </si>
  <si>
    <t>47.3461600</t>
  </si>
  <si>
    <t>11.7073500</t>
  </si>
  <si>
    <t>+43524265529</t>
  </si>
  <si>
    <t>https://bilder.dasschnelle.at/DasSchnelle/50/5000/9929/042636/G_042636_P_906202668.adn.gif</t>
  </si>
  <si>
    <t>Raiffeisenbank Weißkirchen a d Traun eGen, Banken u Sparkassen • Weißkirchen • Oberösterreich</t>
  </si>
  <si>
    <t>Banken • Raiffeisenbank Weißkirchen a d Traun eGen, Raiffeisenweg 1, Weißkirchen • Kontakt über aktuelle Telefonnummern ☎ und Adressen ⚑ mit Karte, Routing, Öffnungszeiten, Homepage, E-Mail, vCard und Firmendaten.</t>
  </si>
  <si>
    <t>Raiffeisenweg 1</t>
  </si>
  <si>
    <t>4616</t>
  </si>
  <si>
    <t>Weißkirchen</t>
  </si>
  <si>
    <t>48.1634572</t>
  </si>
  <si>
    <t>14.1204458</t>
  </si>
  <si>
    <t>+437243561610</t>
  </si>
  <si>
    <t>raibawk@direkt.at</t>
  </si>
  <si>
    <t>https://bilder.dasschnelle.at/DasSchnelle/50/5000/9907/043585/G_043585_P_906202670.adn.gif</t>
  </si>
  <si>
    <t>Elektro Demel KG • Sankt Martin bei Lofer • Salzburg</t>
  </si>
  <si>
    <t>Elektrogeräte u. -bedarf • Elektro Demel KG, St. Martin 119, Sankt Martin bei Lofer • Kontakt über aktuelle Telefonnummern ☎ und Adressen ⚑ mit Karte, Routing, Öffnungszeiten, Homepage, E-Mail, vCard und Firmendaten.</t>
  </si>
  <si>
    <t>St. Martin 119</t>
  </si>
  <si>
    <t>47.5680648</t>
  </si>
  <si>
    <t>12.7045395</t>
  </si>
  <si>
    <t>+4365888570</t>
  </si>
  <si>
    <t>office@elektrotechnik-salzburg.at</t>
  </si>
  <si>
    <t>https://bilder.dasschnelle.at/DasSchnelle/50/5000/9918/045579/G_045579_P_906204551.adn.gif</t>
  </si>
  <si>
    <t>Zernig GmbH, Installationen • St. Paul • Kärnten</t>
  </si>
  <si>
    <t>Installationsunternehmen, Gasinstallationen • Zernig GmbH, Hauptstraße 14, St. Paul • Kontakt über aktuelle Telefonnummern ☎ und Adressen ⚑ mit Karte, Routing, Öffnungszeiten, Homepage, E-Mail, vCard und Firmendaten.</t>
  </si>
  <si>
    <t>Hauptstraße 14</t>
  </si>
  <si>
    <t>46.7060568</t>
  </si>
  <si>
    <t>14.8692881</t>
  </si>
  <si>
    <t>+43435723320</t>
  </si>
  <si>
    <t>zernig.leopold@holzdiesonne.at</t>
  </si>
  <si>
    <t>https://bilder.dasschnelle.at/DasSchnelle/50/5000/9949/042045/I_042045_P_906202620_L_0036003120_1.png</t>
  </si>
  <si>
    <t>https://bilder.dasschnelle.at/DasSchnelle/50/5000/9949/042045/I_042045_P_906202620_B_0036003120_1.gal.png?height=240&amp;width=360;https://bilder.dasschnelle.at/DasSchnelle/50/5000/9949/042045/I_042045_P_906202620_B_0036003120_2.gal.png?height=240&amp;width=360;https://bilder.dasschnelle.at/DasSchnelle/50/5000/9949/042045/I_042045_P_906202620_B_0036003120_3.gal.png?height=240&amp;width=360;https://bilder.dasschnelle.at/DasSchnelle/50/5000/9949/042045/I_042045_P_906202620_B_0036003120_4.gal.png?height=240&amp;width=360</t>
  </si>
  <si>
    <t>Stein &amp; Design Schwarzenbacher, Steinbildhauerei • Uttendorf • Salzburg</t>
  </si>
  <si>
    <t>Bildhauer • Stein &amp; Design Schwarzenbacher, Alte Bundesstraße 48, Uttendorf • Kontakt über aktuelle Telefonnummern ☎ und Adressen ⚑ mit Karte, Routing, Öffnungszeiten, Homepage, E-Mail, vCard und Firmendaten.</t>
  </si>
  <si>
    <t>Alte Bundesstraße 48</t>
  </si>
  <si>
    <t>5723</t>
  </si>
  <si>
    <t>47.28507</t>
  </si>
  <si>
    <t>12.56183</t>
  </si>
  <si>
    <t>+436645330805</t>
  </si>
  <si>
    <t>office@steinunddesign.info</t>
  </si>
  <si>
    <t>https://bilder.dasschnelle.at/DasSchnelle/50/5000/9918/045583/G_045583_P_906265959.adn.gif</t>
  </si>
  <si>
    <t>Exenberger, Stefan, Installationen • Sonnberg • Salzburg</t>
  </si>
  <si>
    <t>Installationsunternehmen • Exenberger, Stefan, Sonnberg • Kontakt über aktuelle Telefonnummern ☎ und Adressen ⚑ mit Karte, Routing, Öffnungszeiten, Homepage, E-Mail, vCard und Firmendaten.</t>
  </si>
  <si>
    <t>5733</t>
  </si>
  <si>
    <t>Sonnberg</t>
  </si>
  <si>
    <t>47.2837730</t>
  </si>
  <si>
    <t>12.3578028</t>
  </si>
  <si>
    <t>+436802315915</t>
  </si>
  <si>
    <t>office@es-installationen.at</t>
  </si>
  <si>
    <t>https://bilder.dasschnelle.at/DasSchnelle/50/5000/9918/045560/G_045560_P_906203542.adn.gif</t>
  </si>
  <si>
    <t>NSM Taxi GmbH Taxi ENTERPRISE • Maria Rojach • Kärnten</t>
  </si>
  <si>
    <t>Taxi • NSM Taxi GmbH Taxi ENTERPRISE, Maria Rojach 68, Maria Rojach • Kontakt über aktuelle Telefonnummern ☎ und Adressen ⚑ mit Karte, Routing, Öffnungszeiten, Homepage, E-Mail, vCard und Firmendaten.</t>
  </si>
  <si>
    <t>Maria Rojach 68</t>
  </si>
  <si>
    <t>46.7338224</t>
  </si>
  <si>
    <t>14.8823081</t>
  </si>
  <si>
    <t>+436644570457</t>
  </si>
  <si>
    <t>https://bilder.dasschnelle.at/DasSchnelle/50/5000/9949/042043/I_042043_P_906203779_L_0035970461_1.png</t>
  </si>
  <si>
    <t>https://bilder.dasschnelle.at/DasSchnelle/50/5000/9949/042043/I_042043_P_906203779_B_0035970461_1.gal.png?height=399&amp;width=600;https://bilder.dasschnelle.at/DasSchnelle/50/5000/9949/042043/I_042043_P_906203779_B_0035970461_2.gal.png?height=399&amp;width=600;https://bilder.dasschnelle.at/DasSchnelle/50/5000/9949/042043/I_042043_P_906203779_B_0035970461_3.gal.png?height=450&amp;width=600;https://bilder.dasschnelle.at/DasSchnelle/50/5000/9949/042043/I_042043_P_906203779_B_0035970461_4.gal.png?height=399&amp;width=600</t>
  </si>
  <si>
    <t>Fahrschule Speed - Manfred Lipp • Marchtrenk • Oberösterreich</t>
  </si>
  <si>
    <t>Fahrschulen • Fahrschule Speed - Manfred Lipp, Bahnhofstraße 14, Marchtrenk • Kontakt über aktuelle Telefonnummern ☎ und Adressen ⚑ mit Karte, Routing, Öffnungszeiten, Homepage, E-Mail, vCard und Firmendaten.</t>
  </si>
  <si>
    <t>48.19223</t>
  </si>
  <si>
    <t>14.11105</t>
  </si>
  <si>
    <t>+436643748895</t>
  </si>
  <si>
    <t>office@fahrschule-speed.at</t>
  </si>
  <si>
    <t>https://bilder.dasschnelle.at/DasSchnelle/50/5000/9907/043573/G_043573_P_906205453.adn.gif</t>
  </si>
  <si>
    <t>Erlach, Christian, KFZ-Meisterbetrieb • Marchtrenk • Oberösterreich</t>
  </si>
  <si>
    <t>Autoreparaturen • Erlach, Christian, Westbahnstraße 26, Marchtrenk • Kontakt über aktuelle Telefonnummern ☎ und Adressen ⚑ mit Karte, Routing, Öffnungszeiten, Homepage, E-Mail, vCard und Firmendaten.</t>
  </si>
  <si>
    <t>Westbahnstraße 26</t>
  </si>
  <si>
    <t>48.20076</t>
  </si>
  <si>
    <t>14.09715</t>
  </si>
  <si>
    <t>+43724351579</t>
  </si>
  <si>
    <t>office@kfz-erlach.at</t>
  </si>
  <si>
    <t>https://bilder.dasschnelle.at/DasSchnelle/50/5000/9907/043573/I_043573_P_906205455_L_0036006302_1.png</t>
  </si>
  <si>
    <t>https://bilder.dasschnelle.at/DasSchnelle/50/5000/9907/043573/I_043573_P_906205455_B_0036006302_1.gal.png?height=480&amp;width=720;https://bilder.dasschnelle.at/DasSchnelle/50/5000/9907/043573/I_043573_P_906205455_B_0036006302_2.gal.png?height=480&amp;width=720;https://bilder.dasschnelle.at/DasSchnelle/50/5000/9907/043573/I_043573_P_906205455_B_0036006302_3.gal.png?height=480&amp;width=720;https://bilder.dasschnelle.at/DasSchnelle/50/5000/9907/043573/I_043573_P_906205455_B_0036006302_4.gal.png?height=480&amp;width=720</t>
  </si>
  <si>
    <t>Fuzo Kebap-Pizza, Pizzeria • Marchtrenk • Oberösterreich</t>
  </si>
  <si>
    <t>Pizzerias • Fuzo Kebap-Pizza, Linzer Straße 42, Marchtrenk • Kontakt über aktuelle Telefonnummern ☎ und Adressen ⚑ mit Karte, Routing, Öffnungszeiten, Homepage, E-Mail, vCard und Firmendaten.</t>
  </si>
  <si>
    <t>48.19082</t>
  </si>
  <si>
    <t>14.11598</t>
  </si>
  <si>
    <t>+43724351570</t>
  </si>
  <si>
    <t>https://bilder.dasschnelle.at/DasSchnelle/50/5000/9907/043573/G_043573_P_906205458.adn.gif</t>
  </si>
  <si>
    <t>Daniela Oresczuk, Malermeister • Au an der Traun • Oberösterreich</t>
  </si>
  <si>
    <t>Farben u. Lacke, Malereibetriebe • Daniela Oresczuk, Offenbachstraße 8, Au an der Traun • Kontakt über aktuelle Telefonnummern ☎ und Adressen ⚑ mit Karte, Routing, Öffnungszeiten, Homepage, E-Mail, vCard und Firmendaten.</t>
  </si>
  <si>
    <t>Offenbachstraße 8</t>
  </si>
  <si>
    <t>Au an der Traun</t>
  </si>
  <si>
    <t>48.1843177</t>
  </si>
  <si>
    <t>14.1054363</t>
  </si>
  <si>
    <t>+43724358618</t>
  </si>
  <si>
    <t>office@oresczuk.at</t>
  </si>
  <si>
    <t>https://bilder.dasschnelle.at/DasSchnelle/50/5000/9907/043573/I_043573_P_906205557_L_0036006367_1.png</t>
  </si>
  <si>
    <t>https://bilder.dasschnelle.at/DasSchnelle/50/5000/9907/043573/I_043573_P_906205557_B_0036006367_1.gal.png?height=352&amp;width=555;https://bilder.dasschnelle.at/DasSchnelle/50/5000/9907/043573/I_043573_P_906205557_B_0036006367_2.gal.png?height=343&amp;width=540;https://bilder.dasschnelle.at/DasSchnelle/50/5000/9907/043573/I_043573_P_906205557_B_0036006367_3.gal.png?height=405&amp;width=720</t>
  </si>
  <si>
    <t>Feregyhazy Harald, Spenglerei und Dachdeckerei e.U. • Buchkirchen • Oberösterreich</t>
  </si>
  <si>
    <t>Dachdeckereien, Spenglereien • Feregyhazy Harald, Marchtrenker Straße 3, Buchkirchen • Kontakt über aktuelle Telefonnummern ☎ und Adressen ⚑ mit Karte, Routing, Öffnungszeiten, Homepage, E-Mail, vCard und Firmendaten.</t>
  </si>
  <si>
    <t>Marchtrenker Straße 3</t>
  </si>
  <si>
    <t>48.22654</t>
  </si>
  <si>
    <t>14.03418</t>
  </si>
  <si>
    <t>+437242280580</t>
  </si>
  <si>
    <t>+4372422805812</t>
  </si>
  <si>
    <t>office@daecher.at</t>
  </si>
  <si>
    <t>https://bilder.dasschnelle.at/DasSchnelle/50/5000/9907/043565/I_043565_P_906205436_L_0036006270_1.png</t>
  </si>
  <si>
    <t>https://bilder.dasschnelle.at/DasSchnelle/50/5000/9907/043565/I_043565_P_906205436_B_0036006270_1.gal.png?height=327&amp;width=490;https://bilder.dasschnelle.at/DasSchnelle/50/5000/9907/043565/I_043565_P_906205436_B_0036006270_2.gal.png?height=379&amp;width=720;https://bilder.dasschnelle.at/DasSchnelle/50/5000/9907/043565/I_043565_P_906205436_B_0036006270_3.gal.png?height=388&amp;width=720;https://bilder.dasschnelle.at/DasSchnelle/50/5000/9907/043565/I_043565_P_906205436_B_0036006270_4.gal.png?height=385&amp;width=720</t>
  </si>
  <si>
    <t>Martinas Woll und Stoffladl • Jenbach • Tirol</t>
  </si>
  <si>
    <t>Handarbeiten • Martinas Woll und Stoffladl, Achenseestr 41, Jenbach • Kontakt über aktuelle Telefonnummern ☎ und Adressen ⚑ mit Karte, Routing, Öffnungszeiten, Homepage, E-Mail, vCard und Firmendaten.</t>
  </si>
  <si>
    <t>Achenseestr 41</t>
  </si>
  <si>
    <t>47.39223</t>
  </si>
  <si>
    <t>11.7727</t>
  </si>
  <si>
    <t>+43524462676</t>
  </si>
  <si>
    <t>martina@stoffundwolle.at</t>
  </si>
  <si>
    <t>https://bilder.dasschnelle.at/DasSchnelle/50/5000/9929/042628/G_042628_P_906206525.adn.gif</t>
  </si>
  <si>
    <t>Wirth Josef GmbH, Baggerungen • Marchtrenk • Oberösterreich</t>
  </si>
  <si>
    <t>Baggerungen u. Transporte • Wirth Josef GmbH, Jägerstraße 16, Marchtrenk • Kontakt über aktuelle Telefonnummern ☎ und Adressen ⚑ mit Karte, Routing, Öffnungszeiten, Homepage, E-Mail, vCard und Firmendaten.</t>
  </si>
  <si>
    <t>Jägerstraße 16</t>
  </si>
  <si>
    <t>48.1791087</t>
  </si>
  <si>
    <t>14.1197536</t>
  </si>
  <si>
    <t>+43724353365</t>
  </si>
  <si>
    <t>office@baggerungen-wirth.at</t>
  </si>
  <si>
    <t>https://bilder.dasschnelle.at/DasSchnelle/50/5000/9907/043573/I_043573_P_906207419_L_0036006304_1.png</t>
  </si>
  <si>
    <t>https://bilder.dasschnelle.at/DasSchnelle/50/5000/9907/043573/I_043573_P_906207419_B_0036006304_1.gal.png?height=462&amp;width=720;https://bilder.dasschnelle.at/DasSchnelle/50/5000/9907/043573/I_043573_P_906207419_B_0036006304_2.gal.png?height=483&amp;width=720;https://bilder.dasschnelle.at/DasSchnelle/50/5000/9907/043573/I_043573_P_906207419_B_0036006304_3.gal.png?height=559&amp;width=720;https://bilder.dasschnelle.at/DasSchnelle/50/5000/9907/043573/I_043573_P_906207419_B_0036006304_4.gal.png?height=661&amp;width=720</t>
  </si>
  <si>
    <t>Brandstetter, Markus, Tischlerei • Weißkirchen • Oberösterreich</t>
  </si>
  <si>
    <t>Tischlereien • Brandstetter, Markus, Gewerbepark 12, Weißkirchen • Kontakt über aktuelle Telefonnummern ☎ und Adressen ⚑ mit Karte, Routing, Öffnungszeiten, Homepage, E-Mail, vCard und Firmendaten.</t>
  </si>
  <si>
    <t>Gewerbepark 12</t>
  </si>
  <si>
    <t>48.1691900</t>
  </si>
  <si>
    <t>14.1257800</t>
  </si>
  <si>
    <t>+436643744770</t>
  </si>
  <si>
    <t>planung@tischlerei-brandstetter.at</t>
  </si>
  <si>
    <t>https://bilder.dasschnelle.at/DasSchnelle/50/5000/9907/043585/G_043585_P_906207676.adn.gif</t>
  </si>
  <si>
    <t>Hartl, Ralph, Raumausstattung • Uttendorf • Salzburg</t>
  </si>
  <si>
    <t>Raumausstatter • Hartl, Ralph, Bahnhofstraße 26, Uttendorf • Kontakt über aktuelle Telefonnummern ☎ und Adressen ⚑ mit Karte, Routing, Öffnungszeiten, Homepage, E-Mail, vCard und Firmendaten.</t>
  </si>
  <si>
    <t>47.28219</t>
  </si>
  <si>
    <t>12.5737</t>
  </si>
  <si>
    <t>+4365638397</t>
  </si>
  <si>
    <t>ralphhartl@me.com</t>
  </si>
  <si>
    <t>https://bilder.dasschnelle.at/DasSchnelle/50/5000/9918/045583/G_045583_P_906207683.adn.gif</t>
  </si>
  <si>
    <t>Neumayr Günter GmbH, Tapezierer u Dekorateure • Klausen • Salzburg</t>
  </si>
  <si>
    <t>Sattler u. Riemer, Tapezierer u. Dekorateure • Neumayr Günter GmbH, Rupert-Steger-Gasse 2, Klausen • Kontakt über aktuelle Telefonnummern ☎ und Adressen ⚑ mit Karte, Routing, Öffnungszeiten, Homepage, E-Mail, vCard und Firmendaten.</t>
  </si>
  <si>
    <t>Rupert-Steger-Gasse 2</t>
  </si>
  <si>
    <t>Klausen</t>
  </si>
  <si>
    <t>47.2772</t>
  </si>
  <si>
    <t>12.48485</t>
  </si>
  <si>
    <t>+43656245610</t>
  </si>
  <si>
    <t>+43656245614</t>
  </si>
  <si>
    <t>tapezierer@neumayr.at</t>
  </si>
  <si>
    <t>https://bilder.dasschnelle.at/DasSchnelle/50/5000/9918/045572/G_045572_P_906207687.adn.gif</t>
  </si>
  <si>
    <t>HEIZBLITZ  • Badl • Steiermark</t>
  </si>
  <si>
    <t>Brennstoffhandel • HEIZBLITZ, Badl 30, Badl • Kontakt über aktuelle Telefonnummern ☎ und Adressen ⚑ mit Karte, Routing, Öffnungszeiten, Homepage, E-Mail, vCard und Firmendaten.</t>
  </si>
  <si>
    <t>Badl 30</t>
  </si>
  <si>
    <t>Badl</t>
  </si>
  <si>
    <t>47.2284700</t>
  </si>
  <si>
    <t>15.3396100</t>
  </si>
  <si>
    <t>+4331272214</t>
  </si>
  <si>
    <t>wieser@heizblitz.at</t>
  </si>
  <si>
    <t>https://bilder.dasschnelle.at/DasSchnelle/50/5000/9883/061362/G_061362_P_906206397.adn.gif</t>
  </si>
  <si>
    <t>Optik Günther • Saalfelden • Salzburg</t>
  </si>
  <si>
    <t>Optik • Optik Günther, Almerstraße 7, Saalfelden • Kontakt über aktuelle Telefonnummern ☎ und Adressen ⚑ mit Karte, Routing, Öffnungszeiten, Homepage, E-Mail, vCard und Firmendaten.</t>
  </si>
  <si>
    <t>Almerstraße 7</t>
  </si>
  <si>
    <t>47.4259943</t>
  </si>
  <si>
    <t>12.8481899</t>
  </si>
  <si>
    <t>+43658273110</t>
  </si>
  <si>
    <t>optik-guenther@sbg.at</t>
  </si>
  <si>
    <t>https://bilder.dasschnelle.at/DasSchnelle/50/5000/9918/045578/G_045578_P_906207561.adn.gif</t>
  </si>
  <si>
    <t>Elektro &amp; EDV Technik Schwaiger • Jenbach • Tirol</t>
  </si>
  <si>
    <t>EDV-Beratung • Elektro &amp; EDV Technik Schwaiger, Achenseestrasse 47, Jenbach • Kontakt über aktuelle Telefonnummern ☎ und Adressen ⚑ mit Karte, Routing, Öffnungszeiten, Homepage, E-Mail, vCard und Firmendaten.</t>
  </si>
  <si>
    <t>Achenseestrasse 47</t>
  </si>
  <si>
    <t>47.39284</t>
  </si>
  <si>
    <t>11.77213</t>
  </si>
  <si>
    <t>+43524421501</t>
  </si>
  <si>
    <t>office@elektro-edv.at</t>
  </si>
  <si>
    <t>https://bilder.dasschnelle.at/DasSchnelle/50/5000/9929/042628/G_042628_P_906207567.adn.gif</t>
  </si>
  <si>
    <t>Mag. Alexander Walter Behm • Horn • Niederösterreich</t>
  </si>
  <si>
    <t>Rechtsanwälte • Mag. Alexander Walter Behm, Kirchenplatz 5, Horn • Kontakt über aktuelle Telefonnummern ☎ und Adressen ⚑ mit Karte, Routing, Öffnungszeiten, Homepage, E-Mail, vCard und Firmendaten.</t>
  </si>
  <si>
    <t>Kirchenplatz 5</t>
  </si>
  <si>
    <t>48.66365</t>
  </si>
  <si>
    <t>15.65753</t>
  </si>
  <si>
    <t>+43298230580</t>
  </si>
  <si>
    <t>kanzlei@behm.at</t>
  </si>
  <si>
    <t>https://bilder.dasschnelle.at/DasSchnelle/50/5000/9893/998143/G_998143_P_906207707.adn.gif</t>
  </si>
  <si>
    <t>Gasthof Pranzl • Laussa • Oberösterreich</t>
  </si>
  <si>
    <t>Gastgewerbe - Gasthöfe • Gasthof Pranzl, Brunngraben 24, Laussa • Kontakt über aktuelle Telefonnummern ☎ und Adressen ⚑ mit Karte, Routing, Öffnungszeiten, Homepage, E-Mail, vCard und Firmendaten.</t>
  </si>
  <si>
    <t>MRT, Marco Rattensberger Technik, Elektrohandel • Uttendorf • Salzburg</t>
  </si>
  <si>
    <t>Elektrotechnik • MRT, Marco Rattensberger Technik, Tobersbachstraße 14, Uttendorf • Kontakt über aktuelle Telefonnummern ☎ und Adressen ⚑ mit Karte, Routing, Öffnungszeiten, Homepage, E-Mail, vCard und Firmendaten.</t>
  </si>
  <si>
    <t>Tobersbachstraße 14</t>
  </si>
  <si>
    <t>47.28447</t>
  </si>
  <si>
    <t>12.57476</t>
  </si>
  <si>
    <t>+436645345566</t>
  </si>
  <si>
    <t>office@mrt-technik.at</t>
  </si>
  <si>
    <t>https://bilder.dasschnelle.at/DasSchnelle/50/5000/9918/045583/I_045583_P_906208386_B_0036233125_1.gal.png?height=600&amp;width=450;https://bilder.dasschnelle.at/DasSchnelle/50/5000/9918/045583/I_045583_P_906208386_B_0036233125_2.gal.png?height=600&amp;width=450;https://bilder.dasschnelle.at/DasSchnelle/50/5000/9918/045583/I_045583_P_906208386_B_0036233125_3.gal.png?height=400&amp;width=600;https://bilder.dasschnelle.at/DasSchnelle/50/5000/9918/045583/I_045583_P_906208386_B_0036233125_4.gal.png?height=400&amp;width=600</t>
  </si>
  <si>
    <t>Klaus Kühar, Malerei • Piesendorf • Salzburg</t>
  </si>
  <si>
    <t>Malereibetriebe • Klaus Kühar, Hohe Arche-Straße 56 A, Piesendorf • Kontakt über aktuelle Telefonnummern ☎ und Adressen ⚑ mit Karte, Routing, Öffnungszeiten, Homepage, E-Mail, vCard und Firmendaten.</t>
  </si>
  <si>
    <t>Hohe Arche-Straße 56 A</t>
  </si>
  <si>
    <t>47.28945</t>
  </si>
  <si>
    <t>12.71599</t>
  </si>
  <si>
    <t>+436644324666</t>
  </si>
  <si>
    <t>kuehar@die-malerei.at</t>
  </si>
  <si>
    <t>https://bilder.dasschnelle.at/DasSchnelle/50/5000/9918/045575/G_045575_P_906210718.adn.gif</t>
  </si>
  <si>
    <t>St. Rupertus-Apotheke Lofer KG, Apotheke • Lofer • Salzburg</t>
  </si>
  <si>
    <t>Apotheken • St. Rupertus-Apotheke Lofer KG, Lofer 310, Lofer • Kontakt über aktuelle Telefonnummern ☎ und Adressen ⚑ mit Karte, Routing, Öffnungszeiten, Homepage, E-Mail, vCard und Firmendaten.</t>
  </si>
  <si>
    <t>Lofer 310</t>
  </si>
  <si>
    <t>5090</t>
  </si>
  <si>
    <t>Lofer</t>
  </si>
  <si>
    <t>47.5867190</t>
  </si>
  <si>
    <t>12.6961052</t>
  </si>
  <si>
    <t>+4365887170</t>
  </si>
  <si>
    <t>office@apotheke-lofer.at</t>
  </si>
  <si>
    <t>https://bilder.dasschnelle.at/DasSchnelle/50/5000/9918/045569/G_045569_P_906209446.adn.gif</t>
  </si>
  <si>
    <t>Le Elektrotechnik GmbH • Bramberg am Wildkogel • Salzburg</t>
  </si>
  <si>
    <t>Elektrotechnik • Le Elektrotechnik GmbH, Wenns 66, Bramberg am Wildkogel • Kontakt über aktuelle Telefonnummern ☎ und Adressen ⚑ mit Karte, Routing, Öffnungszeiten, Homepage, E-Mail, vCard und Firmendaten.</t>
  </si>
  <si>
    <t>Wenns 66</t>
  </si>
  <si>
    <t>Bramberg am Wildkogel</t>
  </si>
  <si>
    <t>47.2684576</t>
  </si>
  <si>
    <t>12.3596906</t>
  </si>
  <si>
    <t>+436641991903</t>
  </si>
  <si>
    <t>office@le-elektro.at</t>
  </si>
  <si>
    <t>https://bilder.dasschnelle.at/DasSchnelle/50/5000/9918/045560/G_045560_P_906209448.adn.gif</t>
  </si>
  <si>
    <t>Holzbau P. Rainer GmbH Büro • Uttendorf • Salzburg</t>
  </si>
  <si>
    <t>Zimmereien • Holzbau P. Rainer GmbH Büro, Stubachstraße 32, Uttendorf • Kontakt über aktuelle Telefonnummern ☎ und Adressen ⚑ mit Karte, Routing, Öffnungszeiten, Homepage, E-Mail, vCard und Firmendaten.</t>
  </si>
  <si>
    <t>Stubachstraße 32</t>
  </si>
  <si>
    <t>47.28862</t>
  </si>
  <si>
    <t>12.5721</t>
  </si>
  <si>
    <t>+43656382500</t>
  </si>
  <si>
    <t>uttendorf@holzbau-rainer.at</t>
  </si>
  <si>
    <t>https://bilder.dasschnelle.at/DasSchnelle/50/5000/9918/045583/G_045583_P_906211826.adn.gif</t>
  </si>
  <si>
    <t>Ronacher, Siegfried, Elektrotechnik • Mittersill • Salzburg</t>
  </si>
  <si>
    <t>Elektrotechnik • Ronacher, Siegfried, Zellerstrasse 3, Mittersill • Kontakt über aktuelle Telefonnummern ☎ und Adressen ⚑ mit Karte, Routing, Öffnungszeiten, Homepage, E-Mail, vCard und Firmendaten.</t>
  </si>
  <si>
    <t>Zellerstrasse 3</t>
  </si>
  <si>
    <t>47.2828100</t>
  </si>
  <si>
    <t>12.4824400</t>
  </si>
  <si>
    <t>+4365624385</t>
  </si>
  <si>
    <t>ronacher@redzac.at</t>
  </si>
  <si>
    <t>https://bilder.dasschnelle.at/DasSchnelle/50/5000/9918/045572/G_045572_P_906211828.adn.gif</t>
  </si>
  <si>
    <t>Autohaus Larl GmbH • Stumm • Tirol</t>
  </si>
  <si>
    <t>Autohäuser • Autohaus Larl GmbH, Ahrnbachstr 118, Stumm • Kontakt über aktuelle Telefonnummern ☎ und Adressen ⚑ mit Karte, Routing, Öffnungszeiten, Homepage, E-Mail, vCard und Firmendaten.</t>
  </si>
  <si>
    <t>Ahrnbachstr 118</t>
  </si>
  <si>
    <t>47.27356</t>
  </si>
  <si>
    <t>11.89985</t>
  </si>
  <si>
    <t>+4352825746</t>
  </si>
  <si>
    <t>werkstatt@larl.at</t>
  </si>
  <si>
    <t>https://bilder.dasschnelle.at/DasSchnelle/50/5000/9929/042614/G_042614_P_906211727.adn.gif</t>
  </si>
  <si>
    <t>Priska Farkas, Friseur • Maishofen • Salzburg</t>
  </si>
  <si>
    <t>Frisiersalon • Priska Farkas, Anton-Faistauerplatz 2, Maishofen • Kontakt über aktuelle Telefonnummern ☎ und Adressen ⚑ mit Karte, Routing, Öffnungszeiten, Homepage, E-Mail, vCard und Firmendaten.</t>
  </si>
  <si>
    <t>Anton-Faistauerplatz 2</t>
  </si>
  <si>
    <t>5751</t>
  </si>
  <si>
    <t>Maishofen</t>
  </si>
  <si>
    <t>47.36113</t>
  </si>
  <si>
    <t>12.80513</t>
  </si>
  <si>
    <t>+43654280511</t>
  </si>
  <si>
    <t>hairart.beypriska@gmail.com</t>
  </si>
  <si>
    <t>https://bilder.dasschnelle.at/DasSchnelle/50/5000/9918/045570/G_045570_P_906213583.adn.gif</t>
  </si>
  <si>
    <t>Gandler Landmaschinen KG • Mittersill • Salzburg</t>
  </si>
  <si>
    <t>Landmaschinen • Gandler Landmaschinen KG, Burk 10, Mittersill • Kontakt über aktuelle Telefonnummern ☎ und Adressen ⚑ mit Karte, Routing, Öffnungszeiten, Homepage, E-Mail, vCard und Firmendaten.</t>
  </si>
  <si>
    <t>Burk 10</t>
  </si>
  <si>
    <t>47.2903865</t>
  </si>
  <si>
    <t>12.4925666</t>
  </si>
  <si>
    <t>+436643326901</t>
  </si>
  <si>
    <t>gandler.markus@aon.at</t>
  </si>
  <si>
    <t>https://bilder.dasschnelle.at/DasSchnelle/50/5000/9918/045572/I_045572_P_906213585_L_0036234779_1.png</t>
  </si>
  <si>
    <t>https://bilder.dasschnelle.at/DasSchnelle/50/5000/9918/045572/I_045572_P_906213585_B_0036234779_1.gal.png?height=337&amp;width=450;https://bilder.dasschnelle.at/DasSchnelle/50/5000/9918/045572/I_045572_P_906213585_B_0036234779_2.gal.png?height=337&amp;width=450;https://bilder.dasschnelle.at/DasSchnelle/50/5000/9918/045572/I_045572_P_906213585_B_0036234779_3.gal.png?height=337&amp;width=450;https://bilder.dasschnelle.at/DasSchnelle/50/5000/9918/045572/I_045572_P_906213585_B_0036234779_4.gal.png?height=337&amp;width=450</t>
  </si>
  <si>
    <t>Voves, Robert, Dr.med., FA f Lungenheilkunde • Feldbach • Steiermark</t>
  </si>
  <si>
    <t>Ärzte / Fachärzte f. Lungenkrankheiten • Voves, Robert, Dr.med., Bismarckstraße 4, Feldbach • Kontakt über aktuelle Telefonnummern ☎ und Adressen ⚑ mit Karte, Routing, Öffnungszeiten, Homepage, E-Mail, vCard und Firmendaten.</t>
  </si>
  <si>
    <t>Bismarckstraße 4</t>
  </si>
  <si>
    <t>46.95219</t>
  </si>
  <si>
    <t>15.88765</t>
  </si>
  <si>
    <t>+43315231110</t>
  </si>
  <si>
    <t>+43315231112</t>
  </si>
  <si>
    <t>lunge.voves@aon.at</t>
  </si>
  <si>
    <t>https://bilder.dasschnelle.at/DasSchnelle/50/5000/9879/061391/G_061391_P_906213595.adn.gif</t>
  </si>
  <si>
    <t>Raumausstattung Zehentner • Saalbach • Salzburg</t>
  </si>
  <si>
    <t>Raumausstatter • Raumausstattung Zehentner, Buchenauweg 817, Saalbach • Kontakt über aktuelle Telefonnummern ☎ und Adressen ⚑ mit Karte, Routing, Öffnungszeiten, Homepage, E-Mail, vCard und Firmendaten.</t>
  </si>
  <si>
    <t>Buchenauweg 817</t>
  </si>
  <si>
    <t>5753</t>
  </si>
  <si>
    <t>Saalbach</t>
  </si>
  <si>
    <t>47.3843148</t>
  </si>
  <si>
    <t>12.6109235</t>
  </si>
  <si>
    <t>+43654120444</t>
  </si>
  <si>
    <t>info@wohnen-zehentner.at</t>
  </si>
  <si>
    <t>https://bilder.dasschnelle.at/DasSchnelle/50/5000/9918/045577/G_045577_P_906214579.adn.gif</t>
  </si>
  <si>
    <t>bigtime-Josef Streitberger, Fahrräder u -bestandteile • Atzing • Salzburg</t>
  </si>
  <si>
    <t>Fahrradfachhandel • bigtime-Josef Streitberger, Saalhofstraße 2, Atzing • Kontakt über aktuelle Telefonnummern ☎ und Adressen ⚑ mit Karte, Routing, Öffnungszeiten, Homepage, E-Mail, vCard und Firmendaten.</t>
  </si>
  <si>
    <t>Saalhofstraße 2</t>
  </si>
  <si>
    <t>Atzing</t>
  </si>
  <si>
    <t>47.35958</t>
  </si>
  <si>
    <t>12.80052</t>
  </si>
  <si>
    <t>+43654268070</t>
  </si>
  <si>
    <t>info@bigtime-sport.at</t>
  </si>
  <si>
    <t>https://bilder.dasschnelle.at/DasSchnelle/50/5000/9918/045570/G_045570_P_906214586.adn.gif</t>
  </si>
  <si>
    <t>Pointner, Rudolph, Univ.Prof.Dr., FA f Allgemeinchirurgie • Zell am See • Salzburg</t>
  </si>
  <si>
    <t>Ärzte / Fachärzte f. Chirurgie • Pointner, Rudolph, Univ.Prof.Dr., Stefan-Zweig-Straße 2, Zell am See • Kontakt über aktuelle Telefonnummern ☎ und Adressen ⚑ mit Karte, Routing, Öffnungszeiten, Homepage, E-Mail, vCard und Firmendaten.</t>
  </si>
  <si>
    <t>Stefan-Zweig-Straße 2</t>
  </si>
  <si>
    <t>47.3000200</t>
  </si>
  <si>
    <t>12.7979425</t>
  </si>
  <si>
    <t>+436641002077</t>
  </si>
  <si>
    <t>pointner-ordination@sbg.at</t>
  </si>
  <si>
    <t>https://bilder.dasschnelle.at/DasSchnelle/50/5000/9918/045587/G_045587_P_906214552.adn.gif</t>
  </si>
  <si>
    <t>Steger, Ferdinand, Dr., FA f Frauenheilkunde • Zell am See • Salzburg</t>
  </si>
  <si>
    <t>Ärzte / Fachärzte f. Frauenheilkunde u. Geburtshilfe • Steger, Ferdinand, Dr., Schillerstraße 8 A, Zell am See • Kontakt über aktuelle Telefonnummern ☎ und Adressen ⚑ mit Karte, Routing, Öffnungszeiten, Homepage, E-Mail, vCard und Firmendaten.</t>
  </si>
  <si>
    <t>Schillerstraße 8 A</t>
  </si>
  <si>
    <t>47.3249330</t>
  </si>
  <si>
    <t>12.7949232</t>
  </si>
  <si>
    <t>+43654273206</t>
  </si>
  <si>
    <t>info@frauenarzt-zellamsee.at</t>
  </si>
  <si>
    <t>https://bilder.dasschnelle.at/DasSchnelle/50/5000/9918/045587/G_045587_P_906214556.adn.gif</t>
  </si>
  <si>
    <t>Löcker, Simon, Metall • Leogang • Salzburg</t>
  </si>
  <si>
    <t>Metallbau • Löcker, Simon, Leogang 46, Leogang • Kontakt über aktuelle Telefonnummern ☎ und Adressen ⚑ mit Karte, Routing, Öffnungszeiten, Homepage, E-Mail, vCard und Firmendaten.</t>
  </si>
  <si>
    <t>Leogang 46</t>
  </si>
  <si>
    <t>5771</t>
  </si>
  <si>
    <t>Leogang</t>
  </si>
  <si>
    <t>47.4472540</t>
  </si>
  <si>
    <t>12.8047980</t>
  </si>
  <si>
    <t>+436644236747</t>
  </si>
  <si>
    <t>office-alpenmetall@sbg.at</t>
  </si>
  <si>
    <t>https://bilder.dasschnelle.at/DasSchnelle/50/5000/9918/045568/I_045568_P_906217468_L_0038029514_1.png</t>
  </si>
  <si>
    <t>https://bilder.dasschnelle.at/DasSchnelle/50/5000/9918/045568/I_045568_P_906217468_B_0038029514_1.gal.png?height=225&amp;width=400;https://bilder.dasschnelle.at/DasSchnelle/50/5000/9918/045568/I_045568_P_906217468_B_0038029514_2.gal.png?height=533&amp;width=400;https://bilder.dasschnelle.at/DasSchnelle/50/5000/9918/045568/I_045568_P_906217468_B_0038029514_3.gal.png?height=533&amp;width=400;https://bilder.dasschnelle.at/DasSchnelle/50/5000/9918/045568/I_045568_P_906217468_B_0038029514_4.gal.png?height=300&amp;width=400</t>
  </si>
  <si>
    <t>Malerei Ilija • Mittelsill • Salzburg</t>
  </si>
  <si>
    <t>Malereibetriebe • Malerei Ilija, Hallenbadstraße 2, Mittelsill • Kontakt über aktuelle Telefonnummern ☎ und Adressen ⚑ mit Karte, Routing, Öffnungszeiten, Homepage, E-Mail, vCard und Firmendaten.</t>
  </si>
  <si>
    <t>Hallenbadstraße 2</t>
  </si>
  <si>
    <t>Mittelsill</t>
  </si>
  <si>
    <t>47.28211</t>
  </si>
  <si>
    <t>12.47772</t>
  </si>
  <si>
    <t>+436606972620</t>
  </si>
  <si>
    <t>info@malerei-ili.at</t>
  </si>
  <si>
    <t>https://bilder.dasschnelle.at/DasSchnelle/50/5000/9918/045572/G_045572_P_906216710.adn.gif</t>
  </si>
  <si>
    <t>Physiotherapie bramBERGAUF • Bramberg am Wildkogel • Salzburg</t>
  </si>
  <si>
    <t>Physiotherapie • Physiotherapie bramBERGAUF, Sportstraße 331, Bramberg am Wildkogel • Kontakt über aktuelle Telefonnummern ☎ und Adressen ⚑ mit Karte, Routing, Öffnungszeiten, Homepage, E-Mail, vCard und Firmendaten.</t>
  </si>
  <si>
    <t>Sportstraße 331</t>
  </si>
  <si>
    <t>47.24897</t>
  </si>
  <si>
    <t>12.25196</t>
  </si>
  <si>
    <t>+436805557939</t>
  </si>
  <si>
    <t>office@brambergauf.at</t>
  </si>
  <si>
    <t>https://bilder.dasschnelle.at/DasSchnelle/50/5000/9918/045573/G_045573_P_906218262.adn.gif</t>
  </si>
  <si>
    <t>Wartbichler, Michael, Büchsenmacher • Kaprun • Salzburg</t>
  </si>
  <si>
    <t>Büchsenmachereien • Wartbichler, Michael, Tauern Spa Straße 7, Kaprun • Kontakt über aktuelle Telefonnummern ☎ und Adressen ⚑ mit Karte, Routing, Öffnungszeiten, Homepage, E-Mail, vCard und Firmendaten.</t>
  </si>
  <si>
    <t>Tauern Spa Straße 7</t>
  </si>
  <si>
    <t>5710</t>
  </si>
  <si>
    <t>Kaprun</t>
  </si>
  <si>
    <t>47.28295</t>
  </si>
  <si>
    <t>12.75511</t>
  </si>
  <si>
    <t>+436644334709</t>
  </si>
  <si>
    <t>michael@pinzgauer-jogdstubn.at</t>
  </si>
  <si>
    <t>https://bilder.dasschnelle.at/DasSchnelle/50/5000/9918/045565/G_045565_P_906219628.adn.gif</t>
  </si>
  <si>
    <t>Hrala, Aleksandra, Zahnärztin • Zell am See • Salzburg</t>
  </si>
  <si>
    <t>Zahnärzte • Hrala, Aleksandra, Seegasse 2 /11, Zell am See • Kontakt über aktuelle Telefonnummern ☎ und Adressen ⚑ mit Karte, Routing, Öffnungszeiten, Homepage, E-Mail, vCard und Firmendaten.</t>
  </si>
  <si>
    <t>Seegasse 2 /11</t>
  </si>
  <si>
    <t>47.3239833</t>
  </si>
  <si>
    <t>12.7986528</t>
  </si>
  <si>
    <t>+43654270105</t>
  </si>
  <si>
    <t>praxis@zahnarzt-zell.at</t>
  </si>
  <si>
    <t>https://bilder.dasschnelle.at/DasSchnelle/50/5000/9918/045587/I_045587_P_906220413_L_0036240541_1.png</t>
  </si>
  <si>
    <t>https://bilder.dasschnelle.at/DasSchnelle/50/5000/9918/045587/I_045587_P_906220413_B_0036240541_1.gal.png?height=144&amp;width=400;https://bilder.dasschnelle.at/DasSchnelle/50/5000/9918/045587/I_045587_P_906220413_B_0036240541_2.gal.png?height=145&amp;width=400;https://bilder.dasschnelle.at/DasSchnelle/50/5000/9918/045587/I_045587_P_906220413_B_0036240541_3.gal.png?height=145&amp;width=400;https://bilder.dasschnelle.at/DasSchnelle/50/5000/9918/045587/G_045587_P_906220413.adn.gif</t>
  </si>
  <si>
    <t>Landgasthaus Weixen • Rauris • Salzburg</t>
  </si>
  <si>
    <t>Gastgewerbe - Gasthöfe • Landgasthaus Weixen, Seidlwinklstraße 114, Rauris • Kontakt über aktuelle Telefonnummern ☎ und Adressen ⚑ mit Karte, Routing, Öffnungszeiten, Homepage, E-Mail, vCard und Firmendaten.</t>
  </si>
  <si>
    <t>Seidlwinklstraße 114</t>
  </si>
  <si>
    <t>5661</t>
  </si>
  <si>
    <t>Rauris</t>
  </si>
  <si>
    <t>47.1838</t>
  </si>
  <si>
    <t>12.93649</t>
  </si>
  <si>
    <t>+43654464370</t>
  </si>
  <si>
    <t>weixen@rauris.net</t>
  </si>
  <si>
    <t>https://bilder.dasschnelle.at/DasSchnelle/50/5000/9918/045576/G_045576_P_906221355.adn.gif</t>
  </si>
  <si>
    <t>Fritzenwanker Dach GmbH, Dachdeckerei • Bruck an der Großglocknerstraße • Salzburg</t>
  </si>
  <si>
    <t>Dachdeckereien, Fassaden, Spenglereien • Fritzenwanker Dach GmbH, Wallackstraße 1, Bruck an der Großglocknerstraße • Kontakt über aktuelle Telefonnummern ☎ und Adressen ⚑ mit Karte, Routing, Öffnungszeiten, Homepage, E-Mail, vCard und Firmendaten.</t>
  </si>
  <si>
    <t>Wallackstraße 1</t>
  </si>
  <si>
    <t>Bruck an der Großglocknerstraße</t>
  </si>
  <si>
    <t>47.2856055</t>
  </si>
  <si>
    <t>12.8229089</t>
  </si>
  <si>
    <t>+436645345592</t>
  </si>
  <si>
    <t>office@fritzenwanker-dach.at</t>
  </si>
  <si>
    <t>https://bilder.dasschnelle.at/DasSchnelle/50/5000/9918/045561/G_045561_P_906222197.adn.gif</t>
  </si>
  <si>
    <t>Obwaller, Hans-Peter, Maler • Kaprun • Salzburg</t>
  </si>
  <si>
    <t>Malereibetriebe • Obwaller, Hans-Peter, Rosbachstraße 1, Kaprun • Kontakt über aktuelle Telefonnummern ☎ und Adressen ⚑ mit Karte, Routing, Öffnungszeiten, Homepage, E-Mail, vCard und Firmendaten.</t>
  </si>
  <si>
    <t>Rosbachstraße 1</t>
  </si>
  <si>
    <t>47.27216</t>
  </si>
  <si>
    <t>12.7666</t>
  </si>
  <si>
    <t>+43654720177</t>
  </si>
  <si>
    <t>+43654720188</t>
  </si>
  <si>
    <t>maler-obwaller@kaprun.at</t>
  </si>
  <si>
    <t>https://bilder.dasschnelle.at/DasSchnelle/50/5000/9918/045587/G_045587_P_906222204.adn.gif</t>
  </si>
  <si>
    <t>Olaf Otto • Kaprun • Salzburg</t>
  </si>
  <si>
    <t>Zahnärzte • Olaf Otto, Wilhelm-Fazokas-Straße 2b, Kaprun • Kontakt über aktuelle Telefonnummern ☎ und Adressen ⚑ mit Karte, Routing, Öffnungszeiten, Homepage, E-Mail, vCard und Firmendaten.</t>
  </si>
  <si>
    <t>Wilhelm-Fazokas-Straße 2b</t>
  </si>
  <si>
    <t>47.2728100</t>
  </si>
  <si>
    <t>12.7590347</t>
  </si>
  <si>
    <t>+43654770703</t>
  </si>
  <si>
    <t>praxis@mountdent.at</t>
  </si>
  <si>
    <t>https://bilder.dasschnelle.at/DasSchnelle/50/5000/9918/045565/G_045565_P_906222259.adn.gif</t>
  </si>
  <si>
    <t>Metalltechnik u. Reparaturen Herzog • Maria Alm am Steinernen Meer • Salzburg</t>
  </si>
  <si>
    <t>Metallbau • Metalltechnik u. Reparaturen Herzog, Enterwinkl 26, Maria Alm am Steinernen Meer • Kontakt über aktuelle Telefonnummern ☎ und Adressen ⚑ mit Karte, Routing, Öffnungszeiten, Homepage, E-Mail, vCard und Firmendaten.</t>
  </si>
  <si>
    <t>Enterwinkl 26</t>
  </si>
  <si>
    <t>5761</t>
  </si>
  <si>
    <t>Maria Alm am Steinernen Meer</t>
  </si>
  <si>
    <t>47.4057979</t>
  </si>
  <si>
    <t>12.9272198</t>
  </si>
  <si>
    <t>+436642055154</t>
  </si>
  <si>
    <t>aherzog86@gmx.at</t>
  </si>
  <si>
    <t>https://bilder.dasschnelle.at/DasSchnelle/50/5000/9918/045571/I_045571_P_906224029_L_0035970391_1.png</t>
  </si>
  <si>
    <t>https://bilder.dasschnelle.at/DasSchnelle/50/5000/9918/045571/I_045571_P_906224029_B_0035970391_1.gal.png?height=276&amp;width=276;https://bilder.dasschnelle.at/DasSchnelle/50/5000/9918/045571/I_045571_P_906224029_B_0035970391_2.gal.png?height=276&amp;width=276;https://bilder.dasschnelle.at/DasSchnelle/50/5000/9918/045571/I_045571_P_906224029_B_0035970391_3.gal.png?height=276&amp;width=276;https://bilder.dasschnelle.at/DasSchnelle/50/5000/9918/045571/I_045571_P_906224029_B_0035970391_4.gal.png?height=276&amp;width=276</t>
  </si>
  <si>
    <t>Leiter, Markus, Installateur • Neukirchen am Großvenediger • Salzburg</t>
  </si>
  <si>
    <t>Heizungen, Installationsunternehmen • Leiter, Markus, Künstlergasse 241, Neukirchen am Großvenediger • Kontakt über aktuelle Telefonnummern ☎ und Adressen ⚑ mit Karte, Routing, Öffnungszeiten, Homepage, E-Mail, vCard und Firmendaten.</t>
  </si>
  <si>
    <t>Künstlergasse 241</t>
  </si>
  <si>
    <t>5741</t>
  </si>
  <si>
    <t>Neukirchen am Großvenediger</t>
  </si>
  <si>
    <t>47.25496</t>
  </si>
  <si>
    <t>12.28144</t>
  </si>
  <si>
    <t>+436605646090</t>
  </si>
  <si>
    <t>office@leiter-installationen.at</t>
  </si>
  <si>
    <t>https://bilder.dasschnelle.at/DasSchnelle/50/5000/9918/045573/G_045573_P_906224790.adn.gif</t>
  </si>
  <si>
    <t>Franz Sturmbauer GmbH, Service für Kanal und Abfall • Leonding • Oberösterreich</t>
  </si>
  <si>
    <t>Abfallentsorgung u. -verwertung • Franz Sturmbauer GmbH, Aichbergstraße 31, Leonding • Kontakt über aktuelle Telefonnummern ☎ und Adressen ⚑ mit Karte, Routing, Öffnungszeiten, Homepage, E-Mail, vCard und Firmendaten.</t>
  </si>
  <si>
    <t>Aichbergstraße 31</t>
  </si>
  <si>
    <t>48.29088</t>
  </si>
  <si>
    <t>14.25423</t>
  </si>
  <si>
    <t>+43732781000</t>
  </si>
  <si>
    <t>kanalservice@sturmbauer.at</t>
  </si>
  <si>
    <t>https://bilder.dasschnelle.at/DasSchnelle/50/5000/9945/044547/I_044547_P_906224882_L_0035999583_1.png</t>
  </si>
  <si>
    <t>https://bilder.dasschnelle.at/DasSchnelle/50/5000/9945/044547/I_044547_P_906224882_B_0035999583_1.gal.png?height=400&amp;width=600;https://bilder.dasschnelle.at/DasSchnelle/50/5000/9945/044547/I_044547_P_906224882_B_0035999583_2.gal.png?height=375&amp;width=500;https://bilder.dasschnelle.at/DasSchnelle/50/5000/9945/044547/I_044547_P_906224882_B_0035999583_3.gal.png?height=600&amp;width=450;https://bilder.dasschnelle.at/DasSchnelle/50/5000/9945/044547/I_044547_P_906224882_B_0035999583_4.gal.png?height=450&amp;width=600</t>
  </si>
  <si>
    <t>Gassner, Franz, Haarstudio • Zell • Salzburg</t>
  </si>
  <si>
    <t>Friseure • Gassner, Franz, Stadtplatz 2, Zell • Kontakt über aktuelle Telefonnummern ☎ und Adressen ⚑ mit Karte, Routing, Öffnungszeiten, Homepage, E-Mail, vCard und Firmendaten.</t>
  </si>
  <si>
    <t>47.3231822</t>
  </si>
  <si>
    <t>12.7981847</t>
  </si>
  <si>
    <t>+43654273230;+436644111490</t>
  </si>
  <si>
    <t>s.langegger@sbg.at</t>
  </si>
  <si>
    <t>https://bilder.dasschnelle.at/DasSchnelle/50/5000/9918/045587/G_045587_P_906224903.adn.gif</t>
  </si>
  <si>
    <t>LAINER Fliesendesign • Piesendorf • Salzburg</t>
  </si>
  <si>
    <t>Fliesenfachhandel • LAINER Fliesendesign, Aufhausen 113, Piesendorf • Kontakt über aktuelle Telefonnummern ☎ und Adressen ⚑ mit Karte, Routing, Öffnungszeiten, Homepage, E-Mail, vCard und Firmendaten.</t>
  </si>
  <si>
    <t>Aufhausen 113</t>
  </si>
  <si>
    <t>47.2966611</t>
  </si>
  <si>
    <t>12.7610980</t>
  </si>
  <si>
    <t>+436505905932</t>
  </si>
  <si>
    <t>info@lainer-fliesendesign.at</t>
  </si>
  <si>
    <t>https://bilder.dasschnelle.at/DasSchnelle/50/5000/9918/045575/G_045575_P_906225703.adn.gif</t>
  </si>
  <si>
    <t>Josko Höller GmbH • Maishofen • Salzburg</t>
  </si>
  <si>
    <t>Tischlereien • Josko Höller GmbH, Saalfeldnerstraße 31, Maishofen • Kontakt über aktuelle Telefonnummern ☎ und Adressen ⚑ mit Karte, Routing, Öffnungszeiten, Homepage, E-Mail, vCard und Firmendaten.</t>
  </si>
  <si>
    <t>Saalfeldnerstraße 31</t>
  </si>
  <si>
    <t>47.37038</t>
  </si>
  <si>
    <t>12.80592</t>
  </si>
  <si>
    <t>+43654280547</t>
  </si>
  <si>
    <t>office@josko-hoeller.at</t>
  </si>
  <si>
    <t>https://bilder.dasschnelle.at/DasSchnelle/50/5000/9918/045570/I_045570_P_906228912_L_0036233272_1.png</t>
  </si>
  <si>
    <t>https://bilder.dasschnelle.at/DasSchnelle/50/5000/9918/045570/I_045570_P_906228912_B_0036233272_1.gal.png?height=452&amp;width=381;https://bilder.dasschnelle.at/DasSchnelle/50/5000/9918/045570/I_045570_P_906228912_B_0036233272_2.gal.png?height=460&amp;width=382;https://bilder.dasschnelle.at/DasSchnelle/50/5000/9918/045570/I_045570_P_906228912_B_0036233272_3.gal.png?height=453&amp;width=374;https://bilder.dasschnelle.at/DasSchnelle/50/5000/9918/045570/I_045570_P_906228912_B_0036233272_4.gal.png?height=452&amp;width=376</t>
  </si>
  <si>
    <t>Möbel Scheiber • Leogang • Salzburg</t>
  </si>
  <si>
    <t>Kunsttischlereien • Möbel Scheiber, Leogang 44, Leogang • Kontakt über aktuelle Telefonnummern ☎ und Adressen ⚑ mit Karte, Routing, Öffnungszeiten, Homepage, E-Mail, vCard und Firmendaten.</t>
  </si>
  <si>
    <t>Leogang 44</t>
  </si>
  <si>
    <t>47.4389000</t>
  </si>
  <si>
    <t>12.7568100</t>
  </si>
  <si>
    <t>+4365838309</t>
  </si>
  <si>
    <t>renate@moebel-scheiber.at</t>
  </si>
  <si>
    <t>https://bilder.dasschnelle.at/DasSchnelle/50/5000/9918/045568/I_045568_P_906291754_L_0039970530_1.png</t>
  </si>
  <si>
    <t>https://bilder.dasschnelle.at/DasSchnelle/50/5000/9918/045568/I_045568_P_906291754_B_0039970530_1.gal.png?height=480&amp;width=720;https://bilder.dasschnelle.at/DasSchnelle/50/5000/9918/045568/I_045568_P_906291754_B_0039970530_2.gal.png?height=480&amp;width=720;https://bilder.dasschnelle.at/DasSchnelle/50/5000/9918/045568/I_045568_P_906291754_B_0039970530_3.gal.png?height=480&amp;width=720;https://bilder.dasschnelle.at/DasSchnelle/50/5000/9918/045568/I_045568_P_906291754_B_0039970530_4.gal.png?height=480&amp;width=720</t>
  </si>
  <si>
    <t>Notariat Pregarten, Notare • Pregarten • Oberösterreich</t>
  </si>
  <si>
    <t>Notare • Notariat Pregarten, Bahnhofstraße 39, Pregarten • Kontakt über aktuelle Telefonnummern ☎ und Adressen ⚑ mit Karte, Routing, Öffnungszeiten, Homepage, E-Mail, vCard und Firmendaten.</t>
  </si>
  <si>
    <t>Bahnhofstraße 39</t>
  </si>
  <si>
    <t>48.35507</t>
  </si>
  <si>
    <t>14.5267</t>
  </si>
  <si>
    <t>+4372362219</t>
  </si>
  <si>
    <t>+4372367065</t>
  </si>
  <si>
    <t>office@notarin.co.at</t>
  </si>
  <si>
    <t>https://bilder.dasschnelle.at/DasSchnelle/50/5000/9882/041774/G_041774_P_906309462.adn.gif</t>
  </si>
  <si>
    <t>Lukas, Sabine, Dipl.-Tzt, Kleintierpraxis • Thalgau • Salzburg</t>
  </si>
  <si>
    <t>Tierärzte • Lukas, Sabine, Dipl.-Tzt, Franz Schoosleitner-Straße 10, Thalgau • Kontakt über aktuelle Telefonnummern ☎ und Adressen ⚑ mit Karte, Routing, Öffnungszeiten, Homepage, E-Mail, vCard und Firmendaten.</t>
  </si>
  <si>
    <t>Franz Schoosleitner-Straße 10</t>
  </si>
  <si>
    <t>47.8421</t>
  </si>
  <si>
    <t>13.25308</t>
  </si>
  <si>
    <t>+436641316911</t>
  </si>
  <si>
    <t>kleintierpraxis-lukas@aon.at</t>
  </si>
  <si>
    <t>https://bilder.dasschnelle.at/DasSchnelle/50/5000/9909/043331/G_043331_P_906309467.adn.gif</t>
  </si>
  <si>
    <t>Seelos GmbH &amp; Co KG, Installateur • Gratwein • Steiermark</t>
  </si>
  <si>
    <t>Heizungen, Sanitäranlagen u. -einrichtungen • Seelos GmbH &amp; Co KG, Am Grünanger 11 -13, Gratwein • Kontakt über aktuelle Telefonnummern ☎ und Adressen ⚑ mit Karte, Routing, Öffnungszeiten, Homepage, E-Mail, vCard und Firmendaten.</t>
  </si>
  <si>
    <t>Am Grünanger 11 -13</t>
  </si>
  <si>
    <t>47.13339</t>
  </si>
  <si>
    <t>15.32008</t>
  </si>
  <si>
    <t>+43312451318</t>
  </si>
  <si>
    <t>technik@seelos-gratwein.at</t>
  </si>
  <si>
    <t>https://bilder.dasschnelle.at/DasSchnelle/50/5000/9883/061359/G_061359_P_906309470.adn.gif</t>
  </si>
  <si>
    <t>Wildbahner, Adolf, Steinmetzmeister • Kirchenviertel • Steiermark</t>
  </si>
  <si>
    <t>Steinmetzbetriebe • Wildbahner, Adolf, Friedhofplatz 4, Kirchenviertel • Kontakt über aktuelle Telefonnummern ☎ und Adressen ⚑ mit Karte, Routing, Öffnungszeiten, Homepage, E-Mail, vCard und Firmendaten.</t>
  </si>
  <si>
    <t>Friedhofplatz 4</t>
  </si>
  <si>
    <t>47.13421</t>
  </si>
  <si>
    <t>15.34846</t>
  </si>
  <si>
    <t>+43312422474</t>
  </si>
  <si>
    <t>+43312422515</t>
  </si>
  <si>
    <t>wildbahner@aon.at</t>
  </si>
  <si>
    <t>https://bilder.dasschnelle.at/DasSchnelle/50/5000/9883/042322/I_042322_P_906309473_L_0035999560_1.png</t>
  </si>
  <si>
    <t>https://bilder.dasschnelle.at/DasSchnelle/50/5000/9883/042322/I_042322_P_906309473_B_0035999560_1.gal.png?height=443&amp;width=596;https://bilder.dasschnelle.at/DasSchnelle/50/5000/9883/042322/I_042322_P_906309473_B_0035999560_2.gal.png?height=446&amp;width=594;https://bilder.dasschnelle.at/DasSchnelle/50/5000/9883/042322/I_042322_P_906309473_B_0035999560_3.gal.png?height=451&amp;width=597;https://bilder.dasschnelle.at/DasSchnelle/50/5000/9883/042322/I_042322_P_906309473_B_0035999560_4.gal.png?height=595&amp;width=443;https://bilder.dasschnelle.at/DasSchnelle/50/5000/9883/042322/G_042322_P_906309473.adn.gif</t>
  </si>
  <si>
    <t>Blatt &amp; Blüte e.U., Floristik &amp; Gartenplanung • Straßengel • Steiermark</t>
  </si>
  <si>
    <t>Blumenhandel • Blatt &amp; Blüte e.U., Grazer Straße 88, Straßengel • Kontakt über aktuelle Telefonnummern ☎ und Adressen ⚑ mit Karte, Routing, Öffnungszeiten, Homepage, E-Mail, vCard und Firmendaten.</t>
  </si>
  <si>
    <t>Grazer Straße 88</t>
  </si>
  <si>
    <t>47.1169000</t>
  </si>
  <si>
    <t>15.3517000</t>
  </si>
  <si>
    <t>+436643032009</t>
  </si>
  <si>
    <t>office@blatt-und-bluete.at</t>
  </si>
  <si>
    <t>https://bilder.dasschnelle.at/DasSchnelle/50/5000/9883/061359/G_061359_P_906302589.adn.gif</t>
  </si>
  <si>
    <t>Reiß, Karl, Optikermeister • Gratwein • Steiermark</t>
  </si>
  <si>
    <t>Gesundheitsberatung, Optik • Reiß, Karl, Hauptplatz 1, Gratwein • Kontakt über aktuelle Telefonnummern ☎ und Adressen ⚑ mit Karte, Routing, Öffnungszeiten, Homepage, E-Mail, vCard und Firmendaten.</t>
  </si>
  <si>
    <t>15.31878</t>
  </si>
  <si>
    <t>+43312451037</t>
  </si>
  <si>
    <t>office@optik-reiss.at</t>
  </si>
  <si>
    <t>https://bilder.dasschnelle.at/DasSchnelle/50/5000/9883/061359/I_061359_P_906302591_L_0035999565_1.png</t>
  </si>
  <si>
    <t>https://bilder.dasschnelle.at/DasSchnelle/50/5000/9883/061359/I_061359_P_906302591_B_0035999565_1.gal.png?height=288&amp;width=720;https://bilder.dasschnelle.at/DasSchnelle/50/5000/9883/061359/I_061359_P_906302591_B_0035999565_2.gal.png?height=288&amp;width=720;https://bilder.dasschnelle.at/DasSchnelle/50/5000/9883/061359/I_061359_P_906302591_B_0035999565_3.gal.png?height=288&amp;width=720;https://bilder.dasschnelle.at/DasSchnelle/50/5000/9883/061359/I_061359_P_906302591_B_0035999565_4.gal.png?height=288&amp;width=720;https://bilder.dasschnelle.at/DasSchnelle/50/5000/9883/061359/G_061359_P_906302591.adn.gif</t>
  </si>
  <si>
    <t>Illmaier, Franz, Raumausstatter • Frohnleiten • Steiermark</t>
  </si>
  <si>
    <t>Raumausstatter • Illmaier, Franz, Hauptplatz 7, Frohnleiten • Kontakt über aktuelle Telefonnummern ☎ und Adressen ⚑ mit Karte, Routing, Öffnungszeiten, Homepage, E-Mail, vCard und Firmendaten.</t>
  </si>
  <si>
    <t>47.27089</t>
  </si>
  <si>
    <t>15.32446</t>
  </si>
  <si>
    <t>+4331264768;+436764274880;+436766181733</t>
  </si>
  <si>
    <t>https://bilder.dasschnelle.at/DasSchnelle/50/5000/9883/061362/G_061362_P_906305180.adn.gif</t>
  </si>
  <si>
    <t>Bachlinger, Michael, Spenglerei • Straßengel • Steiermark</t>
  </si>
  <si>
    <t>Spenglereien • Bachlinger, Michael, Gewerbepark 7 A, Straßengel • Kontakt über aktuelle Telefonnummern ☎ und Adressen ⚑ mit Karte, Routing, Öffnungszeiten, Homepage, E-Mail, vCard und Firmendaten.</t>
  </si>
  <si>
    <t>Gewerbepark 7 A</t>
  </si>
  <si>
    <t>47.11879</t>
  </si>
  <si>
    <t>15.33928</t>
  </si>
  <si>
    <t>+43312452375</t>
  </si>
  <si>
    <t>office@mcc.st</t>
  </si>
  <si>
    <t>https://bilder.dasschnelle.at/DasSchnelle/50/5000/9883/061359/G_061359_P_906305184.adn.gif</t>
  </si>
  <si>
    <t>Cafe Konditorei Flößl GmbH • Frohnleiten • Steiermark</t>
  </si>
  <si>
    <t>Cafés, Konditoreien • Cafe Konditorei Flößl GmbH, Hauptplatz 11, Frohnleiten • Kontakt über aktuelle Telefonnummern ☎ und Adressen ⚑ mit Karte, Routing, Öffnungszeiten, Homepage, E-Mail, vCard und Firmendaten.</t>
  </si>
  <si>
    <t>47.27059</t>
  </si>
  <si>
    <t>15.32495</t>
  </si>
  <si>
    <t>+4331262347</t>
  </si>
  <si>
    <t>office@floessl.at</t>
  </si>
  <si>
    <t>https://bilder.dasschnelle.at/DasSchnelle/50/5000/9883/061362/G_061362_P_906305186.adn.gif</t>
  </si>
  <si>
    <t>Lembacher, Vinzenz, Kfz-Meisterbetrieb • Frohnleiten • Steiermark</t>
  </si>
  <si>
    <t>Autoreparaturen • Lembacher, Vinzenz, Schrauding 12 A, Frohnleiten • Kontakt über aktuelle Telefonnummern ☎ und Adressen ⚑ mit Karte, Routing, Öffnungszeiten, Homepage, E-Mail, vCard und Firmendaten.</t>
  </si>
  <si>
    <t>Schrauding 12 A</t>
  </si>
  <si>
    <t>47.2426611</t>
  </si>
  <si>
    <t>15.3230394</t>
  </si>
  <si>
    <t>+43312632467</t>
  </si>
  <si>
    <t>info@lembacher-kfz.at</t>
  </si>
  <si>
    <t>https://bilder.dasschnelle.at/DasSchnelle/50/5000/9883/061362/I_061362_P_906305188_L_0035999028_1.png</t>
  </si>
  <si>
    <t>https://bilder.dasschnelle.at/DasSchnelle/50/5000/9883/061362/I_061362_P_906305188_B_0035999028_1.gal.png?height=520&amp;width=689;https://bilder.dasschnelle.at/DasSchnelle/50/5000/9883/061362/I_061362_P_906305188_B_0035999028_2.gal.png?height=531&amp;width=449;https://bilder.dasschnelle.at/DasSchnelle/50/5000/9883/061362/I_061362_P_906305188_B_0035999028_3.gal.png?height=541&amp;width=720;https://bilder.dasschnelle.at/DasSchnelle/50/5000/9883/061362/I_061362_P_906305188_B_0035999028_4.gal.png?height=404&amp;width=720;https://bilder.dasschnelle.at/DasSchnelle/50/5000/9883/061362/G_061362_P_906305188.adn.gif</t>
  </si>
  <si>
    <t>Schinnerl GmbH &amp; Co KG, Johann, Tischler f Reparaturarbeiten • Gratwein • Steiermark</t>
  </si>
  <si>
    <t>Fensterrenovierungen u. -reparaturen, Tischlereien • Schinnerl GmbH &amp; Co KG, Johann, Au 50 b, Gratwein • Kontakt über aktuelle Telefonnummern ☎ und Adressen ⚑ mit Karte, Routing, Öffnungszeiten, Homepage, E-Mail, vCard und Firmendaten.</t>
  </si>
  <si>
    <t>Au 50 b</t>
  </si>
  <si>
    <t>47.14283</t>
  </si>
  <si>
    <t>15.32218</t>
  </si>
  <si>
    <t>+43312454461</t>
  </si>
  <si>
    <t>schinnerl@reparaturtischlerei.at</t>
  </si>
  <si>
    <t>https://bilder.dasschnelle.at/DasSchnelle/50/5000/9883/061359/I_061359_P_906308705_L_0035999475_1.png</t>
  </si>
  <si>
    <t>https://bilder.dasschnelle.at/DasSchnelle/50/5000/9883/061359/I_061359_P_906308705_B_0035999475_1.gal.png?height=333&amp;width=430;https://bilder.dasschnelle.at/DasSchnelle/50/5000/9883/061359/I_061359_P_906308705_B_0035999475_2.gal.png?height=331&amp;width=430</t>
  </si>
  <si>
    <t>Koch Haarmoden, Bettina, Friseure • Gratkorn • Steiermark</t>
  </si>
  <si>
    <t>Friseure, Frisiersalon • Koch Haarmoden, Bettina, Brucker Straße 9, Gratkorn • Kontakt über aktuelle Telefonnummern ☎ und Adressen ⚑ mit Karte, Routing, Öffnungszeiten, Homepage, E-Mail, vCard und Firmendaten.</t>
  </si>
  <si>
    <t>Brucker Straße 9</t>
  </si>
  <si>
    <t>47.134</t>
  </si>
  <si>
    <t>15.33678</t>
  </si>
  <si>
    <t>+43312422930</t>
  </si>
  <si>
    <t>kochhaarmoden@gmx.at</t>
  </si>
  <si>
    <t>https://bilder.dasschnelle.at/DasSchnelle/50/5000/9883/042322/G_042322_P_906309155.adn.gif</t>
  </si>
  <si>
    <t>PB-VK GmbH • Semriach • Steiermark</t>
  </si>
  <si>
    <t>Bau- u. Planungsbüros • PB-VK GmbH, Markt 30/5, Semriach • Kontakt über aktuelle Telefonnummern ☎ und Adressen ⚑ mit Karte, Routing, Öffnungszeiten, Homepage, E-Mail, vCard und Firmendaten.</t>
  </si>
  <si>
    <t>Markt 30/5</t>
  </si>
  <si>
    <t>Semriach</t>
  </si>
  <si>
    <t>47.2181044</t>
  </si>
  <si>
    <t>15.3958667</t>
  </si>
  <si>
    <t>+436641304571</t>
  </si>
  <si>
    <t>office@pb-vk.at</t>
  </si>
  <si>
    <t>https://bilder.dasschnelle.at/DasSchnelle/50/5000/9883/042353/I_042353_P_906309158_L_0038394453_1.png</t>
  </si>
  <si>
    <t>https://bilder.dasschnelle.at/DasSchnelle/50/5000/9883/042353/I_042353_P_906309158_B_0038394453_1.gal.png?height=244&amp;width=567;https://bilder.dasschnelle.at/DasSchnelle/50/5000/9883/042353/I_042353_P_906309158_B_0038394453_2.gal.png?height=320&amp;width=567;https://bilder.dasschnelle.at/DasSchnelle/50/5000/9883/042353/I_042353_P_906309158_B_0038394453_3.gal.png?height=319&amp;width=567;https://bilder.dasschnelle.at/DasSchnelle/50/5000/9883/042353/I_042353_P_906309158_B_0038394453_4.gal.png?height=319&amp;width=567;https://bilder.dasschnelle.at/DasSchnelle/50/5000/9883/042353/G_042353_P_906309158.adn.gif</t>
  </si>
  <si>
    <t>Narrath Putze GmbH • Gratkorn • Steiermark</t>
  </si>
  <si>
    <t>Bauunternehmen, Putzereien • Narrath Putze GmbH, Harter Strasse 13, Gratkorn • Kontakt über aktuelle Telefonnummern ☎ und Adressen ⚑ mit Karte, Routing, Öffnungszeiten, Homepage, E-Mail, vCard und Firmendaten.</t>
  </si>
  <si>
    <t>Harter Strasse 13</t>
  </si>
  <si>
    <t>47.1235100</t>
  </si>
  <si>
    <t>15.3551900</t>
  </si>
  <si>
    <t>+43316295884</t>
  </si>
  <si>
    <t>office@narrath.at</t>
  </si>
  <si>
    <t>https://bilder.dasschnelle.at/DasSchnelle/50/5000/9883/042322/I_042322_P_906302140_L_0038576889_1.png</t>
  </si>
  <si>
    <t>https://bilder.dasschnelle.at/DasSchnelle/50/5000/9883/042322/I_042322_P_906302140_B_0038576889_1.gal.png?height=405&amp;width=720;https://bilder.dasschnelle.at/DasSchnelle/50/5000/9883/042322/I_042322_P_906302140_B_0038576889_2.gal.png?height=509&amp;width=720;https://bilder.dasschnelle.at/DasSchnelle/50/5000/9883/042322/I_042322_P_906302140_B_0038576889_3.gal.png?height=479&amp;width=720;https://bilder.dasschnelle.at/DasSchnelle/50/5000/9883/042322/I_042322_P_906302140_B_0038576889_4.gal.png?height=540&amp;width=720;https://bilder.dasschnelle.at/DasSchnelle/50/5000/9883/042322/G_042322_P_906302140.adn.gif</t>
  </si>
  <si>
    <t>Haushofer Josef &amp; Söhne, Baumanagement • Frohnleiten • Steiermark</t>
  </si>
  <si>
    <t>Baubetreuung • Haushofer Josef &amp; Söhne, Brunnhof 3, Frohnleiten • Kontakt über aktuelle Telefonnummern ☎ und Adressen ⚑ mit Karte, Routing, Öffnungszeiten, Homepage, E-Mail, vCard und Firmendaten.</t>
  </si>
  <si>
    <t>Brunnhof 3</t>
  </si>
  <si>
    <t>+4331262637</t>
  </si>
  <si>
    <t>office@haushofer.at</t>
  </si>
  <si>
    <t>https://bilder.dasschnelle.at/DasSchnelle/50/5000/9883/061362/I_061362_P_906305151_B_0035999481_1.gal.png?height=563&amp;width=811;https://bilder.dasschnelle.at/DasSchnelle/50/5000/9883/061362/I_061362_P_906305151_B_0035999481_2.gal.png?height=468&amp;width=720;https://bilder.dasschnelle.at/DasSchnelle/50/5000/9883/061362/I_061362_P_906305151_B_0035999481_3.gal.png?height=604&amp;width=814;https://bilder.dasschnelle.at/DasSchnelle/50/5000/9883/061362/I_061362_P_906305151_B_0035999481_4.gal.png?height=581&amp;width=811;https://bilder.dasschnelle.at/DasSchnelle/50/5000/9883/061362/G_061362_P_906305151.adn.gif</t>
  </si>
  <si>
    <t>Krammer, Andreas, Blumenstube • Deutschfeistritz • Steiermark</t>
  </si>
  <si>
    <t>Blumenhandel, Garten- u. Landschaftsgestaltung • Krammer, Andreas, Gartengasse 2, Deutschfeistritz • Kontakt über aktuelle Telefonnummern ☎ und Adressen ⚑ mit Karte, Routing, Öffnungszeiten, Homepage, E-Mail, vCard und Firmendaten.</t>
  </si>
  <si>
    <t>Gartengasse 2</t>
  </si>
  <si>
    <t>47.19846</t>
  </si>
  <si>
    <t>+43312741216</t>
  </si>
  <si>
    <t>blumenkrammer@aon.at</t>
  </si>
  <si>
    <t>https://bilder.dasschnelle.at/DasSchnelle/50/5000/9883/061364/G_061364_P_906308673.adn.gif</t>
  </si>
  <si>
    <t>Dietmar Stadlhuber, Malerbetrieb • Altmünster • Oberösterreich</t>
  </si>
  <si>
    <t>Malereibetriebe • Dietmar Stadlhuber, Buchbergstrasse 94, Altmünster • Kontakt über aktuelle Telefonnummern ☎ und Adressen ⚑ mit Karte, Routing, Öffnungszeiten, Homepage, E-Mail, vCard und Firmendaten.</t>
  </si>
  <si>
    <t>Buchbergstrasse 94</t>
  </si>
  <si>
    <t>https://bilder.dasschnelle.at/DasSchnelle/50/5000/9940/043558/I_041788_P_906309299_L_0035999693_1.png</t>
  </si>
  <si>
    <t>https://bilder.dasschnelle.at/DasSchnelle/50/5000/9940/043558/G_043558_P_906309299.adn.gif</t>
  </si>
  <si>
    <t>Dr. Martin Hötzer, Psychotherapeut • Spittal • Kärnten</t>
  </si>
  <si>
    <t>Ärzte / f Allgemeinmedizin, Psychotherapie • Dr. Martin Hötzer, Presserhofstraße 2A, Spittal • Kontakt über aktuelle Telefonnummern ☎ und Adressen ⚑ mit Karte, Routing, Öffnungszeiten, Homepage, E-Mail, vCard und Firmendaten.</t>
  </si>
  <si>
    <t>Presserhofstraße 2A</t>
  </si>
  <si>
    <t>46.7916156</t>
  </si>
  <si>
    <t>13.5156683</t>
  </si>
  <si>
    <t>+43476233502</t>
  </si>
  <si>
    <t>martin.hoetzer@aon.at</t>
  </si>
  <si>
    <t>Janger Günther Zweiradjanger GesmbH, Fahrräder • Gratwein • Steiermark</t>
  </si>
  <si>
    <t>Fahrradfachhandel • Janger Günther Zweiradjanger GesmbH, Kirchengasse 4, Gratwein • Kontakt über aktuelle Telefonnummern ☎ und Adressen ⚑ mit Karte, Routing, Öffnungszeiten, Homepage, E-Mail, vCard und Firmendaten.</t>
  </si>
  <si>
    <t>Kirchengasse 4</t>
  </si>
  <si>
    <t>47.12979</t>
  </si>
  <si>
    <t>15.31784</t>
  </si>
  <si>
    <t>+43312451238</t>
  </si>
  <si>
    <t>office@zweiradjanger.at</t>
  </si>
  <si>
    <t>https://bilder.dasschnelle.at/DasSchnelle/50/5000/9883/061359/I_061359_P_906302889_L_0035999068_1.png</t>
  </si>
  <si>
    <t>https://bilder.dasschnelle.at/DasSchnelle/50/5000/9883/061359/I_061359_P_906302889_B_0035999068_1.gal.png?height=480&amp;width=720;https://bilder.dasschnelle.at/DasSchnelle/50/5000/9883/061359/I_061359_P_906302889_B_0035999068_2.gal.png?height=458&amp;width=720;https://bilder.dasschnelle.at/DasSchnelle/50/5000/9883/061359/G_061359_P_906302889.adn.gif</t>
  </si>
  <si>
    <t>Fuchsbichler, Gertrud, Friseure • Frohnleiten • Steiermark</t>
  </si>
  <si>
    <t>Friseure • Fuchsbichler, Gertrud, Hauptplatz 35, Frohnleiten • Kontakt über aktuelle Telefonnummern ☎ und Adressen ⚑ mit Karte, Routing, Öffnungszeiten, Homepage, E-Mail, vCard und Firmendaten.</t>
  </si>
  <si>
    <t>15.32695</t>
  </si>
  <si>
    <t>+4331262562</t>
  </si>
  <si>
    <t>https://bilder.dasschnelle.at/DasSchnelle/50/5000/9883/061362/I_061362_P_906302891_B_0035999299_1.gal.png?height=553&amp;width=720;https://bilder.dasschnelle.at/DasSchnelle/50/5000/9883/061362/I_061362_P_906302891_B_0035999299_2.gal.png?height=369&amp;width=720;https://bilder.dasschnelle.at/DasSchnelle/50/5000/9883/061362/I_061362_P_906302891_B_0035999299_3.gal.png?height=266&amp;width=720;https://bilder.dasschnelle.at/DasSchnelle/50/5000/9883/061362/I_061362_P_906302891_B_0035999299_4.gal.png?height=480&amp;width=720</t>
  </si>
  <si>
    <t>Metalltechnik Pfingstl • Übersbach • Steiermark</t>
  </si>
  <si>
    <t>Stahl- u. Industriebau • Metalltechnik Pfingstl, Übersbach 40, Übersbach • Kontakt über aktuelle Telefonnummern ☎ und Adressen ⚑ mit Karte, Routing, Öffnungszeiten, Homepage, E-Mail, vCard und Firmendaten.</t>
  </si>
  <si>
    <t>Übersbach 40</t>
  </si>
  <si>
    <t>Übersbach</t>
  </si>
  <si>
    <t>47.0237636</t>
  </si>
  <si>
    <t>16.0534499</t>
  </si>
  <si>
    <t>+4333872890</t>
  </si>
  <si>
    <t>office@schlosserei-pfingstl.at</t>
  </si>
  <si>
    <t>https://bilder.dasschnelle.at/DasSchnelle/50/5000/9884/061368/I_061368_P_906304671_L_0036006155_1.png</t>
  </si>
  <si>
    <t>https://bilder.dasschnelle.at/DasSchnelle/50/5000/9884/061368/I_061368_P_906304671_B_0036006155_1.gal.png?height=440&amp;width=720;https://bilder.dasschnelle.at/DasSchnelle/50/5000/9884/061368/I_061368_P_906304671_B_0036006155_2.gal.png?height=720&amp;width=659;https://bilder.dasschnelle.at/DasSchnelle/50/5000/9884/061368/I_061368_P_906304671_B_0036006155_3.gal.png?height=440&amp;width=720;https://bilder.dasschnelle.at/DasSchnelle/50/5000/9884/061368/I_061368_P_906304671_B_0036006155_4.gal.png?height=440&amp;width=720;https://bilder.dasschnelle.at/DasSchnelle/50/5000/9884/061368/G_061368_P_906304671.adn.gif</t>
  </si>
  <si>
    <t>Heinrich-Bau GmbH • Fürstenfeld • Steiermark</t>
  </si>
  <si>
    <t>Bauunternehmen • Heinrich-Bau GmbH, Burgenlandstraße 22, Fürstenfeld • Kontakt über aktuelle Telefonnummern ☎ und Adressen ⚑ mit Karte, Routing, Öffnungszeiten, Homepage, E-Mail, vCard und Firmendaten.</t>
  </si>
  <si>
    <t>Burgenlandstraße 22</t>
  </si>
  <si>
    <t>8220</t>
  </si>
  <si>
    <t>47.0488</t>
  </si>
  <si>
    <t>16.09071</t>
  </si>
  <si>
    <t>+43338252562</t>
  </si>
  <si>
    <t>office@heinrich-bau.at</t>
  </si>
  <si>
    <t>https://bilder.dasschnelle.at/DasSchnelle/50/5000/9884/061368/G_061368_P_906304674.adn.gif</t>
  </si>
  <si>
    <t>Windischbauer, Paul, Dr.med.univ., FA f. HNO • Hof bei Salzburg • Salzburg</t>
  </si>
  <si>
    <t>Ärzte / Fachärzte f. Hals-, Nasen u. Ohrenkrankheiten • Windischbauer, Paul, Dr.med.univ., Strohbichlstraße 12, Hof bei Salzburg • Kontakt über aktuelle Telefonnummern ☎ und Adressen ⚑ mit Karte, Routing, Öffnungszeiten, Homepage, E-Mail, vCard und Firmendaten.</t>
  </si>
  <si>
    <t>Strohbichlstraße 12</t>
  </si>
  <si>
    <t>47.8197</t>
  </si>
  <si>
    <t>13.20895</t>
  </si>
  <si>
    <t>+436644238008</t>
  </si>
  <si>
    <t>ordination@hno-hof.at</t>
  </si>
  <si>
    <t>https://bilder.dasschnelle.at/DasSchnelle/50/5000/9909/043315/G_043315_P_906307356.adn.gif</t>
  </si>
  <si>
    <t>Feurhuber Oberwang GmbH, Lebensmittel • Oberwang • Oberösterreich</t>
  </si>
  <si>
    <t>Lebensmittel • Feurhuber Oberwang GmbH, Oberwang 187, Oberwang • Kontakt über aktuelle Telefonnummern ☎ und Adressen ⚑ mit Karte, Routing, Öffnungszeiten, Homepage, E-Mail, vCard und Firmendaten.</t>
  </si>
  <si>
    <t>Oberwang 187</t>
  </si>
  <si>
    <t>47.8723368</t>
  </si>
  <si>
    <t>13.4388748</t>
  </si>
  <si>
    <t>+43623387735</t>
  </si>
  <si>
    <t>feurhuber.oberwang@sparmarkt.at</t>
  </si>
  <si>
    <t>https://bilder.dasschnelle.at/DasSchnelle/50/5000/9909/043087/I_043087_P_906307358_L_0038576960_1.png</t>
  </si>
  <si>
    <t>https://bilder.dasschnelle.at/DasSchnelle/50/5000/9909/043087/I_043087_P_906307358_B_0038576960_1.gal.png?height=480&amp;width=720</t>
  </si>
  <si>
    <t>Eurospar Feurhuber GmbH • Sankt Lorenz • Oberösterreich</t>
  </si>
  <si>
    <t>Lebensmittel • Eurospar Feurhuber GmbH, Mondseestr. 33, Sankt Lorenz • Kontakt über aktuelle Telefonnummern ☎ und Adressen ⚑ mit Karte, Routing, Öffnungszeiten, Homepage, E-Mail, vCard und Firmendaten.</t>
  </si>
  <si>
    <t>Mondseestr. 33</t>
  </si>
  <si>
    <t>Sankt Lorenz</t>
  </si>
  <si>
    <t>47.8476</t>
  </si>
  <si>
    <t>13.34043</t>
  </si>
  <si>
    <t>+436645315199</t>
  </si>
  <si>
    <t>eurospar.mondsee@aon.at</t>
  </si>
  <si>
    <t>https://bilder.dasschnelle.at/DasSchnelle/50/5000/9909/043101/I_043101_P_906307360_L_0035974155_1.png</t>
  </si>
  <si>
    <t>https://bilder.dasschnelle.at/DasSchnelle/50/5000/9909/043101/I_043101_P_906307360_B_0035974155_1.gal.png?height=449&amp;width=600;https://bilder.dasschnelle.at/DasSchnelle/50/5000/9909/043101/I_043101_P_906307360_B_0035974155_2.gal.png?height=952&amp;width=711;https://bilder.dasschnelle.at/DasSchnelle/50/5000/9909/043101/I_043101_P_906307360_B_0035974155_3.gal.png?height=593&amp;width=797;https://bilder.dasschnelle.at/DasSchnelle/50/5000/9909/043101/I_043101_P_906307360_B_0035974155_4.gal.png?height=480&amp;width=720</t>
  </si>
  <si>
    <t>Dick, Johannes, Dr., Arzt f Allgemeinmedizin • Innerschwand • Oberösterreich</t>
  </si>
  <si>
    <t>Ärzte / f Allgemeinmedizin • Dick, Johannes, Dr., Loibichl 17, Innerschwand • Kontakt über aktuelle Telefonnummern ☎ und Adressen ⚑ mit Karte, Routing, Öffnungszeiten, Homepage, E-Mail, vCard und Firmendaten.</t>
  </si>
  <si>
    <t>Loibichl 17</t>
  </si>
  <si>
    <t>47.82938</t>
  </si>
  <si>
    <t>13.40537</t>
  </si>
  <si>
    <t>+43623222107</t>
  </si>
  <si>
    <t>https://bilder.dasschnelle.at/DasSchnelle/50/5000/9909/043078/G_043078_P_906307363.adn.gif</t>
  </si>
  <si>
    <t>Höller, Andreas, Fliesen • Gratwein • Steiermark</t>
  </si>
  <si>
    <t>Hafner u. Fliesen • Höller, Andreas, Am Grünanger 11, Gratwein • Kontakt über aktuelle Telefonnummern ☎ und Adressen ⚑ mit Karte, Routing, Öffnungszeiten, Homepage, E-Mail, vCard und Firmendaten.</t>
  </si>
  <si>
    <t>Am Grünanger 11</t>
  </si>
  <si>
    <t>+43312455155;+436642564046</t>
  </si>
  <si>
    <t>hoeller.fliesen@aon.at</t>
  </si>
  <si>
    <t>https://bilder.dasschnelle.at/DasSchnelle/50/5000/9883/061359/I_061359_P_906307373_B_0035999436_1.gal.png?height=435&amp;width=945;https://bilder.dasschnelle.at/DasSchnelle/50/5000/9883/061359/I_061359_P_906307373_B_0035999436_2.gal.png?height=381&amp;width=831</t>
  </si>
  <si>
    <t>Silli, Claudia, Friseure • Judendorf • Steiermark</t>
  </si>
  <si>
    <t>Friseure • Silli, Claudia, Gratweiner Straße 17, Judendorf • Kontakt über aktuelle Telefonnummern ☎ und Adressen ⚑ mit Karte, Routing, Öffnungszeiten, Homepage, E-Mail, vCard und Firmendaten.</t>
  </si>
  <si>
    <t>Gratweiner Straße 17</t>
  </si>
  <si>
    <t>47.11642</t>
  </si>
  <si>
    <t>15.34254</t>
  </si>
  <si>
    <t>+43312454062</t>
  </si>
  <si>
    <t>https://bilder.dasschnelle.at/DasSchnelle/50/5000/9883/061359/I_061359_P_906307376_B_0035999700_1.gal.png?height=392&amp;width=597</t>
  </si>
  <si>
    <t>Baumschule Haritsch • Gratwein-Strassengel • Steiermark</t>
  </si>
  <si>
    <t>Baumschulen • Baumschule Haritsch, Murfeldstraße 60, Gratwein-Strassengel • Kontakt über aktuelle Telefonnummern ☎ und Adressen ⚑ mit Karte, Routing, Öffnungszeiten, Homepage, E-Mail, vCard und Firmendaten.</t>
  </si>
  <si>
    <t>Murfeldstraße 60</t>
  </si>
  <si>
    <t>47.1418287</t>
  </si>
  <si>
    <t>15.3245215</t>
  </si>
  <si>
    <t>+43312452131</t>
  </si>
  <si>
    <t>baumschule.haritsch@outlook.com</t>
  </si>
  <si>
    <t>https://bilder.dasschnelle.at/DasSchnelle/50/5000/9883/061359/I_506175_P_906307377_L_0039976839_1.png</t>
  </si>
  <si>
    <t>https://bilder.dasschnelle.at/DasSchnelle/50/5000/9883/061359/I_506175_P_906307377_B_0039976839_1.gal.png?height=720&amp;width=671;https://bilder.dasschnelle.at/DasSchnelle/50/5000/9883/061359/I_506175_P_906307377_B_0039976839_2.gal.png?height=539&amp;width=720;https://bilder.dasschnelle.at/DasSchnelle/50/5000/9883/061359/I_506175_P_906307377_B_0039976839_3.gal.png?height=720&amp;width=637;https://bilder.dasschnelle.at/DasSchnelle/50/5000/9883/061359/I_061359_P_906307377_B_0039976839_4.gal.png?height=540&amp;width=720</t>
  </si>
  <si>
    <t>Fink, Wolfgang, Elektrotechnik • Mondsee • Oberösterreich</t>
  </si>
  <si>
    <t>Elektrotechnik • Fink, Wolfgang, Herzog Odilo-Straße 3, Mondsee • Kontakt über aktuelle Telefonnummern ☎ und Adressen ⚑ mit Karte, Routing, Öffnungszeiten, Homepage, E-Mail, vCard und Firmendaten.</t>
  </si>
  <si>
    <t>Herzog Odilo-Straße 3</t>
  </si>
  <si>
    <t>47.85625</t>
  </si>
  <si>
    <t>13.34917</t>
  </si>
  <si>
    <t>+4362323400</t>
  </si>
  <si>
    <t>office@elektrofink.at</t>
  </si>
  <si>
    <t>https://bilder.dasschnelle.at/DasSchnelle/50/5000/9909/043081/G_043081_P_906304258.adn.gif</t>
  </si>
  <si>
    <t>Mayrhofer, Thomas, Mag., Apotheke • Mondsee • Oberösterreich</t>
  </si>
  <si>
    <t>Apotheken • Mayrhofer, Thomas, Mag., Walter Simmer-Straße 1 A, Mondsee • Kontakt über aktuelle Telefonnummern ☎ und Adressen ⚑ mit Karte, Routing, Öffnungszeiten, Homepage, E-Mail, vCard und Firmendaten.</t>
  </si>
  <si>
    <t>Walter Simmer-Straße 1 A</t>
  </si>
  <si>
    <t>47.86465</t>
  </si>
  <si>
    <t>13.3312</t>
  </si>
  <si>
    <t>+43623236444</t>
  </si>
  <si>
    <t>office@mondseeland-apotheke.at</t>
  </si>
  <si>
    <t>https://bilder.dasschnelle.at/DasSchnelle/50/5000/9909/043081/G_043081_P_906306081.adn.gif</t>
  </si>
  <si>
    <t>MONDSEE-TREUHAND Wiedlroither GmbH, Wirtschaftsprüfer &amp; Steuerberater • Mondsee • Oberösterreich</t>
  </si>
  <si>
    <t>Steuerberater, Wirtschaftstreuhänder / Steuerberater • MONDSEE-TREUHAND Wiedlroither GmbH, Alfred Jaeger-Weg 4, Mondsee • Kontakt über aktuelle Telefonnummern ☎ und Adressen ⚑ mit Karte, Routing, Öffnungszeiten, Homepage, E-Mail, vCard und Firmendaten.</t>
  </si>
  <si>
    <t>Alfred Jaeger-Weg 4</t>
  </si>
  <si>
    <t>47.85638</t>
  </si>
  <si>
    <t>13.34346</t>
  </si>
  <si>
    <t>+43623240800</t>
  </si>
  <si>
    <t>office@mondsee-treuhand.at</t>
  </si>
  <si>
    <t>https://bilder.dasschnelle.at/DasSchnelle/50/5000/9909/043081/G_043081_P_906306083.adn.gif</t>
  </si>
  <si>
    <t>Freiberger, Hans Michael, Dr. med., FA f HNO-Heilkunde • Mondsee • Oberösterreich</t>
  </si>
  <si>
    <t>Ärzte / Fachärzte f. Hals-, Nasen u. Ohrenkrankheiten • Freiberger, Hans Michael, Dr. med., Herzog Odilo-Straße 26, Mondsee • Kontakt über aktuelle Telefonnummern ☎ und Adressen ⚑ mit Karte, Routing, Öffnungszeiten, Homepage, E-Mail, vCard und Firmendaten.</t>
  </si>
  <si>
    <t>Herzog Odilo-Straße 26</t>
  </si>
  <si>
    <t>47.85737</t>
  </si>
  <si>
    <t>13.34879</t>
  </si>
  <si>
    <t>+43623220244</t>
  </si>
  <si>
    <t>+43623220524</t>
  </si>
  <si>
    <t>praxis@hno-freiberger.com</t>
  </si>
  <si>
    <t>https://bilder.dasschnelle.at/DasSchnelle/50/5000/9909/043081/I_043081_P_906306087_L_0035974138_1.png</t>
  </si>
  <si>
    <t>https://bilder.dasschnelle.at/DasSchnelle/50/5000/9909/043081/I_043081_P_906306087_B_0035974138_1.gal.png?height=384&amp;width=624;https://bilder.dasschnelle.at/DasSchnelle/50/5000/9909/043081/I_043081_P_906306087_B_0035974138_2.gal.png?height=344&amp;width=624;https://bilder.dasschnelle.at/DasSchnelle/50/5000/9909/043081/I_043081_P_906306087_B_0035974138_3.gal.png?height=345&amp;width=467;https://bilder.dasschnelle.at/DasSchnelle/50/5000/9909/043081/I_043081_P_906306087_B_0035974138_4.gal.png?height=343&amp;width=625</t>
  </si>
  <si>
    <t>Palzinsky, Eva, Psychotherapeutin • Zell am Moos • Oberösterreich</t>
  </si>
  <si>
    <t>Psychotherapie • Palzinsky, Eva, M.-Guggenbichler-Weg 1, Zell am Moos • Kontakt über aktuelle Telefonnummern ☎ und Adressen ⚑ mit Karte, Routing, Öffnungszeiten, Homepage, E-Mail, vCard und Firmendaten.</t>
  </si>
  <si>
    <t>M.-Guggenbichler-Weg 1</t>
  </si>
  <si>
    <t>4893</t>
  </si>
  <si>
    <t>Zell am Moos</t>
  </si>
  <si>
    <t>47.9008986</t>
  </si>
  <si>
    <t>13.3175785</t>
  </si>
  <si>
    <t>+43623482128</t>
  </si>
  <si>
    <t>psycho-praxis@palzinsky.at</t>
  </si>
  <si>
    <t>https://bilder.dasschnelle.at/DasSchnelle/50/5000/9909/043560/G_043560_P_906308378.adn.gif</t>
  </si>
  <si>
    <t>Renat-Köberl, Blumengärtnerei • Frohnleiten • Steiermark</t>
  </si>
  <si>
    <t>Bestattungsunternehmen, Gärtnereien • Renat-Köberl, Rabensteinerweg 1, Frohnleiten • Kontakt über aktuelle Telefonnummern ☎ und Adressen ⚑ mit Karte, Routing, Öffnungszeiten, Homepage, E-Mail, vCard und Firmendaten.</t>
  </si>
  <si>
    <t>Rabensteinerweg 1</t>
  </si>
  <si>
    <t>47.26906</t>
  </si>
  <si>
    <t>15.32239</t>
  </si>
  <si>
    <t>+4331262319</t>
  </si>
  <si>
    <t>+43312623198</t>
  </si>
  <si>
    <t>blumen.renatkoeberl@frohnleiten.at</t>
  </si>
  <si>
    <t>https://bilder.dasschnelle.at/DasSchnelle/50/5000/9883/061362/I_061362_P_906308394_L_0035999563_1.png</t>
  </si>
  <si>
    <t>https://bilder.dasschnelle.at/DasSchnelle/50/5000/9883/061362/I_061362_P_906308394_B_0035999563_1.gal.png?height=694&amp;width=720;https://bilder.dasschnelle.at/DasSchnelle/50/5000/9883/061362/I_061362_P_906308394_B_0035999563_2.gal.png?height=475&amp;width=720;https://bilder.dasschnelle.at/DasSchnelle/50/5000/9883/061362/G_061362_P_906308394.adn.gif</t>
  </si>
  <si>
    <t>Metalltechnik Hirschbauer, Martin • Fladnitz an der Teichalm • Steiermark</t>
  </si>
  <si>
    <t>Metallbau • Metalltechnik Hirschbauer, Martin, Schitterdorf 6, Fladnitz an der Teichalm • Kontakt über aktuelle Telefonnummern ☎ und Adressen ⚑ mit Karte, Routing, Öffnungszeiten, Homepage, E-Mail, vCard und Firmendaten.</t>
  </si>
  <si>
    <t>Schitterdorf 6</t>
  </si>
  <si>
    <t>47.2657</t>
  </si>
  <si>
    <t>15.42844</t>
  </si>
  <si>
    <t>+436767081919</t>
  </si>
  <si>
    <t>office@metalltechnik-hirschbauer.at</t>
  </si>
  <si>
    <t>https://bilder.dasschnelle.at/DasSchnelle/50/5000/9883/042353/I_042353_P_906308397_L_0035999031_1.png</t>
  </si>
  <si>
    <t>https://bilder.dasschnelle.at/DasSchnelle/50/5000/9883/042353/I_042353_P_906308397_B_0035999031_1.gal.png?height=744&amp;width=991;https://bilder.dasschnelle.at/DasSchnelle/50/5000/9883/042353/I_042353_P_906308397_B_0035999031_2.gal.png?height=554&amp;width=831;https://bilder.dasschnelle.at/DasSchnelle/50/5000/9883/042353/I_042353_P_906308397_B_0035999031_3.gal.png?height=540&amp;width=720;https://bilder.dasschnelle.at/DasSchnelle/50/5000/9883/042353/I_042353_P_906308397_B_0035999031_4.gal.png?height=350&amp;width=350;https://bilder.dasschnelle.at/DasSchnelle/50/5000/9883/042353/G_042353_P_906308397.adn.gif</t>
  </si>
  <si>
    <t>Wolfgang Brunnsteiner, Ing., Waffentechnik • Leibnitz • Steiermark</t>
  </si>
  <si>
    <t>Waffen u. Munition • Wolfgang Brunnsteiner, Ing., Augasse 5, Leibnitz • Kontakt über aktuelle Telefonnummern ☎ und Adressen ⚑ mit Karte, Routing, Öffnungszeiten, Homepage, E-Mail, vCard und Firmendaten.</t>
  </si>
  <si>
    <t>https://bilder.dasschnelle.at/DasSchnelle/50/5000/9904/061363/I_061363_P_906308826_L_0035969907_1.png</t>
  </si>
  <si>
    <t>https://bilder.dasschnelle.at/DasSchnelle/50/5000/9904/061363/I_061363_P_906308826_B_0035969907_1.gal.png?height=540&amp;width=720;https://bilder.dasschnelle.at/DasSchnelle/50/5000/9904/061363/I_061363_P_906308826_B_0035969907_2.gal.png?height=540&amp;width=720;https://bilder.dasschnelle.at/DasSchnelle/50/5000/9904/061363/I_061363_P_906308826_B_0035969907_3.gal.png?height=540&amp;width=720;https://bilder.dasschnelle.at/DasSchnelle/50/5000/9904/061363/I_061363_P_906308826_B_0035969907_4.gal.png?height=540&amp;width=720</t>
  </si>
  <si>
    <t>TREUHAND-UNION Salzburg Steuerberatungs GmbH &amp; Co KG • Unterach • Oberösterreich</t>
  </si>
  <si>
    <t>Steuerberater • TREUHAND-UNION Salzburg Steuerberatungs GmbH &amp; Co KG, See am Mondsee 1, Unterach • Kontakt über aktuelle Telefonnummern ☎ und Adressen ⚑ mit Karte, Routing, Öffnungszeiten, Homepage, E-Mail, vCard und Firmendaten.</t>
  </si>
  <si>
    <t>See am Mondsee 1</t>
  </si>
  <si>
    <t>47.80588</t>
  </si>
  <si>
    <t>13.45137</t>
  </si>
  <si>
    <t>+436649205515</t>
  </si>
  <si>
    <t>gerhard.reichl@tu-salzburg.at</t>
  </si>
  <si>
    <t>https://bilder.dasschnelle.at/DasSchnelle/50/5000/9909/043554/G_043554_P_906308669.adn.gif</t>
  </si>
  <si>
    <t>Blumen Schlatter • Zams • Tirol</t>
  </si>
  <si>
    <t>Blumenhandel, Gärtnereien • Blumen Schlatter, Hauptstraße 106, Zams • Kontakt über aktuelle Telefonnummern ☎ und Adressen ⚑ mit Karte, Routing, Öffnungszeiten, Homepage, E-Mail, vCard und Firmendaten.</t>
  </si>
  <si>
    <t>Hauptstraße 106</t>
  </si>
  <si>
    <t>47.15948</t>
  </si>
  <si>
    <t>10.58826</t>
  </si>
  <si>
    <t>+43544265061</t>
  </si>
  <si>
    <t>blumenschlatter@hotmail.de</t>
  </si>
  <si>
    <t>https://bilder.dasschnelle.at/DasSchnelle/50/5000/9903/044584/G_044584_P_906308803.adn.gif</t>
  </si>
  <si>
    <t>Glaserei Aldrian Andreas, Glasereien • Gratwein • Steiermark</t>
  </si>
  <si>
    <t>Glasereien • Glaserei Aldrian Andreas, Judendorfer Straße 3, Gratwein • Kontakt über aktuelle Telefonnummern ☎ und Adressen ⚑ mit Karte, Routing, Öffnungszeiten, Homepage, E-Mail, vCard und Firmendaten.</t>
  </si>
  <si>
    <t>Judendorfer Straße 3</t>
  </si>
  <si>
    <t>47.12906</t>
  </si>
  <si>
    <t>15.31903</t>
  </si>
  <si>
    <t>+43312451097;+436643816075</t>
  </si>
  <si>
    <t>glaserei-aldrian@gmx.at</t>
  </si>
  <si>
    <t>https://bilder.dasschnelle.at/DasSchnelle/50/5000/9883/061359/I_061359_P_906309132_L_0035999567_1.png</t>
  </si>
  <si>
    <t>https://bilder.dasschnelle.at/DasSchnelle/50/5000/9883/061359/I_061359_P_906309132_B_0035999567_1.gal.png?height=388&amp;width=940;https://bilder.dasschnelle.at/DasSchnelle/50/5000/9883/061359/I_061359_P_906309132_B_0035999567_2.gal.png?height=540&amp;width=720;https://bilder.dasschnelle.at/DasSchnelle/50/5000/9883/061359/I_061359_P_906309132_B_0035999567_3.gal.png?height=720&amp;width=536;https://bilder.dasschnelle.at/DasSchnelle/50/5000/9883/061359/I_061359_P_906309132_B_0035999567_4.gal.png?height=720&amp;width=528;https://bilder.dasschnelle.at/DasSchnelle/50/5000/9883/061359/G_061359_P_906309132.adn.gif</t>
  </si>
  <si>
    <t>Wagner OG, Tankstellen • Groß Gerungs • Niederösterreich</t>
  </si>
  <si>
    <t>Tankstellen • Wagner OG, Bahnhofstraße 144, Groß Gerungs • Kontakt über aktuelle Telefonnummern ☎ und Adressen ⚑ mit Karte, Routing, Öffnungszeiten, Homepage, E-Mail, vCard und Firmendaten.</t>
  </si>
  <si>
    <t>Bahnhofstraße 144</t>
  </si>
  <si>
    <t>48.57212</t>
  </si>
  <si>
    <t>14.95826</t>
  </si>
  <si>
    <t>+4328128372;+436642212062</t>
  </si>
  <si>
    <t>wagner_ohg@a1.net</t>
  </si>
  <si>
    <t>https://bilder.dasschnelle.at/DasSchnelle/50/5000/9950/044528/G_044528_P_906309137.adn.gif</t>
  </si>
  <si>
    <t>Keplinger GesmbH &amp; Co. KG., Autospenglerei • Freistadt • Oberösterreich</t>
  </si>
  <si>
    <t>Autospenglereien • Keplinger GesmbH &amp; Co. KG., Graben 28, Freistadt • Kontakt über aktuelle Telefonnummern ☎ und Adressen ⚑ mit Karte, Routing, Öffnungszeiten, Homepage, E-Mail, vCard und Firmendaten.</t>
  </si>
  <si>
    <t>Graben 28</t>
  </si>
  <si>
    <t>48.52037</t>
  </si>
  <si>
    <t>14.51905</t>
  </si>
  <si>
    <t>+43794272168</t>
  </si>
  <si>
    <t>+43794275411</t>
  </si>
  <si>
    <t>office@spenglerei-keplinger.at</t>
  </si>
  <si>
    <t>https://bilder.dasschnelle.at/DasSchnelle/50/5000/9882/044815/G_044815_P_906309959.adn.gif</t>
  </si>
  <si>
    <t>Gasthof Haslinger, Gasthaus • Pregarten • Oberösterreich</t>
  </si>
  <si>
    <t>Gastgewerbe - Gasthöfe • Gasthof Haslinger, Gutauerstrasse 13, Pregarten • Kontakt über aktuelle Telefonnummern ☎ und Adressen ⚑ mit Karte, Routing, Öffnungszeiten, Homepage, E-Mail, vCard und Firmendaten.</t>
  </si>
  <si>
    <t>Gutauerstrasse 13</t>
  </si>
  <si>
    <t>48.3569</t>
  </si>
  <si>
    <t>14.53047</t>
  </si>
  <si>
    <t>+43723678582</t>
  </si>
  <si>
    <t>email@gasthofhaslinger.at</t>
  </si>
  <si>
    <t>https://bilder.dasschnelle.at/DasSchnelle/50/5000/9882/041774/G_041774_P_906309962.adn.gif</t>
  </si>
  <si>
    <t>Cerenko KG, Kraftfahrzeugtechniker • Freistadt • Oberösterreich</t>
  </si>
  <si>
    <t>Autoreparaturen • Cerenko KG, Kaplanstraße 2, Freistadt • Kontakt über aktuelle Telefonnummern ☎ und Adressen ⚑ mit Karte, Routing, Öffnungszeiten, Homepage, E-Mail, vCard und Firmendaten.</t>
  </si>
  <si>
    <t>48.49452</t>
  </si>
  <si>
    <t>14.50329</t>
  </si>
  <si>
    <t>+43794272560;+436607813597</t>
  </si>
  <si>
    <t>+43794274522</t>
  </si>
  <si>
    <t>office@cerenko.at</t>
  </si>
  <si>
    <t>https://bilder.dasschnelle.at/DasSchnelle/50/5000/9882/044815/G_044815_P_906309968.adn.gif</t>
  </si>
  <si>
    <t>Zenz, Gerhard, Dr., Rechtsanwalt • Mondsee • Oberösterreich</t>
  </si>
  <si>
    <t>Rechtsanwälte • Zenz, Gerhard, Dr., Rainerstraße 19, Mondsee • Kontakt über aktuelle Telefonnummern ☎ und Adressen ⚑ mit Karte, Routing, Öffnungszeiten, Homepage, E-Mail, vCard und Firmendaten.</t>
  </si>
  <si>
    <t>Rainerstraße 19</t>
  </si>
  <si>
    <t>47.85452</t>
  </si>
  <si>
    <t>13.34741</t>
  </si>
  <si>
    <t>+43623227227;+436644270180</t>
  </si>
  <si>
    <t>+436232272277</t>
  </si>
  <si>
    <t>g.zenz@aon.at</t>
  </si>
  <si>
    <t>Taxi-Krankentransporte Kastl Gerhard • Sankt Oswald bei Freistadt • Oberösterreich</t>
  </si>
  <si>
    <t>Krankentransporte / Krankenbeförderung, Taxi • Taxi-Krankentransporte Kastl Gerhard, Am Steinhügel 21, Sankt Oswald bei Freistadt • Kontakt über aktuelle Telefonnummern ☎ und Adressen ⚑ mit Karte, Routing, Öffnungszeiten, Homepage, E-Mail, vCard und Firmendaten.</t>
  </si>
  <si>
    <t>Am Steinhügel 21</t>
  </si>
  <si>
    <t>48.50215</t>
  </si>
  <si>
    <t>14.58288</t>
  </si>
  <si>
    <t>+436645132324</t>
  </si>
  <si>
    <t>anita.kastl@taxigerhard.at</t>
  </si>
  <si>
    <t>https://bilder.dasschnelle.at/DasSchnelle/50/5000/9882/044815/G_044815_P_906310691.adn.gif</t>
  </si>
  <si>
    <t>Fahrschule Ing. Franz Dieter Auböck e.U. • Freistadt • Oberösterreich</t>
  </si>
  <si>
    <t>Fahrschulen • Fahrschule Ing. Franz Dieter Auböck e.U., Linzer Straße 43, Freistadt • Kontakt über aktuelle Telefonnummern ☎ und Adressen ⚑ mit Karte, Routing, Öffnungszeiten, Homepage, E-Mail, vCard und Firmendaten.</t>
  </si>
  <si>
    <t>Linzer Straße 43</t>
  </si>
  <si>
    <t>48.50183</t>
  </si>
  <si>
    <t>14.50247</t>
  </si>
  <si>
    <t>+43794272471</t>
  </si>
  <si>
    <t>office@ps-academy.at</t>
  </si>
  <si>
    <t>https://bilder.dasschnelle.at/DasSchnelle/50/5000/9882/044815/G_044815_P_906310701.adn.gif</t>
  </si>
  <si>
    <t>Mayrhofer, Elisabeth, Physiotherapeutin • Innerschwand • Oberösterreich</t>
  </si>
  <si>
    <t>Physiotherapie • Mayrhofer, Elisabeth, Loibichl 37, Innerschwand • Kontakt über aktuelle Telefonnummern ☎ und Adressen ⚑ mit Karte, Routing, Öffnungszeiten, Homepage, E-Mail, vCard und Firmendaten.</t>
  </si>
  <si>
    <t>Loibichl 37</t>
  </si>
  <si>
    <t>47.82976</t>
  </si>
  <si>
    <t>13.40636</t>
  </si>
  <si>
    <t>+436642638379</t>
  </si>
  <si>
    <t>elisabeth.mhofer@gmail.com</t>
  </si>
  <si>
    <t>https://bilder.dasschnelle.at/DasSchnelle/50/5000/9909/043078/I_043078_P_906310703_B_0035974080_1.gal.png?height=429&amp;width=578</t>
  </si>
  <si>
    <t>MKB FensterhandelsgesmbH, Fenster • Markt-Übelbach • Steiermark</t>
  </si>
  <si>
    <t>Fenster u. Türen • MKB FensterhandelsgesmbH, Alter Markt 57 A, Markt-Übelbach • Kontakt über aktuelle Telefonnummern ☎ und Adressen ⚑ mit Karte, Routing, Öffnungszeiten, Homepage, E-Mail, vCard und Firmendaten.</t>
  </si>
  <si>
    <t>Alter Markt 57 A</t>
  </si>
  <si>
    <t>47.22675</t>
  </si>
  <si>
    <t>15.23476</t>
  </si>
  <si>
    <t>+43312527529;+4366488225830;+4366488226474</t>
  </si>
  <si>
    <t>office@mkb-fenster.at</t>
  </si>
  <si>
    <t>https://bilder.dasschnelle.at/DasSchnelle/50/5000/9883/042359/G_042359_P_906310709.adn.gif</t>
  </si>
  <si>
    <t>Weberberger, Uta, Dr., Zahnärztin • Mondsee • Oberösterreich</t>
  </si>
  <si>
    <t>Zahnärzte • Weberberger, Uta, Dr., Pflegerstraße 3 /1, Mondsee • Kontakt über aktuelle Telefonnummern ☎ und Adressen ⚑ mit Karte, Routing, Öffnungszeiten, Homepage, E-Mail, vCard und Firmendaten.</t>
  </si>
  <si>
    <t>Pflegerstraße 3 /1</t>
  </si>
  <si>
    <t>47.8559100</t>
  </si>
  <si>
    <t>13.3478800</t>
  </si>
  <si>
    <t>+4362322572</t>
  </si>
  <si>
    <t>info@mondsee-zahnarzt.at</t>
  </si>
  <si>
    <t>https://bilder.dasschnelle.at/DasSchnelle/50/5000/9909/043081/I_043081_P_906310713_L_0035974331_1.png</t>
  </si>
  <si>
    <t>https://bilder.dasschnelle.at/DasSchnelle/50/5000/9909/043081/I_043081_P_906310713_B_0035974331_1.gal.png?height=275&amp;width=398;https://bilder.dasschnelle.at/DasSchnelle/50/5000/9909/043081/I_043081_P_906310713_B_0035974331_2.gal.png?height=340&amp;width=969;https://bilder.dasschnelle.at/DasSchnelle/50/5000/9909/043081/I_043081_P_906310713_B_0035974331_3.gal.png?height=194&amp;width=307</t>
  </si>
  <si>
    <t>Sobitsch Bau &amp; Holz Handel GmbH, Zimmerei • Semriach • Steiermark</t>
  </si>
  <si>
    <t>Zimmereien • Sobitsch Bau &amp; Holz Handel GmbH, Schulstraße 43, Semriach • Kontakt über aktuelle Telefonnummern ☎ und Adressen ⚑ mit Karte, Routing, Öffnungszeiten, Homepage, E-Mail, vCard und Firmendaten.</t>
  </si>
  <si>
    <t>Schulstraße 43</t>
  </si>
  <si>
    <t>47.20367</t>
  </si>
  <si>
    <t>15.37471</t>
  </si>
  <si>
    <t>+43312780925;+436641138060;+436641138062</t>
  </si>
  <si>
    <t>franz@sobi.at</t>
  </si>
  <si>
    <t>https://bilder.dasschnelle.at/DasSchnelle/50/5000/9883/042353/I_042353_P_906310719_L_0036000009_1.png</t>
  </si>
  <si>
    <t>https://bilder.dasschnelle.at/DasSchnelle/50/5000/9883/042353/I_042353_P_906310719_B_0036000009_1.gal.png?height=607&amp;width=815;https://bilder.dasschnelle.at/DasSchnelle/50/5000/9883/042353/I_042353_P_906310719_B_0036000009_2.gal.png?height=610&amp;width=812;https://bilder.dasschnelle.at/DasSchnelle/50/5000/9883/042353/I_042353_P_906310719_B_0036000009_3.gal.png?height=538&amp;width=720;https://bilder.dasschnelle.at/DasSchnelle/50/5000/9883/042353/I_042353_P_906310719_B_0036000009_4.gal.png?height=403&amp;width=720;https://bilder.dasschnelle.at/DasSchnelle/50/5000/9883/042353/G_042353_P_906310719.adn.gif</t>
  </si>
  <si>
    <t>Schmidt, Günter, Ergotherapie • Schärding • Oberösterreich</t>
  </si>
  <si>
    <t>Ergotherapie • Schmidt, Günter, Pramhöhe 16, Schärding • Kontakt über aktuelle Telefonnummern ☎ und Adressen ⚑ mit Karte, Routing, Öffnungszeiten, Homepage, E-Mail, vCard und Firmendaten.</t>
  </si>
  <si>
    <t>Pramhöhe 16</t>
  </si>
  <si>
    <t>48.45663</t>
  </si>
  <si>
    <t>13.43757</t>
  </si>
  <si>
    <t>+436767564274</t>
  </si>
  <si>
    <t>info@gesundheitspraxis-schärding.at</t>
  </si>
  <si>
    <t>https://bilder.dasschnelle.at/DasSchnelle/50/5000/9926/042797/G_042797_P_906310723.adn.gif</t>
  </si>
  <si>
    <t>Textil Auer, Josef, Textilwaren • Landeck • Tirol</t>
  </si>
  <si>
    <t>Beschriftungen • Textil Auer, Josef, Malserstraße 26, Landeck • Kontakt über aktuelle Telefonnummern ☎ und Adressen ⚑ mit Karte, Routing, Öffnungszeiten, Homepage, E-Mail, vCard und Firmendaten.</t>
  </si>
  <si>
    <t>Malserstraße 26</t>
  </si>
  <si>
    <t>47.13821</t>
  </si>
  <si>
    <t>10.56694</t>
  </si>
  <si>
    <t>+43544268000</t>
  </si>
  <si>
    <t>office@auer-landeck.at</t>
  </si>
  <si>
    <t>https://bilder.dasschnelle.at/DasSchnelle/50/5000/9903/044584/G_044584_P_906310779.adn.gif</t>
  </si>
  <si>
    <t>Hingsamer, Gerhard, Massagepraxis • St. Florian am Inn • Oberösterreich</t>
  </si>
  <si>
    <t>Massagen • Hingsamer, Gerhard, Bubing 130, St. Florian am Inn • Kontakt über aktuelle Telefonnummern ☎ und Adressen ⚑ mit Karte, Routing, Öffnungszeiten, Homepage, E-Mail, vCard und Firmendaten.</t>
  </si>
  <si>
    <t>Bubing 130</t>
  </si>
  <si>
    <t>48.4529680</t>
  </si>
  <si>
    <t>13.4618204</t>
  </si>
  <si>
    <t>+4377124807;+4366473570634;+4366473570638</t>
  </si>
  <si>
    <t>https://bilder.dasschnelle.at/DasSchnelle/50/5000/9926/042793/G_042793_P_906310787.adn.gif</t>
  </si>
  <si>
    <t>Putzenbacher, Angelika, Mag.med.vet., Tierärzte • Andorf • Oberösterreich</t>
  </si>
  <si>
    <t>Tierärzte • Putzenbacher, Angelika, Mag.med.vet., Hauptstraße 39, Andorf • Kontakt über aktuelle Telefonnummern ☎ und Adressen ⚑ mit Karte, Routing, Öffnungszeiten, Homepage, E-Mail, vCard und Firmendaten.</t>
  </si>
  <si>
    <t>48.36918</t>
  </si>
  <si>
    <t>13.57029</t>
  </si>
  <si>
    <t>+43776650199</t>
  </si>
  <si>
    <t>office@kleintier-praxis.at</t>
  </si>
  <si>
    <t>https://bilder.dasschnelle.at/DasSchnelle/50/5000/9926/042303/I_042303_P_906310791_L_0035992867_1.png</t>
  </si>
  <si>
    <t>https://bilder.dasschnelle.at/DasSchnelle/50/5000/9926/042303/I_042303_P_906310791_B_0035992867_1.gal.png?height=480&amp;width=720;https://bilder.dasschnelle.at/DasSchnelle/50/5000/9926/042303/I_042303_P_906310791_B_0035992867_2.gal.png?height=699&amp;width=587;https://bilder.dasschnelle.at/DasSchnelle/50/5000/9926/042303/I_042303_P_906310791_B_0035992867_3.gal.png?height=296&amp;width=720;https://bilder.dasschnelle.at/DasSchnelle/50/5000/9926/042303/I_042303_P_906310791_B_0035992867_4.gal.png?height=479&amp;width=720</t>
  </si>
  <si>
    <t>Geist, Helmut, Dr.med., FA f Zahn-, Mund- u Kieferheilkunde • Unterach • Oberösterreich</t>
  </si>
  <si>
    <t>Ärzte / Fachärzte f. Zahn-, Mund u. Kieferheilkunde • Geist, Helmut, Dr.med., Hauptplatz 1, Unterach • Kontakt über aktuelle Telefonnummern ☎ und Adressen ⚑ mit Karte, Routing, Öffnungszeiten, Homepage, E-Mail, vCard und Firmendaten.</t>
  </si>
  <si>
    <t>47.8046000</t>
  </si>
  <si>
    <t>13.4887800</t>
  </si>
  <si>
    <t>+4376657377</t>
  </si>
  <si>
    <t>dr.geist@utanet.at</t>
  </si>
  <si>
    <t>https://bilder.dasschnelle.at/DasSchnelle/50/5000/9909/043554/G_043554_P_906311093.adn.gif</t>
  </si>
  <si>
    <t>Fill Metallbau Schärding GmbH, Metallbau • Schnelldorf • Oberösterreich</t>
  </si>
  <si>
    <t>Metallbau • Fill Metallbau Schärding GmbH, Schnelldorf 50, Schnelldorf • Kontakt über aktuelle Telefonnummern ☎ und Adressen ⚑ mit Karte, Routing, Öffnungszeiten, Homepage, E-Mail, vCard und Firmendaten.</t>
  </si>
  <si>
    <t>Schnelldorf 50</t>
  </si>
  <si>
    <t>Schnelldorf</t>
  </si>
  <si>
    <t>48.4200817</t>
  </si>
  <si>
    <t>13.4381778</t>
  </si>
  <si>
    <t>+43771131530</t>
  </si>
  <si>
    <t>info@fill-metallbau.at</t>
  </si>
  <si>
    <t>https://bilder.dasschnelle.at/DasSchnelle/50/5000/9926/042797/G_042797_P_906311091.adn.gif</t>
  </si>
  <si>
    <t>Apotheke zum schwarzen Adler Mag. Hölzl KG • Zwettl • Niederösterreich</t>
  </si>
  <si>
    <t>Apotheken • Apotheke zum schwarzen Adler Mag. Hölzl KG, Hauptplatz 11, Zwettl • Kontakt über aktuelle Telefonnummern ☎ und Adressen ⚑ mit Karte, Routing, Öffnungszeiten, Homepage, E-Mail, vCard und Firmendaten.</t>
  </si>
  <si>
    <t>48.60381</t>
  </si>
  <si>
    <t>15.16837</t>
  </si>
  <si>
    <t>+43282252458</t>
  </si>
  <si>
    <t>apotheke.zwettl@aon.at</t>
  </si>
  <si>
    <t>https://bilder.dasschnelle.at/DasSchnelle/50/5000/9950/044545/G_044545_P_906311097.adn.gif</t>
  </si>
  <si>
    <t>Fasthuber GesmbH, Bauwarenhandel • Sankt Florian am Inn • Oberösterreich</t>
  </si>
  <si>
    <t>Baubedarf, Baustoffhandel, Bauunternehmen • Fasthuber GesmbH, Sankt Florian 53, Sankt Florian am Inn • Kontakt über aktuelle Telefonnummern ☎ und Adressen ⚑ mit Karte, Routing, Öffnungszeiten, Homepage, E-Mail, vCard und Firmendaten.</t>
  </si>
  <si>
    <t>Sankt Florian 53</t>
  </si>
  <si>
    <t>Sankt Florian am Inn</t>
  </si>
  <si>
    <t>48.4432800</t>
  </si>
  <si>
    <t>13.4406961</t>
  </si>
  <si>
    <t>+4377122300;+4377125107</t>
  </si>
  <si>
    <t>fasthuber.baubedarf@gmail.com</t>
  </si>
  <si>
    <t>https://bilder.dasschnelle.at/DasSchnelle/50/5000/9926/042793/G_042793_P_906311151.adn.gif</t>
  </si>
  <si>
    <t>Auto Stockinger GmbH, Mazda-Vertragshändler, Autoreparaturen • Rainbach im Mühlkreis • Oberösterreich</t>
  </si>
  <si>
    <t>Autoreparaturen • Auto Stockinger GmbH, Mazda-Vertragshändler, Freistädter Straße 8, Rainbach im Mühlkreis • Kontakt über aktuelle Telefonnummern ☎ und Adressen ⚑ mit Karte, Routing, Öffnungszeiten, Homepage, E-Mail, vCard und Firmendaten.</t>
  </si>
  <si>
    <t>Freistädter Straße 8</t>
  </si>
  <si>
    <t>48.55452</t>
  </si>
  <si>
    <t>14.48001</t>
  </si>
  <si>
    <t>+4379496161</t>
  </si>
  <si>
    <t>+4379496066</t>
  </si>
  <si>
    <t>office@auto-stockinger.at</t>
  </si>
  <si>
    <t>https://bilder.dasschnelle.at/DasSchnelle/50/5000/9882/041775/G_041775_P_906310757.adn.gif</t>
  </si>
  <si>
    <t>Biebl, Bernhard, Bestattung • Sandl • Oberösterreich</t>
  </si>
  <si>
    <t>Bestattungsunternehmen • Biebl, Bernhard, Sandl 20, Sandl • Kontakt über aktuelle Telefonnummern ☎ und Adressen ⚑ mit Karte, Routing, Öffnungszeiten, Homepage, E-Mail, vCard und Firmendaten.</t>
  </si>
  <si>
    <t>Sandl 20</t>
  </si>
  <si>
    <t>4251</t>
  </si>
  <si>
    <t>Sandl</t>
  </si>
  <si>
    <t>48.5603071</t>
  </si>
  <si>
    <t>14.6439945</t>
  </si>
  <si>
    <t>+43794420575</t>
  </si>
  <si>
    <t>info@trauerberatung.at</t>
  </si>
  <si>
    <t>https://bilder.dasschnelle.at/DasSchnelle/50/5000/9882/041776/G_041776_P_906310760.adn.gif</t>
  </si>
  <si>
    <t>Yixiao, Ma, China Restaurant • Freistadt • Oberösterreich</t>
  </si>
  <si>
    <t>Gastronomiebetriebe, Restaurants / Chinesisch • Yixiao, Ma, Salzgasse 5, Freistadt • Kontakt über aktuelle Telefonnummern ☎ und Adressen ⚑ mit Karte, Routing, Öffnungszeiten, Homepage, E-Mail, vCard und Firmendaten.</t>
  </si>
  <si>
    <t>Salzgasse 5</t>
  </si>
  <si>
    <t>48.5114700</t>
  </si>
  <si>
    <t>14.5029800</t>
  </si>
  <si>
    <t>+43794272218</t>
  </si>
  <si>
    <t>jinqifeng168@gmail.com</t>
  </si>
  <si>
    <t>https://bilder.dasschnelle.at/DasSchnelle/50/5000/9882/044815/G_044815_P_906311041.adn.gif</t>
  </si>
  <si>
    <t>Zeng &amp; Fischer OG, Asia Restaurant Panda • Freistadt • Oberösterreich</t>
  </si>
  <si>
    <t>Restaurants • Zeng &amp; Fischer OG, Asia Restaurant Panda, Linzer Straße 57, Freistadt • Kontakt über aktuelle Telefonnummern ☎ und Adressen ⚑ mit Karte, Routing, Öffnungszeiten, Homepage, E-Mail, vCard und Firmendaten.</t>
  </si>
  <si>
    <t>Linzer Straße 57</t>
  </si>
  <si>
    <t>48.49856</t>
  </si>
  <si>
    <t>14.50427</t>
  </si>
  <si>
    <t>+43794272851</t>
  </si>
  <si>
    <t>zengsj1985@gmail.com</t>
  </si>
  <si>
    <t>https://bilder.dasschnelle.at/DasSchnelle/50/5000/9882/044815/G_044815_P_906311043.adn.gif</t>
  </si>
  <si>
    <t>Elektro-Pachner Gesellschaft m.b.H. • Freistadt • Oberösterreich</t>
  </si>
  <si>
    <t>Elektrotechnik • Elektro-Pachner Gesellschaft m.b.H., Industriestraße 9, Freistadt • Kontakt über aktuelle Telefonnummern ☎ und Adressen ⚑ mit Karte, Routing, Öffnungszeiten, Homepage, E-Mail, vCard und Firmendaten.</t>
  </si>
  <si>
    <t>Industriestraße 9</t>
  </si>
  <si>
    <t>48.49707</t>
  </si>
  <si>
    <t>14.499</t>
  </si>
  <si>
    <t>+437942732610</t>
  </si>
  <si>
    <t>office@elektro-pachner.at</t>
  </si>
  <si>
    <t>https://bilder.dasschnelle.at/DasSchnelle/50/5000/9882/044815/I_044815_P_906311045_L_0037237293_1.png</t>
  </si>
  <si>
    <t>https://bilder.dasschnelle.at/DasSchnelle/50/5000/9882/044815/I_044815_P_906311045_B_0037237293_1.gal.png?height=151&amp;width=624;https://bilder.dasschnelle.at/DasSchnelle/50/5000/9882/044815/I_044815_P_906311045_B_0037237293_2.gal.png?height=151&amp;width=624;https://bilder.dasschnelle.at/DasSchnelle/50/5000/9882/044815/I_044815_P_906311045_B_0037237293_3.gal.png?height=151&amp;width=624;https://bilder.dasschnelle.at/DasSchnelle/50/5000/9882/044815/I_044815_P_906311045_B_0037237293_4.gal.png?height=151&amp;width=624</t>
  </si>
  <si>
    <t>Fruhmann, Klaus, Tischlerei • Rein • Steiermark</t>
  </si>
  <si>
    <t>Tischlereien • Fruhmann, Klaus, Hörgas 59, Rein • Kontakt über aktuelle Telefonnummern ☎ und Adressen ⚑ mit Karte, Routing, Öffnungszeiten, Homepage, E-Mail, vCard und Firmendaten.</t>
  </si>
  <si>
    <t>Hörgas 59</t>
  </si>
  <si>
    <t>8103</t>
  </si>
  <si>
    <t>Rein</t>
  </si>
  <si>
    <t>47.1426075</t>
  </si>
  <si>
    <t>15.2935104</t>
  </si>
  <si>
    <t>+43312456192</t>
  </si>
  <si>
    <t>klaus.fruhmann@aon.at</t>
  </si>
  <si>
    <t>https://bilder.dasschnelle.at/DasSchnelle/50/5000/9883/061359/G_061359_P_906311047.adn.gif</t>
  </si>
  <si>
    <t>Beranek GmbH, Installationen • Gratwein-Straßengel • Steiermark</t>
  </si>
  <si>
    <t>Installationsunternehmen • Beranek GmbH, Tallak 176, Gratwein-Straßengel • Kontakt über aktuelle Telefonnummern ☎ und Adressen ⚑ mit Karte, Routing, Öffnungszeiten, Homepage, E-Mail, vCard und Firmendaten.</t>
  </si>
  <si>
    <t>Tallak 176</t>
  </si>
  <si>
    <t>47.13242</t>
  </si>
  <si>
    <t>15.28807</t>
  </si>
  <si>
    <t>+43312455164</t>
  </si>
  <si>
    <t>beranek@gmx.net</t>
  </si>
  <si>
    <t>https://bilder.dasschnelle.at/DasSchnelle/50/5000/9883/061359/G_061359_P_906311049.adn.gif</t>
  </si>
  <si>
    <t>Marchl Stahlbau GesmbH, Stahlbau • Gratwein • Steiermark</t>
  </si>
  <si>
    <t>Stahl- u. Industriebau • Marchl Stahlbau GesmbH, Reiner Straße 60, Gratwein • Kontakt über aktuelle Telefonnummern ☎ und Adressen ⚑ mit Karte, Routing, Öffnungszeiten, Homepage, E-Mail, vCard und Firmendaten.</t>
  </si>
  <si>
    <t>Reiner Straße 60</t>
  </si>
  <si>
    <t>47.13051</t>
  </si>
  <si>
    <t>15.31204</t>
  </si>
  <si>
    <t>+433124514040</t>
  </si>
  <si>
    <t>+433124514044</t>
  </si>
  <si>
    <t>office@marchl-stahlbau.at</t>
  </si>
  <si>
    <t>https://bilder.dasschnelle.at/DasSchnelle/50/5000/9883/061359/G_061359_P_906311050.adn.gif</t>
  </si>
  <si>
    <t>Winter, Nikolaus, Fenster &amp; Türen • Gratkorn • Steiermark</t>
  </si>
  <si>
    <t>Fenster u. Türen • Winter, Nikolaus, Sankt Stefaner Straße 57, Gratkorn • Kontakt über aktuelle Telefonnummern ☎ und Adressen ⚑ mit Karte, Routing, Öffnungszeiten, Homepage, E-Mail, vCard und Firmendaten.</t>
  </si>
  <si>
    <t>Sankt Stefaner Straße 57</t>
  </si>
  <si>
    <t>47.13356</t>
  </si>
  <si>
    <t>15.3512</t>
  </si>
  <si>
    <t>+43312423635;+436643379613</t>
  </si>
  <si>
    <t>winter.fenster@aon.at</t>
  </si>
  <si>
    <t>https://bilder.dasschnelle.at/DasSchnelle/50/5000/9883/042322/I_042322_P_906311181_L_0035999508_1.png</t>
  </si>
  <si>
    <t>https://bilder.dasschnelle.at/DasSchnelle/50/5000/9883/042322/I_042322_P_906311181_B_0035999508_1.gal.png?height=199&amp;width=629;https://bilder.dasschnelle.at/DasSchnelle/50/5000/9883/042322/I_042322_P_906311181_B_0035999508_2.gal.png?height=486&amp;width=733;https://bilder.dasschnelle.at/DasSchnelle/50/5000/9883/042322/I_042322_P_906311181_B_0035999508_3.gal.png?height=720&amp;width=586</t>
  </si>
  <si>
    <t>Optiker Kontaktlinsen Hörgeräteakustiker Wimmer Wolfgang • Mondsee • Oberösterreich</t>
  </si>
  <si>
    <t>Gesundheitsberatung, Kontaktlinsen • Optiker Kontaktlinsen Hörgeräteakustiker Wimmer Wolfgang, Herzog Odilo-Straße 32, Mondsee • Kontakt über aktuelle Telefonnummern ☎ und Adressen ⚑ mit Karte, Routing, Öffnungszeiten, Homepage, E-Mail, vCard und Firmendaten.</t>
  </si>
  <si>
    <t>Herzog Odilo-Straße 32</t>
  </si>
  <si>
    <t>13.34845</t>
  </si>
  <si>
    <t>+4362323061</t>
  </si>
  <si>
    <t>+4362324588</t>
  </si>
  <si>
    <t>office@wimmeroptik.at</t>
  </si>
  <si>
    <t>https://bilder.dasschnelle.at/DasSchnelle/50/5000/9909/043081/G_043081_P_906311149.adn.gif</t>
  </si>
  <si>
    <t>Sesser Alois GmbH, Kfz-Werkst Mazda-Verkauf u Service, Schlosserei u Landmaschinen • Zell am Moos • Oberösterreich</t>
  </si>
  <si>
    <t>Autohandel, Autoreparaturen • Sesser Alois GmbH, Mondseer Straße 1, Zell am Moos • Kontakt über aktuelle Telefonnummern ☎ und Adressen ⚑ mit Karte, Routing, Öffnungszeiten, Homepage, E-Mail, vCard und Firmendaten.</t>
  </si>
  <si>
    <t>Mondseer Straße 1</t>
  </si>
  <si>
    <t>47.90469</t>
  </si>
  <si>
    <t>13.31968</t>
  </si>
  <si>
    <t>+4362348206</t>
  </si>
  <si>
    <t>+43623420068</t>
  </si>
  <si>
    <t>mazda.sesser@aon.at</t>
  </si>
  <si>
    <t>https://bilder.dasschnelle.at/DasSchnelle/50/5000/9909/043560/G_043560_P_906311204.adn.gif</t>
  </si>
  <si>
    <t>Wögerer, Albert, Tischler • Freistadt • Oberösterreich</t>
  </si>
  <si>
    <t>Tischlereien • Wögerer, Albert, Fossenhofstraße 2, Freistadt • Kontakt über aktuelle Telefonnummern ☎ und Adressen ⚑ mit Karte, Routing, Öffnungszeiten, Homepage, E-Mail, vCard und Firmendaten.</t>
  </si>
  <si>
    <t>Fossenhofstraße 2</t>
  </si>
  <si>
    <t>48.50838</t>
  </si>
  <si>
    <t>14.49786</t>
  </si>
  <si>
    <t>+43794277770</t>
  </si>
  <si>
    <t>woegerer@epnet.at</t>
  </si>
  <si>
    <t>https://bilder.dasschnelle.at/DasSchnelle/50/5000/9882/044815/G_044815_P_906311207.adn.gif</t>
  </si>
  <si>
    <t>Hairstyling Andrea • Pregarten • Oberösterreich</t>
  </si>
  <si>
    <t>Friseure • Hairstyling Andrea, Tragweiner Straße 30, Pregarten • Kontakt über aktuelle Telefonnummern ☎ und Adressen ⚑ mit Karte, Routing, Öffnungszeiten, Homepage, E-Mail, vCard und Firmendaten.</t>
  </si>
  <si>
    <t>Tragweiner Straße 30</t>
  </si>
  <si>
    <t>48.35382</t>
  </si>
  <si>
    <t>14.53396</t>
  </si>
  <si>
    <t>+4372362485</t>
  </si>
  <si>
    <t>office@andrea-hairstyling.at</t>
  </si>
  <si>
    <t>https://bilder.dasschnelle.at/DasSchnelle/50/5000/9882/041774/G_041774_P_906311209.adn.gif</t>
  </si>
  <si>
    <t>Busreisen Feichtinger GmbH, Busreisen • Mondsee • Oberösterreich</t>
  </si>
  <si>
    <t>Busunternehmen • Busreisen Feichtinger GmbH, Franz Kreutzberger-Straße 9, Mondsee • Kontakt über aktuelle Telefonnummern ☎ und Adressen ⚑ mit Karte, Routing, Öffnungszeiten, Homepage, E-Mail, vCard und Firmendaten.</t>
  </si>
  <si>
    <t>Franz Kreutzberger-Straße 9</t>
  </si>
  <si>
    <t>47.8534900</t>
  </si>
  <si>
    <t>13.3490000</t>
  </si>
  <si>
    <t>+4362322335;+4362324426</t>
  </si>
  <si>
    <t>bus@reisen-feichtinger.at</t>
  </si>
  <si>
    <t>https://bilder.dasschnelle.at/DasSchnelle/50/5000/9909/043081/G_043081_P_906310805.adn.gif</t>
  </si>
  <si>
    <t>Gasthof DORFWIRT, Gastgewerbe - Gasthöfe • Frohnleiten • Steiermark</t>
  </si>
  <si>
    <t>Gastgewerbe - Gasthöfe • Gasthof DORFWIRT, Adriach 22, Frohnleiten • Kontakt über aktuelle Telefonnummern ☎ und Adressen ⚑ mit Karte, Routing, Öffnungszeiten, Homepage, E-Mail, vCard und Firmendaten.</t>
  </si>
  <si>
    <t>Adriach 22</t>
  </si>
  <si>
    <t>47.2657154</t>
  </si>
  <si>
    <t>15.3079299</t>
  </si>
  <si>
    <t>+43312637110;+436642331066</t>
  </si>
  <si>
    <t>gasthof@dorfwirt-adriach.at</t>
  </si>
  <si>
    <t>https://bilder.dasschnelle.at/DasSchnelle/50/5000/9883/061362/G_061362_P_906312918.adn.gif</t>
  </si>
  <si>
    <t>Tischlerei Litzlbauer e.U. • Brunnenthal • Oberösterreich</t>
  </si>
  <si>
    <t>Tischlereien • Tischlerei Litzlbauer e.U., Eggersham 30, Brunnenthal • Kontakt über aktuelle Telefonnummern ☎ und Adressen ⚑ mit Karte, Routing, Öffnungszeiten, Homepage, E-Mail, vCard und Firmendaten.</t>
  </si>
  <si>
    <t>Eggersham 30</t>
  </si>
  <si>
    <t>48.4839767</t>
  </si>
  <si>
    <t>13.4879495</t>
  </si>
  <si>
    <t>+43771238850</t>
  </si>
  <si>
    <t>info@ti-litzlbauer.at</t>
  </si>
  <si>
    <t>https://bilder.dasschnelle.at/DasSchnelle/50/5000/9926/042304/G_042304_P_906312921.adn.gif</t>
  </si>
  <si>
    <t>Baukeramik Fliesenfachgeschäft GesmbH, Fliesen • Brunnwies • Oberösterreich</t>
  </si>
  <si>
    <t>Fliesenfachhandel • Baukeramik Fliesenfachgeschäft GesmbH, Bahnhofstraße 54, Brunnwies • Kontakt über aktuelle Telefonnummern ☎ und Adressen ⚑ mit Karte, Routing, Öffnungszeiten, Homepage, E-Mail, vCard und Firmendaten.</t>
  </si>
  <si>
    <t>Bahnhofstraße 54</t>
  </si>
  <si>
    <t>Brunnwies</t>
  </si>
  <si>
    <t>48.45961</t>
  </si>
  <si>
    <t>13.44305</t>
  </si>
  <si>
    <t>+43771255650;+436643304524</t>
  </si>
  <si>
    <t>+4377125567</t>
  </si>
  <si>
    <t>office@baukeramik.at</t>
  </si>
  <si>
    <t>https://bilder.dasschnelle.at/DasSchnelle/50/5000/9926/042797/G_042797_P_906313052.adn.gif</t>
  </si>
  <si>
    <t>Fasching SteuerberatungsgesmbH, Wirtschaftstreuhänder / Steuerberater • Rainbach im Innkreis • Oberösterreich</t>
  </si>
  <si>
    <t>Wirtschaftstreuhänder / Steuerberater • Fasching SteuerberatungsgesmbH, Rainbach im Innkreis 35, Rainbach im Innkreis • Kontakt über aktuelle Telefonnummern ☎ und Adressen ⚑ mit Karte, Routing, Öffnungszeiten, Homepage, E-Mail, vCard und Firmendaten.</t>
  </si>
  <si>
    <t>Rainbach im Innkreis 35</t>
  </si>
  <si>
    <t>4791</t>
  </si>
  <si>
    <t>Rainbach im Innkreis</t>
  </si>
  <si>
    <t>48.4556714</t>
  </si>
  <si>
    <t>13.5348405</t>
  </si>
  <si>
    <t>+4377168361</t>
  </si>
  <si>
    <t>office@dersteuermann.at</t>
  </si>
  <si>
    <t>https://bilder.dasschnelle.at/DasSchnelle/50/5000/9926/042790/I_042790_P_906312948_L_0035993438_1.png</t>
  </si>
  <si>
    <t>https://bilder.dasschnelle.at/DasSchnelle/50/5000/9926/042790/I_042790_P_906312948_B_0035993438_1.gal.png?height=284&amp;width=378;https://bilder.dasschnelle.at/DasSchnelle/50/5000/9926/042790/I_042790_P_906312948_B_0035993438_2.gal.png?height=186&amp;width=378;https://bilder.dasschnelle.at/DasSchnelle/50/5000/9926/042790/I_042790_P_906312948_B_0035993438_3.gal.png?height=93&amp;width=378</t>
  </si>
  <si>
    <t>Auinger, Martin, Seilerei, Draht- u Faserseile • Taufkirchen an der Pram • Oberösterreich</t>
  </si>
  <si>
    <t>Seile u. Seilerwaren • Auinger, Martin, Laufenbach 82, Taufkirchen an der Pram • Kontakt über aktuelle Telefonnummern ☎ und Adressen ⚑ mit Karte, Routing, Öffnungszeiten, Homepage, E-Mail, vCard und Firmendaten.</t>
  </si>
  <si>
    <t>Laufenbach 82</t>
  </si>
  <si>
    <t>48.3908417</t>
  </si>
  <si>
    <t>13.5124526</t>
  </si>
  <si>
    <t>+43771920105;+436502010524</t>
  </si>
  <si>
    <t>office@seilerei.at</t>
  </si>
  <si>
    <t>https://bilder.dasschnelle.at/DasSchnelle/50/5000/9926/042801/G_042801_P_906313026.adn.gif</t>
  </si>
  <si>
    <t>Preßnitz, Harald, Bestattungsunternehmen • Arnfels • Steiermark</t>
  </si>
  <si>
    <t>Bestattungsunternehmen • Preßnitz, Harald, Gewerbestraße 288, Arnfels • Kontakt über aktuelle Telefonnummern ☎ und Adressen ⚑ mit Karte, Routing, Öffnungszeiten, Homepage, E-Mail, vCard und Firmendaten.</t>
  </si>
  <si>
    <t>Gewerbestraße 288</t>
  </si>
  <si>
    <t>46.6799249</t>
  </si>
  <si>
    <t>15.4002166</t>
  </si>
  <si>
    <t>+433455221;+436643502721</t>
  </si>
  <si>
    <t>bestattung.pressnitz@aon.at</t>
  </si>
  <si>
    <t>https://bilder.dasschnelle.at/DasSchnelle/50/5000/9904/044081/G_044081_P_906313033.adn.gif</t>
  </si>
  <si>
    <t>Ebenwalder, Thomas, Kälte - Klima - Gastro • Leibnitz • Steiermark</t>
  </si>
  <si>
    <t>Kältetechnik • Ebenwalder, Thomas, Wasserwerkstraße 8 A, Leibnitz • Kontakt über aktuelle Telefonnummern ☎ und Adressen ⚑ mit Karte, Routing, Öffnungszeiten, Homepage, E-Mail, vCard und Firmendaten.</t>
  </si>
  <si>
    <t>Wasserwerkstraße 8 A</t>
  </si>
  <si>
    <t>46.78866</t>
  </si>
  <si>
    <t>15.54842</t>
  </si>
  <si>
    <t>+43345285707</t>
  </si>
  <si>
    <t>office@ebenwalder.at</t>
  </si>
  <si>
    <t>https://bilder.dasschnelle.at/DasSchnelle/50/5000/9904/061363/G_061363_P_906313036.adn.gif</t>
  </si>
  <si>
    <t>Bilek, Michael, Med.Rat. DDr., FA f Zahn-, Mund- u Kieferheilkunde • Hoheneich • Niederösterreich</t>
  </si>
  <si>
    <t>Ärzte / Fachärzte f. Zahn-, Mund u. Kieferheilkunde • Bilek, Michael, Med.Rat. DDr., Bahnstraße 124, Hoheneich • Kontakt über aktuelle Telefonnummern ☎ und Adressen ⚑ mit Karte, Routing, Öffnungszeiten, Homepage, E-Mail, vCard und Firmendaten.</t>
  </si>
  <si>
    <t>Bahnstraße 124</t>
  </si>
  <si>
    <t>48.76978</t>
  </si>
  <si>
    <t>15.02685</t>
  </si>
  <si>
    <t>+43285251860</t>
  </si>
  <si>
    <t>dr.m.bilek@utanet.at</t>
  </si>
  <si>
    <t>https://bilder.dasschnelle.at/DasSchnelle/50/5000/9885/045083/G_045083_P_906312957.adn.gif</t>
  </si>
  <si>
    <t>König, Friedrich, Prim.Dr., FA f Chirurgie • Waidhofen an der Thaya • Niederösterreich</t>
  </si>
  <si>
    <t>Ärzte / Fachärzte f. Chirurgie • König, Friedrich, Prim.Dr., Moritz Schadekgasse 28, Waidhofen an der Thaya • Kontakt über aktuelle Telefonnummern ☎ und Adressen ⚑ mit Karte, Routing, Öffnungszeiten, Homepage, E-Mail, vCard und Firmendaten.</t>
  </si>
  <si>
    <t>Moritz Schadekgasse 28</t>
  </si>
  <si>
    <t>48.8127300</t>
  </si>
  <si>
    <t>15.2841900</t>
  </si>
  <si>
    <t>+4328425200160</t>
  </si>
  <si>
    <t>dr.koenig@aon.at</t>
  </si>
  <si>
    <t>https://bilder.dasschnelle.at/DasSchnelle/50/5000/9885/044264/G_044264_P_906312959.adn.gif</t>
  </si>
  <si>
    <t>Raming, Wolfgang, Dr., Rechtsanwalt • Waidhofen an der Thaya • Niederösterreich</t>
  </si>
  <si>
    <t>Rechtsanwälte • Raming, Wolfgang, Dr., Hauptplatz 2, Waidhofen an der Thaya • Kontakt über aktuelle Telefonnummern ☎ und Adressen ⚑ mit Karte, Routing, Öffnungszeiten, Homepage, E-Mail, vCard und Firmendaten.</t>
  </si>
  <si>
    <t>48.8152</t>
  </si>
  <si>
    <t>15.28795</t>
  </si>
  <si>
    <t>+43284252543</t>
  </si>
  <si>
    <t>office@raming.org</t>
  </si>
  <si>
    <t>https://bilder.dasschnelle.at/DasSchnelle/50/5000/9885/044264/G_044264_P_906312961.adn.gif</t>
  </si>
  <si>
    <t>König, Veronika, Dr., FA f Augenheilkunde u Optometrie • Waidhofen an der Thaya • Niederösterreich</t>
  </si>
  <si>
    <t>Ärzte / Fachärzte f. Chirurgie • König, Veronika, Dr., Moritz Schadekgasse 28, Waidhofen an der Thaya • Kontakt über aktuelle Telefonnummern ☎ und Adressen ⚑ mit Karte, Routing, Öffnungszeiten, Homepage, E-Mail, vCard und Firmendaten.</t>
  </si>
  <si>
    <t>+4328425200170</t>
  </si>
  <si>
    <t>fv.koenig@wvnet.at</t>
  </si>
  <si>
    <t>https://bilder.dasschnelle.at/DasSchnelle/50/5000/9885/044264/G_044264_P_906312963.adn.gif</t>
  </si>
  <si>
    <t>Reindl Gerald GmbH, Peugeot-Händler • Sankt Oswald bei Freistadt • Oberösterreich</t>
  </si>
  <si>
    <t>Autohandel, Autoreparaturen • Reindl Gerald GmbH, Markt 37, Sankt Oswald bei Freistadt • Kontakt über aktuelle Telefonnummern ☎ und Adressen ⚑ mit Karte, Routing, Öffnungszeiten, Homepage, E-Mail, vCard und Firmendaten.</t>
  </si>
  <si>
    <t>Markt 37</t>
  </si>
  <si>
    <t>48.50095</t>
  </si>
  <si>
    <t>14.58997</t>
  </si>
  <si>
    <t>+43794572250;+436641210250;+436642200454</t>
  </si>
  <si>
    <t>+437945722510</t>
  </si>
  <si>
    <t>office@autohaus-reindl.at</t>
  </si>
  <si>
    <t>https://bilder.dasschnelle.at/DasSchnelle/50/5000/9882/041778/G_041778_P_906312971.adn.gif</t>
  </si>
  <si>
    <t>Leitner, Herbert, Säge- u Hobelwerke • Walchshof • Oberösterreich</t>
  </si>
  <si>
    <t>Säge- u. Hobelwerke • Leitner, Herbert, Walchshof • Kontakt über aktuelle Telefonnummern ☎ und Adressen ⚑ mit Karte, Routing, Öffnungszeiten, Homepage, E-Mail, vCard und Firmendaten.</t>
  </si>
  <si>
    <t>Walchshof</t>
  </si>
  <si>
    <t>48.4867065</t>
  </si>
  <si>
    <t>14.5016285</t>
  </si>
  <si>
    <t>+43794273072</t>
  </si>
  <si>
    <t>+4379427307285</t>
  </si>
  <si>
    <t>office@holzkompetenz-leitner.at</t>
  </si>
  <si>
    <t>https://bilder.dasschnelle.at/DasSchnelle/50/5000/9882/041769/G_041769_P_906313078.adn.gif</t>
  </si>
  <si>
    <t>Offenbacher, Hannes, Fliesen &amp; Plattenverlegung • Sankt Oswald bei Plankenwarth • Steiermark</t>
  </si>
  <si>
    <t>Fliesenfachhandel • Offenbacher, Hannes, Jaritzberg 135, Sankt Oswald bei Plankenwarth • Kontakt über aktuelle Telefonnummern ☎ und Adressen ⚑ mit Karte, Routing, Öffnungszeiten, Homepage, E-Mail, vCard und Firmendaten.</t>
  </si>
  <si>
    <t>Jaritzberg 135</t>
  </si>
  <si>
    <t>47.0720855</t>
  </si>
  <si>
    <t>15.2769907</t>
  </si>
  <si>
    <t>+4369911683226</t>
  </si>
  <si>
    <t>hannes.offenbacher@gmx.at</t>
  </si>
  <si>
    <t>https://bilder.dasschnelle.at/DasSchnelle/50/5000/9883/042349/G_042349_P_906313081.adn.gif</t>
  </si>
  <si>
    <t>Hannesschläger Dr. &amp; Dr. Al-Kattib Fachärzte f Radiologie OG • Freistadt • Oberösterreich</t>
  </si>
  <si>
    <t>Ärzte / Fachärzte f. Radiologie • Hannesschläger Dr. &amp; Dr. Al-Kattib Fachärzte f Radiologie OG, Etrichstraße 9 -13, Freistadt • Kontakt über aktuelle Telefonnummern ☎ und Adressen ⚑ mit Karte, Routing, Öffnungszeiten, Homepage, E-Mail, vCard und Firmendaten.</t>
  </si>
  <si>
    <t>48.4916093</t>
  </si>
  <si>
    <t>14.5034174</t>
  </si>
  <si>
    <t>+43794274994</t>
  </si>
  <si>
    <t>https://bilder.dasschnelle.at/DasSchnelle/50/5000/9882/044815/I_044815_P_906316384_L_0035993765_1.png</t>
  </si>
  <si>
    <t>https://bilder.dasschnelle.at/DasSchnelle/50/5000/9882/044815/I_044815_P_906316384_B_0035993765_1.gal.png?height=192&amp;width=600;https://bilder.dasschnelle.at/DasSchnelle/50/5000/9882/044815/I_044815_P_906316384_B_0035993765_2.gal.png?height=192&amp;width=600;https://bilder.dasschnelle.at/DasSchnelle/50/5000/9882/044815/I_044815_P_906316384_B_0035993765_3.gal.png?height=192&amp;width=600</t>
  </si>
  <si>
    <t>Feusthuber, Walter, Schmiede • Oberwang • Oberösterreich</t>
  </si>
  <si>
    <t>Landwirtschaftliche Maschinen u. Geräte, Schmieden • Feusthuber, Walter, Oberwang 9, Oberwang • Kontakt über aktuelle Telefonnummern ☎ und Adressen ⚑ mit Karte, Routing, Öffnungszeiten, Homepage, E-Mail, vCard und Firmendaten.</t>
  </si>
  <si>
    <t>Oberwang 9</t>
  </si>
  <si>
    <t>47.8667159</t>
  </si>
  <si>
    <t>13.4337552</t>
  </si>
  <si>
    <t>+4362338284;+436765124144</t>
  </si>
  <si>
    <t>feusthuber@aon.at</t>
  </si>
  <si>
    <t>https://bilder.dasschnelle.at/DasSchnelle/50/5000/9909/043087/G_043087_P_906316398.adn.gif</t>
  </si>
  <si>
    <t>Plattner, Ursula, Dr., TA • Oberrohrbach • Niederösterreich</t>
  </si>
  <si>
    <t>Tierärzte • Plattner, Ursula, Dr., Waldstraße 71, Oberrohrbach • Kontakt über aktuelle Telefonnummern ☎ und Adressen ⚑ mit Karte, Routing, Öffnungszeiten, Homepage, E-Mail, vCard und Firmendaten.</t>
  </si>
  <si>
    <t>Waldstraße 71</t>
  </si>
  <si>
    <t>2105</t>
  </si>
  <si>
    <t>Oberrohrbach</t>
  </si>
  <si>
    <t>48.40579</t>
  </si>
  <si>
    <t>16.30274</t>
  </si>
  <si>
    <t>+436643537530</t>
  </si>
  <si>
    <t>ursula_plattner@hotmail.com</t>
  </si>
  <si>
    <t>https://bilder.dasschnelle.at/DasSchnelle/50/5000/9898/041416/G_041416_P_906316403.adn.gif</t>
  </si>
  <si>
    <t>Koller GmbH, Dusche-Bad-Sanitär • Pregarten • Oberösterreich</t>
  </si>
  <si>
    <t>Badezimmer u. Badezimmereinrichtungen • Koller GmbH, Bahnhofstraße 15, Pregarten • Kontakt über aktuelle Telefonnummern ☎ und Adressen ⚑ mit Karte, Routing, Öffnungszeiten, Homepage, E-Mail, vCard und Firmendaten.</t>
  </si>
  <si>
    <t>48.35407</t>
  </si>
  <si>
    <t>14.5289</t>
  </si>
  <si>
    <t>+43723663018</t>
  </si>
  <si>
    <t>office@koller-bad.at</t>
  </si>
  <si>
    <t>https://bilder.dasschnelle.at/DasSchnelle/50/5000/9882/041774/I_041774_P_906313323_L_0037079664_1.png</t>
  </si>
  <si>
    <t>https://bilder.dasschnelle.at/DasSchnelle/50/5000/9882/041774/I_041774_P_906313323_B_0037079664_1.gal.png?height=845&amp;width=634;https://bilder.dasschnelle.at/DasSchnelle/50/5000/9882/041774/I_041774_P_906313323_B_0037079664_2.gal.png?height=833&amp;width=605;https://bilder.dasschnelle.at/DasSchnelle/50/5000/9882/041774/I_041774_P_906313323_B_0037079664_3.gal.png?height=720&amp;width=536;https://bilder.dasschnelle.at/DasSchnelle/50/5000/9882/041774/I_041774_P_906313323_B_0037079664_4.gal.png?height=405&amp;width=720</t>
  </si>
  <si>
    <t>Frauenhaus, Beratungsstellen • Vöcklabruck • Oberösterreich</t>
  </si>
  <si>
    <t>Beratungsstellen • Frauenhaus, Stelzhamerstraße 17, Vöcklabruck • Kontakt über aktuelle Telefonnummern ☎ und Adressen ⚑ mit Karte, Routing, Öffnungszeiten, Homepage, E-Mail, vCard und Firmendaten.</t>
  </si>
  <si>
    <t>Stelzhamerstraße 17</t>
  </si>
  <si>
    <t>47.9906821</t>
  </si>
  <si>
    <t>13.6880675</t>
  </si>
  <si>
    <t>+43767222722</t>
  </si>
  <si>
    <t>office@frauenhaus-voecklabruck.at</t>
  </si>
  <si>
    <t>https://bilder.dasschnelle.at/DasSchnelle/50/5000/9940/043555/I_043555_P_906320278_L_0035999118_1.png</t>
  </si>
  <si>
    <t>https://bilder.dasschnelle.at/DasSchnelle/50/5000/9940/043555/I_043555_P_906320278_B_0035999118_1.gal.png?height=480&amp;width=720;https://bilder.dasschnelle.at/DasSchnelle/50/5000/9940/043555/I_043555_P_906320278_B_0035999118_2.gal.png?height=720&amp;width=540;https://bilder.dasschnelle.at/DasSchnelle/50/5000/9940/043555/I_043555_P_906320278_B_0035999118_3.gal.png?height=540&amp;width=720;https://bilder.dasschnelle.at/DasSchnelle/50/5000/9940/043555/I_043555_P_906320278_B_0035999118_4.gal.png?height=540&amp;width=720</t>
  </si>
  <si>
    <t>La Cucina, Gastronomie • Peggau • Steiermark</t>
  </si>
  <si>
    <t>Gastronomiebetriebe • La Cucina, Grazer Straße 28, Peggau • Kontakt über aktuelle Telefonnummern ☎ und Adressen ⚑ mit Karte, Routing, Öffnungszeiten, Homepage, E-Mail, vCard und Firmendaten.</t>
  </si>
  <si>
    <t>Grazer Straße 28</t>
  </si>
  <si>
    <t>47.20268</t>
  </si>
  <si>
    <t>15.34477</t>
  </si>
  <si>
    <t>+43312741897</t>
  </si>
  <si>
    <t>office@lacucina-peggau.at</t>
  </si>
  <si>
    <t>https://bilder.dasschnelle.at/DasSchnelle/50/5000/9883/042341/G_042341_P_906323389.adn.gif</t>
  </si>
  <si>
    <t>Happy Flower, Floristik und Geschenksartikel • Gratkorn • Steiermark</t>
  </si>
  <si>
    <t>Blumenhandel • Happy Flower, Brucker Straße 23, Gratkorn • Kontakt über aktuelle Telefonnummern ☎ und Adressen ⚑ mit Karte, Routing, Öffnungszeiten, Homepage, E-Mail, vCard und Firmendaten.</t>
  </si>
  <si>
    <t>https://bilder.dasschnelle.at/DasSchnelle/50/5000/9883/042322/I_042322_P_906323393_B_0035999624_1.gal.png?height=679&amp;width=1002;https://bilder.dasschnelle.at/DasSchnelle/50/5000/9883/042322/I_042322_P_906323393_B_0035999624_2.gal.png?height=780&amp;width=603;https://bilder.dasschnelle.at/DasSchnelle/50/5000/9883/042322/I_042322_P_906323393_B_0035999624_3.gal.png?height=720&amp;width=675;https://bilder.dasschnelle.at/DasSchnelle/50/5000/9883/042322/I_042322_P_906323393_B_0035999624_4.gal.png?height=334&amp;width=720</t>
  </si>
  <si>
    <t>Apotheke Zur Mariahilf • Mondsee • Oberösterreich</t>
  </si>
  <si>
    <t>Apotheken • Apotheke Zur Mariahilf, Herzog Odilo-Straße 9, Mondsee • Kontakt über aktuelle Telefonnummern ☎ und Adressen ⚑ mit Karte, Routing, Öffnungszeiten, Homepage, E-Mail, vCard und Firmendaten.</t>
  </si>
  <si>
    <t>Herzog Odilo-Straße 9</t>
  </si>
  <si>
    <t>47.85643</t>
  </si>
  <si>
    <t>13.34895</t>
  </si>
  <si>
    <t>+4362322230</t>
  </si>
  <si>
    <t>wachinger@apothekemondsee.at</t>
  </si>
  <si>
    <t>https://bilder.dasschnelle.at/DasSchnelle/50/5000/9909/043081/G_043081_P_906323395.adn.gif</t>
  </si>
  <si>
    <t>V &amp; M Kfz Reparaturen KG • Prutz • Tirol</t>
  </si>
  <si>
    <t>Kfz-Werkstätte • V &amp; M Kfz Reparaturen KG, Sauersteinweg 3, Prutz • Kontakt über aktuelle Telefonnummern ☎ und Adressen ⚑ mit Karte, Routing, Öffnungszeiten, Homepage, E-Mail, vCard und Firmendaten.</t>
  </si>
  <si>
    <t>Sauersteinweg 3</t>
  </si>
  <si>
    <t>47.0766191</t>
  </si>
  <si>
    <t>10.6633174</t>
  </si>
  <si>
    <t>+43547220799</t>
  </si>
  <si>
    <t>info@vmkfz.at</t>
  </si>
  <si>
    <t>https://bilder.dasschnelle.at/DasSchnelle/50/5000/9903/044589/G_044589_P_906323486.adn.gif</t>
  </si>
  <si>
    <t>Minich, Willi, Dr.med.dent., Kieferorthopädie • Mondsee • Oberösterreich</t>
  </si>
  <si>
    <t>Ärzte / Fachärzte f. Orthopädie u. Orthopädische Chirurgie • Minich, Willi, Dr.med.dent., Schlossweg 1, Mondsee • Kontakt über aktuelle Telefonnummern ☎ und Adressen ⚑ mit Karte, Routing, Öffnungszeiten, Homepage, E-Mail, vCard und Firmendaten.</t>
  </si>
  <si>
    <t>47.85764</t>
  </si>
  <si>
    <t>13.34899</t>
  </si>
  <si>
    <t>+43623236644</t>
  </si>
  <si>
    <t>+4362323664411</t>
  </si>
  <si>
    <t>kieferorthopaedie.minich@gmail.com</t>
  </si>
  <si>
    <t>https://bilder.dasschnelle.at/DasSchnelle/50/5000/9909/043081/G_043081_P_906323400.adn.gif</t>
  </si>
  <si>
    <t>Brandmeier, Helge, Dr., Facharzt für Gynäkologie und Geburtshilfe • Mondsee • Oberösterreich</t>
  </si>
  <si>
    <t>Ärzte / Fachärzte f. Frauenheilkunde u. Geburtshilfe • Brandmeier, Helge, Dr., Herzog Odilo-Straße 52, Mondsee • Kontakt über aktuelle Telefonnummern ☎ und Adressen ⚑ mit Karte, Routing, Öffnungszeiten, Homepage, E-Mail, vCard und Firmendaten.</t>
  </si>
  <si>
    <t>+436502751705;+436502150894</t>
  </si>
  <si>
    <t>praxis@dr-brandmeier.at</t>
  </si>
  <si>
    <t>https://bilder.dasschnelle.at/DasSchnelle/50/5000/9909/043081/G_043081_P_906323532.adn.gif</t>
  </si>
  <si>
    <t>Maier Installationen Josef GesmbH &amp; Co KG • Kopfing im Innkreis • Oberösterreich</t>
  </si>
  <si>
    <t>Installationsunternehmen • Maier Installationen Josef GesmbH &amp; Co KG, Hauptstraße 72, Kopfing im Innkreis • Kontakt über aktuelle Telefonnummern ☎ und Adressen ⚑ mit Karte, Routing, Öffnungszeiten, Homepage, E-Mail, vCard und Firmendaten.</t>
  </si>
  <si>
    <t>Hauptstraße 72</t>
  </si>
  <si>
    <t>48.43836</t>
  </si>
  <si>
    <t>13.65913</t>
  </si>
  <si>
    <t>+43776322290</t>
  </si>
  <si>
    <t>+43776322296</t>
  </si>
  <si>
    <t>josef.maier@kopfing.info</t>
  </si>
  <si>
    <t>https://bilder.dasschnelle.at/DasSchnelle/50/5000/9926/042786/G_042786_P_906324177.adn.gif</t>
  </si>
  <si>
    <t>Marek, Jarmil, Dr.med.dent., Zahnarzt • Weitersfelden • Oberösterreich</t>
  </si>
  <si>
    <t>Ärzte / Zahnärzte • Marek, Jarmil, Dr.med.dent., Markt 110, Weitersfelden • Kontakt über aktuelle Telefonnummern ☎ und Adressen ⚑ mit Karte, Routing, Öffnungszeiten, Homepage, E-Mail, vCard und Firmendaten.</t>
  </si>
  <si>
    <t>Markt 110</t>
  </si>
  <si>
    <t>4272</t>
  </si>
  <si>
    <t>Weitersfelden</t>
  </si>
  <si>
    <t>48.4777650</t>
  </si>
  <si>
    <t>14.7207170</t>
  </si>
  <si>
    <t>+43795220590</t>
  </si>
  <si>
    <t>ordination@marek-zahnarzt.at</t>
  </si>
  <si>
    <t>https://bilder.dasschnelle.at/DasSchnelle/50/5000/9882/041785/G_041785_P_906324180.adn.gif</t>
  </si>
  <si>
    <t>Rabl, Andreas, Tischlereien • Zwettl • Niederösterreich</t>
  </si>
  <si>
    <t>Tischlereien • Rabl, Andreas, Propsteigasse 16, Zwettl • Kontakt über aktuelle Telefonnummern ☎ und Adressen ⚑ mit Karte, Routing, Öffnungszeiten, Homepage, E-Mail, vCard und Firmendaten.</t>
  </si>
  <si>
    <t>Propsteigasse 16</t>
  </si>
  <si>
    <t>48.60324</t>
  </si>
  <si>
    <t>15.16379</t>
  </si>
  <si>
    <t>+43282252293</t>
  </si>
  <si>
    <t>idee@rabltischler.at</t>
  </si>
  <si>
    <t>https://bilder.dasschnelle.at/DasSchnelle/50/5000/9950/044545/G_044545_P_906324182.adn.gif</t>
  </si>
  <si>
    <t>Leithner Bau GmbH, Bauunternehmen • St. Florian am Inn • Oberösterreich</t>
  </si>
  <si>
    <t>Baumeister, Bauunternehmen • Leithner Bau GmbH, Haid 45, St. Florian am Inn • Kontakt über aktuelle Telefonnummern ☎ und Adressen ⚑ mit Karte, Routing, Öffnungszeiten, Homepage, E-Mail, vCard und Firmendaten.</t>
  </si>
  <si>
    <t>Haid 45</t>
  </si>
  <si>
    <t>48.4252736</t>
  </si>
  <si>
    <t>13.4496976</t>
  </si>
  <si>
    <t>+43771232870;+43771232860</t>
  </si>
  <si>
    <t>office@leithner-bau.at</t>
  </si>
  <si>
    <t>https://bilder.dasschnelle.at/DasSchnelle/50/5000/9926/042793/I_042793_P_906324186_L_0035993530_1.png</t>
  </si>
  <si>
    <t>https://bilder.dasschnelle.at/DasSchnelle/50/5000/9926/042793/I_042793_P_906324186_B_0035993530_1.gal.png?height=287&amp;width=831;https://bilder.dasschnelle.at/DasSchnelle/50/5000/9926/042793/I_042793_P_906324186_B_0035993530_2.gal.png?height=282&amp;width=831;https://bilder.dasschnelle.at/DasSchnelle/50/5000/9926/042793/I_042793_P_906324186_B_0035993530_3.gal.png?height=282&amp;width=831;https://bilder.dasschnelle.at/DasSchnelle/50/5000/9926/042793/I_042793_P_906324186_B_0035993530_4.gal.png?height=376&amp;width=720</t>
  </si>
  <si>
    <t>Pum Wilhelm Kachelöfen u Fliesen GmbH, Fliesenleger • Freistadt • Oberösterreich</t>
  </si>
  <si>
    <t>Fliesen u. Plattenverlegungen • Pum Wilhelm Kachelöfen u Fliesen GmbH, Linzer Straße 23, Freistadt • Kontakt über aktuelle Telefonnummern ☎ und Adressen ⚑ mit Karte, Routing, Öffnungszeiten, Homepage, E-Mail, vCard und Firmendaten.</t>
  </si>
  <si>
    <t>48.50608</t>
  </si>
  <si>
    <t>14.50374</t>
  </si>
  <si>
    <t>+437942723860;+436641618187</t>
  </si>
  <si>
    <t>+4379427238685</t>
  </si>
  <si>
    <t>office@kachelofen-pum.at</t>
  </si>
  <si>
    <t>https://bilder.dasschnelle.at/DasSchnelle/50/5000/9882/044815/G_044815_P_906323423.adn.gif</t>
  </si>
  <si>
    <t>Hörbst, Harald, Raumgestalter • Freistadt • Oberösterreich</t>
  </si>
  <si>
    <t>Raumausstatter • Hörbst, Harald, Makovskystraße 3, Freistadt • Kontakt über aktuelle Telefonnummern ☎ und Adressen ⚑ mit Karte, Routing, Öffnungszeiten, Homepage, E-Mail, vCard und Firmendaten.</t>
  </si>
  <si>
    <t>Makovskystraße 3</t>
  </si>
  <si>
    <t>48.50116</t>
  </si>
  <si>
    <t>14.49996</t>
  </si>
  <si>
    <t>+43794273236</t>
  </si>
  <si>
    <t>info@h-hoerbst.at</t>
  </si>
  <si>
    <t>https://bilder.dasschnelle.at/DasSchnelle/50/5000/9882/044815/I_044815_P_906323552_L_0035993497_1.png</t>
  </si>
  <si>
    <t>https://bilder.dasschnelle.at/DasSchnelle/50/5000/9882/044815/I_044815_P_906323552_B_0035993497_1.gal.png?height=555&amp;width=1074;https://bilder.dasschnelle.at/DasSchnelle/50/5000/9882/044815/I_044815_P_906323552_B_0035993497_2.gal.png?height=555&amp;width=1019;https://bilder.dasschnelle.at/DasSchnelle/50/5000/9882/044815/I_044815_P_906323552_B_0035993497_3.gal.png?height=398&amp;width=720;https://bilder.dasschnelle.at/DasSchnelle/50/5000/9882/044815/I_044815_P_906323552_B_0035993497_4.gal.png?height=479&amp;width=720</t>
  </si>
  <si>
    <t>Handler, Thomas, Raumausstatter • Deutschfeistritz • Steiermark</t>
  </si>
  <si>
    <t>Raumausstatter • Handler, Thomas, Übelbacherstraße 35, Deutschfeistritz • Kontakt über aktuelle Telefonnummern ☎ und Adressen ⚑ mit Karte, Routing, Öffnungszeiten, Homepage, E-Mail, vCard und Firmendaten.</t>
  </si>
  <si>
    <t>Übelbacherstraße 35</t>
  </si>
  <si>
    <t>47.19503</t>
  </si>
  <si>
    <t>15.34094</t>
  </si>
  <si>
    <t>+436645305752</t>
  </si>
  <si>
    <t>office@raumausstatter-handler.at</t>
  </si>
  <si>
    <t>https://bilder.dasschnelle.at/DasSchnelle/50/5000/9883/061364/G_061364_P_906323554.adn.gif</t>
  </si>
  <si>
    <t>Hollegger, Regina, Haarstudio • Semriach • Steiermark</t>
  </si>
  <si>
    <t>Friseure • Hollegger, Regina, Markt 25, Semriach • Kontakt über aktuelle Telefonnummern ☎ und Adressen ⚑ mit Karte, Routing, Öffnungszeiten, Homepage, E-Mail, vCard und Firmendaten.</t>
  </si>
  <si>
    <t>Markt 25</t>
  </si>
  <si>
    <t>47.21725</t>
  </si>
  <si>
    <t>15.40476</t>
  </si>
  <si>
    <t>+4331278227</t>
  </si>
  <si>
    <t>haarstudioregina@aon.at</t>
  </si>
  <si>
    <t>https://bilder.dasschnelle.at/DasSchnelle/50/5000/9883/042353/G_042353_P_906323556.adn.gif</t>
  </si>
  <si>
    <t>Bockau-Wirt Fam. Larndorfer KG, Gastgewerbe • Freistadt • Oberösterreich</t>
  </si>
  <si>
    <t>Gastgewerbe - Gasthöfe • Bockau-Wirt Fam. Larndorfer KG, Pfadfinderweg 1, Freistadt • Kontakt über aktuelle Telefonnummern ☎ und Adressen ⚑ mit Karte, Routing, Öffnungszeiten, Homepage, E-Mail, vCard und Firmendaten.</t>
  </si>
  <si>
    <t>Pfadfinderweg 1</t>
  </si>
  <si>
    <t>48.52124</t>
  </si>
  <si>
    <t>14.49209</t>
  </si>
  <si>
    <t>+43794277915</t>
  </si>
  <si>
    <t>bockauwirt@epnet.at</t>
  </si>
  <si>
    <t>https://bilder.dasschnelle.at/DasSchnelle/50/5000/9882/044815/G_044815_P_906324114.adn.gif</t>
  </si>
  <si>
    <t>Hirzer, Manuela, Elektro • Kirchenviertel • Steiermark</t>
  </si>
  <si>
    <t>Elektrogeräte u. -bedarf • Hirzer, Manuela, Dr.Karl Renner-Straße 43, Kirchenviertel • Kontakt über aktuelle Telefonnummern ☎ und Adressen ⚑ mit Karte, Routing, Öffnungszeiten, Homepage, E-Mail, vCard und Firmendaten.</t>
  </si>
  <si>
    <t>Dr.Karl Renner-Straße 43</t>
  </si>
  <si>
    <t>47.13664</t>
  </si>
  <si>
    <t>15.34767</t>
  </si>
  <si>
    <t>+436643503467</t>
  </si>
  <si>
    <t>office@elektro-hirzer.at</t>
  </si>
  <si>
    <t>https://bilder.dasschnelle.at/DasSchnelle/50/5000/9883/042322/I_042322_P_906324116_L_0035999791_1.png</t>
  </si>
  <si>
    <t>https://bilder.dasschnelle.at/DasSchnelle/50/5000/9883/042322/I_042322_P_906324116_B_0035999791_1.gal.png?height=507&amp;width=720;https://bilder.dasschnelle.at/DasSchnelle/50/5000/9883/042322/I_042322_P_906324116_B_0035999791_2.gal.png?height=214&amp;width=720;https://bilder.dasschnelle.at/DasSchnelle/50/5000/9883/042322/G_042322_P_906324116.adn.gif</t>
  </si>
  <si>
    <t>Haarmonie Naturfrisör Untermaurer und Partner OG • Klosterneuburg • Niederösterreich</t>
  </si>
  <si>
    <t>Friseure • Haarmonie Naturfrisör Untermaurer und Partner OG, Hofkirchnergasse 19, Klosterneuburg • Kontakt über aktuelle Telefonnummern ☎ und Adressen ⚑ mit Karte, Routing, Öffnungszeiten, Homepage, E-Mail, vCard und Firmendaten.</t>
  </si>
  <si>
    <t>Hofkirchnergasse 19</t>
  </si>
  <si>
    <t>48.3078631</t>
  </si>
  <si>
    <t>16.3221719</t>
  </si>
  <si>
    <t>+43224321548</t>
  </si>
  <si>
    <t>office@haarmonie.at</t>
  </si>
  <si>
    <t>https://bilder.dasschnelle.at/DasSchnelle/50/5000/9897/061492/G_061492_P_906323480.adn.gif</t>
  </si>
  <si>
    <t>Autohaus Widlroither GmbH &amp; Co KG, KFZ-Werkstätte • Mondsee • Oberösterreich</t>
  </si>
  <si>
    <t>Autohandel • Autohaus Widlroither GmbH &amp; Co KG, Südtiroler Straße 4, Mondsee • Kontakt über aktuelle Telefonnummern ☎ und Adressen ⚑ mit Karte, Routing, Öffnungszeiten, Homepage, E-Mail, vCard und Firmendaten.</t>
  </si>
  <si>
    <t>Südtiroler Straße 4</t>
  </si>
  <si>
    <t>47.86034</t>
  </si>
  <si>
    <t>13.34312</t>
  </si>
  <si>
    <t>+4362322612;+436643982709</t>
  </si>
  <si>
    <t>autohaus@widlroither.at</t>
  </si>
  <si>
    <t>https://bilder.dasschnelle.at/DasSchnelle/50/5000/9909/043081/G_043081_P_906323483.adn.gif</t>
  </si>
  <si>
    <t>Stadler &amp; Kudler GmbH, Fenster u Türen • Freistadt • Oberösterreich</t>
  </si>
  <si>
    <t>Fenster u. Türen • Stadler &amp; Kudler GmbH, Zaglaustraße 10 /6, Freistadt • Kontakt über aktuelle Telefonnummern ☎ und Adressen ⚑ mit Karte, Routing, Öffnungszeiten, Homepage, E-Mail, vCard und Firmendaten.</t>
  </si>
  <si>
    <t>Zaglaustraße 10 /6</t>
  </si>
  <si>
    <t>48.50639</t>
  </si>
  <si>
    <t>14.50665</t>
  </si>
  <si>
    <t>+436643849592</t>
  </si>
  <si>
    <t>stadler@allesumsbauen.at</t>
  </si>
  <si>
    <t>https://bilder.dasschnelle.at/DasSchnelle/50/5000/9882/044815/G_044815_P_906324137.adn.gif</t>
  </si>
  <si>
    <t>Bücher-Papier Wolfsgruber, Buchhandlungen • Freistadt • Oberösterreich</t>
  </si>
  <si>
    <t>Buchhandlungen • Bücher-Papier Wolfsgruber, Pfarrgasse 18, Freistadt • Kontakt über aktuelle Telefonnummern ☎ und Adressen ⚑ mit Karte, Routing, Öffnungszeiten, Homepage, E-Mail, vCard und Firmendaten.</t>
  </si>
  <si>
    <t>Pfarrgasse 18</t>
  </si>
  <si>
    <t>48.51118</t>
  </si>
  <si>
    <t>14.50339</t>
  </si>
  <si>
    <t>+43794272248</t>
  </si>
  <si>
    <t>info@wolfsgruber-buch.at</t>
  </si>
  <si>
    <t>https://bilder.dasschnelle.at/DasSchnelle/50/5000/9882/044815/I_044815_P_906324139_L_0037084216_1.png</t>
  </si>
  <si>
    <t>https://bilder.dasschnelle.at/DasSchnelle/50/5000/9882/044815/I_044815_P_906324139_B_0037084216_1.gal.png?height=326&amp;width=433;https://bilder.dasschnelle.at/DasSchnelle/50/5000/9882/044815/G_044815_P_906324139.adn.gif</t>
  </si>
  <si>
    <t>Fliesen Christof GmbH, Fliesenhandel • Freistadt • Oberösterreich</t>
  </si>
  <si>
    <t>Fliesenfachhandel, Fliesen u. Plattenverlegungen • Fliesen Christof GmbH, Werndlstraße 1, Freistadt • Kontakt über aktuelle Telefonnummern ☎ und Adressen ⚑ mit Karte, Routing, Öffnungszeiten, Homepage, E-Mail, vCard und Firmendaten.</t>
  </si>
  <si>
    <t>Werndlstraße 1</t>
  </si>
  <si>
    <t>48.49854</t>
  </si>
  <si>
    <t>14.49884</t>
  </si>
  <si>
    <t>+43794274772</t>
  </si>
  <si>
    <t>office@fliesen-christof.at</t>
  </si>
  <si>
    <t>https://bilder.dasschnelle.at/DasSchnelle/50/5000/9882/044815/G_044815_P_906324145.adn.gif</t>
  </si>
  <si>
    <t>Kienesberger &amp; Co KG, Werbetechnik • Mondsee • Oberösterreich</t>
  </si>
  <si>
    <t>Werbemittel • Kienesberger &amp; Co KG, Herzog-Odilo-Str. 25, Mondsee • Kontakt über aktuelle Telefonnummern ☎ und Adressen ⚑ mit Karte, Routing, Öffnungszeiten, Homepage, E-Mail, vCard und Firmendaten.</t>
  </si>
  <si>
    <t>Herzog-Odilo-Str. 25</t>
  </si>
  <si>
    <t>47.85741</t>
  </si>
  <si>
    <t>13.34817</t>
  </si>
  <si>
    <t>+43623222739</t>
  </si>
  <si>
    <t>office@kienesberger.co.at</t>
  </si>
  <si>
    <t>https://bilder.dasschnelle.at/DasSchnelle/50/5000/9909/043081/I_043081_P_906324681_L_0035970880_1.png</t>
  </si>
  <si>
    <t>https://bilder.dasschnelle.at/DasSchnelle/50/5000/9909/043081/I_043081_P_906324681_B_0035970880_1.gal.png?height=540&amp;width=720;https://bilder.dasschnelle.at/DasSchnelle/50/5000/9909/043081/I_043081_P_906324681_B_0035970880_2.gal.png?height=540&amp;width=720;https://bilder.dasschnelle.at/DasSchnelle/50/5000/9909/043081/I_043081_P_906324681_B_0035970880_3.gal.png?height=720&amp;width=540;https://bilder.dasschnelle.at/DasSchnelle/50/5000/9909/043081/I_043081_P_906324681_B_0035970880_4.gal.png?height=540&amp;width=720</t>
  </si>
  <si>
    <t>Foitik, Christine, Mag. r., Notarin • Groß Gerungs • Niederösterreich</t>
  </si>
  <si>
    <t>Notare • Foitik, Christine, Mag. r., Zwettler Straße 123, Groß Gerungs • Kontakt über aktuelle Telefonnummern ☎ und Adressen ⚑ mit Karte, Routing, Öffnungszeiten, Homepage, E-Mail, vCard und Firmendaten.</t>
  </si>
  <si>
    <t>Zwettler Straße 123</t>
  </si>
  <si>
    <t>48.57294</t>
  </si>
  <si>
    <t>14.96378</t>
  </si>
  <si>
    <t>+43281251455</t>
  </si>
  <si>
    <t>+4328125145520</t>
  </si>
  <si>
    <t>notar@foitik.at</t>
  </si>
  <si>
    <t>https://bilder.dasschnelle.at/DasSchnelle/50/5000/9950/044528/G_044528_P_906324686.adn.gif</t>
  </si>
  <si>
    <t>Schlewitz, Martin, Radsportfachgeschäft • Schärding Innere Stadt • Oberösterreich</t>
  </si>
  <si>
    <t>Sportartikel u. -geräte • Schlewitz, Martin, Ludwig-Pfliegl-Gasse 25, Schärding Innere Stadt • Kontakt über aktuelle Telefonnummern ☎ und Adressen ⚑ mit Karte, Routing, Öffnungszeiten, Homepage, E-Mail, vCard und Firmendaten.</t>
  </si>
  <si>
    <t>Ludwig-Pfliegl-Gasse 25</t>
  </si>
  <si>
    <t>48.45525</t>
  </si>
  <si>
    <t>13.43178</t>
  </si>
  <si>
    <t>+4377122435</t>
  </si>
  <si>
    <t>m.schlewitz@gmx.at</t>
  </si>
  <si>
    <t>https://bilder.dasschnelle.at/DasSchnelle/50/5000/9926/042797/G_042797_P_906324693.adn.gif</t>
  </si>
  <si>
    <t>Haberl, Energieanlagen • Brunnenthal • Oberösterreich</t>
  </si>
  <si>
    <t>Heizung u. Sanitär • Haberl, Otterbacher Straße 9, Brunnenthal • Kontakt über aktuelle Telefonnummern ☎ und Adressen ⚑ mit Karte, Routing, Öffnungszeiten, Homepage, E-Mail, vCard und Firmendaten.</t>
  </si>
  <si>
    <t>Otterbacher Straße 9</t>
  </si>
  <si>
    <t>48.4600100</t>
  </si>
  <si>
    <t>13.4503500</t>
  </si>
  <si>
    <t>+43771278780</t>
  </si>
  <si>
    <t>michael.kraninger@haberlenergie.at</t>
  </si>
  <si>
    <t>https://bilder.dasschnelle.at/DasSchnelle/50/5000/9926/042304/G_042304_P_906324694.adn.gif</t>
  </si>
  <si>
    <t>Braumann Haustechnik GmbH • Schärding • Oberösterreich</t>
  </si>
  <si>
    <t>Haustechnik • Braumann Haustechnik GmbH, Linzer Straße 76, Schärding • Kontakt über aktuelle Telefonnummern ☎ und Adressen ⚑ mit Karte, Routing, Öffnungszeiten, Homepage, E-Mail, vCard und Firmendaten.</t>
  </si>
  <si>
    <t>Linzer Straße 76</t>
  </si>
  <si>
    <t>48.44803</t>
  </si>
  <si>
    <t>13.43766</t>
  </si>
  <si>
    <t>+4377122382;+4377122174</t>
  </si>
  <si>
    <t>office@braumann-haustechnik.at</t>
  </si>
  <si>
    <t>https://bilder.dasschnelle.at/DasSchnelle/50/5000/9926/042797/G_042797_P_906324383.adn.gif</t>
  </si>
  <si>
    <t>Mag. Ruth Vejvar - J.Haunschmid KG, Steuerbüro - Wirtschaftstreuhänder • Freistadt • Oberösterreich</t>
  </si>
  <si>
    <t>Wirtschaftstreuhänder / Steuerberater • Mag. Ruth Vejvar - J.Haunschmid KG, Manzenreith 37, Freistadt • Kontakt über aktuelle Telefonnummern ☎ und Adressen ⚑ mit Karte, Routing, Öffnungszeiten, Homepage, E-Mail, vCard und Firmendaten.</t>
  </si>
  <si>
    <t>Manzenreith 37</t>
  </si>
  <si>
    <t>48.5095744</t>
  </si>
  <si>
    <t>14.5080394</t>
  </si>
  <si>
    <t>+437942751160</t>
  </si>
  <si>
    <t>office@jhsteuer.at</t>
  </si>
  <si>
    <t>https://bilder.dasschnelle.at/DasSchnelle/50/5000/9882/044815/G_044815_P_906325465.adn.gif</t>
  </si>
  <si>
    <t>Ruhaltinger Installations GesmbH &amp; Co KG, Gas-Wasser- u Heizungsinstallationen • Weitersfelden • Oberösterreich</t>
  </si>
  <si>
    <t>Installationsunternehmen • Ruhaltinger Installations GesmbH &amp; Co KG, Weitersfelden 4, Weitersfelden • Kontakt über aktuelle Telefonnummern ☎ und Adressen ⚑ mit Karte, Routing, Öffnungszeiten, Homepage, E-Mail, vCard und Firmendaten.</t>
  </si>
  <si>
    <t>Weitersfelden 4</t>
  </si>
  <si>
    <t>48.4772014</t>
  </si>
  <si>
    <t>14.7279141</t>
  </si>
  <si>
    <t>+43795262410;+436643444589</t>
  </si>
  <si>
    <t>office@ruhaltinger.com</t>
  </si>
  <si>
    <t>https://bilder.dasschnelle.at/DasSchnelle/50/5000/9882/041785/G_041785_P_906325463.adn.gif</t>
  </si>
  <si>
    <t>Puchner, Thomas, Dr.med., FA f Frauenheilkunde u Geburtshilfe • Schärding • Oberösterreich</t>
  </si>
  <si>
    <t>Ärzte / Fachärzte f. Frauenheilkunde u. Geburtshilfe • Puchner, Thomas, Dr.med., Alfred-Kubin-Straße 5, Schärding • Kontakt über aktuelle Telefonnummern ☎ und Adressen ⚑ mit Karte, Routing, Öffnungszeiten, Homepage, E-Mail, vCard und Firmendaten.</t>
  </si>
  <si>
    <t>Alfred-Kubin-Straße 5</t>
  </si>
  <si>
    <t>48.4556127</t>
  </si>
  <si>
    <t>13.4360568</t>
  </si>
  <si>
    <t>+4377126696</t>
  </si>
  <si>
    <t>thomas.puchner@gmail.at</t>
  </si>
  <si>
    <t>https://bilder.dasschnelle.at/DasSchnelle/50/5000/9926/042797/G_042797_P_906325467.adn.gif</t>
  </si>
  <si>
    <t>Grosser Dachdecker-Spengler GmbH • Unterweißenbach • Oberösterreich</t>
  </si>
  <si>
    <t>Dachdeckereien, Spenglereien • Grosser Dachdecker-Spengler GmbH, Almstraße 10, Unterweißenbach • Kontakt über aktuelle Telefonnummern ☎ und Adressen ⚑ mit Karte, Routing, Öffnungszeiten, Homepage, E-Mail, vCard und Firmendaten.</t>
  </si>
  <si>
    <t>Almstraße 10</t>
  </si>
  <si>
    <t>48.4341</t>
  </si>
  <si>
    <t>14.78062</t>
  </si>
  <si>
    <t>+43795672290</t>
  </si>
  <si>
    <t>grosser@grosser.at</t>
  </si>
  <si>
    <t>https://bilder.dasschnelle.at/DasSchnelle/50/5000/9882/041781/G_041781_P_906325469.adn.gif</t>
  </si>
  <si>
    <t>Magerl, Erich, Schlosserei • Dorf Leopoldschlag • Oberösterreich</t>
  </si>
  <si>
    <t>Schlossereien • Magerl, Erich, Dorf Leopoldschlag 53, Dorf Leopoldschlag • Kontakt über aktuelle Telefonnummern ☎ und Adressen ⚑ mit Karte, Routing, Öffnungszeiten, Homepage, E-Mail, vCard und Firmendaten.</t>
  </si>
  <si>
    <t>Dorf Leopoldschlag 53</t>
  </si>
  <si>
    <t>4262</t>
  </si>
  <si>
    <t>Dorf Leopoldschlag</t>
  </si>
  <si>
    <t>48.6102307</t>
  </si>
  <si>
    <t>14.4742519</t>
  </si>
  <si>
    <t>+4379498210</t>
  </si>
  <si>
    <t>+437949821011</t>
  </si>
  <si>
    <t>office@magerl.co.at</t>
  </si>
  <si>
    <t>https://bilder.dasschnelle.at/DasSchnelle/50/5000/9882/041770/G_041770_P_906325475.adn.gif</t>
  </si>
  <si>
    <t>Frankl GmbH, Maschinenbau • Gratkorn • Steiermark</t>
  </si>
  <si>
    <t>Maschinenbau • Frankl GmbH, Harter Straße 31, Gratkorn • Kontakt über aktuelle Telefonnummern ☎ und Adressen ⚑ mit Karte, Routing, Öffnungszeiten, Homepage, E-Mail, vCard und Firmendaten.</t>
  </si>
  <si>
    <t>Harter Straße 31</t>
  </si>
  <si>
    <t>47.12225</t>
  </si>
  <si>
    <t>15.36191</t>
  </si>
  <si>
    <t>+43312425290</t>
  </si>
  <si>
    <t>w.frankl@metalltechnik-frankl.at</t>
  </si>
  <si>
    <t>https://bilder.dasschnelle.at/DasSchnelle/50/5000/9883/042322/G_042322_P_906325556.adn.gif</t>
  </si>
  <si>
    <t>Gitterle-Steine GmbH, Steinmetzbetrieb • Landeck • Tirol</t>
  </si>
  <si>
    <t>Steinmetzbetriebe • Gitterle-Steine GmbH, Nesselgarten 422 A, Landeck • Kontakt über aktuelle Telefonnummern ☎ und Adressen ⚑ mit Karte, Routing, Öffnungszeiten, Homepage, E-Mail, vCard und Firmendaten.</t>
  </si>
  <si>
    <t>Nesselgarten 422 A</t>
  </si>
  <si>
    <t>47.11622</t>
  </si>
  <si>
    <t>10.61647</t>
  </si>
  <si>
    <t>+4354495747;+436642110694</t>
  </si>
  <si>
    <t>+4354495532</t>
  </si>
  <si>
    <t>office@gitterle-steine.at</t>
  </si>
  <si>
    <t>https://bilder.dasschnelle.at/DasSchnelle/50/5000/9903/044584/G_044584_P_906325564.adn.gif</t>
  </si>
  <si>
    <t>Tollinger GmbH, Dachdeckerei • Landeck • Tirol</t>
  </si>
  <si>
    <t>Dachdeckereien • Tollinger GmbH, Urichstraße 85, Landeck • Kontakt über aktuelle Telefonnummern ☎ und Adressen ⚑ mit Karte, Routing, Öffnungszeiten, Homepage, E-Mail, vCard und Firmendaten.</t>
  </si>
  <si>
    <t>Urichstraße 85</t>
  </si>
  <si>
    <t>47.14803</t>
  </si>
  <si>
    <t>10.58003</t>
  </si>
  <si>
    <t>+43544263028</t>
  </si>
  <si>
    <t>+4354426302818</t>
  </si>
  <si>
    <t>info@tollinger.org</t>
  </si>
  <si>
    <t>https://bilder.dasschnelle.at/DasSchnelle/50/5000/9903/044584/G_044584_P_906325570.adn.gif</t>
  </si>
  <si>
    <t>Mittendorfer Peter GesmbH &amp; Co KG, Säge- u. Hobelwerk • St. Oswald bei Freistadt • Oberösterreich</t>
  </si>
  <si>
    <t>Säge- u. Hobelwerke • Mittendorfer Peter GesmbH &amp; Co KG, Wippl 6, St. Oswald bei Freistadt • Kontakt über aktuelle Telefonnummern ☎ und Adressen ⚑ mit Karte, Routing, Öffnungszeiten, Homepage, E-Mail, vCard und Firmendaten.</t>
  </si>
  <si>
    <t>Wippl 6</t>
  </si>
  <si>
    <t>St. Oswald bei Freistadt</t>
  </si>
  <si>
    <t>48.5070375</t>
  </si>
  <si>
    <t>14.6050127</t>
  </si>
  <si>
    <t>+43794572030</t>
  </si>
  <si>
    <t>gf@mittendorfer.net</t>
  </si>
  <si>
    <t>https://bilder.dasschnelle.at/DasSchnelle/50/5000/9882/041778/G_041778_P_906325445.adn.gif</t>
  </si>
  <si>
    <t>Walter Gruber Bau GesmbH, Bauunternehmen • Rainbach im Mühlkreis • Oberösterreich</t>
  </si>
  <si>
    <t>Bauunternehmen • Walter Gruber Bau GesmbH, Summerauer Straße 42, Rainbach im Mühlkreis • Kontakt über aktuelle Telefonnummern ☎ und Adressen ⚑ mit Karte, Routing, Öffnungszeiten, Homepage, E-Mail, vCard und Firmendaten.</t>
  </si>
  <si>
    <t>Summerauer Straße 42</t>
  </si>
  <si>
    <t>48.55701</t>
  </si>
  <si>
    <t>14.46616</t>
  </si>
  <si>
    <t>+43794920127</t>
  </si>
  <si>
    <t>w.gruber@gruberbau.at</t>
  </si>
  <si>
    <t>https://bilder.dasschnelle.at/DasSchnelle/50/5000/9882/041775/G_041775_P_906325447.adn.gif</t>
  </si>
  <si>
    <t>Christoph Buxbaum GmbH, Dachdeckerei • Langschlag • Niederösterreich</t>
  </si>
  <si>
    <t>Dachdeckereien • Christoph Buxbaum GmbH, Neusiedlung 204, Langschlag • Kontakt über aktuelle Telefonnummern ☎ und Adressen ⚑ mit Karte, Routing, Öffnungszeiten, Homepage, E-Mail, vCard und Firmendaten.</t>
  </si>
  <si>
    <t>Neusiedlung 204</t>
  </si>
  <si>
    <t>48.57273</t>
  </si>
  <si>
    <t>14.88015</t>
  </si>
  <si>
    <t>+4328147221</t>
  </si>
  <si>
    <t>christoph@buxbaum-dach.at</t>
  </si>
  <si>
    <t>https://bilder.dasschnelle.at/DasSchnelle/50/5000/9885/045075/G_045075_P_906325396.adn.gif</t>
  </si>
  <si>
    <t>Installationen Franz Rentenberger e.U., Elektroinstallationen • Langschlag • Niederösterreich</t>
  </si>
  <si>
    <t>Elektroinstallationsunternehmen • Installationen Franz Rentenberger e.U., Franz Diebl-Straße 122, Langschlag • Kontakt über aktuelle Telefonnummern ☎ und Adressen ⚑ mit Karte, Routing, Öffnungszeiten, Homepage, E-Mail, vCard und Firmendaten.</t>
  </si>
  <si>
    <t>Franz Diebl-Straße 122</t>
  </si>
  <si>
    <t>48.57416</t>
  </si>
  <si>
    <t>14.88608</t>
  </si>
  <si>
    <t>+4328148231</t>
  </si>
  <si>
    <t>office@rentenberger.co.at</t>
  </si>
  <si>
    <t>https://bilder.dasschnelle.at/DasSchnelle/50/5000/9950/044533/G_044533_P_906325398.adn.gif</t>
  </si>
  <si>
    <t>Halbmayer, Martin • Tulln an der Donau • Niederösterreich</t>
  </si>
  <si>
    <t>Orthopädische Schuhe • Halbmayer, Martin, Karl-Metz-Gasse 9, Tulln an der Donau • Kontakt über aktuelle Telefonnummern ☎ und Adressen ⚑ mit Karte, Routing, Öffnungszeiten, Homepage, E-Mail, vCard und Firmendaten.</t>
  </si>
  <si>
    <t>Karl-Metz-Gasse 9</t>
  </si>
  <si>
    <t>48.33209</t>
  </si>
  <si>
    <t>16.06147</t>
  </si>
  <si>
    <t>+43227264631;+436505285271</t>
  </si>
  <si>
    <t>+43227261377</t>
  </si>
  <si>
    <t>office@ortho-halbmayer.at</t>
  </si>
  <si>
    <t>https://bilder.dasschnelle.at/DasSchnelle/50/5000/9938/044247/G_044247_P_906325583.adn.gif</t>
  </si>
  <si>
    <t>Mörzinger, Franz, Optiker • Gmünd • Niederösterreich</t>
  </si>
  <si>
    <t>Optik • Mörzinger, Franz, Emerich-Berger-Straße 3, Gmünd • Kontakt über aktuelle Telefonnummern ☎ und Adressen ⚑ mit Karte, Routing, Öffnungszeiten, Homepage, E-Mail, vCard und Firmendaten.</t>
  </si>
  <si>
    <t>Emerich-Berger-Straße 3</t>
  </si>
  <si>
    <t>48.76539</t>
  </si>
  <si>
    <t>14.98329</t>
  </si>
  <si>
    <t>+43285252468</t>
  </si>
  <si>
    <t>optik@moerzinger.at</t>
  </si>
  <si>
    <t>https://bilder.dasschnelle.at/DasSchnelle/50/5000/9885/045075/G_045075_P_906326155.adn.gif</t>
  </si>
  <si>
    <t>Reischl Haustechnik Ges.mbH &amp;Co KG • Frankenmarkt • Oberösterreich</t>
  </si>
  <si>
    <t>Haustechnik, Installationsunternehmen, Gasinstallationen • Reischl Haustechnik Ges.mbH &amp;Co KG, Auleitenstraße 10, Frankenmarkt • Kontakt über aktuelle Telefonnummern ☎ und Adressen ⚑ mit Karte, Routing, Öffnungszeiten, Homepage, E-Mail, vCard und Firmendaten.</t>
  </si>
  <si>
    <t>Auleitenstraße 10</t>
  </si>
  <si>
    <t>47.98518</t>
  </si>
  <si>
    <t>13.41528</t>
  </si>
  <si>
    <t>+4376846250</t>
  </si>
  <si>
    <t>office@reischl.co.at</t>
  </si>
  <si>
    <t>https://bilder.dasschnelle.at/DasSchnelle/50/5000/9881/043076/G_043076_P_906326182.adn.gif</t>
  </si>
  <si>
    <t>Strobl Maler &amp; Bodenleger GmbH • Thalgau • Salzburg</t>
  </si>
  <si>
    <t>Farben u. Lacke, Fassadengestaltung, Malereibetriebe, Raumausstatter • Strobl Maler &amp; Bodenleger GmbH, Franz Schoosleitner-Straße 5, Thalgau • Kontakt über aktuelle Telefonnummern ☎ und Adressen ⚑ mit Karte, Routing, Öffnungszeiten, Homepage, E-Mail, vCard und Firmendaten.</t>
  </si>
  <si>
    <t>Franz Schoosleitner-Straße 5</t>
  </si>
  <si>
    <t>47.84185</t>
  </si>
  <si>
    <t>13.25142</t>
  </si>
  <si>
    <t>+4362357276</t>
  </si>
  <si>
    <t>office@malerei-strobl.at</t>
  </si>
  <si>
    <t>https://bilder.dasschnelle.at/DasSchnelle/50/5000/9909/043331/G_043331_P_906326184.adn.gif</t>
  </si>
  <si>
    <t>Lasinger, Franz, VW-Verkauf u Kundendienst • Sankt Leonhard bei Freistadt • Oberösterreich</t>
  </si>
  <si>
    <t>Autohandel • Lasinger, Franz, Hauptstraße 38, Sankt Leonhard bei Freistadt • Kontakt über aktuelle Telefonnummern ☎ und Adressen ⚑ mit Karte, Routing, Öffnungszeiten, Homepage, E-Mail, vCard und Firmendaten.</t>
  </si>
  <si>
    <t>Hauptstraße 38</t>
  </si>
  <si>
    <t>48.44558</t>
  </si>
  <si>
    <t>14.68319</t>
  </si>
  <si>
    <t>+4379528207</t>
  </si>
  <si>
    <t>franz.lasinger@lasingervw.at</t>
  </si>
  <si>
    <t>https://bilder.dasschnelle.at/DasSchnelle/50/5000/9882/041777/G_041777_P_906326186.adn.gif</t>
  </si>
  <si>
    <t>Autohaus Aumayr GmbH, Autohaus • Schönau im Mühlkreis • Oberösterreich</t>
  </si>
  <si>
    <t>Autohandel • Autohaus Aumayr GmbH, Almstraße 8, Schönau im Mühlkreis • Kontakt über aktuelle Telefonnummern ☎ und Adressen ⚑ mit Karte, Routing, Öffnungszeiten, Homepage, E-Mail, vCard und Firmendaten.</t>
  </si>
  <si>
    <t>Almstraße 8</t>
  </si>
  <si>
    <t>48.39921</t>
  </si>
  <si>
    <t>14.73298</t>
  </si>
  <si>
    <t>+4372617428</t>
  </si>
  <si>
    <t>+4372617334</t>
  </si>
  <si>
    <t>verkauf@ford-aumayr.at</t>
  </si>
  <si>
    <t>https://bilder.dasschnelle.at/DasSchnelle/50/5000/9882/041779/G_041779_P_906326190.adn.gif</t>
  </si>
  <si>
    <t>Mohik Wertholz GmbH, Holzmarkt • Frohnleiten • Steiermark</t>
  </si>
  <si>
    <t>Holzfachmärkte • Mohik Wertholz GmbH, Frohnleiten 50, Frohnleiten • Kontakt über aktuelle Telefonnummern ☎ und Adressen ⚑ mit Karte, Routing, Öffnungszeiten, Homepage, E-Mail, vCard und Firmendaten.</t>
  </si>
  <si>
    <t>Frohnleiten 50</t>
  </si>
  <si>
    <t>47.2429160</t>
  </si>
  <si>
    <t>15.3208670</t>
  </si>
  <si>
    <t>+4331262750</t>
  </si>
  <si>
    <t>office@mohik.at</t>
  </si>
  <si>
    <t>https://bilder.dasschnelle.at/DasSchnelle/50/5000/9883/061362/G_061362_P_906326193.adn.gif</t>
  </si>
  <si>
    <t>Elektrotechnik Deutschmann • Hitzendorf • Steiermark</t>
  </si>
  <si>
    <t>Planungsbüros • Elektrotechnik Deutschmann, Höllberg 20, Hitzendorf • Kontakt über aktuelle Telefonnummern ☎ und Adressen ⚑ mit Karte, Routing, Öffnungszeiten, Homepage, E-Mail, vCard und Firmendaten.</t>
  </si>
  <si>
    <t>Höllberg 20</t>
  </si>
  <si>
    <t>47.0167300</t>
  </si>
  <si>
    <t>15.3013900</t>
  </si>
  <si>
    <t>+4366473555590</t>
  </si>
  <si>
    <t>office@elektrotechnik-deutschmann.at</t>
  </si>
  <si>
    <t>https://bilder.dasschnelle.at/DasSchnelle/50/5000/9883/061360/I_061360_P_906326195_L_0038400102_1.png</t>
  </si>
  <si>
    <t>https://bilder.dasschnelle.at/DasSchnelle/50/5000/9883/061360/I_061360_P_906326195_B_0038400102_1.gal.png?height=548&amp;width=992;https://bilder.dasschnelle.at/DasSchnelle/50/5000/9883/061360/I_061360_P_906326195_B_0038400102_2.gal.png?height=483&amp;width=992;https://bilder.dasschnelle.at/DasSchnelle/50/5000/9883/061360/I_061360_P_906326195_B_0038400102_3.gal.png?height=397&amp;width=720;https://bilder.dasschnelle.at/DasSchnelle/50/5000/9883/061360/I_061360_P_906326195_B_0038400102_4.gal.png?height=395&amp;width=720</t>
  </si>
  <si>
    <t>Gärtnerei Falch • Schnann • Tirol</t>
  </si>
  <si>
    <t>Gärtnereien • Gärtnerei Falch, Gewerbegebiet 149, Schnann • Kontakt über aktuelle Telefonnummern ☎ und Adressen ⚑ mit Karte, Routing, Öffnungszeiten, Homepage, E-Mail, vCard und Firmendaten.</t>
  </si>
  <si>
    <t>Gewerbegebiet 149</t>
  </si>
  <si>
    <t>Schnann</t>
  </si>
  <si>
    <t>47.1494881</t>
  </si>
  <si>
    <t>10.3745697</t>
  </si>
  <si>
    <t>+4354475567</t>
  </si>
  <si>
    <t>blumenfalch@aon.at</t>
  </si>
  <si>
    <t>https://bilder.dasschnelle.at/DasSchnelle/50/5000/9903/044586/G_044586_P_906326197.adn.gif</t>
  </si>
  <si>
    <t>Sonnenschutz Jungwirth • Rainbach im Mühlkreis • Oberösterreich</t>
  </si>
  <si>
    <t>Sonnen u. Insektenschutz • Sonnenschutz Jungwirth, Apfoltern 11, Rainbach im Mühlkreis • Kontakt über aktuelle Telefonnummern ☎ und Adressen ⚑ mit Karte, Routing, Öffnungszeiten, Homepage, E-Mail, vCard und Firmendaten.</t>
  </si>
  <si>
    <t>Apfoltern 11</t>
  </si>
  <si>
    <t>48.54363</t>
  </si>
  <si>
    <t>14.48804</t>
  </si>
  <si>
    <t>+43794920148</t>
  </si>
  <si>
    <t>office@kj-sonnenschutz.at</t>
  </si>
  <si>
    <t>https://bilder.dasschnelle.at/DasSchnelle/50/5000/9882/041775/G_041775_P_906326619.adn.gif</t>
  </si>
  <si>
    <t>Feichtmayr Karl GmbH, Kraftfahrzeugtechniker • Freistadt • Oberösterreich</t>
  </si>
  <si>
    <t>Autohandel, Autoreparaturen • Feichtmayr Karl GmbH, Linzerstraße 65, Freistadt • Kontakt über aktuelle Telefonnummern ☎ und Adressen ⚑ mit Karte, Routing, Öffnungszeiten, Homepage, E-Mail, vCard und Firmendaten.</t>
  </si>
  <si>
    <t>48.49584</t>
  </si>
  <si>
    <t>14.50357</t>
  </si>
  <si>
    <t>+437942750310;+436643002778</t>
  </si>
  <si>
    <t>freistadt@toyota-feichtmayr.at</t>
  </si>
  <si>
    <t>https://bilder.dasschnelle.at/DasSchnelle/50/5000/9882/044815/I_044815_P_906326710_L_0035993498_1.png</t>
  </si>
  <si>
    <t>https://bilder.dasschnelle.at/DasSchnelle/50/5000/9882/044815/I_044815_P_906326710_B_0035993498_1.gal.png?height=307&amp;width=831;https://bilder.dasschnelle.at/DasSchnelle/50/5000/9882/044815/I_044815_P_906326710_B_0035993498_2.gal.png?height=302&amp;width=831;https://bilder.dasschnelle.at/DasSchnelle/50/5000/9882/044815/I_044815_P_906326710_B_0035993498_3.gal.png?height=272&amp;width=630;https://bilder.dasschnelle.at/DasSchnelle/50/5000/9882/044815/I_044815_P_906326710_B_0035993498_4.gal.png?height=271&amp;width=637</t>
  </si>
  <si>
    <t>Jachs Reinhard Sägewerk, Reinhard, Säge- u Hobelwerke • Windhaag bei Freistadt • Oberösterreich</t>
  </si>
  <si>
    <t>Holzfachmärkte, Säge- u. Hobelwerke • Jachs Reinhard Sägewerk, Reinhard, Felberbachstraße 3, Windhaag bei Freistadt • Kontakt über aktuelle Telefonnummern ☎ und Adressen ⚑ mit Karte, Routing, Öffnungszeiten, Homepage, E-Mail, vCard und Firmendaten.</t>
  </si>
  <si>
    <t>Felberbachstraße 3</t>
  </si>
  <si>
    <t>Windhaag bei Freistadt</t>
  </si>
  <si>
    <t>48.59114</t>
  </si>
  <si>
    <t>14.56294</t>
  </si>
  <si>
    <t>+437943267</t>
  </si>
  <si>
    <t>saegewerk.jachs@a1.net</t>
  </si>
  <si>
    <t>https://bilder.dasschnelle.at/DasSchnelle/50/5000/9882/041786/G_041786_P_906326719.adn.gif</t>
  </si>
  <si>
    <t>Pölz, Gerhard, Holzwaren • Sandl • Oberösterreich</t>
  </si>
  <si>
    <t>Holzwaren, Zäune u. Einfriedungen • Pölz, Gerhard, Sandl 29, Sandl • Kontakt über aktuelle Telefonnummern ☎ und Adressen ⚑ mit Karte, Routing, Öffnungszeiten, Homepage, E-Mail, vCard und Firmendaten.</t>
  </si>
  <si>
    <t>Sandl 29</t>
  </si>
  <si>
    <t>48.5508247</t>
  </si>
  <si>
    <t>14.6230463</t>
  </si>
  <si>
    <t>+4379448613;+436644120704</t>
  </si>
  <si>
    <t>poelz.gerhard@aon.at</t>
  </si>
  <si>
    <t>https://bilder.dasschnelle.at/DasSchnelle/50/5000/9882/041776/G_041776_P_906326722.adn.gif</t>
  </si>
  <si>
    <t>Grasserbauer, Daniel, Kunstschlosserei • Bad Zell • Oberösterreich</t>
  </si>
  <si>
    <t>Schlossereien • Grasserbauer, Daniel, Hirtlhof 14, Bad Zell • Kontakt über aktuelle Telefonnummern ☎ und Adressen ⚑ mit Karte, Routing, Öffnungszeiten, Homepage, E-Mail, vCard und Firmendaten.</t>
  </si>
  <si>
    <t>Hirtlhof 14</t>
  </si>
  <si>
    <t>48.3609204</t>
  </si>
  <si>
    <t>14.6714259</t>
  </si>
  <si>
    <t>+4369911236189</t>
  </si>
  <si>
    <t>die.kunstschlosserei@gmail.com</t>
  </si>
  <si>
    <t>https://bilder.dasschnelle.at/DasSchnelle/50/5000/9882/041787/I_041787_P_906327193_L_0035992969_1.png</t>
  </si>
  <si>
    <t>https://bilder.dasschnelle.at/DasSchnelle/50/5000/9882/041787/I_041787_P_906327193_B_0035992969_1.gal.png?height=563&amp;width=759;https://bilder.dasschnelle.at/DasSchnelle/50/5000/9882/041787/I_041787_P_906327193_B_0035992969_2.gal.png?height=564&amp;width=758;https://bilder.dasschnelle.at/DasSchnelle/50/5000/9882/041787/I_041787_P_906327193_B_0035992969_3.gal.png?height=305&amp;width=428;https://bilder.dasschnelle.at/DasSchnelle/50/5000/9882/041787/I_041787_P_906327193_B_0035992969_4.gal.png?height=234&amp;width=720;https://bilder.dasschnelle.at/DasSchnelle/50/5000/9882/041787/G_041787_P_906327193.adn.gif</t>
  </si>
  <si>
    <t>Sammer, Willi, Schlüsseldienst • Graz • Steiermark</t>
  </si>
  <si>
    <t>Aufsperrdienste • Sammer, Willi, Wiener Straße 87, Graz • Kontakt über aktuelle Telefonnummern ☎ und Adressen ⚑ mit Karte, Routing, Öffnungszeiten, Homepage, E-Mail, vCard und Firmendaten.</t>
  </si>
  <si>
    <t>Wiener Straße 87</t>
  </si>
  <si>
    <t>47.0812</t>
  </si>
  <si>
    <t>15.42159</t>
  </si>
  <si>
    <t>+43316711486</t>
  </si>
  <si>
    <t>office@sicher-sammer.com</t>
  </si>
  <si>
    <t>https://bilder.dasschnelle.at/DasSchnelle/50/5000/9883/042322/G_042322_P_906327196.adn.gif</t>
  </si>
  <si>
    <t>Auto Partoll, Autoreparaturen • See • Tirol</t>
  </si>
  <si>
    <t>Autoreparaturen • Auto Partoll, Labebene-Au 316, See • Kontakt über aktuelle Telefonnummern ☎ und Adressen ⚑ mit Karte, Routing, Öffnungszeiten, Homepage, E-Mail, vCard und Firmendaten.</t>
  </si>
  <si>
    <t>Labebene-Au 316</t>
  </si>
  <si>
    <t>47.06297</t>
  </si>
  <si>
    <t>10.38184</t>
  </si>
  <si>
    <t>+43544121001;+436641244959</t>
  </si>
  <si>
    <t>office@autopartoll.at</t>
  </si>
  <si>
    <t>https://bilder.dasschnelle.at/DasSchnelle/50/5000/9903/044579/G_044579_P_906326645.adn.gif</t>
  </si>
  <si>
    <t>Kessaris, Vassilios, Dr., Ärzte / Fachärzte f Augenheilkunde u Optometrie • Pregarten • Oberösterreich</t>
  </si>
  <si>
    <t>Ärzte / Fachärzte f. Augenheilkunde u. Optometrie • Kessaris, Vassilios, Dr., Tragweiner Straße 1, Pregarten • Kontakt über aktuelle Telefonnummern ☎ und Adressen ⚑ mit Karte, Routing, Öffnungszeiten, Homepage, E-Mail, vCard und Firmendaten.</t>
  </si>
  <si>
    <t>Tragweiner Straße 1</t>
  </si>
  <si>
    <t>48.3547</t>
  </si>
  <si>
    <t>14.53132</t>
  </si>
  <si>
    <t>+4372365558</t>
  </si>
  <si>
    <t>office@drkessaris.at</t>
  </si>
  <si>
    <t>https://bilder.dasschnelle.at/DasSchnelle/50/5000/9882/041774/G_041774_P_906326641.adn.gif</t>
  </si>
  <si>
    <t>Johanna Pachler, Praxis für Physiotherapie • Sankt Georgen im Attergau • Oberösterreich</t>
  </si>
  <si>
    <t>Physiotherapie • Johanna Pachler, Attergaustraße 74, Sankt Georgen im Attergau • Kontakt über aktuelle Telefonnummern ☎ und Adressen ⚑ mit Karte, Routing, Öffnungszeiten, Homepage, E-Mail, vCard und Firmendaten.</t>
  </si>
  <si>
    <t>Attergaustraße 74</t>
  </si>
  <si>
    <t>47.9524127</t>
  </si>
  <si>
    <t>13.4858603</t>
  </si>
  <si>
    <t>+436764455520</t>
  </si>
  <si>
    <t>physio.pachler@gmail.com</t>
  </si>
  <si>
    <t>https://bilder.dasschnelle.at/DasSchnelle/50/5000/9940/043100/I_043100_P_906326648_L_0035999628_1.png</t>
  </si>
  <si>
    <t>https://bilder.dasschnelle.at/DasSchnelle/50/5000/9940/043100/I_043100_P_906326648_B_0035999628_1.gal.png?height=450&amp;width=450;https://bilder.dasschnelle.at/DasSchnelle/50/5000/9940/043100/I_043100_P_906326648_B_0035999628_2.gal.png?height=318&amp;width=450;https://bilder.dasschnelle.at/DasSchnelle/50/5000/9940/043100/I_043100_P_906326648_B_0035999628_3.gal.png?height=295&amp;width=253</t>
  </si>
  <si>
    <t>Kauer, Thomas, Dr.med.dent., Zahnarzt • Regau • Oberösterreich</t>
  </si>
  <si>
    <t>Zahnärzte • Kauer, Thomas, Dr.med.dent., Betriebsstraße 13, Regau • Kontakt über aktuelle Telefonnummern ☎ und Adressen ⚑ mit Karte, Routing, Öffnungszeiten, Homepage, E-Mail, vCard und Firmendaten.</t>
  </si>
  <si>
    <t>Betriebsstraße 13</t>
  </si>
  <si>
    <t>47.99007</t>
  </si>
  <si>
    <t>13.6841</t>
  </si>
  <si>
    <t>+43767221880</t>
  </si>
  <si>
    <t>praxis@zahnarzt-kauer.at</t>
  </si>
  <si>
    <t>https://bilder.dasschnelle.at/DasSchnelle/50/5000/9940/043097/G_043097_P_906326726.adn.gif</t>
  </si>
  <si>
    <t>Pirklbauer Massagen • Hagenberg • Oberösterreich</t>
  </si>
  <si>
    <t>Massagen • Pirklbauer Massagen, Hauptstraße 90, Hagenberg • Kontakt über aktuelle Telefonnummern ☎ und Adressen ⚑ mit Karte, Routing, Öffnungszeiten, Homepage, E-Mail, vCard und Firmendaten.</t>
  </si>
  <si>
    <t>Hauptstraße 90</t>
  </si>
  <si>
    <t>4232</t>
  </si>
  <si>
    <t>Hagenberg</t>
  </si>
  <si>
    <t>48.3672400</t>
  </si>
  <si>
    <t>14.5169000</t>
  </si>
  <si>
    <t>+436643818345</t>
  </si>
  <si>
    <t>office@pirklbauer-massagen.at</t>
  </si>
  <si>
    <t>https://bilder.dasschnelle.at/DasSchnelle/50/5000/9882/041764/G_041764_P_906326728.adn.gif</t>
  </si>
  <si>
    <t>Haberreiter &amp; Fida OG, Eletro Zeller • Schrems • Niederösterreich</t>
  </si>
  <si>
    <t>Elektrounternehmen • Haberreiter &amp; Fida OG, Eletro Zeller, Budweiser Straße 30, Schrems • Kontakt über aktuelle Telefonnummern ☎ und Adressen ⚑ mit Karte, Routing, Öffnungszeiten, Homepage, E-Mail, vCard und Firmendaten.</t>
  </si>
  <si>
    <t>Budweiser Straße 30</t>
  </si>
  <si>
    <t>48.79642</t>
  </si>
  <si>
    <t>15.06299</t>
  </si>
  <si>
    <t>+432853773260;+436648599521;+436648599520;+436642212065</t>
  </si>
  <si>
    <t>office@elektrozeller.at</t>
  </si>
  <si>
    <t>https://bilder.dasschnelle.at/DasSchnelle/50/5000/9885/045538/G_045538_P_906326735.adn.gif</t>
  </si>
  <si>
    <t>Simsalik, Walter, Installationsunternehmen • Gmünd • Niederösterreich</t>
  </si>
  <si>
    <t>Installationsunternehmen • Simsalik, Walter, Lagerstraße 29, Gmünd • Kontakt über aktuelle Telefonnummern ☎ und Adressen ⚑ mit Karte, Routing, Öffnungszeiten, Homepage, E-Mail, vCard und Firmendaten.</t>
  </si>
  <si>
    <t>Lagerstraße 29</t>
  </si>
  <si>
    <t>48.76022</t>
  </si>
  <si>
    <t>14.97908</t>
  </si>
  <si>
    <t>+43285254116</t>
  </si>
  <si>
    <t>walter.simsi@simsalik.at</t>
  </si>
  <si>
    <t>https://bilder.dasschnelle.at/DasSchnelle/50/5000/9885/045075/G_045075_P_906326745.adn.gif</t>
  </si>
  <si>
    <t>Baumann, Petra, Dr.med., Ärzte / Fachärzte f Frauenheilkunde u Geburtshilfe • St. Oswald bei Freistadt • Oberösterreich</t>
  </si>
  <si>
    <t>Ärzte / Fachärzte f. Frauenheilkunde u. Geburtshilfe • Baumann, Petra, Dr.med., Freistädterstraße 35, St. Oswald bei Freistadt • Kontakt über aktuelle Telefonnummern ☎ und Adressen ⚑ mit Karte, Routing, Öffnungszeiten, Homepage, E-Mail, vCard und Firmendaten.</t>
  </si>
  <si>
    <t>Freistädterstraße 35</t>
  </si>
  <si>
    <t>48.50125</t>
  </si>
  <si>
    <t>14.57478</t>
  </si>
  <si>
    <t>+43794520088</t>
  </si>
  <si>
    <t>https://bilder.dasschnelle.at/DasSchnelle/50/5000/9882/041778/G_041778_P_906327313.adn.gif</t>
  </si>
  <si>
    <t>Sailer Werner + Günther GmbH, Heizungen • Landeck • Tirol</t>
  </si>
  <si>
    <t>Heizungen, Installationsunternehmen • Sailer Werner + Günther GmbH, Urgen 398, Landeck • Kontakt über aktuelle Telefonnummern ☎ und Adressen ⚑ mit Karte, Routing, Öffnungszeiten, Homepage, E-Mail, vCard und Firmendaten.</t>
  </si>
  <si>
    <t>Urgen 398</t>
  </si>
  <si>
    <t>47.11843</t>
  </si>
  <si>
    <t>10.60582</t>
  </si>
  <si>
    <t>+4354495263</t>
  </si>
  <si>
    <t>technik@sailer.co.at</t>
  </si>
  <si>
    <t>https://bilder.dasschnelle.at/DasSchnelle/50/5000/9903/044584/G_044584_P_906327315.adn.gif</t>
  </si>
  <si>
    <t>Reifen Böhm, Reifen u Reifendienste • Heidenreichstein • Niederösterreich</t>
  </si>
  <si>
    <t>Reifendienste • Reifen Böhm, Hinterzeile 8, Heidenreichstein • Kontakt über aktuelle Telefonnummern ☎ und Adressen ⚑ mit Karte, Routing, Öffnungszeiten, Homepage, E-Mail, vCard und Firmendaten.</t>
  </si>
  <si>
    <t>Hinterzeile 8</t>
  </si>
  <si>
    <t>48.8664</t>
  </si>
  <si>
    <t>15.12266</t>
  </si>
  <si>
    <t>+43286252360;+436641323304</t>
  </si>
  <si>
    <t>office@reifen-boehm.at</t>
  </si>
  <si>
    <t>https://bilder.dasschnelle.at/DasSchnelle/50/5000/9885/045081/G_045081_P_906327319.adn.gif</t>
  </si>
  <si>
    <t>Schulmeister GmbH, Orthopädiezentrum • Zwettl • Niederösterreich</t>
  </si>
  <si>
    <t>Orthopäden • Schulmeister GmbH, Gerungser Straße 34, Zwettl • Kontakt über aktuelle Telefonnummern ☎ und Adressen ⚑ mit Karte, Routing, Öffnungszeiten, Homepage, E-Mail, vCard und Firmendaten.</t>
  </si>
  <si>
    <t>Gerungser Straße 34</t>
  </si>
  <si>
    <t>48.60333</t>
  </si>
  <si>
    <t>15.15896</t>
  </si>
  <si>
    <t>+43282254287</t>
  </si>
  <si>
    <t>info@ortho-schulmeister.at</t>
  </si>
  <si>
    <t>https://bilder.dasschnelle.at/DasSchnelle/50/5000/9950/044545/G_044545_P_906327324.adn.gif</t>
  </si>
  <si>
    <t>Zankl GmbH, Dachdeckerei und Spenglerei • Großgöttfritz • Niederösterreich</t>
  </si>
  <si>
    <t>Spenglereien • Zankl GmbH, Engelbrechts 19, Großgöttfritz • Kontakt über aktuelle Telefonnummern ☎ und Adressen ⚑ mit Karte, Routing, Öffnungszeiten, Homepage, E-Mail, vCard und Firmendaten.</t>
  </si>
  <si>
    <t>Engelbrechts 19</t>
  </si>
  <si>
    <t>3913</t>
  </si>
  <si>
    <t>Großgöttfritz</t>
  </si>
  <si>
    <t>48.5258342</t>
  </si>
  <si>
    <t>15.2029923</t>
  </si>
  <si>
    <t>+43287583750;+436644849223</t>
  </si>
  <si>
    <t>info@zankldach.at</t>
  </si>
  <si>
    <t>https://bilder.dasschnelle.at/DasSchnelle/50/5000/9950/044529/G_044529_P_906326677.adn.gif</t>
  </si>
  <si>
    <t>Putz, Eduard, Sägewerk • Oberwang • Oberösterreich</t>
  </si>
  <si>
    <t>Säge- u. Hobelwerke • Putz, Eduard, Gessenschwandt 14, Oberwang • Kontakt über aktuelle Telefonnummern ☎ und Adressen ⚑ mit Karte, Routing, Öffnungszeiten, Homepage, E-Mail, vCard und Firmendaten.</t>
  </si>
  <si>
    <t>Gessenschwandt 14</t>
  </si>
  <si>
    <t>47.8506939</t>
  </si>
  <si>
    <t>13.4360411</t>
  </si>
  <si>
    <t>+4362338640</t>
  </si>
  <si>
    <t>mail@saegewerk-putz.at</t>
  </si>
  <si>
    <t>https://bilder.dasschnelle.at/DasSchnelle/50/5000/9909/043087/G_043087_P_906326688.adn.gif</t>
  </si>
  <si>
    <t>Hroch Zbynek, Restaurant "Böhmischer Hof" • Harmannsdorf • Niederösterreich</t>
  </si>
  <si>
    <t>Gastgewerbe - Gasthöfe • Hroch Zbynek, Restaurant "Böhmischer Hof", Laaer Straße 55, Harmannsdorf • Kontakt über aktuelle Telefonnummern ☎ und Adressen ⚑ mit Karte, Routing, Öffnungszeiten, Homepage, E-Mail, vCard und Firmendaten.</t>
  </si>
  <si>
    <t>Laaer Straße 55</t>
  </si>
  <si>
    <t>48.3969</t>
  </si>
  <si>
    <t>16.37196</t>
  </si>
  <si>
    <t>+43226420082</t>
  </si>
  <si>
    <t>zbynek1@aon.at</t>
  </si>
  <si>
    <t>https://bilder.dasschnelle.at/DasSchnelle/50/5000/9898/041411/G_041411_P_906327333.adn.gif</t>
  </si>
  <si>
    <t>Dax Franz GmbH, Elektrotechnik • Frankenmarkt • Oberösterreich</t>
  </si>
  <si>
    <t>Telekommunikation • Dax Franz GmbH, Hauptstraße 102 A, Frankenmarkt • Kontakt über aktuelle Telefonnummern ☎ und Adressen ⚑ mit Karte, Routing, Öffnungszeiten, Homepage, E-Mail, vCard und Firmendaten.</t>
  </si>
  <si>
    <t>Hauptstraße 102 A</t>
  </si>
  <si>
    <t>47.98549</t>
  </si>
  <si>
    <t>13.41845</t>
  </si>
  <si>
    <t>+4376846633</t>
  </si>
  <si>
    <t>office@tvweb.at</t>
  </si>
  <si>
    <t>https://bilder.dasschnelle.at/DasSchnelle/50/5000/9881/043076/I_043076_P_906327335_L_0035994781_1.png</t>
  </si>
  <si>
    <t>https://bilder.dasschnelle.at/DasSchnelle/50/5000/9881/043076/I_043076_P_906327335_B_0035994781_1.gal.png?height=154&amp;width=600;https://bilder.dasschnelle.at/DasSchnelle/50/5000/9881/043076/I_043076_P_906327335_B_0035994781_2.gal.png?height=185&amp;width=600;https://bilder.dasschnelle.at/DasSchnelle/50/5000/9881/043076/I_043076_P_906327335_B_0035994781_3.gal.png?height=185&amp;width=600;https://bilder.dasschnelle.at/DasSchnelle/50/5000/9881/043076/I_043076_P_906327335_B_0035994781_4.gal.png?height=720&amp;width=720;https://bilder.dasschnelle.at/DasSchnelle/50/5000/9881/043076/G_043076_P_906327335.adn.gif</t>
  </si>
  <si>
    <t>Honeder, Christian, Dachdecker u Spengler • Grafenschlag • Niederösterreich</t>
  </si>
  <si>
    <t>Spenglereien • Honeder, Christian, Grafenschlag 130, Grafenschlag • Kontakt über aktuelle Telefonnummern ☎ und Adressen ⚑ mit Karte, Routing, Öffnungszeiten, Homepage, E-Mail, vCard und Firmendaten.</t>
  </si>
  <si>
    <t>Grafenschlag 130</t>
  </si>
  <si>
    <t>48.5004178</t>
  </si>
  <si>
    <t>15.1747840</t>
  </si>
  <si>
    <t>+43287560020</t>
  </si>
  <si>
    <t>office@spengler-honeder.at</t>
  </si>
  <si>
    <t>https://bilder.dasschnelle.at/DasSchnelle/50/5000/9950/044527/G_044527_P_906327714.adn.gif</t>
  </si>
  <si>
    <t>Sturm &amp; Kurz OG, Autoservice • Frauendorf • Niederösterreich</t>
  </si>
  <si>
    <t>Autoreparaturen • Sturm &amp; Kurz OG, Frauendorf • Kontakt über aktuelle Telefonnummern ☎ und Adressen ⚑ mit Karte, Routing, Öffnungszeiten, Homepage, E-Mail, vCard und Firmendaten.</t>
  </si>
  <si>
    <t>Frauendorf</t>
  </si>
  <si>
    <t>48.5522940</t>
  </si>
  <si>
    <t>14.9696879</t>
  </si>
  <si>
    <t>+436645032656</t>
  </si>
  <si>
    <t>office@sturmundkurz.at</t>
  </si>
  <si>
    <t>https://bilder.dasschnelle.at/DasSchnelle/50/5000/9950/044528/G_044528_P_906327716.adn.gif</t>
  </si>
  <si>
    <t>Sägewerk Dax KG • Straßwalchen • Salzburg</t>
  </si>
  <si>
    <t>Säge- u. Hobelwerke • Sägewerk Dax KG, Angern 12, Straßwalchen • Kontakt über aktuelle Telefonnummern ☎ und Adressen ⚑ mit Karte, Routing, Öffnungszeiten, Homepage, E-Mail, vCard und Firmendaten.</t>
  </si>
  <si>
    <t>Angern 12</t>
  </si>
  <si>
    <t>13.36273</t>
  </si>
  <si>
    <t>+4362348418</t>
  </si>
  <si>
    <t>saegewerk.dax@aon.at</t>
  </si>
  <si>
    <t>https://bilder.dasschnelle.at/DasSchnelle/50/5000/9909/043560/G_043560_P_906327720.adn.gif</t>
  </si>
  <si>
    <t>Orthopädie-Schuhtechnik Huber GmbH, Orthopädische Schuhe • Straß im Attergau • Oberösterreich</t>
  </si>
  <si>
    <t>Orthopädische Schuhe • Orthopädie-Schuhtechnik Huber GmbH, Dachsenberg 15, Straß im Attergau • Kontakt über aktuelle Telefonnummern ☎ und Adressen ⚑ mit Karte, Routing, Öffnungszeiten, Homepage, E-Mail, vCard und Firmendaten.</t>
  </si>
  <si>
    <t>Dachsenberg 15</t>
  </si>
  <si>
    <t>47.9099817</t>
  </si>
  <si>
    <t>13.5001088</t>
  </si>
  <si>
    <t>+4376676082</t>
  </si>
  <si>
    <t>schuhe@ortho-huber.at</t>
  </si>
  <si>
    <t>https://bilder.dasschnelle.at/DasSchnelle/50/5000/9909/043107/G_043107_P_906327503.adn.gif</t>
  </si>
  <si>
    <t>Pichler, Martin, Elektrotechnik • Semriach • Steiermark</t>
  </si>
  <si>
    <t>Elektrotechnik • Pichler, Martin, Panoramaweg 10, Semriach • Kontakt über aktuelle Telefonnummern ☎ und Adressen ⚑ mit Karte, Routing, Öffnungszeiten, Homepage, E-Mail, vCard und Firmendaten.</t>
  </si>
  <si>
    <t>Panoramaweg 10</t>
  </si>
  <si>
    <t>47.22228</t>
  </si>
  <si>
    <t>15.41506</t>
  </si>
  <si>
    <t>+43312720525</t>
  </si>
  <si>
    <t>office@e-mp.at</t>
  </si>
  <si>
    <t>https://bilder.dasschnelle.at/DasSchnelle/50/5000/9883/042353/I_042353_P_906328277_L_0035998973_1.png</t>
  </si>
  <si>
    <t>https://bilder.dasschnelle.at/DasSchnelle/50/5000/9883/042353/I_042353_P_906328277_B_0035998973_1.gal.png?height=572&amp;width=869;https://bilder.dasschnelle.at/DasSchnelle/50/5000/9883/042353/I_042353_P_906328277_B_0035998973_2.gal.png?height=577&amp;width=860;https://bilder.dasschnelle.at/DasSchnelle/50/5000/9883/042353/I_042353_P_906328277_B_0035998973_3.gal.png?height=571&amp;width=855;https://bilder.dasschnelle.at/DasSchnelle/50/5000/9883/042353/I_042353_P_906328277_B_0035998973_4.gal.png?height=317&amp;width=720</t>
  </si>
  <si>
    <t>Stockner, Peter, Elektrounternehmen • Gratwein-Straßengel • Steiermark</t>
  </si>
  <si>
    <t>Elektrounternehmen • Stockner, Peter, Roseggerallee 10, Gratwein-Straßengel • Kontakt über aktuelle Telefonnummern ☎ und Adressen ⚑ mit Karte, Routing, Öffnungszeiten, Homepage, E-Mail, vCard und Firmendaten.</t>
  </si>
  <si>
    <t>Roseggerallee 10</t>
  </si>
  <si>
    <t>47.11592</t>
  </si>
  <si>
    <t>15.34634</t>
  </si>
  <si>
    <t>+436766317081</t>
  </si>
  <si>
    <t>stockner.p@gmail.com</t>
  </si>
  <si>
    <t>https://bilder.dasschnelle.at/DasSchnelle/50/5000/9883/061359/I_061359_P_906328279_B_0035999214_1.gal.png?height=386&amp;width=720;https://bilder.dasschnelle.at/DasSchnelle/50/5000/9883/061359/I_061359_P_906328279_B_0035999214_2.gal.png?height=381&amp;width=720</t>
  </si>
  <si>
    <t>Elektro - System - Technik Graupner, Elektro • Hitzendorf • Steiermark</t>
  </si>
  <si>
    <t>Elektrogeräte u. -bedarf • Elektro - System - Technik Graupner, Berndorf 170, Hitzendorf • Kontakt über aktuelle Telefonnummern ☎ und Adressen ⚑ mit Karte, Routing, Öffnungszeiten, Homepage, E-Mail, vCard und Firmendaten.</t>
  </si>
  <si>
    <t>Berndorf 170</t>
  </si>
  <si>
    <t>47.0241690</t>
  </si>
  <si>
    <t>15.2691314</t>
  </si>
  <si>
    <t>+436641159991</t>
  </si>
  <si>
    <t>technik@est-graupner.at</t>
  </si>
  <si>
    <t>https://bilder.dasschnelle.at/DasSchnelle/50/5000/9883/061360/I_061360_P_906328287_L_0037086813_1.png</t>
  </si>
  <si>
    <t>https://bilder.dasschnelle.at/DasSchnelle/50/5000/9883/061360/I_061360_P_906328287_B_0037086813_1.gal.png?height=538&amp;width=720;https://bilder.dasschnelle.at/DasSchnelle/50/5000/9883/061360/I_061360_P_906328287_B_0037086813_2.gal.png?height=720&amp;width=720;https://bilder.dasschnelle.at/DasSchnelle/50/5000/9883/061360/I_061360_P_906328287_B_0037086813_3.gal.png?height=479&amp;width=720;https://bilder.dasschnelle.at/DasSchnelle/50/5000/9883/061360/I_061360_P_906328287_B_0037086813_4.gal.png?height=287&amp;width=720</t>
  </si>
  <si>
    <t>Thurner Josef GesmbH &amp; Co KG, Heizung, Sanitäre • Grins • Tirol</t>
  </si>
  <si>
    <t>Heizungen, Sanitäranlagen u. -einrichtungen • Thurner Josef GesmbH &amp; Co KG, Graf 125, Grins • Kontakt über aktuelle Telefonnummern ☎ und Adressen ⚑ mit Karte, Routing, Öffnungszeiten, Homepage, E-Mail, vCard und Firmendaten.</t>
  </si>
  <si>
    <t>Graf 125</t>
  </si>
  <si>
    <t>47.13936</t>
  </si>
  <si>
    <t>10.53166</t>
  </si>
  <si>
    <t>+43544263020</t>
  </si>
  <si>
    <t>office@thurner.co.at</t>
  </si>
  <si>
    <t>https://bilder.dasschnelle.at/DasSchnelle/50/5000/9903/044577/G_044577_P_906328289.adn.gif</t>
  </si>
  <si>
    <t>Kassar, Johannes, Kälte- u. Klimaanlagen • Gratkorn • Steiermark</t>
  </si>
  <si>
    <t>Kältetechnik • Kassar, Johannes, Dultstraße 49, Gratkorn • Kontakt über aktuelle Telefonnummern ☎ und Adressen ⚑ mit Karte, Routing, Öffnungszeiten, Homepage, E-Mail, vCard und Firmendaten.</t>
  </si>
  <si>
    <t>Dultstraße 49</t>
  </si>
  <si>
    <t>15.37048</t>
  </si>
  <si>
    <t>+43312422877</t>
  </si>
  <si>
    <t>office@kassar.at</t>
  </si>
  <si>
    <t>https://bilder.dasschnelle.at/DasSchnelle/50/5000/9883/042322/G_042322_P_906328705.adn.gif</t>
  </si>
  <si>
    <t>Ofenbau Tschiderer GmbH &amp; CoKG • Pians • Tirol</t>
  </si>
  <si>
    <t>Ofenbau • Ofenbau Tschiderer GmbH &amp; CoKG, Pians 34 C, Pians • Kontakt über aktuelle Telefonnummern ☎ und Adressen ⚑ mit Karte, Routing, Öffnungszeiten, Homepage, E-Mail, vCard und Firmendaten.</t>
  </si>
  <si>
    <t>Pians 34 C</t>
  </si>
  <si>
    <t>47.1347692</t>
  </si>
  <si>
    <t>10.5179434</t>
  </si>
  <si>
    <t>+43544262441;+436604799322</t>
  </si>
  <si>
    <t>+4354426244120</t>
  </si>
  <si>
    <t>info@ofenbau-tschiderer.at</t>
  </si>
  <si>
    <t>https://bilder.dasschnelle.at/DasSchnelle/50/5000/9903/044588/G_044588_P_906328711.adn.gif</t>
  </si>
  <si>
    <t>Stadler, Franz, Raumausstattung • Münzkirchen • Oberösterreich</t>
  </si>
  <si>
    <t>Raumausstatter • Stadler, Franz, Friedhofweg 5, Münzkirchen • Kontakt über aktuelle Telefonnummern ☎ und Adressen ⚑ mit Karte, Routing, Öffnungszeiten, Homepage, E-Mail, vCard und Firmendaten.</t>
  </si>
  <si>
    <t>Friedhofweg 5</t>
  </si>
  <si>
    <t>48.48686</t>
  </si>
  <si>
    <t>13.56814</t>
  </si>
  <si>
    <t>+4377167475</t>
  </si>
  <si>
    <t>franzstadler@a1.net</t>
  </si>
  <si>
    <t>https://bilder.dasschnelle.at/DasSchnelle/50/5000/9926/042788/G_042788_P_906328715.adn.gif</t>
  </si>
  <si>
    <t>LOmotion GmbH, Erdbau • St. Florian am Inn • Oberösterreich</t>
  </si>
  <si>
    <t>Erdbau • LOmotion GmbH, Gopperding 38, St. Florian am Inn • Kontakt über aktuelle Telefonnummern ☎ und Adressen ⚑ mit Karte, Routing, Öffnungszeiten, Homepage, E-Mail, vCard und Firmendaten.</t>
  </si>
  <si>
    <t>Gopperding 38</t>
  </si>
  <si>
    <t>48.4476071</t>
  </si>
  <si>
    <t>13.4590958</t>
  </si>
  <si>
    <t>+436644222911</t>
  </si>
  <si>
    <t>office@lo-motion.at</t>
  </si>
  <si>
    <t>https://bilder.dasschnelle.at/DasSchnelle/50/5000/9926/042304/G_042304_P_906328717.adn.gif</t>
  </si>
  <si>
    <t>Grünberger Matthias GmbH, Baggerunternehmen • Münzkirchen • Oberösterreich</t>
  </si>
  <si>
    <t>Baggerungen u. Transporte • Grünberger Matthias GmbH, Englhaming 4, Münzkirchen • Kontakt über aktuelle Telefonnummern ☎ und Adressen ⚑ mit Karte, Routing, Öffnungszeiten, Homepage, E-Mail, vCard und Firmendaten.</t>
  </si>
  <si>
    <t>Englhaming 4</t>
  </si>
  <si>
    <t>48.4882896</t>
  </si>
  <si>
    <t>13.5432918</t>
  </si>
  <si>
    <t>+4377166132;+436643239868</t>
  </si>
  <si>
    <t>+43771661324</t>
  </si>
  <si>
    <t>info@kiesgrube.at</t>
  </si>
  <si>
    <t>https://bilder.dasschnelle.at/DasSchnelle/50/5000/9926/042788/G_042788_P_906328723.adn.gif</t>
  </si>
  <si>
    <t>Heininger Kühlanlagen GmbH • Schärding • Oberösterreich</t>
  </si>
  <si>
    <t>Kühlanlagen u. -geräte • Heininger Kühlanlagen GmbH, Herbert-Wöhl-Straße 10, Schärding • Kontakt über aktuelle Telefonnummern ☎ und Adressen ⚑ mit Karte, Routing, Öffnungszeiten, Homepage, E-Mail, vCard und Firmendaten.</t>
  </si>
  <si>
    <t>Herbert-Wöhl-Straße 10</t>
  </si>
  <si>
    <t>48.44535</t>
  </si>
  <si>
    <t>13.44556</t>
  </si>
  <si>
    <t>+4377122296</t>
  </si>
  <si>
    <t>office@heininger-kaelte.com</t>
  </si>
  <si>
    <t>https://bilder.dasschnelle.at/DasSchnelle/50/5000/9926/042797/G_042797_P_906328251.adn.gif</t>
  </si>
  <si>
    <t>BESTATTUNG SCHÄRDING Rakaseder-Galos GmbH, Bestattungsunternehmen • Schärding Vorstadt • Oberösterreich</t>
  </si>
  <si>
    <t>Bestattungsunternehmen • BESTATTUNG SCHÄRDING Rakaseder-Galos GmbH, Friedhofweg 1, Schärding Vorstadt • Kontakt über aktuelle Telefonnummern ☎ und Adressen ⚑ mit Karte, Routing, Öffnungszeiten, Homepage, E-Mail, vCard und Firmendaten.</t>
  </si>
  <si>
    <t>Friedhofweg 1</t>
  </si>
  <si>
    <t>48.46186</t>
  </si>
  <si>
    <t>13.43226</t>
  </si>
  <si>
    <t>+4377123211</t>
  </si>
  <si>
    <t>info@bestattung-schaerding.com</t>
  </si>
  <si>
    <t>https://bilder.dasschnelle.at/DasSchnelle/50/5000/9926/042797/G_042797_P_906328258.adn.gif</t>
  </si>
  <si>
    <t>Zahnarztpraxen Dr. Büscher • Schärding • Oberösterreich</t>
  </si>
  <si>
    <t>Zahnärzte • Zahnarztpraxen Dr. Büscher, Ludwig-Pfliegl-Gasse 29, Schärding • Kontakt über aktuelle Telefonnummern ☎ und Adressen ⚑ mit Karte, Routing, Öffnungszeiten, Homepage, E-Mail, vCard und Firmendaten.</t>
  </si>
  <si>
    <t>48.45491</t>
  </si>
  <si>
    <t>13.43153</t>
  </si>
  <si>
    <t>+43771260282</t>
  </si>
  <si>
    <t>henning@buescher.biz</t>
  </si>
  <si>
    <t>https://bilder.dasschnelle.at/DasSchnelle/50/5000/9926/042797/I_998333_P_906328256_L_0035993649_1.png</t>
  </si>
  <si>
    <t>https://bilder.dasschnelle.at/DasSchnelle/50/5000/9926/042797/I_998333_P_906328256_B_0035993649_1.gal.png?height=211&amp;width=686;https://bilder.dasschnelle.at/DasSchnelle/50/5000/9926/042797/I_998333_P_906328256_B_0035993649_2.gal.png?height=209&amp;width=313;https://bilder.dasschnelle.at/DasSchnelle/50/5000/9926/042797/I_998333_P_906328256_B_0035993649_3.gal.png?height=203&amp;width=271;https://bilder.dasschnelle.at/DasSchnelle/50/5000/9926/042797/I_042797_P_906328256_B_0035993649_4.gal.png?height=150&amp;width=720</t>
  </si>
  <si>
    <t>Physiotherapie, Alfred u. Katharina Bayer • Straß im Attergau • Oberösterreich</t>
  </si>
  <si>
    <t>Physiotherapie • Physiotherapie, Alfred u. Katharina Bayer, Sagerer 5, Straß im Attergau • Kontakt über aktuelle Telefonnummern ☎ und Adressen ⚑ mit Karte, Routing, Öffnungszeiten, Homepage, E-Mail, vCard und Firmendaten.</t>
  </si>
  <si>
    <t>Sagerer 5</t>
  </si>
  <si>
    <t>47.9073077</t>
  </si>
  <si>
    <t>13.4615685</t>
  </si>
  <si>
    <t>+4376677170</t>
  </si>
  <si>
    <t>physio.bayer@aon.at</t>
  </si>
  <si>
    <t>https://bilder.dasschnelle.at/DasSchnelle/50/5000/9940/043107/G_043107_P_906328262.adn.gif</t>
  </si>
  <si>
    <t>Foto Gugerbauer, Fotograf • Schärding Innere Stadt • Oberösterreich</t>
  </si>
  <si>
    <t>Fotografen • Foto Gugerbauer, Innbruckstraße 7, Schärding Innere Stadt • Kontakt über aktuelle Telefonnummern ☎ und Adressen ⚑ mit Karte, Routing, Öffnungszeiten, Homepage, E-Mail, vCard und Firmendaten.</t>
  </si>
  <si>
    <t>+4377122629</t>
  </si>
  <si>
    <t>office@foto-gugerbauer.at</t>
  </si>
  <si>
    <t>Tumler Helmut GmbH, Glasbau • Schärding Innere Stadt • Oberösterreich</t>
  </si>
  <si>
    <t>Glasbau • Tumler Helmut GmbH, Kirchengasse 21, Schärding Innere Stadt • Kontakt über aktuelle Telefonnummern ☎ und Adressen ⚑ mit Karte, Routing, Öffnungszeiten, Homepage, E-Mail, vCard und Firmendaten.</t>
  </si>
  <si>
    <t>Kirchengasse 21</t>
  </si>
  <si>
    <t>48.45879</t>
  </si>
  <si>
    <t>13.43021</t>
  </si>
  <si>
    <t>+4377122472;+436769253630</t>
  </si>
  <si>
    <t>glaserei@tumler.at</t>
  </si>
  <si>
    <t>https://bilder.dasschnelle.at/DasSchnelle/50/5000/9926/042797/I_042797_P_906328266_L_0035993536_1.png</t>
  </si>
  <si>
    <t>https://bilder.dasschnelle.at/DasSchnelle/50/5000/9926/042797/I_042797_P_906328266_B_0035993536_1.gal.png?height=594&amp;width=1067;https://bilder.dasschnelle.at/DasSchnelle/50/5000/9926/042797/I_042797_P_906328266_B_0035993536_2.gal.png?height=449&amp;width=793;https://bilder.dasschnelle.at/DasSchnelle/50/5000/9926/042797/I_042797_P_906328266_B_0035993536_3.gal.png?height=442&amp;width=669;https://bilder.dasschnelle.at/DasSchnelle/50/5000/9926/042797/I_042797_P_906328266_B_0035993536_4.gal.png?height=406&amp;width=720</t>
  </si>
  <si>
    <t>Transporte Erdbau Hanslauer e.U. • Schärding • Oberösterreich</t>
  </si>
  <si>
    <t>Baustoffhandel, Bauunternehmen, Erdbau, Transportunternehmen • Transporte Erdbau Hanslauer e.U., Kainzbauernweg 10, Schärding • Kontakt über aktuelle Telefonnummern ☎ und Adressen ⚑ mit Karte, Routing, Öffnungszeiten, Homepage, E-Mail, vCard und Firmendaten.</t>
  </si>
  <si>
    <t>Kainzbauernweg 10</t>
  </si>
  <si>
    <t>48.46751</t>
  </si>
  <si>
    <t>13.4391</t>
  </si>
  <si>
    <t>+4377122362</t>
  </si>
  <si>
    <t>transporte@hanslauer.at</t>
  </si>
  <si>
    <t>https://bilder.dasschnelle.at/DasSchnelle/50/5000/9926/042797/G_042797_P_906328272.adn.gif</t>
  </si>
  <si>
    <t>Valentin, Gudrun, Ing., Maßschneiderei • Schärding • Oberösterreich</t>
  </si>
  <si>
    <t>Bekleidung, Mode, Textilwaren • Valentin, Gudrun, Ing., Passauer Straße 63, Schärding • Kontakt über aktuelle Telefonnummern ☎ und Adressen ⚑ mit Karte, Routing, Öffnungszeiten, Homepage, E-Mail, vCard und Firmendaten.</t>
  </si>
  <si>
    <t>Passauer Straße 63</t>
  </si>
  <si>
    <t>48.46765</t>
  </si>
  <si>
    <t>13.44149</t>
  </si>
  <si>
    <t>+43771246110</t>
  </si>
  <si>
    <t>office@hemdenmacher.at</t>
  </si>
  <si>
    <t>https://bilder.dasschnelle.at/DasSchnelle/50/5000/9926/042797/G_042797_P_906328326.adn.gif</t>
  </si>
  <si>
    <t>Blumencenter Roland e.U., Gärtnerei • Gmünd • Niederösterreich</t>
  </si>
  <si>
    <t>Gärtnereien • Blumencenter Roland e.U., Conrathstraße 13, Gmünd • Kontakt über aktuelle Telefonnummern ☎ und Adressen ⚑ mit Karte, Routing, Öffnungszeiten, Homepage, E-Mail, vCard und Firmendaten.</t>
  </si>
  <si>
    <t>Conrathstraße 13</t>
  </si>
  <si>
    <t>48.76212</t>
  </si>
  <si>
    <t>14.97579</t>
  </si>
  <si>
    <t>+43285252659</t>
  </si>
  <si>
    <t>buero@blumencenter-roland.at</t>
  </si>
  <si>
    <t>https://bilder.dasschnelle.at/DasSchnelle/50/5000/9885/045075/G_045075_P_906328328.adn.gif</t>
  </si>
  <si>
    <t>Schachinger Buchhandlung, Buchhandlung • Schärding • Oberösterreich</t>
  </si>
  <si>
    <t>Buchhandlungen • Schachinger Buchhandlung, Unterer Stadtplatz 20, Schärding • Kontakt über aktuelle Telefonnummern ☎ und Adressen ⚑ mit Karte, Routing, Öffnungszeiten, Homepage, E-Mail, vCard und Firmendaten.</t>
  </si>
  <si>
    <t>Unterer Stadtplatz 20</t>
  </si>
  <si>
    <t>48.45794</t>
  </si>
  <si>
    <t>13.43074</t>
  </si>
  <si>
    <t>+43771235611</t>
  </si>
  <si>
    <t>office@buchhandlung-schachinger.at</t>
  </si>
  <si>
    <t>https://bilder.dasschnelle.at/DasSchnelle/50/5000/9926/042797/G_042797_P_906328330.adn.gif</t>
  </si>
  <si>
    <t>Autohaus Eder • Gmünd • Niederösterreich</t>
  </si>
  <si>
    <t>Autohandel • Autohaus Eder, Schubertplatz 1, Gmünd • Kontakt über aktuelle Telefonnummern ☎ und Adressen ⚑ mit Karte, Routing, Öffnungszeiten, Homepage, E-Mail, vCard und Firmendaten.</t>
  </si>
  <si>
    <t>Schubertplatz 1</t>
  </si>
  <si>
    <t>48.76265</t>
  </si>
  <si>
    <t>14.97127</t>
  </si>
  <si>
    <t>+43285252427</t>
  </si>
  <si>
    <t>citroen.eder.gmuend@aon.at</t>
  </si>
  <si>
    <t>https://bilder.dasschnelle.at/DasSchnelle/50/5000/9885/045075/G_045075_P_906328332.adn.gif</t>
  </si>
  <si>
    <t>Klang, Josef, Gastgewerbe - Gasthöfe • Echsenbach • Niederösterreich</t>
  </si>
  <si>
    <t>Gastgewerbe - Gasthöfe • Klang, Josef, Marktplatz 6, Echsenbach • Kontakt über aktuelle Telefonnummern ☎ und Adressen ⚑ mit Karte, Routing, Öffnungszeiten, Homepage, E-Mail, vCard und Firmendaten.</t>
  </si>
  <si>
    <t>3903</t>
  </si>
  <si>
    <t>Echsenbach</t>
  </si>
  <si>
    <t>48.71812</t>
  </si>
  <si>
    <t>15.21774</t>
  </si>
  <si>
    <t>+4328498208;+436645433103</t>
  </si>
  <si>
    <t>+43284984580</t>
  </si>
  <si>
    <t>gasthof.klang@echsi.at</t>
  </si>
  <si>
    <t>https://bilder.dasschnelle.at/DasSchnelle/50/5000/9950/044525/G_044525_P_906328338.adn.gif</t>
  </si>
  <si>
    <t>team sanos, Physiotherapie • Schärding Vorstadt • Oberösterreich</t>
  </si>
  <si>
    <t>Osteopathie, Physiotherapie • team sanos, Pramhöhe 16, Schärding Vorstadt • Kontakt über aktuelle Telefonnummern ☎ und Adressen ⚑ mit Karte, Routing, Öffnungszeiten, Homepage, E-Mail, vCard und Firmendaten.</t>
  </si>
  <si>
    <t>+43771290107</t>
  </si>
  <si>
    <t>mail@team-sanos.at</t>
  </si>
  <si>
    <t>https://bilder.dasschnelle.at/DasSchnelle/50/5000/9926/042797/I_042797_P_906328779_L_0035992956_1.png</t>
  </si>
  <si>
    <t>https://bilder.dasschnelle.at/DasSchnelle/50/5000/9926/042797/I_042797_P_906328779_B_0035992956_1.gal.png?height=219&amp;width=628;https://bilder.dasschnelle.at/DasSchnelle/50/5000/9926/042797/I_042797_P_906328779_B_0035992956_2.gal.png?height=219&amp;width=632;https://bilder.dasschnelle.at/DasSchnelle/50/5000/9926/042797/I_042797_P_906328779_B_0035992956_3.gal.png?height=219&amp;width=632</t>
  </si>
  <si>
    <t>Dr.med.dent. Agnes Nemeth • Schärding • Oberösterreich</t>
  </si>
  <si>
    <t>Ärzte / Fachärzte f. Zahn-, Mund u. Kieferheilkunde • Dr.med.dent. Agnes Nemeth, Passauer Str. 9, Schärding • Kontakt über aktuelle Telefonnummern ☎ und Adressen ⚑ mit Karte, Routing, Öffnungszeiten, Homepage, E-Mail, vCard und Firmendaten.</t>
  </si>
  <si>
    <t>Passauer Str. 9</t>
  </si>
  <si>
    <t>48.46007</t>
  </si>
  <si>
    <t>13.43189</t>
  </si>
  <si>
    <t>+4377123226</t>
  </si>
  <si>
    <t>info@zahnarztpraxis-schaerding.at</t>
  </si>
  <si>
    <t>https://bilder.dasschnelle.at/DasSchnelle/50/5000/9926/042797/I_042797_P_906328783_L_0038808126_1.png</t>
  </si>
  <si>
    <t>https://bilder.dasschnelle.at/DasSchnelle/50/5000/9926/042797/I_042797_P_906328783_B_0038808126_1.gal.png?height=372&amp;width=720;https://bilder.dasschnelle.at/DasSchnelle/50/5000/9926/042797/I_042797_P_906328783_B_0038808126_2.gal.png?height=417&amp;width=720;https://bilder.dasschnelle.at/DasSchnelle/50/5000/9926/042797/I_042797_P_906328783_B_0038808126_3.gal.png?height=479&amp;width=720;https://bilder.dasschnelle.at/DasSchnelle/50/5000/9926/042797/I_042797_P_906328783_B_0038808126_4.gal.png?height=479&amp;width=720</t>
  </si>
  <si>
    <t>Schauer, Günther, Mag., Öff. Notar • Raab • Oberösterreich</t>
  </si>
  <si>
    <t>Notare • Schauer, Günther, Mag., Marktstraße 7, Raab • Kontakt über aktuelle Telefonnummern ☎ und Adressen ⚑ mit Karte, Routing, Öffnungszeiten, Homepage, E-Mail, vCard und Firmendaten.</t>
  </si>
  <si>
    <t>Marktstraße 7</t>
  </si>
  <si>
    <t>48.3522</t>
  </si>
  <si>
    <t>13.6472</t>
  </si>
  <si>
    <t>+4377622214</t>
  </si>
  <si>
    <t>office@notar-schauer.at</t>
  </si>
  <si>
    <t>https://bilder.dasschnelle.at/DasSchnelle/50/5000/9926/042789/I_042789_P_906328905_L_0035993421_1.png</t>
  </si>
  <si>
    <t>https://bilder.dasschnelle.at/DasSchnelle/50/5000/9926/042789/I_042789_P_906328905_B_0035993421_1.gal.png?height=476&amp;width=720;https://bilder.dasschnelle.at/DasSchnelle/50/5000/9926/042789/I_042789_P_906328905_B_0035993421_2.gal.png?height=479&amp;width=720;https://bilder.dasschnelle.at/DasSchnelle/50/5000/9926/042789/I_042789_P_906328905_B_0035993421_3.gal.png?height=479&amp;width=720;https://bilder.dasschnelle.at/DasSchnelle/50/5000/9926/042789/I_042789_P_906328905_B_0035993421_4.gal.png?height=479&amp;width=720</t>
  </si>
  <si>
    <t>Bartl, Andreas, Glasbau • Langegg • Niederösterreich</t>
  </si>
  <si>
    <t>Glasbau • Bartl, Andreas, Hauptstraße 143, Langegg • Kontakt über aktuelle Telefonnummern ☎ und Adressen ⚑ mit Karte, Routing, Öffnungszeiten, Homepage, E-Mail, vCard und Firmendaten.</t>
  </si>
  <si>
    <t>48.83625</t>
  </si>
  <si>
    <t>15.09275</t>
  </si>
  <si>
    <t>+43286252508</t>
  </si>
  <si>
    <t>office@glas-bartl.at</t>
  </si>
  <si>
    <t>https://bilder.dasschnelle.at/DasSchnelle/50/5000/9885/045071/G_045071_P_906328582.adn.gif</t>
  </si>
  <si>
    <t>Fußpflege Müllner- Balacs, Orthopädieschuhtechnik • Tulln an der Donau • Niederösterreich</t>
  </si>
  <si>
    <t>Orthopäden, Orthopädische Schuhe • Fußpflege Müllner- Balacs, Albrechtsgasse 31A, Tulln an der Donau • Kontakt über aktuelle Telefonnummern ☎ und Adressen ⚑ mit Karte, Routing, Öffnungszeiten, Homepage, E-Mail, vCard und Firmendaten.</t>
  </si>
  <si>
    <t>Albrechtsgasse 31A</t>
  </si>
  <si>
    <t>48.3318800</t>
  </si>
  <si>
    <t>16.0507800</t>
  </si>
  <si>
    <t>https://bilder.dasschnelle.at/DasSchnelle/50/5000/9938/044247/G_044247_P_906328925.adn.gif</t>
  </si>
  <si>
    <t>Lendl, Josef, Schlosserei • Korneuburg • Niederösterreich</t>
  </si>
  <si>
    <t>Schlossereien • Lendl, Josef, Stockerauer Straße 47, Korneuburg • Kontakt über aktuelle Telefonnummern ☎ und Adressen ⚑ mit Karte, Routing, Öffnungszeiten, Homepage, E-Mail, vCard und Firmendaten.</t>
  </si>
  <si>
    <t>Stockerauer Straße 47</t>
  </si>
  <si>
    <t>48.38782</t>
  </si>
  <si>
    <t>16.23407</t>
  </si>
  <si>
    <t>+43226663238;+436643824607</t>
  </si>
  <si>
    <t>schlosserei.lendl@aon.at</t>
  </si>
  <si>
    <t>https://bilder.dasschnelle.at/DasSchnelle/50/5000/9898/041413/I_041413_P_906328953_L_0035970724_1.png</t>
  </si>
  <si>
    <t>https://bilder.dasschnelle.at/DasSchnelle/50/5000/9898/041413/I_041413_P_906328953_B_0035970724_1.gal.png?height=372&amp;width=372;https://bilder.dasschnelle.at/DasSchnelle/50/5000/9898/041413/I_041413_P_906328953_B_0035970724_2.gal.png?height=372&amp;width=372;https://bilder.dasschnelle.at/DasSchnelle/50/5000/9898/041413/I_041413_P_906328953_B_0035970724_3.gal.png?height=371&amp;width=371;https://bilder.dasschnelle.at/DasSchnelle/50/5000/9898/041413/I_041413_P_906328953_B_0035970724_4.gal.png?height=405&amp;width=720</t>
  </si>
  <si>
    <t>Autohaus Pfeffer • Untermallebarn • Niederösterreich</t>
  </si>
  <si>
    <t>Autohandel • Autohaus Pfeffer, Untermallebarn 10, Untermallebarn • Kontakt über aktuelle Telefonnummern ☎ und Adressen ⚑ mit Karte, Routing, Öffnungszeiten, Homepage, E-Mail, vCard und Firmendaten.</t>
  </si>
  <si>
    <t>Untermallebarn 10</t>
  </si>
  <si>
    <t>2011</t>
  </si>
  <si>
    <t>Untermallebarn</t>
  </si>
  <si>
    <t>48.4609062</t>
  </si>
  <si>
    <t>16.1711476</t>
  </si>
  <si>
    <t>+4322672489</t>
  </si>
  <si>
    <t>autohaus-pfeffer@aon.at</t>
  </si>
  <si>
    <t>https://bilder.dasschnelle.at/DasSchnelle/50/5000/9898/041418/G_041418_P_906328956.adn.gif</t>
  </si>
  <si>
    <t>Karl Molzer e.U., Taxi • Korneuburg • Niederösterreich</t>
  </si>
  <si>
    <t>Taxi • Karl Molzer e.U., Stockerauer Straße 30, Korneuburg • Kontakt über aktuelle Telefonnummern ☎ und Adressen ⚑ mit Karte, Routing, Öffnungszeiten, Homepage, E-Mail, vCard und Firmendaten.</t>
  </si>
  <si>
    <t>Stockerauer Straße 30</t>
  </si>
  <si>
    <t>48.34758</t>
  </si>
  <si>
    <t>16.32912</t>
  </si>
  <si>
    <t>+43226272471</t>
  </si>
  <si>
    <t>molzerbus.taxi@aon.at</t>
  </si>
  <si>
    <t>https://bilder.dasschnelle.at/DasSchnelle/50/5000/9898/041413/G_041413_P_906328961.adn.gif</t>
  </si>
  <si>
    <t>Robier, Stefan, Ing., Elektrogeräte • Leibnitz • Steiermark</t>
  </si>
  <si>
    <t>Elektrogeräte u. -bedarf • Robier, Stefan, Ing., Grazergasse 45, Leibnitz • Kontakt über aktuelle Telefonnummern ☎ und Adressen ⚑ mit Karte, Routing, Öffnungszeiten, Homepage, E-Mail, vCard und Firmendaten.</t>
  </si>
  <si>
    <t>Grazergasse 45</t>
  </si>
  <si>
    <t>46.78497</t>
  </si>
  <si>
    <t>15.53885</t>
  </si>
  <si>
    <t>+43345282647</t>
  </si>
  <si>
    <t>radio.robier@aon.at</t>
  </si>
  <si>
    <t>https://bilder.dasschnelle.at/DasSchnelle/50/5000/9904/061363/G_061363_P_906328174.adn.gif</t>
  </si>
  <si>
    <t>Guggermeier, Hans, Fenster - Türen - Wintergärten • Kaindorf • Steiermark</t>
  </si>
  <si>
    <t>Fenster u. Türen • Guggermeier, Hans, Sulmhofsiedlung 7, Kaindorf • Kontakt über aktuelle Telefonnummern ☎ und Adressen ⚑ mit Karte, Routing, Öffnungszeiten, Homepage, E-Mail, vCard und Firmendaten.</t>
  </si>
  <si>
    <t>Sulmhofsiedlung 7</t>
  </si>
  <si>
    <t>46.79255</t>
  </si>
  <si>
    <t>15.54124</t>
  </si>
  <si>
    <t>+43345271856</t>
  </si>
  <si>
    <t>fenster@guggermeier.at</t>
  </si>
  <si>
    <t>https://bilder.dasschnelle.at/DasSchnelle/50/5000/9904/061363/G_061363_P_906328301.adn.gif</t>
  </si>
  <si>
    <t>Bestattung Kada e.U., Bestattungsunternehmen • Leibnitz • Steiermark</t>
  </si>
  <si>
    <t>Bestattungsunternehmen • Bestattung Kada e.U., Schmiedgasse 34, Leibnitz • Kontakt über aktuelle Telefonnummern ☎ und Adressen ⚑ mit Karte, Routing, Öffnungszeiten, Homepage, E-Mail, vCard und Firmendaten.</t>
  </si>
  <si>
    <t>Schmiedgasse 34</t>
  </si>
  <si>
    <t>46.77923</t>
  </si>
  <si>
    <t>15.5404</t>
  </si>
  <si>
    <t>+433452824600</t>
  </si>
  <si>
    <t>bestattung.kada@aon.at</t>
  </si>
  <si>
    <t>Armbrust GmbH, Büroartikel • Tillmitsch • Steiermark</t>
  </si>
  <si>
    <t>Büroorganisation u. -systeme, Computerfachhandel • Armbrust GmbH, Paulweg 2, Tillmitsch • Kontakt über aktuelle Telefonnummern ☎ und Adressen ⚑ mit Karte, Routing, Öffnungszeiten, Homepage, E-Mail, vCard und Firmendaten.</t>
  </si>
  <si>
    <t>Paulweg 2</t>
  </si>
  <si>
    <t>46.80787</t>
  </si>
  <si>
    <t>15.52949</t>
  </si>
  <si>
    <t>+433452710170</t>
  </si>
  <si>
    <t>office@btl.at</t>
  </si>
  <si>
    <t>Mitteregger, Franz, Schlossereien • Leibnitz • Steiermark</t>
  </si>
  <si>
    <t>Metallbau, Schlossereien • Mitteregger, Franz, Haltackerried 79, Leibnitz • Kontakt über aktuelle Telefonnummern ☎ und Adressen ⚑ mit Karte, Routing, Öffnungszeiten, Homepage, E-Mail, vCard und Firmendaten.</t>
  </si>
  <si>
    <t>Haltackerried 79</t>
  </si>
  <si>
    <t>46.79935</t>
  </si>
  <si>
    <t>15.56257</t>
  </si>
  <si>
    <t>+43345286820;+436769445311</t>
  </si>
  <si>
    <t>+43345283244</t>
  </si>
  <si>
    <t>office@schlosserei-mitteregger.at</t>
  </si>
  <si>
    <t>https://bilder.dasschnelle.at/DasSchnelle/50/5000/9904/061363/G_061363_P_906328311.adn.gif</t>
  </si>
  <si>
    <t>Haselbacher Alois GesmbH, Haustechnik • Tillmitsch • Steiermark</t>
  </si>
  <si>
    <t>Installationsunternehmen • Haselbacher Alois GesmbH, Gemeindestraße 10, Tillmitsch • Kontakt über aktuelle Telefonnummern ☎ und Adressen ⚑ mit Karte, Routing, Öffnungszeiten, Homepage, E-Mail, vCard und Firmendaten.</t>
  </si>
  <si>
    <t>Gemeindestraße 10</t>
  </si>
  <si>
    <t>46.8106000</t>
  </si>
  <si>
    <t>15.5206000</t>
  </si>
  <si>
    <t>+433452849210</t>
  </si>
  <si>
    <t>haustechnik@haselbacher.at</t>
  </si>
  <si>
    <t>https://bilder.dasschnelle.at/DasSchnelle/50/5000/9904/044320/G_044320_P_906328319.adn.gif</t>
  </si>
  <si>
    <t>Schweighofer, Stefanie, BSc., Physiotherapie • Fuschl am See • Oberösterreich</t>
  </si>
  <si>
    <t>Physiotherapie • Schweighofer, Stefanie, BSc., Dorfplatz 2, Fuschl am See • Kontakt über aktuelle Telefonnummern ☎ und Adressen ⚑ mit Karte, Routing, Öffnungszeiten, Homepage, E-Mail, vCard und Firmendaten.</t>
  </si>
  <si>
    <t>47.8369454</t>
  </si>
  <si>
    <t>13.2979940</t>
  </si>
  <si>
    <t>+436641133150</t>
  </si>
  <si>
    <t>https://bilder.dasschnelle.at/DasSchnelle/50/5000/9909/043308/G_043308_P_906328818.adn.gif</t>
  </si>
  <si>
    <t>Rosenmayr, Christian, VR Dr., Tierarzt • Zwettl • Niederösterreich</t>
  </si>
  <si>
    <t>Tierärzte • Rosenmayr, Christian, VR Dr., Gerungser Straße 18, Zwettl • Kontakt über aktuelle Telefonnummern ☎ und Adressen ⚑ mit Karte, Routing, Öffnungszeiten, Homepage, E-Mail, vCard und Firmendaten.</t>
  </si>
  <si>
    <t>Gerungser Straße 18</t>
  </si>
  <si>
    <t>48.6057</t>
  </si>
  <si>
    <t>15.16353</t>
  </si>
  <si>
    <t>+43282252314</t>
  </si>
  <si>
    <t>ch.rosenmayr@wvnet.at</t>
  </si>
  <si>
    <t>https://bilder.dasschnelle.at/DasSchnelle/50/5000/9950/044545/G_044545_P_906328821.adn.gif</t>
  </si>
  <si>
    <t>Traxler's moderne Vergnügungsbetriebe • Apfoltern • Oberösterreich</t>
  </si>
  <si>
    <t>Veranstaltungsorganisationen • Traxler's moderne Vergnügungsbetriebe, Apfoltern 26, Apfoltern • Kontakt über aktuelle Telefonnummern ☎ und Adressen ⚑ mit Karte, Routing, Öffnungszeiten, Homepage, E-Mail, vCard und Firmendaten.</t>
  </si>
  <si>
    <t>Apfoltern 26</t>
  </si>
  <si>
    <t>Apfoltern</t>
  </si>
  <si>
    <t>48.5429804</t>
  </si>
  <si>
    <t>14.4878180</t>
  </si>
  <si>
    <t>+4379496030</t>
  </si>
  <si>
    <t>atlastraxler@aon.at</t>
  </si>
  <si>
    <t>https://bilder.dasschnelle.at/DasSchnelle/50/5000/9882/041775/G_041775_P_906328934.adn.gif</t>
  </si>
  <si>
    <t>Kreindl GmbH, Entsorgungsservice • Sankt Oswald bei Freistadt • Oberösterreich</t>
  </si>
  <si>
    <t>Entsorgungen • Kreindl GmbH, Simerlweg 12, Sankt Oswald bei Freistadt • Kontakt über aktuelle Telefonnummern ☎ und Adressen ⚑ mit Karte, Routing, Öffnungszeiten, Homepage, E-Mail, vCard und Firmendaten.</t>
  </si>
  <si>
    <t>Simerlweg 12</t>
  </si>
  <si>
    <t>48.49632</t>
  </si>
  <si>
    <t>14.59178</t>
  </si>
  <si>
    <t>+43794520788</t>
  </si>
  <si>
    <t>+437945207884</t>
  </si>
  <si>
    <t>thomas@kreindl-entsorgung.at</t>
  </si>
  <si>
    <t>https://bilder.dasschnelle.at/DasSchnelle/50/5000/9882/041778/G_041778_P_906328940.adn.gif</t>
  </si>
  <si>
    <t>Leutgeb GmbH, Landwirtschaftliche Maschinen u Geräte • Liebenau • Oberösterreich</t>
  </si>
  <si>
    <t>Landwirtschaftliche Maschinen u. Geräte • Leutgeb GmbH, Monegg 2, Liebenau • Kontakt über aktuelle Telefonnummern ☎ und Adressen ⚑ mit Karte, Routing, Öffnungszeiten, Homepage, E-Mail, vCard und Firmendaten.</t>
  </si>
  <si>
    <t>Monegg 2</t>
  </si>
  <si>
    <t>48.5279458</t>
  </si>
  <si>
    <t>14.7544779</t>
  </si>
  <si>
    <t>+437953444</t>
  </si>
  <si>
    <t>office@leutgeb.at</t>
  </si>
  <si>
    <t>https://bilder.dasschnelle.at/DasSchnelle/50/5000/9882/041771/G_041771_P_906328943.adn.gif</t>
  </si>
  <si>
    <t>Strauss, Franz, Dipl.-Ing., Geometer • Schärding • Oberösterreich</t>
  </si>
  <si>
    <t>Geometer • Strauss, Franz, Dipl.-Ing., Bahnhofstraße 5, Schärding • Kontakt über aktuelle Telefonnummern ☎ und Adressen ⚑ mit Karte, Routing, Öffnungszeiten, Homepage, E-Mail, vCard und Firmendaten.</t>
  </si>
  <si>
    <t>48.4577500</t>
  </si>
  <si>
    <t>13.4345800</t>
  </si>
  <si>
    <t>+4377122136</t>
  </si>
  <si>
    <t>f.strauss@a1.net</t>
  </si>
  <si>
    <t>https://bilder.dasschnelle.at/DasSchnelle/50/5000/9926/042797/G_042797_P_906329368.adn.gif</t>
  </si>
  <si>
    <t>Inreiter, Gerhard, Baggerungen • Pregarten • Oberösterreich</t>
  </si>
  <si>
    <t>Baggerungen u. Transporte • Inreiter, Gerhard, Halmenberg 14, Pregarten • Kontakt über aktuelle Telefonnummern ☎ und Adressen ⚑ mit Karte, Routing, Öffnungszeiten, Homepage, E-Mail, vCard und Firmendaten.</t>
  </si>
  <si>
    <t>Halmenberg 14</t>
  </si>
  <si>
    <t>48.3420699</t>
  </si>
  <si>
    <t>14.5690017</t>
  </si>
  <si>
    <t>+436642839552</t>
  </si>
  <si>
    <t>gerhard.inreiter@aon.at</t>
  </si>
  <si>
    <t>https://bilder.dasschnelle.at/DasSchnelle/50/5000/9882/041774/G_041774_P_906329370.adn.gif</t>
  </si>
  <si>
    <t>Gärtner GmbH, Der Öko-Installateur, Gas-Wasser-Heizung • Grünbach • Oberösterreich</t>
  </si>
  <si>
    <t>Installationsunternehmen, Gasinstallationen • Gärtner GmbH, Der Öko-Installateur, Heinrichschlag 23, Grünbach • Kontakt über aktuelle Telefonnummern ☎ und Adressen ⚑ mit Karte, Routing, Öffnungszeiten, Homepage, E-Mail, vCard und Firmendaten.</t>
  </si>
  <si>
    <t>Heinrichschlag 23</t>
  </si>
  <si>
    <t>48.5432734</t>
  </si>
  <si>
    <t>14.5610511</t>
  </si>
  <si>
    <t>+436641075749</t>
  </si>
  <si>
    <t>buero@oeko-installateur.com</t>
  </si>
  <si>
    <t>https://bilder.dasschnelle.at/DasSchnelle/50/5000/9882/044816/G_044816_P_906329372.adn.gif</t>
  </si>
  <si>
    <t>herger weilguny steuerberatung wirtschaftsprüfung GmbH • Amstetten • Niederösterreich</t>
  </si>
  <si>
    <t>Steuerberater • herger weilguny steuerberatung wirtschaftsprüfung GmbH, Reichsstraße 24 A, Amstetten • Kontakt über aktuelle Telefonnummern ☎ und Adressen ⚑ mit Karte, Routing, Öffnungszeiten, Homepage, E-Mail, vCard und Firmendaten.</t>
  </si>
  <si>
    <t>Reichsstraße 24 A</t>
  </si>
  <si>
    <t>48.11897</t>
  </si>
  <si>
    <t>14.89791</t>
  </si>
  <si>
    <t>+43747225559</t>
  </si>
  <si>
    <t>office@hw-sw.at</t>
  </si>
  <si>
    <t>https://bilder.dasschnelle.at/DasSchnelle/50/5000/9866/042062/G_042062_P_906329485.adn.gif</t>
  </si>
  <si>
    <t>Poller, Gerhard, Ing., Planungsbüro • Pians • Tirol</t>
  </si>
  <si>
    <t>Ingenieurbüros • Poller, Gerhard, Ing., Hauptstraße 34 B, Pians • Kontakt über aktuelle Telefonnummern ☎ und Adressen ⚑ mit Karte, Routing, Öffnungszeiten, Homepage, E-Mail, vCard und Firmendaten.</t>
  </si>
  <si>
    <t>Hauptstraße 34 B</t>
  </si>
  <si>
    <t>+43544262846;+436642218015</t>
  </si>
  <si>
    <t>+435442628469</t>
  </si>
  <si>
    <t>planung@gerhardpoller.at</t>
  </si>
  <si>
    <t>https://bilder.dasschnelle.at/DasSchnelle/50/5000/9903/044588/G_044588_P_906329491.adn.gif</t>
  </si>
  <si>
    <t>Silbernagel Metalltechnik GmbH • Hoheneich • Niederösterreich</t>
  </si>
  <si>
    <t>Metallbau, Schlossereien • Silbernagel Metalltechnik GmbH, Schremser Straße 117, Hoheneich • Kontakt über aktuelle Telefonnummern ☎ und Adressen ⚑ mit Karte, Routing, Öffnungszeiten, Homepage, E-Mail, vCard und Firmendaten.</t>
  </si>
  <si>
    <t>Schremser Straße 117</t>
  </si>
  <si>
    <t>48.774</t>
  </si>
  <si>
    <t>15.02343</t>
  </si>
  <si>
    <t>+43285252827</t>
  </si>
  <si>
    <t>+43285252872</t>
  </si>
  <si>
    <t>office@silbernagel.at</t>
  </si>
  <si>
    <t>https://bilder.dasschnelle.at/DasSchnelle/50/5000/9885/045083/G_045083_P_906329497.adn.gif</t>
  </si>
  <si>
    <t>JARO-BAU GmbH, Bauunternehmen • Strengberg • Niederösterreich</t>
  </si>
  <si>
    <t>Bauunternehmen • JARO-BAU GmbH, Ramsau 20/2, Strengberg • Kontakt über aktuelle Telefonnummern ☎ und Adressen ⚑ mit Karte, Routing, Öffnungszeiten, Homepage, E-Mail, vCard und Firmendaten.</t>
  </si>
  <si>
    <t>Ramsau 20/2</t>
  </si>
  <si>
    <t>48.1270722</t>
  </si>
  <si>
    <t>14.6680201</t>
  </si>
  <si>
    <t>+436645744356</t>
  </si>
  <si>
    <t>jaro.bau@gmx.at</t>
  </si>
  <si>
    <t>https://bilder.dasschnelle.at/DasSchnelle/50/5000/9866/041328/I_041328_P_906330116_L_0039985993_1.png</t>
  </si>
  <si>
    <t>https://bilder.dasschnelle.at/DasSchnelle/50/5000/9866/041328/I_041328_P_906330116_B_0039985993_1.gal.png?height=720&amp;width=720;https://bilder.dasschnelle.at/DasSchnelle/50/5000/9866/041328/I_041328_P_906330116_B_0039985993_2.gal.png?height=391&amp;width=720;https://bilder.dasschnelle.at/DasSchnelle/50/5000/9866/041328/I_041328_P_906330116_B_0039985993_3.gal.png?height=585&amp;width=720</t>
  </si>
  <si>
    <t>Stockinger, Andreas, Dr., FA f Unfallchirurgie • Schärding • Oberösterreich</t>
  </si>
  <si>
    <t>Ärzte / Fachärzte f. Unfallchirurgie • Stockinger, Andreas, Dr., Schulstraße 7 /24, Schärding • Kontakt über aktuelle Telefonnummern ☎ und Adressen ⚑ mit Karte, Routing, Öffnungszeiten, Homepage, E-Mail, vCard und Firmendaten.</t>
  </si>
  <si>
    <t>Schulstraße 7 /24</t>
  </si>
  <si>
    <t>48.45459</t>
  </si>
  <si>
    <t>13.4367</t>
  </si>
  <si>
    <t>+43771229666</t>
  </si>
  <si>
    <t>trauma-schaerding@gmx.at</t>
  </si>
  <si>
    <t>https://bilder.dasschnelle.at/DasSchnelle/50/5000/9926/042797/G_042797_P_906329868.adn.gif</t>
  </si>
  <si>
    <t>Elektro Beichler, Elektrotechnik • Rohrbach • Steiermark</t>
  </si>
  <si>
    <t>Elektrotechnik • Elektro Beichler, Rohrbach 110, Rohrbach • Kontakt über aktuelle Telefonnummern ☎ und Adressen ⚑ mit Karte, Routing, Öffnungszeiten, Homepage, E-Mail, vCard und Firmendaten.</t>
  </si>
  <si>
    <t>Rohrbach 110</t>
  </si>
  <si>
    <t>47.0765535</t>
  </si>
  <si>
    <t>15.2953593</t>
  </si>
  <si>
    <t>+4331232439;+4369988796040</t>
  </si>
  <si>
    <t>elektro.beichler@direkt.at</t>
  </si>
  <si>
    <t>https://bilder.dasschnelle.at/DasSchnelle/50/5000/9883/061360/G_061360_P_906329872.adn.gif</t>
  </si>
  <si>
    <t>Hofer, Thomas, Fenster, Türen, Sonnenschutz • Bramberg • Salzburg</t>
  </si>
  <si>
    <t>Fenster u. Türen • Hofer, Thomas, Dorf 90, Bramberg • Kontakt über aktuelle Telefonnummern ☎ und Adressen ⚑ mit Karte, Routing, Öffnungszeiten, Homepage, E-Mail, vCard und Firmendaten.</t>
  </si>
  <si>
    <t>Dorf 90</t>
  </si>
  <si>
    <t>Bramberg</t>
  </si>
  <si>
    <t>47.2796900</t>
  </si>
  <si>
    <t>12.3874000</t>
  </si>
  <si>
    <t>+436642537504</t>
  </si>
  <si>
    <t>hofer.thomas@sol.at</t>
  </si>
  <si>
    <t>Pollak-Rausch, Silvia, Fußpflege • Weitra • Niederösterreich</t>
  </si>
  <si>
    <t>Fußpflege • Pollak-Rausch, Silvia, Sparkasseplatz 161, Weitra • Kontakt über aktuelle Telefonnummern ☎ und Adressen ⚑ mit Karte, Routing, Öffnungszeiten, Homepage, E-Mail, vCard und Firmendaten.</t>
  </si>
  <si>
    <t>https://bilder.dasschnelle.at/DasSchnelle/50/5000/9885/045541/G_045541_P_906330082.adn.gif</t>
  </si>
  <si>
    <t>Autohaus Bauer GmbH, Toyota • Zwettl • Niederösterreich</t>
  </si>
  <si>
    <t>Autohandel • Autohaus Bauer GmbH, Moidrams 52, Zwettl • Kontakt über aktuelle Telefonnummern ☎ und Adressen ⚑ mit Karte, Routing, Öffnungszeiten, Homepage, E-Mail, vCard und Firmendaten.</t>
  </si>
  <si>
    <t>https://bilder.dasschnelle.at/DasSchnelle/50/5000/9950/044545/G_044545_P_906330084.adn.gif</t>
  </si>
  <si>
    <t>Leitner Transporte, Transportunternehmen • Taufkirchen an der Pram • Oberösterreich</t>
  </si>
  <si>
    <t>Transportunternehmen • Leitner Transporte, Kinosiedlung 3, Taufkirchen an der Pram • Kontakt über aktuelle Telefonnummern ☎ und Adressen ⚑ mit Karte, Routing, Öffnungszeiten, Homepage, E-Mail, vCard und Firmendaten.</t>
  </si>
  <si>
    <t>Kinosiedlung 3</t>
  </si>
  <si>
    <t>48.41198</t>
  </si>
  <si>
    <t>13.52783</t>
  </si>
  <si>
    <t>+4377197340</t>
  </si>
  <si>
    <t>alex@leitner-transporte.at</t>
  </si>
  <si>
    <t>https://bilder.dasschnelle.at/DasSchnelle/50/5000/9926/042801/G_042801_P_906330264.adn.gif</t>
  </si>
  <si>
    <t>Gruber, Anton, Sägewerk • Furth-Pfaffing • Oberösterreich</t>
  </si>
  <si>
    <t>Säge- u. Hobelwerke • Gruber, Anton, Furth-Pfaffing 13, Furth-Pfaffing • Kontakt über aktuelle Telefonnummern ☎ und Adressen ⚑ mit Karte, Routing, Öffnungszeiten, Homepage, E-Mail, vCard und Firmendaten.</t>
  </si>
  <si>
    <t>Furth-Pfaffing 13</t>
  </si>
  <si>
    <t>Furth-Pfaffing</t>
  </si>
  <si>
    <t>48.4354416</t>
  </si>
  <si>
    <t>13.5441070</t>
  </si>
  <si>
    <t>+4377197768</t>
  </si>
  <si>
    <t>+43771977684</t>
  </si>
  <si>
    <t>office@gruber-saege.at</t>
  </si>
  <si>
    <t>https://bilder.dasschnelle.at/DasSchnelle/50/5000/9926/042801/G_042801_P_906330269.adn.gif</t>
  </si>
  <si>
    <t>Sentimento, Friseur • Taufkirchen an der Pram • Oberösterreich</t>
  </si>
  <si>
    <t>Friseure • Sentimento, Schärdinger Straße 2, Taufkirchen an der Pram • Kontakt über aktuelle Telefonnummern ☎ und Adressen ⚑ mit Karte, Routing, Öffnungszeiten, Homepage, E-Mail, vCard und Firmendaten.</t>
  </si>
  <si>
    <t>Schärdinger Straße 2</t>
  </si>
  <si>
    <t>48.41064</t>
  </si>
  <si>
    <t>13.53626</t>
  </si>
  <si>
    <t>+43771950982</t>
  </si>
  <si>
    <t>friseur@sentimento.at</t>
  </si>
  <si>
    <t>https://bilder.dasschnelle.at/DasSchnelle/50/5000/9926/042801/G_042801_P_906330352.adn.gif</t>
  </si>
  <si>
    <t>Schöller, Manfred, Küchen • Zwettl • Niederösterreich</t>
  </si>
  <si>
    <t>Küchenstudios • Schöller, Manfred, Landstraße 42, Zwettl • Kontakt über aktuelle Telefonnummern ☎ und Adressen ⚑ mit Karte, Routing, Öffnungszeiten, Homepage, E-Mail, vCard und Firmendaten.</t>
  </si>
  <si>
    <t>Landstraße 42</t>
  </si>
  <si>
    <t>48.60571</t>
  </si>
  <si>
    <t>15.16614</t>
  </si>
  <si>
    <t>+43282220035</t>
  </si>
  <si>
    <t>+43282233328</t>
  </si>
  <si>
    <t>info@dan-zwettl.at</t>
  </si>
  <si>
    <t>https://bilder.dasschnelle.at/DasSchnelle/50/5000/9950/044545/G_044545_P_906330356.adn.gif</t>
  </si>
  <si>
    <t>Hörmanseder Transporte • Niederham • Oberösterreich</t>
  </si>
  <si>
    <t>Transportanlagen • Hörmanseder Transporte, Niederham 31, Niederham • Kontakt über aktuelle Telefonnummern ☎ und Adressen ⚑ mit Karte, Routing, Öffnungszeiten, Homepage, E-Mail, vCard und Firmendaten.</t>
  </si>
  <si>
    <t>Niederham 31</t>
  </si>
  <si>
    <t>Niederham</t>
  </si>
  <si>
    <t>48.3947747</t>
  </si>
  <si>
    <t>13.4486677</t>
  </si>
  <si>
    <t>+436604445346</t>
  </si>
  <si>
    <t>transporte-hoermanseder@gmx.at</t>
  </si>
  <si>
    <t>https://bilder.dasschnelle.at/DasSchnelle/50/5000/9926/042794/G_042794_P_906330360.adn.gif</t>
  </si>
  <si>
    <t>Tischlerei Edtmayer GmbH • Innerschwand • Oberösterreich</t>
  </si>
  <si>
    <t>Tischlereien • Tischlerei Edtmayer GmbH, Wangau 21, Innerschwand • Kontakt über aktuelle Telefonnummern ☎ und Adressen ⚑ mit Karte, Routing, Öffnungszeiten, Homepage, E-Mail, vCard und Firmendaten.</t>
  </si>
  <si>
    <t>Wangau 21</t>
  </si>
  <si>
    <t>47.82947</t>
  </si>
  <si>
    <t>13.40459</t>
  </si>
  <si>
    <t>+4362322136</t>
  </si>
  <si>
    <t>office@​tischlerei-edtmayer.at</t>
  </si>
  <si>
    <t>https://bilder.dasschnelle.at/DasSchnelle/50/5000/9909/043078/I_043078_P_906329340_L_0035970969_1.png</t>
  </si>
  <si>
    <t>https://bilder.dasschnelle.at/DasSchnelle/50/5000/9909/043078/I_043078_P_906329340_B_0035970969_1.gal.png?height=226&amp;width=624;https://bilder.dasschnelle.at/DasSchnelle/50/5000/9909/043078/I_043078_P_906329340_B_0035970969_2.gal.png?height=393&amp;width=676;https://bilder.dasschnelle.at/DasSchnelle/50/5000/9909/043078/I_043078_P_906329340_B_0035970969_3.gal.png?height=226&amp;width=624;https://bilder.dasschnelle.at/DasSchnelle/50/5000/9909/043078/I_043078_P_906329340_B_0035970969_4.gal.png?height=310&amp;width=445</t>
  </si>
  <si>
    <t>Rainer, Alexander, Dr., FA f Radiologie • Zwettl • Niederösterreich</t>
  </si>
  <si>
    <t>Ärzte / Fachärzte f. Radiologie • Rainer, Alexander, Dr., Landstraße 55, Zwettl • Kontakt über aktuelle Telefonnummern ☎ und Adressen ⚑ mit Karte, Routing, Öffnungszeiten, Homepage, E-Mail, vCard und Firmendaten.</t>
  </si>
  <si>
    <t>Landstraße 55</t>
  </si>
  <si>
    <t>48.60603</t>
  </si>
  <si>
    <t>15.16521</t>
  </si>
  <si>
    <t>+43282253574</t>
  </si>
  <si>
    <t>office@diagnose-zentrum-rainer.at</t>
  </si>
  <si>
    <t>https://bilder.dasschnelle.at/DasSchnelle/50/5000/9950/044545/G_044545_P_906329342.adn.gif</t>
  </si>
  <si>
    <t>Karl Heinz Hörbst, Karl-Heinz, Taxiunternehmen • Apfoltern • Oberösterreich</t>
  </si>
  <si>
    <t>Taxi • Karl Heinz Hörbst, Karl-Heinz, Apfoltern 18, Apfoltern • Kontakt über aktuelle Telefonnummern ☎ und Adressen ⚑ mit Karte, Routing, Öffnungszeiten, Homepage, E-Mail, vCard und Firmendaten.</t>
  </si>
  <si>
    <t>Apfoltern 18</t>
  </si>
  <si>
    <t>48.5454734</t>
  </si>
  <si>
    <t>14.4847914</t>
  </si>
  <si>
    <t>+436641037136</t>
  </si>
  <si>
    <t>taxi.hoerbst@gmx.at</t>
  </si>
  <si>
    <t>https://bilder.dasschnelle.at/DasSchnelle/50/5000/9882/041775/G_041775_P_906329344.adn.gif</t>
  </si>
  <si>
    <t>Veit Otmar GmbH, Malereibetriebe • Straß in Steiermark • Steiermark</t>
  </si>
  <si>
    <t>Malereibetriebe • Veit Otmar GmbH, Sankt Veiter Straße 28, Straß in Steiermark • Kontakt über aktuelle Telefonnummern ☎ und Adressen ⚑ mit Karte, Routing, Öffnungszeiten, Homepage, E-Mail, vCard und Firmendaten.</t>
  </si>
  <si>
    <t>Sankt Veiter Straße 28</t>
  </si>
  <si>
    <t>46.73367</t>
  </si>
  <si>
    <t>15.62239</t>
  </si>
  <si>
    <t>+4334532452</t>
  </si>
  <si>
    <t>office@maler-veit.at</t>
  </si>
  <si>
    <t>https://bilder.dasschnelle.at/DasSchnelle/50/5000/9904/061461/G_061461_P_906329824.adn.gif</t>
  </si>
  <si>
    <t>Autohaus Klingler GmbH • Straß in Steiermark • Steiermark</t>
  </si>
  <si>
    <t>Autohäuser, Autoreparaturen • Autohaus Klingler GmbH, Bundesstraße 38, Straß in Steiermark • Kontakt über aktuelle Telefonnummern ☎ und Adressen ⚑ mit Karte, Routing, Öffnungszeiten, Homepage, E-Mail, vCard und Firmendaten.</t>
  </si>
  <si>
    <t>https://bilder.dasschnelle.at/DasSchnelle/50/5000/9904/061461/G_061461_P_906330051.adn.gif</t>
  </si>
  <si>
    <t>RPW, Riedl &amp; Pircher Steuerberatungs GmbH, Wirtschaftstreuhänder / Steuerberater • Korneuburg • Niederösterreich</t>
  </si>
  <si>
    <t>Wirtschaftstreuhänder / Steuerberater • RPW, Riedl &amp; Pircher Steuerberatungs GmbH, Sudetendeutschestraße 7, Korneuburg • Kontakt über aktuelle Telefonnummern ☎ und Adressen ⚑ mit Karte, Routing, Öffnungszeiten, Homepage, E-Mail, vCard und Firmendaten.</t>
  </si>
  <si>
    <t>Sudetendeutschestraße 7</t>
  </si>
  <si>
    <t>48.34015</t>
  </si>
  <si>
    <t>16.34083</t>
  </si>
  <si>
    <t>+43226272219</t>
  </si>
  <si>
    <t>korneuburg@rpw.at</t>
  </si>
  <si>
    <t>https://bilder.dasschnelle.at/DasSchnelle/50/5000/9898/041413/G_041413_P_906330053.adn.gif</t>
  </si>
  <si>
    <t>Univ.Doz.Dr. Stephan Grampp &amp; Univ.Doz.Dr. Henk Gruppenpraxis, FA f. Radiologie • Stockerau • Niederösterreich</t>
  </si>
  <si>
    <t>Ärzte / Fachärzte f. Radiologie • Univ.Doz.Dr. Stephan Grampp &amp; Univ.Doz.Dr. Henk Gruppenpraxis, Lenaustraße 23, Stockerau • Kontakt über aktuelle Telefonnummern ☎ und Adressen ⚑ mit Karte, Routing, Öffnungszeiten, Homepage, E-Mail, vCard und Firmendaten.</t>
  </si>
  <si>
    <t>Lenaustraße 23</t>
  </si>
  <si>
    <t>48.3864700</t>
  </si>
  <si>
    <t>16.2018500</t>
  </si>
  <si>
    <t>+43226663948</t>
  </si>
  <si>
    <t>office@roentgen-stockerau.at</t>
  </si>
  <si>
    <t>https://bilder.dasschnelle.at/DasSchnelle/50/5000/9898/041484/G_041484_P_906330055.adn.gif</t>
  </si>
  <si>
    <t>EHC-Wirtschaftstreuhand GesmbH, Wirtschaftstreuhänder / Steuerberater • Stockerau • Niederösterreich</t>
  </si>
  <si>
    <t>Wirtschaftstreuhänder / Steuerberater • EHC-Wirtschaftstreuhand GesmbH, Schulgasse 10, Stockerau • Kontakt über aktuelle Telefonnummern ☎ und Adressen ⚑ mit Karte, Routing, Öffnungszeiten, Homepage, E-Mail, vCard und Firmendaten.</t>
  </si>
  <si>
    <t>+43226662870;+4366488209195;+4366488265155</t>
  </si>
  <si>
    <t>https://bilder.dasschnelle.at/DasSchnelle/50/5000/9898/041484/G_041484_P_906330061.adn.gif</t>
  </si>
  <si>
    <t>Dr. Dieter Preindl-Biber, FA für Psychiatrie • Gmünd • Niederösterreich</t>
  </si>
  <si>
    <t>Ärzte / Fachärzte f. Neurologie u. Psychiatrie • Dr. Dieter Preindl-Biber, Stadtplatz 14, Gmünd • Kontakt über aktuelle Telefonnummern ☎ und Adressen ⚑ mit Karte, Routing, Öffnungszeiten, Homepage, E-Mail, vCard und Firmendaten.</t>
  </si>
  <si>
    <t>https://bilder.dasschnelle.at/DasSchnelle/50/5000/9885/045075/G_045075_P_906330064.adn.gif</t>
  </si>
  <si>
    <t>Bäuml, Wolfgang, Dr., öffentl. Notar • Korneuburg • Niederösterreich</t>
  </si>
  <si>
    <t>Notare • Bäuml, Wolfgang, Dr., Hauptplatz 39, Korneuburg • Kontakt über aktuelle Telefonnummern ☎ und Adressen ⚑ mit Karte, Routing, Öffnungszeiten, Homepage, E-Mail, vCard und Firmendaten.</t>
  </si>
  <si>
    <t>Hauptplatz 39</t>
  </si>
  <si>
    <t>48.34383</t>
  </si>
  <si>
    <t>16.3338</t>
  </si>
  <si>
    <t>+43226272445</t>
  </si>
  <si>
    <t>+4322627244566</t>
  </si>
  <si>
    <t>office@notariat-baeuml.at</t>
  </si>
  <si>
    <t>https://bilder.dasschnelle.at/DasSchnelle/50/5000/9898/041413/G_041413_P_906330068.adn.gif</t>
  </si>
  <si>
    <t>Scherrerbauer Haustechnik GmbH • Brunnenthal • Oberösterreich</t>
  </si>
  <si>
    <t>Haustechnik • Scherrerbauer Haustechnik GmbH, Passauer Straße 69, Brunnenthal • Kontakt über aktuelle Telefonnummern ☎ und Adressen ⚑ mit Karte, Routing, Öffnungszeiten, Homepage, E-Mail, vCard und Firmendaten.</t>
  </si>
  <si>
    <t>Passauer Straße 69</t>
  </si>
  <si>
    <t>48.47096</t>
  </si>
  <si>
    <t>13.44571</t>
  </si>
  <si>
    <t>+436507400307</t>
  </si>
  <si>
    <t>info@haustechnik-schaerding.at</t>
  </si>
  <si>
    <t>https://bilder.dasschnelle.at/DasSchnelle/50/5000/9926/042304/G_042304_P_906330246.adn.gif</t>
  </si>
  <si>
    <t>Elektro Haas GmbH, Elektro • Brunnenthal • Oberösterreich</t>
  </si>
  <si>
    <t>Elektroinstallationsunternehmen • Elektro Haas GmbH, Lindenweg 1, Brunnenthal • Kontakt über aktuelle Telefonnummern ☎ und Adressen ⚑ mit Karte, Routing, Öffnungszeiten, Homepage, E-Mail, vCard und Firmendaten.</t>
  </si>
  <si>
    <t>Lindenweg 1</t>
  </si>
  <si>
    <t>48.47466</t>
  </si>
  <si>
    <t>13.45133</t>
  </si>
  <si>
    <t>+4377122767</t>
  </si>
  <si>
    <t>office@ep-haas.at</t>
  </si>
  <si>
    <t>https://bilder.dasschnelle.at/DasSchnelle/50/5000/9926/042304/G_042304_P_906330248.adn.gif</t>
  </si>
  <si>
    <t>Habertl Elektrotechnik GmbH • Taufkirchen an der Pram • Oberösterreich</t>
  </si>
  <si>
    <t>Elektrotechnik • Habertl Elektrotechnik GmbH, Leoprechting 9, Taufkirchen an der Pram • Kontakt über aktuelle Telefonnummern ☎ und Adressen ⚑ mit Karte, Routing, Öffnungszeiten, Homepage, E-Mail, vCard und Firmendaten.</t>
  </si>
  <si>
    <t>Leoprechting 9</t>
  </si>
  <si>
    <t>48.40775</t>
  </si>
  <si>
    <t>13.55052</t>
  </si>
  <si>
    <t>+43771920136</t>
  </si>
  <si>
    <t>info@elektrotechnik-haberl.at</t>
  </si>
  <si>
    <t>https://bilder.dasschnelle.at/DasSchnelle/50/5000/9926/042801/G_042801_P_906330250.adn.gif</t>
  </si>
  <si>
    <t>Schiller Ges.m.b.H., Hochbau - Tiefbau • Grafenschlag • Niederösterreich</t>
  </si>
  <si>
    <t>Bauunternehmen • Schiller Ges.m.b.H., Grafenschlag 66, Grafenschlag • Kontakt über aktuelle Telefonnummern ☎ und Adressen ⚑ mit Karte, Routing, Öffnungszeiten, Homepage, E-Mail, vCard und Firmendaten.</t>
  </si>
  <si>
    <t>Grafenschlag 66</t>
  </si>
  <si>
    <t>48.5001711</t>
  </si>
  <si>
    <t>15.1720266</t>
  </si>
  <si>
    <t>+432875737318</t>
  </si>
  <si>
    <t>office@schiller-bau.at</t>
  </si>
  <si>
    <t>https://bilder.dasschnelle.at/DasSchnelle/50/5000/9950/044527/G_044527_P_906329420.adn.gif</t>
  </si>
  <si>
    <t>Bestattung Allentsteig, Walter Irschik • Allentsteig • Niederösterreich</t>
  </si>
  <si>
    <t>Bestattungsunternehmen • Bestattung Allentsteig, Walter Irschik, Hauptstraße 24 /3, Allentsteig • Kontakt über aktuelle Telefonnummern ☎ und Adressen ⚑ mit Karte, Routing, Öffnungszeiten, Homepage, E-Mail, vCard und Firmendaten.</t>
  </si>
  <si>
    <t>Hauptstraße 24 /3</t>
  </si>
  <si>
    <t>3804</t>
  </si>
  <si>
    <t>Allentsteig</t>
  </si>
  <si>
    <t>48.69568</t>
  </si>
  <si>
    <t>15.32815</t>
  </si>
  <si>
    <t>+4328242908</t>
  </si>
  <si>
    <t>info@bestattung-allentsteig.at</t>
  </si>
  <si>
    <t>https://bilder.dasschnelle.at/DasSchnelle/50/5000/9950/044522/G_044522_P_906329422.adn.gif</t>
  </si>
  <si>
    <t>Giendl GesmbH, Bandagisten • Korneuburg • Niederösterreich</t>
  </si>
  <si>
    <t>Bandagisten, Sanitätshäuser • Giendl GesmbH, Wiener Straße 36, Korneuburg • Kontakt über aktuelle Telefonnummern ☎ und Adressen ⚑ mit Karte, Routing, Öffnungszeiten, Homepage, E-Mail, vCard und Firmendaten.</t>
  </si>
  <si>
    <t>Wiener Straße 36</t>
  </si>
  <si>
    <t>48.34243</t>
  </si>
  <si>
    <t>16.3345</t>
  </si>
  <si>
    <t>+43226264580</t>
  </si>
  <si>
    <t>robert@giendl.at</t>
  </si>
  <si>
    <t>https://bilder.dasschnelle.at/DasSchnelle/50/5000/9898/041413/G_041413_P_906329424.adn.gif</t>
  </si>
  <si>
    <t>Bayer Glasverarbeitungs und HandelsgesmbH, Glas • Langenzersdorf • Niederösterreich</t>
  </si>
  <si>
    <t>Glas u. Service • Bayer Glasverarbeitungs und HandelsgesmbH, Pappelstraße 18 -22, Langenzersdorf • Kontakt über aktuelle Telefonnummern ☎ und Adressen ⚑ mit Karte, Routing, Öffnungszeiten, Homepage, E-Mail, vCard und Firmendaten.</t>
  </si>
  <si>
    <t>Pappelstraße 18 -22</t>
  </si>
  <si>
    <t>48.2844923</t>
  </si>
  <si>
    <t>16.364723</t>
  </si>
  <si>
    <t>+43224420900</t>
  </si>
  <si>
    <t>info@bayer-glas.at</t>
  </si>
  <si>
    <t>https://bilder.dasschnelle.at/DasSchnelle/50/5000/9898/041414/I_041414_P_906329501_L_0035970902_1.png</t>
  </si>
  <si>
    <t>https://bilder.dasschnelle.at/DasSchnelle/50/5000/9898/041414/I_041414_P_906329501_B_0035970902_1.gal.png?height=337&amp;width=600;https://bilder.dasschnelle.at/DasSchnelle/50/5000/9898/041414/I_041414_P_906329501_B_0035970902_2.gal.png?height=337&amp;width=600;https://bilder.dasschnelle.at/DasSchnelle/50/5000/9898/041414/I_041414_P_906329501_B_0035970902_3.gal.png?height=337&amp;width=600;https://bilder.dasschnelle.at/DasSchnelle/50/5000/9898/041414/I_041414_P_906329501_B_0035970902_4.gal.png?height=405&amp;width=720</t>
  </si>
  <si>
    <t>Johann Schneeberger GmbH, Weingut • Pernitsch • Steiermark</t>
  </si>
  <si>
    <t>Buschenschank, Gastgewerbe - Gasthöfe • Johann Schneeberger GmbH, Pernitsch 31, Pernitsch • Kontakt über aktuelle Telefonnummern ☎ und Adressen ⚑ mit Karte, Routing, Öffnungszeiten, Homepage, E-Mail, vCard und Firmendaten.</t>
  </si>
  <si>
    <t>https://bilder.dasschnelle.at/DasSchnelle/50/5000/9904/061363/I_061363_P_906330106_B_0036002954_1.gal.png?height=521&amp;width=790;https://bilder.dasschnelle.at/DasSchnelle/50/5000/9904/061363/I_061363_P_906330106_B_0036002954_2.gal.png?height=490&amp;width=492;https://bilder.dasschnelle.at/DasSchnelle/50/5000/9904/061363/I_061363_P_906330106_B_0036002954_3.gal.png?height=505&amp;width=777;https://bilder.dasschnelle.at/DasSchnelle/50/5000/9904/061363/I_061363_P_906330106_B_0036002954_4.gal.png?height=526&amp;width=790</t>
  </si>
  <si>
    <t>Dingsleder, Peter, Ihr Tapezierermeister • Tillmitsch • Steiermark</t>
  </si>
  <si>
    <t>Tapezierer • Dingsleder, Peter, Gemeindestraße 33, Tillmitsch • Kontakt über aktuelle Telefonnummern ☎ und Adressen ⚑ mit Karte, Routing, Öffnungszeiten, Homepage, E-Mail, vCard und Firmendaten.</t>
  </si>
  <si>
    <t>Gemeindestraße 33</t>
  </si>
  <si>
    <t>46.81294</t>
  </si>
  <si>
    <t>15.52299</t>
  </si>
  <si>
    <t>+43345282033</t>
  </si>
  <si>
    <t>peter.dingsleder@aon.at</t>
  </si>
  <si>
    <t>https://bilder.dasschnelle.at/DasSchnelle/50/5000/9904/044320/G_044320_P_906330108.adn.gif</t>
  </si>
  <si>
    <t>Held, Jennifer, Blumen • Mattelsberg • Steiermark</t>
  </si>
  <si>
    <t>Blumenhandel • Held, Jennifer, Mattelsberg 62, Mattelsberg • Kontakt über aktuelle Telefonnummern ☎ und Adressen ⚑ mit Karte, Routing, Öffnungszeiten, Homepage, E-Mail, vCard und Firmendaten.</t>
  </si>
  <si>
    <t>Mattelsberg 62</t>
  </si>
  <si>
    <t>8452</t>
  </si>
  <si>
    <t>Mattelsberg</t>
  </si>
  <si>
    <t>46.7332216</t>
  </si>
  <si>
    <t>15.4397639</t>
  </si>
  <si>
    <t>+4334562078</t>
  </si>
  <si>
    <t>info@blumen-held.at</t>
  </si>
  <si>
    <t>https://bilder.dasschnelle.at/DasSchnelle/50/5000/9904/044092/G_044092_P_906330115.adn.gif</t>
  </si>
  <si>
    <t>Spenglerei Oberbauer GmbH • Schärding Innere Stadt • Oberösterreich</t>
  </si>
  <si>
    <t>Spenglereien • Spenglerei Oberbauer GmbH, Passauer Straße 21, Schärding Innere Stadt • Kontakt über aktuelle Telefonnummern ☎ und Adressen ⚑ mit Karte, Routing, Öffnungszeiten, Homepage, E-Mail, vCard und Firmendaten.</t>
  </si>
  <si>
    <t>Passauer Straße 21</t>
  </si>
  <si>
    <t>48.4631700</t>
  </si>
  <si>
    <t>13.4331000</t>
  </si>
  <si>
    <t>+436503703360</t>
  </si>
  <si>
    <t>office@spenglerei-oberbauer.at</t>
  </si>
  <si>
    <t>https://bilder.dasschnelle.at/DasSchnelle/50/5000/9926/042797/G_042797_P_906330326.adn.gif</t>
  </si>
  <si>
    <t>Scherrer, Christian, Tischlerei • Schardenberg • Oberösterreich</t>
  </si>
  <si>
    <t>Holzfachmärkte • Scherrer, Christian, Adalbert-Stifter-Weg 6, Schardenberg • Kontakt über aktuelle Telefonnummern ☎ und Adressen ⚑ mit Karte, Routing, Öffnungszeiten, Homepage, E-Mail, vCard und Firmendaten.</t>
  </si>
  <si>
    <t>Adalbert-Stifter-Weg 6</t>
  </si>
  <si>
    <t>48.51726</t>
  </si>
  <si>
    <t>13.49657</t>
  </si>
  <si>
    <t>+436765880751</t>
  </si>
  <si>
    <t>office@scherrer-lebenmitholz.at</t>
  </si>
  <si>
    <t>https://bilder.dasschnelle.at/DasSchnelle/50/5000/9926/042798/G_042798_P_906330328.adn.gif</t>
  </si>
  <si>
    <t>Josef Hauer, Gartengestaltung • Ranseredt • Oberösterreich</t>
  </si>
  <si>
    <t>Baumschulen, Garten- u. Landschaftsgestaltung, Gärtnereien • Josef Hauer, Ranseredt 31, Ranseredt • Kontakt über aktuelle Telefonnummern ☎ und Adressen ⚑ mit Karte, Routing, Öffnungszeiten, Homepage, E-Mail, vCard und Firmendaten.</t>
  </si>
  <si>
    <t>Ranseredt 31</t>
  </si>
  <si>
    <t>Ranseredt</t>
  </si>
  <si>
    <t>48.3727743</t>
  </si>
  <si>
    <t>13.5220064</t>
  </si>
  <si>
    <t>+4377663037</t>
  </si>
  <si>
    <t>office@gartengestaltung-hauer.at</t>
  </si>
  <si>
    <t>https://bilder.dasschnelle.at/DasSchnelle/50/5000/9926/042307/G_042307_P_906331456.adn.gif</t>
  </si>
  <si>
    <t>Bäckerei Redl, Erich • Heidenreichstein • Niederösterreich</t>
  </si>
  <si>
    <t>Bäckereien • Bäckerei Redl, Erich, Schremser Straße 30, Heidenreichstein • Kontakt über aktuelle Telefonnummern ☎ und Adressen ⚑ mit Karte, Routing, Öffnungszeiten, Homepage, E-Mail, vCard und Firmendaten.</t>
  </si>
  <si>
    <t>Schremser Straße 30</t>
  </si>
  <si>
    <t>48.86447</t>
  </si>
  <si>
    <t>15.11981</t>
  </si>
  <si>
    <t>+43286252265;+436648649895</t>
  </si>
  <si>
    <t>baeckerei.redl@aon.at</t>
  </si>
  <si>
    <t>https://bilder.dasschnelle.at/DasSchnelle/50/5000/9885/045081/G_045081_P_906331459.adn.gif</t>
  </si>
  <si>
    <t>Apfelthaler Haustechnik GesmbH • Heidenreichstein • Niederösterreich</t>
  </si>
  <si>
    <t>Installationsunternehmen • Apfelthaler Haustechnik GesmbH, Kautzener Straße 1, Heidenreichstein • Kontakt über aktuelle Telefonnummern ☎ und Adressen ⚑ mit Karte, Routing, Öffnungszeiten, Homepage, E-Mail, vCard und Firmendaten.</t>
  </si>
  <si>
    <t>Kautzener Straße 1</t>
  </si>
  <si>
    <t>48.86928</t>
  </si>
  <si>
    <t>15.1243</t>
  </si>
  <si>
    <t>+43286252312</t>
  </si>
  <si>
    <t>buero@haustechnik-apfelthaler.at</t>
  </si>
  <si>
    <t>Kremer, Harald, Bau- u Möbeltischlerei • Stockerau • Niederösterreich</t>
  </si>
  <si>
    <t>Tischlereien • Kremer, Harald, Sparkassaplatz 5 B, Stockerau • Kontakt über aktuelle Telefonnummern ☎ und Adressen ⚑ mit Karte, Routing, Öffnungszeiten, Homepage, E-Mail, vCard und Firmendaten.</t>
  </si>
  <si>
    <t>Sparkassaplatz 5 B</t>
  </si>
  <si>
    <t>48.38556</t>
  </si>
  <si>
    <t>16.21352</t>
  </si>
  <si>
    <t>+43226662137</t>
  </si>
  <si>
    <t>office@tischlerei-kremer.at</t>
  </si>
  <si>
    <t>https://bilder.dasschnelle.at/DasSchnelle/50/5000/9898/041484/G_041484_P_906331467.adn.gif</t>
  </si>
  <si>
    <t>Kickenweitz KG., Malermeister • Stockerau • Niederösterreich</t>
  </si>
  <si>
    <t>Malereibetriebe • Kickenweitz KG., Neubau 82, Stockerau • Kontakt über aktuelle Telefonnummern ☎ und Adressen ⚑ mit Karte, Routing, Öffnungszeiten, Homepage, E-Mail, vCard und Firmendaten.</t>
  </si>
  <si>
    <t>Neubau 82</t>
  </si>
  <si>
    <t>48.38496</t>
  </si>
  <si>
    <t>16.22614</t>
  </si>
  <si>
    <t>+43226662844</t>
  </si>
  <si>
    <t>maler_kickenweitz@aon.at</t>
  </si>
  <si>
    <t>https://bilder.dasschnelle.at/DasSchnelle/50/5000/9898/041484/I_041484_P_906331470_L_0037075185_1.png</t>
  </si>
  <si>
    <t>https://bilder.dasschnelle.at/DasSchnelle/50/5000/9898/041484/I_041484_P_906331470_B_0037075185_1.gal.png?height=100&amp;width=224;https://bilder.dasschnelle.at/DasSchnelle/50/5000/9898/041484/I_041484_P_906331470_B_0037075185_2.gal.png?height=600&amp;width=800;https://bilder.dasschnelle.at/DasSchnelle/50/5000/9898/041484/I_041484_P_906331470_B_0037075185_3.gal.png?height=600&amp;width=800;https://bilder.dasschnelle.at/DasSchnelle/50/5000/9898/041484/I_041484_P_906331470_B_0037075185_4.gal.png?height=600&amp;width=800</t>
  </si>
  <si>
    <t>Groer, Norbert, Dr., Tierarzt • Hausleiten • Niederösterreich</t>
  </si>
  <si>
    <t>Tierärzte • Groer, Norbert, Dr., Tullner Straße 8, Hausleiten • Kontakt über aktuelle Telefonnummern ☎ und Adressen ⚑ mit Karte, Routing, Öffnungszeiten, Homepage, E-Mail, vCard und Firmendaten.</t>
  </si>
  <si>
    <t>Tullner Straße 8</t>
  </si>
  <si>
    <t>3464</t>
  </si>
  <si>
    <t>Hausleiten</t>
  </si>
  <si>
    <t>48.39352</t>
  </si>
  <si>
    <t>16.09988</t>
  </si>
  <si>
    <t>+4322657226</t>
  </si>
  <si>
    <t>norbert.groer@aon.at</t>
  </si>
  <si>
    <t>https://bilder.dasschnelle.at/DasSchnelle/50/5000/9898/041412/G_041412_P_906331472.adn.gif</t>
  </si>
  <si>
    <t>Hober Wilhelm Installateur Meisterbetrieb • Leitzersdorf • Niederösterreich</t>
  </si>
  <si>
    <t>Installationsunternehmen • Hober Wilhelm Installateur Meisterbetrieb, Ahornstraße 24, Leitzersdorf • Kontakt über aktuelle Telefonnummern ☎ und Adressen ⚑ mit Karte, Routing, Öffnungszeiten, Homepage, E-Mail, vCard und Firmendaten.</t>
  </si>
  <si>
    <t>https://bilder.dasschnelle.at/DasSchnelle/50/5000/9898/041415/I_041415_P_906331526_L_0037077643_1.png</t>
  </si>
  <si>
    <t>https://bilder.dasschnelle.at/DasSchnelle/50/5000/9898/041415/I_041415_P_906331526_B_0037077643_1.gal.png?height=180&amp;width=120;https://bilder.dasschnelle.at/DasSchnelle/50/5000/9898/041415/I_041415_P_906331526_B_0037077643_2.gal.png?height=89&amp;width=134;https://bilder.dasschnelle.at/DasSchnelle/50/5000/9898/041415/I_041415_P_906331526_B_0037077643_3.gal.png?height=200&amp;width=300;https://bilder.dasschnelle.at/DasSchnelle/50/5000/9898/041415/I_041415_P_906331526_B_0037077643_4.gal.png?height=223&amp;width=720</t>
  </si>
  <si>
    <t>Mondel, Christoph, Dr., Notar • Klosterneuburg • Niederösterreich</t>
  </si>
  <si>
    <t>Notare • Mondel, Christoph, Dr., Leopoldstraße 30 -32, Klosterneuburg • Kontakt über aktuelle Telefonnummern ☎ und Adressen ⚑ mit Karte, Routing, Öffnungszeiten, Homepage, E-Mail, vCard und Firmendaten.</t>
  </si>
  <si>
    <t>Leopoldstraße 30 -32</t>
  </si>
  <si>
    <t>48.30259</t>
  </si>
  <si>
    <t>16.32725</t>
  </si>
  <si>
    <t>+432243322270</t>
  </si>
  <si>
    <t>kanzlei@notar-mondel.at</t>
  </si>
  <si>
    <t>https://bilder.dasschnelle.at/DasSchnelle/50/5000/9897/061492/I_061492_P_906331430_L_0037097951_1.png</t>
  </si>
  <si>
    <t>https://bilder.dasschnelle.at/DasSchnelle/50/5000/9897/061492/I_061492_P_906331430_B_0037097951_2.gal.png?height=720&amp;width=720;https://bilder.dasschnelle.at/DasSchnelle/50/5000/9897/061492/I_061492_P_906331430_B_0037097951_3.gal.png?height=720&amp;width=720;https://bilder.dasschnelle.at/DasSchnelle/50/5000/9897/061492/I_061492_P_906331430_B_0037097951_4.gal.png?height=720&amp;width=720;https://bilder.dasschnelle.at/DasSchnelle/50/5000/9897/061492/G_061492_P_906331430.adn.gif</t>
  </si>
  <si>
    <t>Lüftner, Martin, Mag., öffentl Notar • Klosterneuburg • Niederösterreich</t>
  </si>
  <si>
    <t>Notare • Lüftner, Martin, Mag., Stadtplatz 37, Klosterneuburg • Kontakt über aktuelle Telefonnummern ☎ und Adressen ⚑ mit Karte, Routing, Öffnungszeiten, Homepage, E-Mail, vCard und Firmendaten.</t>
  </si>
  <si>
    <t>Stadtplatz 37</t>
  </si>
  <si>
    <t>48.30864</t>
  </si>
  <si>
    <t>16.32307</t>
  </si>
  <si>
    <t>+432243383330;+4322433833420;+43224338334</t>
  </si>
  <si>
    <t>martin.lueftner@notar.at</t>
  </si>
  <si>
    <t>https://bilder.dasschnelle.at/DasSchnelle/50/5000/9897/061492/I_061492_P_906331436_L_0038004737_1.png</t>
  </si>
  <si>
    <t>https://bilder.dasschnelle.at/DasSchnelle/50/5000/9897/061492/I_061492_P_906331436_B_0038004737_1.gal.png?height=120&amp;width=120;https://bilder.dasschnelle.at/DasSchnelle/50/5000/9897/061492/I_061492_P_906331436_B_0038004737_2.gal.png?height=720&amp;width=720;https://bilder.dasschnelle.at/DasSchnelle/50/5000/9897/061492/I_061492_P_906331436_B_0038004737_3.gal.png?height=480&amp;width=720;https://bilder.dasschnelle.at/DasSchnelle/50/5000/9897/061492/I_061492_P_906331436_B_0038004737_4.gal.png?height=480&amp;width=720;https://bilder.dasschnelle.at/DasSchnelle/50/5000/9897/061492/G_061492_P_906331436.adn.gif</t>
  </si>
  <si>
    <t>Buchmayr TransportgesmbH, Transportunternehmen • Pregarten • Oberösterreich</t>
  </si>
  <si>
    <t>Transportunternehmen • Buchmayr TransportgesmbH, Tragweiner Straße 71, Pregarten • Kontakt über aktuelle Telefonnummern ☎ und Adressen ⚑ mit Karte, Routing, Öffnungszeiten, Homepage, E-Mail, vCard und Firmendaten.</t>
  </si>
  <si>
    <t>Tragweiner Straße 71</t>
  </si>
  <si>
    <t>48.34815</t>
  </si>
  <si>
    <t>14.5427</t>
  </si>
  <si>
    <t>+4372362769</t>
  </si>
  <si>
    <t>office@buchmayr-transport.at</t>
  </si>
  <si>
    <t>https://bilder.dasschnelle.at/DasSchnelle/50/5000/9882/041774/G_041774_P_906331440.adn.gif</t>
  </si>
  <si>
    <t>Wurz KG, Bestattungsunternehmen • Unterweißenbach • Oberösterreich</t>
  </si>
  <si>
    <t>Bestattungsunternehmen • Wurz KG, Kaltenberg 19, Unterweißenbach • Kontakt über aktuelle Telefonnummern ☎ und Adressen ⚑ mit Karte, Routing, Öffnungszeiten, Homepage, E-Mail, vCard und Firmendaten.</t>
  </si>
  <si>
    <t>48.4513800</t>
  </si>
  <si>
    <t>14.7748400</t>
  </si>
  <si>
    <t>https://bilder.dasschnelle.at/DasSchnelle/50/5000/9882/041766/G_041766_P_906331442.adn.gif</t>
  </si>
  <si>
    <t>MS Installationen GmbH, Installationen • Loipersdorf bei Fürstenfeld • Steiermark</t>
  </si>
  <si>
    <t>Installationsunternehmen • MS Installationen GmbH, Feldweg 198, Loipersdorf bei Fürstenfeld • Kontakt über aktuelle Telefonnummern ☎ und Adressen ⚑ mit Karte, Routing, Öffnungszeiten, Homepage, E-Mail, vCard und Firmendaten.</t>
  </si>
  <si>
    <t>Feldweg 198</t>
  </si>
  <si>
    <t>46.99915</t>
  </si>
  <si>
    <t>16.12938</t>
  </si>
  <si>
    <t>+43338285255;+436649689989;+4366488605323</t>
  </si>
  <si>
    <t>+43338285255</t>
  </si>
  <si>
    <t>office@ms-installationen.at</t>
  </si>
  <si>
    <t>https://bilder.dasschnelle.at/DasSchnelle/50/5000/9884/061394/G_061394_P_906331450.adn.gif</t>
  </si>
  <si>
    <t>Lang Karl &amp; Sohn, Schlosserei • Sankt Martin an der Raab • Burgenland</t>
  </si>
  <si>
    <t>Metallbau, Schlossereien • Lang Karl &amp; Sohn, Hauptstraße 18, Sankt Martin an der Raab • Kontakt über aktuelle Telefonnummern ☎ und Adressen ⚑ mit Karte, Routing, Öffnungszeiten, Homepage, E-Mail, vCard und Firmendaten.</t>
  </si>
  <si>
    <t>Hauptstraße 18</t>
  </si>
  <si>
    <t>8383</t>
  </si>
  <si>
    <t>Sankt Martin an der Raab</t>
  </si>
  <si>
    <t>46.92864</t>
  </si>
  <si>
    <t>16.08198</t>
  </si>
  <si>
    <t>+43332948922</t>
  </si>
  <si>
    <t>office@langundsohn.at</t>
  </si>
  <si>
    <t>https://bilder.dasschnelle.at/DasSchnelle/50/5000/9884/041580/G_041580_P_906331505.adn.gif</t>
  </si>
  <si>
    <t>Autohaus Pichler GmbH • Fürstenfeld • Steiermark</t>
  </si>
  <si>
    <t>Autohandel • Autohaus Pichler GmbH, Loipersdorfer Straße 26, Fürstenfeld • Kontakt über aktuelle Telefonnummern ☎ und Adressen ⚑ mit Karte, Routing, Öffnungszeiten, Homepage, E-Mail, vCard und Firmendaten.</t>
  </si>
  <si>
    <t>Loipersdorfer Straße 26</t>
  </si>
  <si>
    <t>47.03203</t>
  </si>
  <si>
    <t>16.08673</t>
  </si>
  <si>
    <t>+43338254880</t>
  </si>
  <si>
    <t>+43338254080</t>
  </si>
  <si>
    <t>office@opel-pichler.at</t>
  </si>
  <si>
    <t>https://bilder.dasschnelle.at/DasSchnelle/50/5000/9884/061368/G_061368_P_906331509.adn.gif</t>
  </si>
  <si>
    <t>Bestattung Leiner e.U. Inh. Paul Schäfer, Bestattungsunternehmen • Jennersdorf • Burgenland</t>
  </si>
  <si>
    <t>Bestattungsunternehmen • Bestattung Leiner e.U. Inh. Paul Schäfer, Raxer Straße 8, Jennersdorf • Kontakt über aktuelle Telefonnummern ☎ und Adressen ⚑ mit Karte, Routing, Öffnungszeiten, Homepage, E-Mail, vCard und Firmendaten.</t>
  </si>
  <si>
    <t>https://bilder.dasschnelle.at/DasSchnelle/50/5000/9884/041575/I_041575_P_906331514_L_0036003040_1.png</t>
  </si>
  <si>
    <t>https://bilder.dasschnelle.at/DasSchnelle/50/5000/9884/041575/I_041575_P_906331514_B_0036003040_1.gal.png?height=397&amp;width=600;https://bilder.dasschnelle.at/DasSchnelle/50/5000/9884/041575/I_041575_P_906331514_B_0036003040_2.gal.png?height=318&amp;width=600;https://bilder.dasschnelle.at/DasSchnelle/50/5000/9884/041575/I_041575_P_906331514_B_0036003040_3.gal.png?height=206&amp;width=720;https://bilder.dasschnelle.at/DasSchnelle/50/5000/9884/041575/I_041575_P_906331514_B_0036003040_4.gal.png?height=720&amp;width=720;https://bilder.dasschnelle.at/DasSchnelle/50/5000/9884/041575/G_041575_P_906331514.adn.gif</t>
  </si>
  <si>
    <t>Hausleitner, Christian, Tischlerei • Oberwang • Oberösterreich</t>
  </si>
  <si>
    <t>Tischlereien • Hausleitner, Christian, Oberwang 118, Oberwang • Kontakt über aktuelle Telefonnummern ☎ und Adressen ⚑ mit Karte, Routing, Öffnungszeiten, Homepage, E-Mail, vCard und Firmendaten.</t>
  </si>
  <si>
    <t>Oberwang 118</t>
  </si>
  <si>
    <t>47.8654536</t>
  </si>
  <si>
    <t>13.4328902</t>
  </si>
  <si>
    <t>+4362338493</t>
  </si>
  <si>
    <t>office@tischlerei-hausleitner.at</t>
  </si>
  <si>
    <t>https://bilder.dasschnelle.at/DasSchnelle/50/5000/9909/043087/G_043087_P_906331324.adn.gif</t>
  </si>
  <si>
    <t>Holzer GsmbH und CoKG, EDV-Dienstleistungen • Leibnitz • Steiermark</t>
  </si>
  <si>
    <t>Büromaschinen, Nähmaschinen u. -zubehör • Holzer GsmbH und CoKG, Grazergasse 13, Leibnitz • Kontakt über aktuelle Telefonnummern ☎ und Adressen ⚑ mit Karte, Routing, Öffnungszeiten, Homepage, E-Mail, vCard und Firmendaten.</t>
  </si>
  <si>
    <t>Grazergasse 13</t>
  </si>
  <si>
    <t>46.78298</t>
  </si>
  <si>
    <t>15.53875</t>
  </si>
  <si>
    <t>+43345282244</t>
  </si>
  <si>
    <t>geschaeft@holzer.or.at</t>
  </si>
  <si>
    <t>https://bilder.dasschnelle.at/DasSchnelle/50/5000/9904/061363/G_061363_P_906331485.adn.gif</t>
  </si>
  <si>
    <t>Schimautz Taxi, Taxiunternehmen • Gamlitz • Steiermark</t>
  </si>
  <si>
    <t>Taxi • Schimautz Taxi, Josef-Zierer-Weg 288, Gamlitz • Kontakt über aktuelle Telefonnummern ☎ und Adressen ⚑ mit Karte, Routing, Öffnungszeiten, Homepage, E-Mail, vCard und Firmendaten.</t>
  </si>
  <si>
    <t>46.7188200</t>
  </si>
  <si>
    <t>15.5526800</t>
  </si>
  <si>
    <t>+436644352736</t>
  </si>
  <si>
    <t>https://bilder.dasschnelle.at/DasSchnelle/50/5000/9904/061448/G_061448_P_906331491.adn.gif</t>
  </si>
  <si>
    <t>Absenger, Johann, Versicherungsbüro • Sankt Georgen an der Stiefing • Steiermark</t>
  </si>
  <si>
    <t>Versicherungsunternehmen • Absenger, Johann, Haslach 17, Sankt Georgen an der Stiefing • Kontakt über aktuelle Telefonnummern ☎ und Adressen ⚑ mit Karte, Routing, Öffnungszeiten, Homepage, E-Mail, vCard und Firmendaten.</t>
  </si>
  <si>
    <t>Sankt Georgen an der Stiefing</t>
  </si>
  <si>
    <t>ZARBL Stiegen- u Treppenbau GesmbH, Stiegen u Treppen • Sankt Marienkirchen • Oberösterreich</t>
  </si>
  <si>
    <t>Stiegen u. Treppen • ZARBL Stiegen- u Treppenbau GesmbH, Singern 10, Sankt Marienkirchen • Kontakt über aktuelle Telefonnummern ☎ und Adressen ⚑ mit Karte, Routing, Öffnungszeiten, Homepage, E-Mail, vCard und Firmendaten.</t>
  </si>
  <si>
    <t>Singern 10</t>
  </si>
  <si>
    <t>Sankt Marienkirchen</t>
  </si>
  <si>
    <t>48.3848827</t>
  </si>
  <si>
    <t>13.4910823</t>
  </si>
  <si>
    <t>+4377112970</t>
  </si>
  <si>
    <t>office@zarbl.at</t>
  </si>
  <si>
    <t>https://bilder.dasschnelle.at/DasSchnelle/50/5000/9926/042794/I_042794_P_906331117_L_0035993414_1.png</t>
  </si>
  <si>
    <t>https://bilder.dasschnelle.at/DasSchnelle/50/5000/9926/042794/I_042794_P_906331117_B_0035993414_1.gal.png?height=744&amp;width=911;https://bilder.dasschnelle.at/DasSchnelle/50/5000/9926/042794/I_042794_P_906331117_B_0035993414_2.gal.png?height=746&amp;width=934;https://bilder.dasschnelle.at/DasSchnelle/50/5000/9926/042794/I_042794_P_906331117_B_0035993414_3.gal.png?height=745&amp;width=946;https://bilder.dasschnelle.at/DasSchnelle/50/5000/9926/042794/I_042794_P_906331117_B_0035993414_4.gal.png?height=667&amp;width=1000</t>
  </si>
  <si>
    <t>Hauer Zimmerei GmbH • Sankt Marienkirchen bei • Oberösterreich</t>
  </si>
  <si>
    <t>Dachdeckerei u. Spenglerei, Zimmereien • Hauer Zimmerei GmbH, Innstraße 2, Sankt Marienkirchen bei • Kontakt über aktuelle Telefonnummern ☎ und Adressen ⚑ mit Karte, Routing, Öffnungszeiten, Homepage, E-Mail, vCard und Firmendaten.</t>
  </si>
  <si>
    <t>Sankt Marienkirchen bei</t>
  </si>
  <si>
    <t>+4377622090</t>
  </si>
  <si>
    <t>https://bilder.dasschnelle.at/DasSchnelle/50/5000/9926/042783/G_042783_P_906331118.adn.gif</t>
  </si>
  <si>
    <t>Dickl, Erich, Tischlereien • Schärding • Oberösterreich</t>
  </si>
  <si>
    <t>Tischlereien • Dickl, Erich, Burggraben 7, Schärding • Kontakt über aktuelle Telefonnummern ☎ und Adressen ⚑ mit Karte, Routing, Öffnungszeiten, Homepage, E-Mail, vCard und Firmendaten.</t>
  </si>
  <si>
    <t>Burggraben 7</t>
  </si>
  <si>
    <t>48.45716</t>
  </si>
  <si>
    <t>13.4285</t>
  </si>
  <si>
    <t>+4377122029</t>
  </si>
  <si>
    <t>e-a-d@aon.at</t>
  </si>
  <si>
    <t>https://bilder.dasschnelle.at/DasSchnelle/50/5000/9926/042797/G_042797_P_906297566.adn.gif</t>
  </si>
  <si>
    <t>Hötzer, Martin, Dr., Psychotherapeut • Spittal • Kärnten</t>
  </si>
  <si>
    <t>Ärzte / f Allgemeinmedizin, Psychotherapie • Hötzer, Martin, Dr., Presserhofstraße 2 A, Spittal • Kontakt über aktuelle Telefonnummern ☎ und Adressen ⚑ mit Karte, Routing, Öffnungszeiten, Homepage, E-Mail, vCard und Firmendaten.</t>
  </si>
  <si>
    <t>Presserhofstraße 2 A</t>
  </si>
  <si>
    <t>https://bilder.dasschnelle.at/DasSchnelle/50/5000/9933/042153/G_042153_P_906079418.adn.gif</t>
  </si>
  <si>
    <t>Moser Franz GmbH der Hackschnitzer • Sankt Lambrecht • Steiermark</t>
  </si>
  <si>
    <t>Holzfachmärkte • Moser Franz GmbH der Hackschnitzer, Unteralpe 6, Sankt Lambrecht • Kontakt über aktuelle Telefonnummern ☎ und Adressen ⚑ mit Karte, Routing, Öffnungszeiten, Homepage, E-Mail, vCard und Firmendaten.</t>
  </si>
  <si>
    <t>Unteralpe 6</t>
  </si>
  <si>
    <t>47.0561731</t>
  </si>
  <si>
    <t>14.2843328</t>
  </si>
  <si>
    <t>+43358524676</t>
  </si>
  <si>
    <t>office@derhackschnitzler.at</t>
  </si>
  <si>
    <t>https://bilder.dasschnelle.at/DasSchnelle/50/5000/9910/061471/I_061471_P_906084888_L_0036242786_1.png</t>
  </si>
  <si>
    <t>https://bilder.dasschnelle.at/DasSchnelle/50/5000/9910/061471/I_061471_P_906084888_B_0036242786_1.gal.png?height=262&amp;width=350;https://bilder.dasschnelle.at/DasSchnelle/50/5000/9910/061471/I_061471_P_906084888_B_0036242786_2.gal.png?height=233&amp;width=350;https://bilder.dasschnelle.at/DasSchnelle/50/5000/9910/061471/I_061471_P_906084888_B_0036242786_3.gal.png?height=262&amp;width=350;https://bilder.dasschnelle.at/DasSchnelle/50/5000/9910/061471/I_061471_P_906084888_B_0036242786_4.gal.png?height=305&amp;width=305</t>
  </si>
  <si>
    <t>Widl-Gruber, Hermine, Mag., Psychologin • Korneuburg • Niederösterreich</t>
  </si>
  <si>
    <t>Psychotherapie • Widl-Gruber, Hermine, Mag., Wiener Ring 11, Korneuburg • Kontakt über aktuelle Telefonnummern ☎ und Adressen ⚑ mit Karte, Routing, Öffnungszeiten, Homepage, E-Mail, vCard und Firmendaten.</t>
  </si>
  <si>
    <t>Wiener Ring 11</t>
  </si>
  <si>
    <t>48.3426</t>
  </si>
  <si>
    <t>16.33566</t>
  </si>
  <si>
    <t>+43226274465</t>
  </si>
  <si>
    <t>hermine.widl@gmail.com</t>
  </si>
  <si>
    <t>https://bilder.dasschnelle.at/DasSchnelle/50/5000/9898/041413/G_041413_P_906086219.adn.gif</t>
  </si>
  <si>
    <t>Boilie &amp; More, Angelzubehör • Wildon • Steiermark</t>
  </si>
  <si>
    <t>Angelgeräte u. Zubehör • Boilie &amp; More, Kainachtalstraße 3, Wildon • Kontakt über aktuelle Telefonnummern ☎ und Adressen ⚑ mit Karte, Routing, Öffnungszeiten, Homepage, E-Mail, vCard und Firmendaten.</t>
  </si>
  <si>
    <t>46.8872800</t>
  </si>
  <si>
    <t>15.4996900</t>
  </si>
  <si>
    <t>+436649140356</t>
  </si>
  <si>
    <t>office@boilieandmore.at</t>
  </si>
  <si>
    <t>https://bilder.dasschnelle.at/DasSchnelle/50/5000/9904/061408/G_061408_P_906088116.adn.gif</t>
  </si>
  <si>
    <t>Gstöttner GmbH, Malerei • Timelkam • Oberösterreich</t>
  </si>
  <si>
    <t>Malereibetriebe • Gstöttner GmbH, Stiftergasse 7, Timelkam • Kontakt über aktuelle Telefonnummern ☎ und Adressen ⚑ mit Karte, Routing, Öffnungszeiten, Homepage, E-Mail, vCard und Firmendaten.</t>
  </si>
  <si>
    <t>Stiftergasse 7</t>
  </si>
  <si>
    <t>47.9988517</t>
  </si>
  <si>
    <t>13.6118891</t>
  </si>
  <si>
    <t>+43767296700</t>
  </si>
  <si>
    <t>office@malerei-gstoettner.at</t>
  </si>
  <si>
    <t>https://bilder.dasschnelle.at/DasSchnelle/50/5000/9940/043552/G_043552_P_906090492.adn.gif</t>
  </si>
  <si>
    <t>Tierarztpraxis Putzleinsdorf • Putzleinsdorf • Oberösterreich</t>
  </si>
  <si>
    <t>Tierärzte • Tierarztpraxis Putzleinsdorf, Fischerhäusl 1, Putzleinsdorf • Kontakt über aktuelle Telefonnummern ☎ und Adressen ⚑ mit Karte, Routing, Öffnungszeiten, Homepage, E-Mail, vCard und Firmendaten.</t>
  </si>
  <si>
    <t>Fischerhäusl 1</t>
  </si>
  <si>
    <t>48.5187280</t>
  </si>
  <si>
    <t>13.8670660</t>
  </si>
  <si>
    <t>+436643439481</t>
  </si>
  <si>
    <t>tierarzt@gmx.at</t>
  </si>
  <si>
    <t>https://bilder.dasschnelle.at/DasSchnelle/50/5000/9923/042287/I_042287_P_906101320_L_0038809421_1.png</t>
  </si>
  <si>
    <t>https://bilder.dasschnelle.at/DasSchnelle/50/5000/9923/042287/I_042287_P_906101320_B_0038809421_1.gal.png?height=580&amp;width=800;https://bilder.dasschnelle.at/DasSchnelle/50/5000/9923/042287/I_042287_P_906101320_B_0038809421_2.gal.png?height=528&amp;width=799;https://bilder.dasschnelle.at/DasSchnelle/50/5000/9923/042287/I_042287_P_906101320_B_0038809421_3.gal.png?height=528&amp;width=800;https://bilder.dasschnelle.at/DasSchnelle/50/5000/9923/042287/I_042287_P_906101320_B_0038809421_4.gal.png?height=531&amp;width=795</t>
  </si>
  <si>
    <t>Automobilwertstadt Lechner GmbH, Autohandel • Sankt Johann in der Haide • Steiermark</t>
  </si>
  <si>
    <t>Autoreparaturen • Automobilwertstadt Lechner GmbH, Forstingerstraße 6, Sankt Johann in der Haide • Kontakt über aktuelle Telefonnummern ☎ und Adressen ⚑ mit Karte, Routing, Öffnungszeiten, Homepage, E-Mail, vCard und Firmendaten.</t>
  </si>
  <si>
    <t>Forstingerstraße 6</t>
  </si>
  <si>
    <t>8295</t>
  </si>
  <si>
    <t>Sankt Johann in der Haide</t>
  </si>
  <si>
    <t>47.27932</t>
  </si>
  <si>
    <t>16.00921</t>
  </si>
  <si>
    <t>+43333262184</t>
  </si>
  <si>
    <t>office@automobil-lechner.at</t>
  </si>
  <si>
    <t>https://bilder.dasschnelle.at/DasSchnelle/50/5000/9890/043822/G_043822_P_906101453.adn.gif</t>
  </si>
  <si>
    <t>Weitgasser KG, Malerei • Schladming • Steiermark</t>
  </si>
  <si>
    <t>Malereibetriebe • Weitgasser KG, Ramsauerstraße 132, Schladming • Kontakt über aktuelle Telefonnummern ☎ und Adressen ⚑ mit Karte, Routing, Öffnungszeiten, Homepage, E-Mail, vCard und Firmendaten.</t>
  </si>
  <si>
    <t>Ramsauerstraße 132</t>
  </si>
  <si>
    <t>47.39243</t>
  </si>
  <si>
    <t>13.68483</t>
  </si>
  <si>
    <t>+43368723317</t>
  </si>
  <si>
    <t>office@dermalerweitgasser.at</t>
  </si>
  <si>
    <t>https://bilder.dasschnelle.at/DasSchnelle/50/5000/9928/061454/I_061454_P_906103218_L_0036237631_1.png</t>
  </si>
  <si>
    <t>https://bilder.dasschnelle.at/DasSchnelle/50/5000/9928/061454/I_061454_P_906103218_B_0036237631_1.gal.png?height=304&amp;width=450;https://bilder.dasschnelle.at/DasSchnelle/50/5000/9928/061454/I_061454_P_906103218_B_0036237631_2.gal.png?height=540&amp;width=720;https://bilder.dasschnelle.at/DasSchnelle/50/5000/9928/061454/I_061454_P_906103218_B_0036237631_3.gal.png?height=540&amp;width=720;https://bilder.dasschnelle.at/DasSchnelle/50/5000/9928/061454/I_061454_P_906103218_B_0036237631_4.gal.png?height=540&amp;width=720</t>
  </si>
  <si>
    <t>Schrempf, Herbert, Tischlereien • Fastenberg • Steiermark</t>
  </si>
  <si>
    <t>Tischlereien • Schrempf, Herbert, Planaistraße 49, Fastenberg • Kontakt über aktuelle Telefonnummern ☎ und Adressen ⚑ mit Karte, Routing, Öffnungszeiten, Homepage, E-Mail, vCard und Firmendaten.</t>
  </si>
  <si>
    <t>Planaistraße 49</t>
  </si>
  <si>
    <t>8971</t>
  </si>
  <si>
    <t>Fastenberg</t>
  </si>
  <si>
    <t>47.4229079</t>
  </si>
  <si>
    <t>13.8215824</t>
  </si>
  <si>
    <t>+43368723364</t>
  </si>
  <si>
    <t>holzwerkstaette@aon.at</t>
  </si>
  <si>
    <t>https://bilder.dasschnelle.at/DasSchnelle/50/5000/9928/044850/G_044850_P_906103223.adn.gif</t>
  </si>
  <si>
    <t>Stocker, Christian, Ing. • Schladming • Steiermark</t>
  </si>
  <si>
    <t>Bauunternehmen, Fahrzeugbau, Metallbau, Schneeräummaschinen u. -geräte • Stocker, Christian, Ing., Hammerfeldweg 440, Schladming • Kontakt über aktuelle Telefonnummern ☎ und Adressen ⚑ mit Karte, Routing, Öffnungszeiten, Homepage, E-Mail, vCard und Firmendaten.</t>
  </si>
  <si>
    <t>Hammerfeldweg 440</t>
  </si>
  <si>
    <t>47.38873</t>
  </si>
  <si>
    <t>13.6878</t>
  </si>
  <si>
    <t>+43368722242;+436642022242</t>
  </si>
  <si>
    <t>+4336872224216</t>
  </si>
  <si>
    <t>info@stocker-schladming.at</t>
  </si>
  <si>
    <t>https://bilder.dasschnelle.at/DasSchnelle/50/5000/9928/061454/G_061454_P_906103224.adn.gif</t>
  </si>
  <si>
    <t>Gerhardter Edelstahltechnik GmbH, Edelstahlverarbeitung • Ramsau • Steiermark</t>
  </si>
  <si>
    <t>Edelstahlverarbeitung • Gerhardter Edelstahltechnik GmbH, Leiten 207, Ramsau • Kontakt über aktuelle Telefonnummern ☎ und Adressen ⚑ mit Karte, Routing, Öffnungszeiten, Homepage, E-Mail, vCard und Firmendaten.</t>
  </si>
  <si>
    <t>Leiten 207</t>
  </si>
  <si>
    <t>47.4148924</t>
  </si>
  <si>
    <t>13.6825112</t>
  </si>
  <si>
    <t>+43368722849</t>
  </si>
  <si>
    <t>office@gl-inox.at</t>
  </si>
  <si>
    <t>https://bilder.dasschnelle.at/DasSchnelle/50/5000/9928/044868/G_044868_P_906103230.adn.gif</t>
  </si>
  <si>
    <t>Maschinenring Dachstein Tauern Maschinenvermietung • Schladming • Steiermark</t>
  </si>
  <si>
    <t>Landwirtschaftliche Hilfsdienste • Maschinenring Dachstein Tauern Maschinenvermietung, Obere Klaus 244, Schladming • Kontakt über aktuelle Telefonnummern ☎ und Adressen ⚑ mit Karte, Routing, Öffnungszeiten, Homepage, E-Mail, vCard und Firmendaten.</t>
  </si>
  <si>
    <t>Obere Klaus 244</t>
  </si>
  <si>
    <t>47.3913763</t>
  </si>
  <si>
    <t>13.6542868</t>
  </si>
  <si>
    <t>+43368723316</t>
  </si>
  <si>
    <t>dachsteintauern@maschinenring.at</t>
  </si>
  <si>
    <t>https://bilder.dasschnelle.at/DasSchnelle/50/5000/9928/061454/G_061454_P_906103321.adn.gif</t>
  </si>
  <si>
    <t>Landl GesmbH • Gröbming • Steiermark</t>
  </si>
  <si>
    <t>Autohandel, Autoreparaturen • Landl GesmbH, Franz Haiger-Weg 182, Gröbming • Kontakt über aktuelle Telefonnummern ☎ und Adressen ⚑ mit Karte, Routing, Öffnungszeiten, Homepage, E-Mail, vCard und Firmendaten.</t>
  </si>
  <si>
    <t>Franz Haiger-Weg 182</t>
  </si>
  <si>
    <t>47.44608</t>
  </si>
  <si>
    <t>13.87943</t>
  </si>
  <si>
    <t>+433685221120</t>
  </si>
  <si>
    <t>landl@mazdahaendler.at</t>
  </si>
  <si>
    <t>https://bilder.dasschnelle.at/DasSchnelle/50/5000/9928/044357/G_044357_P_906103322.adn.gif</t>
  </si>
  <si>
    <t>Fliesen Trinker GesmbH, Fliesen • Klaus • Steiermark</t>
  </si>
  <si>
    <t>Fliesenfachhandel • Fliesen Trinker GesmbH, Obere Klaus 261, Klaus • Kontakt über aktuelle Telefonnummern ☎ und Adressen ⚑ mit Karte, Routing, Öffnungszeiten, Homepage, E-Mail, vCard und Firmendaten.</t>
  </si>
  <si>
    <t>Obere Klaus 261</t>
  </si>
  <si>
    <t>13.6377</t>
  </si>
  <si>
    <t>+43368722206</t>
  </si>
  <si>
    <t>fliesen.trinker@aon.at</t>
  </si>
  <si>
    <t>https://bilder.dasschnelle.at/DasSchnelle/50/5000/9928/061454/I_061454_P_906104118_L_0036239086_1.png</t>
  </si>
  <si>
    <t>https://bilder.dasschnelle.at/DasSchnelle/50/5000/9928/061454/I_061454_P_906104118_B_0036239086_1.gal.png?height=332&amp;width=600;https://bilder.dasschnelle.at/DasSchnelle/50/5000/9928/061454/I_061454_P_906104118_B_0036239086_2.gal.png?height=454&amp;width=600;https://bilder.dasschnelle.at/DasSchnelle/50/5000/9928/061454/I_061454_P_906104118_B_0036239086_3.gal.png?height=447&amp;width=599;https://bilder.dasschnelle.at/DasSchnelle/50/5000/9928/061454/I_061454_P_906104118_B_0036239086_4.gal.png?height=441&amp;width=589</t>
  </si>
  <si>
    <t>Thiel, Margit, Blumenhandel • Öblarn • Steiermark</t>
  </si>
  <si>
    <t>Garten- u. Landschaftsgestaltung, Gartenbau • Thiel, Margit, Öblarn 163, Öblarn • Kontakt über aktuelle Telefonnummern ☎ und Adressen ⚑ mit Karte, Routing, Öffnungszeiten, Homepage, E-Mail, vCard und Firmendaten.</t>
  </si>
  <si>
    <t>Öblarn 163</t>
  </si>
  <si>
    <t>8960</t>
  </si>
  <si>
    <t>Öblarn</t>
  </si>
  <si>
    <t>47.4642185</t>
  </si>
  <si>
    <t>13.9897159</t>
  </si>
  <si>
    <t>+4336842268</t>
  </si>
  <si>
    <t>office@blumen-thiel.com</t>
  </si>
  <si>
    <t>https://bilder.dasschnelle.at/DasSchnelle/50/5000/9905/061466/G_061466_P_906103324.adn.gif</t>
  </si>
  <si>
    <t>Lehner, Christian, Unfallchirurgie • Hagenberg im Mühlkreis • Oberösterreich</t>
  </si>
  <si>
    <t>Ärzte / Fachärzte f. Unfallchirurgie • Lehner, Christian, Raiffeisenstraße 1, Hagenberg im Mühlkreis • Kontakt über aktuelle Telefonnummern ☎ und Adressen ⚑ mit Karte, Routing, Öffnungszeiten, Homepage, E-Mail, vCard und Firmendaten.</t>
  </si>
  <si>
    <t>Raiffeisenstraße 1</t>
  </si>
  <si>
    <t>Hagenberg im Mühlkreis</t>
  </si>
  <si>
    <t>48.3678780</t>
  </si>
  <si>
    <t>14.5172175</t>
  </si>
  <si>
    <t>+436646443666</t>
  </si>
  <si>
    <t>lehner.christian@a1.net</t>
  </si>
  <si>
    <t>https://bilder.dasschnelle.at/DasSchnelle/50/5000/9882/998305/G_998305_P_906107513.adn.gif</t>
  </si>
  <si>
    <t>KR Installationstechnik GmbH, Installationstechnik • Dechantskirchen • Steiermark</t>
  </si>
  <si>
    <t>Installationsunternehmen • KR Installationstechnik GmbH, Dechantskirchen • Kontakt über aktuelle Telefonnummern ☎ und Adressen ⚑ mit Karte, Routing, Öffnungszeiten, Homepage, E-Mail, vCard und Firmendaten.</t>
  </si>
  <si>
    <t>8241</t>
  </si>
  <si>
    <t>Dechantskirchen</t>
  </si>
  <si>
    <t>47.4171244</t>
  </si>
  <si>
    <t>16.0196083</t>
  </si>
  <si>
    <t>+436644319968</t>
  </si>
  <si>
    <t>installation@wasser-heizung.at</t>
  </si>
  <si>
    <t>https://bilder.dasschnelle.at/DasSchnelle/50/5000/9890/061412/G_061412_P_906106516.adn.gif</t>
  </si>
  <si>
    <t>Tobisch GmbH, Kfz-Lackierungen • Pöllau • Steiermark</t>
  </si>
  <si>
    <t>Autolackierereien • Tobisch GmbH, Obersaifen 256, Pöllau • Kontakt über aktuelle Telefonnummern ☎ und Adressen ⚑ mit Karte, Routing, Öffnungszeiten, Homepage, E-Mail, vCard und Firmendaten.</t>
  </si>
  <si>
    <t>Obersaifen 256</t>
  </si>
  <si>
    <t>8225</t>
  </si>
  <si>
    <t>Pöllau</t>
  </si>
  <si>
    <t>47.3115025</t>
  </si>
  <si>
    <t>15.8274628</t>
  </si>
  <si>
    <t>+43333546683</t>
  </si>
  <si>
    <t>office@kfz-tobisch.at</t>
  </si>
  <si>
    <t>https://bilder.dasschnelle.at/DasSchnelle/50/5000/9890/061400/G_061400_P_906107569.adn.gif</t>
  </si>
  <si>
    <t>Haspl, Markus, Malermeister • Vorau • Steiermark</t>
  </si>
  <si>
    <t>Malereibetriebe • Haspl, Markus, Mühlweg 382, Vorau • Kontakt über aktuelle Telefonnummern ☎ und Adressen ⚑ mit Karte, Routing, Öffnungszeiten, Homepage, E-Mail, vCard und Firmendaten.</t>
  </si>
  <si>
    <t>Mühlweg 382</t>
  </si>
  <si>
    <t>47.40349</t>
  </si>
  <si>
    <t>15.89744</t>
  </si>
  <si>
    <t>+436643044309</t>
  </si>
  <si>
    <t>markus.haspl@aon.at</t>
  </si>
  <si>
    <t>https://bilder.dasschnelle.at/DasSchnelle/50/5000/9890/061414/G_061414_P_906107570.adn.gif</t>
  </si>
  <si>
    <t>Simonlehner Maunz GesmbH, Elektrogeräte/Reparatur • Schladming • Steiermark</t>
  </si>
  <si>
    <t>Elektrogeräte/Reparatur • Simonlehner Maunz GesmbH, Salzburgerstraße 381, Schladming • Kontakt über aktuelle Telefonnummern ☎ und Adressen ⚑ mit Karte, Routing, Öffnungszeiten, Homepage, E-Mail, vCard und Firmendaten.</t>
  </si>
  <si>
    <t>Salzburgerstraße 381</t>
  </si>
  <si>
    <t>47.39132</t>
  </si>
  <si>
    <t>13.68113</t>
  </si>
  <si>
    <t>+43368722514</t>
  </si>
  <si>
    <t>simonlehner@maunz.tv</t>
  </si>
  <si>
    <t>https://bilder.dasschnelle.at/DasSchnelle/50/5000/9928/061454/G_061454_P_906107572.adn.gif</t>
  </si>
  <si>
    <t>Schilcher, Werner, Haustechnik • Schladming • Steiermark</t>
  </si>
  <si>
    <t>Haustechnik • Schilcher, Werner, Gewerbestraße 826, Schladming • Kontakt über aktuelle Telefonnummern ☎ und Adressen ⚑ mit Karte, Routing, Öffnungszeiten, Homepage, E-Mail, vCard und Firmendaten.</t>
  </si>
  <si>
    <t>Gewerbestraße 826</t>
  </si>
  <si>
    <t>47.39496</t>
  </si>
  <si>
    <t>13.67658</t>
  </si>
  <si>
    <t>+436641055530</t>
  </si>
  <si>
    <t>info@schilcher-haustech.at</t>
  </si>
  <si>
    <t>https://bilder.dasschnelle.at/DasSchnelle/50/5000/9928/061454/G_061454_P_906106649.adn.gif</t>
  </si>
  <si>
    <t>Kernbichler, Johann, Bau- u Möbelwerkst • Hartberg • Steiermark</t>
  </si>
  <si>
    <t>Möbelrestauratoren, Tischlereien • Kernbichler, Johann, Eichenweg 28, Hartberg • Kontakt über aktuelle Telefonnummern ☎ und Adressen ⚑ mit Karte, Routing, Öffnungszeiten, Homepage, E-Mail, vCard und Firmendaten.</t>
  </si>
  <si>
    <t>Eichenweg 28</t>
  </si>
  <si>
    <t>47.2937899</t>
  </si>
  <si>
    <t>16.0120548</t>
  </si>
  <si>
    <t>+433332634470</t>
  </si>
  <si>
    <t>+433332634474</t>
  </si>
  <si>
    <t>office@kernbichler.at</t>
  </si>
  <si>
    <t>https://bilder.dasschnelle.at/DasSchnelle/50/5000/9890/042582/G_042582_P_906109109.adn.gif</t>
  </si>
  <si>
    <t>Fenstervisionen Wilfinger GmbH • Hartberg • Steiermark</t>
  </si>
  <si>
    <t>Fenster u. Türen • Fenstervisionen Wilfinger GmbH, Ressavarstraße 46, Hartberg • Kontakt über aktuelle Telefonnummern ☎ und Adressen ⚑ mit Karte, Routing, Öffnungszeiten, Homepage, E-Mail, vCard und Firmendaten.</t>
  </si>
  <si>
    <t>Ressavarstraße 46</t>
  </si>
  <si>
    <t>47.28179</t>
  </si>
  <si>
    <t>15.9743</t>
  </si>
  <si>
    <t>+433332648900;+43333263329</t>
  </si>
  <si>
    <t>office@fenstervisionen-wilfinger.at</t>
  </si>
  <si>
    <t>https://bilder.dasschnelle.at/DasSchnelle/50/5000/9890/042582/G_042582_P_906108362.adn.gif</t>
  </si>
  <si>
    <t>Gleichweit, Patrick, Erdbewegung • Greinbach • Steiermark</t>
  </si>
  <si>
    <t>Erdbau, Erdbewegungen • Gleichweit, Patrick, Penzendorf 77 1, Greinbach • Kontakt über aktuelle Telefonnummern ☎ und Adressen ⚑ mit Karte, Routing, Öffnungszeiten, Homepage, E-Mail, vCard und Firmendaten.</t>
  </si>
  <si>
    <t>Penzendorf 77 1</t>
  </si>
  <si>
    <t>Greinbach</t>
  </si>
  <si>
    <t>47.3038449</t>
  </si>
  <si>
    <t>15.9835282</t>
  </si>
  <si>
    <t>+436649193916</t>
  </si>
  <si>
    <t>patrick_gleichweit@gmx.net</t>
  </si>
  <si>
    <t>https://bilder.dasschnelle.at/DasSchnelle/50/5000/9890/042374/G_042374_P_906108366.adn.gif</t>
  </si>
  <si>
    <t>Prenner Raumausstatter • Gröbming • Steiermark</t>
  </si>
  <si>
    <t>Raumausstatter • Prenner Raumausstatter, Stoderstraße 544, Gröbming • Kontakt über aktuelle Telefonnummern ☎ und Adressen ⚑ mit Karte, Routing, Öffnungszeiten, Homepage, E-Mail, vCard und Firmendaten.</t>
  </si>
  <si>
    <t>Stoderstraße 544</t>
  </si>
  <si>
    <t>47.44535</t>
  </si>
  <si>
    <t>13.89978</t>
  </si>
  <si>
    <t>+43368522186</t>
  </si>
  <si>
    <t>info@prenner-raumausstatter.at</t>
  </si>
  <si>
    <t>https://bilder.dasschnelle.at/DasSchnelle/50/5000/9928/044357/G_044357_P_906108368.adn.gif</t>
  </si>
  <si>
    <t>Gewessler, Franz, Sanitäre Anlagen • Gröbming • Steiermark</t>
  </si>
  <si>
    <t>Installationsunternehmen, Sanitäranlagen u. -einrichtungen, Wasserversorgungsanlagen • Gewessler, Franz, Mitterberger Straße 590, Gröbming • Kontakt über aktuelle Telefonnummern ☎ und Adressen ⚑ mit Karte, Routing, Öffnungszeiten, Homepage, E-Mail, vCard und Firmendaten.</t>
  </si>
  <si>
    <t>Mitterberger Straße 590</t>
  </si>
  <si>
    <t>47.44436</t>
  </si>
  <si>
    <t>13.90639</t>
  </si>
  <si>
    <t>+433685226240;+436641320591</t>
  </si>
  <si>
    <t>franz.gewessler@aon.at</t>
  </si>
  <si>
    <t>https://bilder.dasschnelle.at/DasSchnelle/50/5000/9928/044357/G_044357_P_906108372.adn.gif</t>
  </si>
  <si>
    <t>Dany´s House of PMU • Weilbach • Oberösterreich</t>
  </si>
  <si>
    <t>Kosmetik • Dany´s House of PMU, Weilbach 69, Weilbach • Kontakt über aktuelle Telefonnummern ☎ und Adressen ⚑ mit Karte, Routing, Öffnungszeiten, Homepage, E-Mail, vCard und Firmendaten.</t>
  </si>
  <si>
    <t>Weilbach 69</t>
  </si>
  <si>
    <t>4984</t>
  </si>
  <si>
    <t>Weilbach</t>
  </si>
  <si>
    <t>48.2777441</t>
  </si>
  <si>
    <t>13.3783355</t>
  </si>
  <si>
    <t>+436767010043</t>
  </si>
  <si>
    <t>nail-academy-inn@inext.at</t>
  </si>
  <si>
    <t>https://bilder.dasschnelle.at/DasSchnelle/50/5000/9922/042258/G_042258_P_906109898.adn.gif</t>
  </si>
  <si>
    <t>Wachter, Iris, Fußpflege • Ebergassing • Niederösterreich</t>
  </si>
  <si>
    <t>Fußpflege, Kosmetik, Massagen • Wachter, Iris, Siedlergasse 38, Ebergassing • Kontakt über aktuelle Telefonnummern ☎ und Adressen ⚑ mit Karte, Routing, Öffnungszeiten, Homepage, E-Mail, vCard und Firmendaten.</t>
  </si>
  <si>
    <t>Siedlergasse 38</t>
  </si>
  <si>
    <t>Ebergassing</t>
  </si>
  <si>
    <t>+43223473626;+436765215455;+436765215456</t>
  </si>
  <si>
    <t>https://bilder.dasschnelle.at/DasSchnelle/50/5000/9930/044504/G_044504_P_906109932.adn.gif</t>
  </si>
  <si>
    <t>Gebhart, Wolfgang • Nußdorf am Attersee • Oberösterreich</t>
  </si>
  <si>
    <t>Ofenbau • Gebhart, Wolfgang, Dorfstraße 34, Nußdorf am Attersee • Kontakt über aktuelle Telefonnummern ☎ und Adressen ⚑ mit Karte, Routing, Öffnungszeiten, Homepage, E-Mail, vCard und Firmendaten.</t>
  </si>
  <si>
    <t>Dorfstraße 34</t>
  </si>
  <si>
    <t>47.88361</t>
  </si>
  <si>
    <t>13.52364</t>
  </si>
  <si>
    <t>+43766620034</t>
  </si>
  <si>
    <t>gebhart.wolfgang@a1.net</t>
  </si>
  <si>
    <t>https://bilder.dasschnelle.at/DasSchnelle/50/5000/9940/043084/I_043084_P_906111755_L_0036002989_1.png</t>
  </si>
  <si>
    <t>https://bilder.dasschnelle.at/DasSchnelle/50/5000/9940/043084/I_043084_P_906111755_B_0036002989_1.gal.png?height=502&amp;width=502;https://bilder.dasschnelle.at/DasSchnelle/50/5000/9940/043084/I_043084_P_906111755_B_0036002989_2.gal.png?height=502&amp;width=502;https://bilder.dasschnelle.at/DasSchnelle/50/5000/9940/043084/I_043084_P_906111755_B_0036002989_3.gal.png?height=502&amp;width=502;https://bilder.dasschnelle.at/DasSchnelle/50/5000/9940/043084/I_043084_P_906111755_B_0036002989_4.gal.png?height=502&amp;width=502</t>
  </si>
  <si>
    <t>Philipps, Kurt, Maler • Schladming • Steiermark</t>
  </si>
  <si>
    <t>Malereibetriebe • Philipps, Kurt, Aug 561, Schladming • Kontakt über aktuelle Telefonnummern ☎ und Adressen ⚑ mit Karte, Routing, Öffnungszeiten, Homepage, E-Mail, vCard und Firmendaten.</t>
  </si>
  <si>
    <t>Aug 561</t>
  </si>
  <si>
    <t>47.39434</t>
  </si>
  <si>
    <t>13.694</t>
  </si>
  <si>
    <t>+43368722852;+436649140993</t>
  </si>
  <si>
    <t>office@maler-philipps.at</t>
  </si>
  <si>
    <t>https://bilder.dasschnelle.at/DasSchnelle/50/5000/9928/061454/I_061454_P_906110975_L_0036237608_1.png</t>
  </si>
  <si>
    <t>https://bilder.dasschnelle.at/DasSchnelle/50/5000/9928/061454/I_061454_P_906110975_B_0036237608_1.gal.png?height=200&amp;width=300;https://bilder.dasschnelle.at/DasSchnelle/50/5000/9928/061454/I_061454_P_906110975_B_0036237608_2.gal.png?height=200&amp;width=300;https://bilder.dasschnelle.at/DasSchnelle/50/5000/9928/061454/I_061454_P_906110975_B_0036237608_3.gal.png?height=200&amp;width=300;https://bilder.dasschnelle.at/DasSchnelle/50/5000/9928/061454/I_061454_P_906110975_B_0036237608_4.gal.png?height=200&amp;width=300</t>
  </si>
  <si>
    <t>Letmaier Zimmerei- u HolzbaugesmbH • Gröbming • Steiermark</t>
  </si>
  <si>
    <t>Holzbau, Zimmereien • Letmaier Zimmerei- u HolzbaugesmbH, Stoderstraße 92, Gröbming • Kontakt über aktuelle Telefonnummern ☎ und Adressen ⚑ mit Karte, Routing, Öffnungszeiten, Homepage, E-Mail, vCard und Firmendaten.</t>
  </si>
  <si>
    <t>Stoderstraße 92</t>
  </si>
  <si>
    <t>47.44633</t>
  </si>
  <si>
    <t>13.89553</t>
  </si>
  <si>
    <t>+433685209060</t>
  </si>
  <si>
    <t>+4336852090620</t>
  </si>
  <si>
    <t>office@holz-letmaier.at</t>
  </si>
  <si>
    <t>Danklmaier, Hubert, Taxi • Haus • Steiermark</t>
  </si>
  <si>
    <t>Taxi • Danklmaier, Hubert, Weißenbach 23 A, Haus • Kontakt über aktuelle Telefonnummern ☎ und Adressen ⚑ mit Karte, Routing, Öffnungszeiten, Homepage, E-Mail, vCard und Firmendaten.</t>
  </si>
  <si>
    <t>Weißenbach 23 A</t>
  </si>
  <si>
    <t>47.42358</t>
  </si>
  <si>
    <t>13.78118</t>
  </si>
  <si>
    <t>+436642004444</t>
  </si>
  <si>
    <t>info@taxi-heli.at</t>
  </si>
  <si>
    <t>https://bilder.dasschnelle.at/DasSchnelle/50/5000/9928/044850/G_044850_P_906111009.adn.gif</t>
  </si>
  <si>
    <t>Schuller Bau &amp; Transporte GmbH • Oberbuch • Steiermark</t>
  </si>
  <si>
    <t>Transportunternehmen • Schuller Bau &amp; Transporte GmbH, Oberbuch 15, Oberbuch • Kontakt über aktuelle Telefonnummern ☎ und Adressen ⚑ mit Karte, Routing, Öffnungszeiten, Homepage, E-Mail, vCard und Firmendaten.</t>
  </si>
  <si>
    <t>Oberbuch 15</t>
  </si>
  <si>
    <t>8274</t>
  </si>
  <si>
    <t>Oberbuch</t>
  </si>
  <si>
    <t>47.2368133</t>
  </si>
  <si>
    <t>15.9917598</t>
  </si>
  <si>
    <t>+43333262805</t>
  </si>
  <si>
    <t>m.schuller@schullerbau.at</t>
  </si>
  <si>
    <t>https://bilder.dasschnelle.at/DasSchnelle/50/5000/9890/042368/G_042368_P_906111660.adn.gif</t>
  </si>
  <si>
    <t>Pötz Josef GesmbH &amp; Co KG, Taxi • Vorau • Steiermark</t>
  </si>
  <si>
    <t>Autobusunternehmen, Taxi • Pötz Josef GesmbH &amp; Co KG, Klosterberggasse 284, Vorau • Kontakt über aktuelle Telefonnummern ☎ und Adressen ⚑ mit Karte, Routing, Öffnungszeiten, Homepage, E-Mail, vCard und Firmendaten.</t>
  </si>
  <si>
    <t>Klosterberggasse 284</t>
  </si>
  <si>
    <t>47.40408</t>
  </si>
  <si>
    <t>15.88716</t>
  </si>
  <si>
    <t>+4333372286</t>
  </si>
  <si>
    <t>+43333722864</t>
  </si>
  <si>
    <t>josef_poetz@gmx.at</t>
  </si>
  <si>
    <t>https://bilder.dasschnelle.at/DasSchnelle/50/5000/9890/061414/G_061414_P_906112635.adn.gif</t>
  </si>
  <si>
    <t>Pieber, Josef, Malermeister • Neudau • Steiermark</t>
  </si>
  <si>
    <t>Malereibetriebe • Pieber, Josef, Hauptstraße 24, Neudau • Kontakt über aktuelle Telefonnummern ☎ und Adressen ⚑ mit Karte, Routing, Öffnungszeiten, Homepage, E-Mail, vCard und Firmendaten.</t>
  </si>
  <si>
    <t>8292</t>
  </si>
  <si>
    <t>Neudau</t>
  </si>
  <si>
    <t>47.17584</t>
  </si>
  <si>
    <t>16.10122</t>
  </si>
  <si>
    <t>+4333832334;+436642407799</t>
  </si>
  <si>
    <t>malermeister@pieber.co.at</t>
  </si>
  <si>
    <t>https://bilder.dasschnelle.at/DasSchnelle/50/5000/9890/061421/G_061421_P_906112641.adn.gif</t>
  </si>
  <si>
    <t>Glatz,  TaxiManfred, Taxi • Hartberg • Steiermark</t>
  </si>
  <si>
    <t>Taxi • Glatz,  TaxiManfred, Neusafenauer Straße 60, Hartberg • Kontakt über aktuelle Telefonnummern ☎ und Adressen ⚑ mit Karte, Routing, Öffnungszeiten, Homepage, E-Mail, vCard und Firmendaten.</t>
  </si>
  <si>
    <t>Neusafenauer Straße 60</t>
  </si>
  <si>
    <t>47.26087</t>
  </si>
  <si>
    <t>15.97364</t>
  </si>
  <si>
    <t>+4333327173</t>
  </si>
  <si>
    <t>manfredglatz@aon.at</t>
  </si>
  <si>
    <t>https://bilder.dasschnelle.at/DasSchnelle/50/5000/9890/042582/G_042582_P_906121066.adn.gif</t>
  </si>
  <si>
    <t>Fux, Klaudia, Dipl.-Ing., Architektur • Schladming • Steiermark</t>
  </si>
  <si>
    <t>Architekten • Fux, Klaudia, Dipl.-Ing., Katzenburgweg 350, Schladming • Kontakt über aktuelle Telefonnummern ☎ und Adressen ⚑ mit Karte, Routing, Öffnungszeiten, Homepage, E-Mail, vCard und Firmendaten.</t>
  </si>
  <si>
    <t>Katzenburgweg 350</t>
  </si>
  <si>
    <t>47.39555</t>
  </si>
  <si>
    <t>13.68765</t>
  </si>
  <si>
    <t>+43368722813</t>
  </si>
  <si>
    <t>info@room-architecture.at</t>
  </si>
  <si>
    <t>https://bilder.dasschnelle.at/DasSchnelle/50/5000/9928/061454/G_061454_P_906122148.adn.gif</t>
  </si>
  <si>
    <t>Fux, Marco, Bodenbeläge • Schladming • Steiermark</t>
  </si>
  <si>
    <t>Bodenbeläge • Fux, Marco, Katzenburgweg 350, Schladming • Kontakt über aktuelle Telefonnummern ☎ und Adressen ⚑ mit Karte, Routing, Öffnungszeiten, Homepage, E-Mail, vCard und Firmendaten.</t>
  </si>
  <si>
    <t>+436641273455</t>
  </si>
  <si>
    <t>info@fuxmarco.at</t>
  </si>
  <si>
    <t>https://bilder.dasschnelle.at/DasSchnelle/50/5000/9928/061454/G_061454_P_906122150.adn.gif</t>
  </si>
  <si>
    <t>Peinthor, Erwin, Malermeisterbetrieb • Friedberg • Steiermark</t>
  </si>
  <si>
    <t>Malereibetriebe • Peinthor, Erwin, Ehrenschachen 91, Friedberg • Kontakt über aktuelle Telefonnummern ☎ und Adressen ⚑ mit Karte, Routing, Öffnungszeiten, Homepage, E-Mail, vCard und Firmendaten.</t>
  </si>
  <si>
    <t>Ehrenschachen 91</t>
  </si>
  <si>
    <t>8240</t>
  </si>
  <si>
    <t>Friedberg</t>
  </si>
  <si>
    <t>47.4115200</t>
  </si>
  <si>
    <t>16.0527900</t>
  </si>
  <si>
    <t>+43333922550</t>
  </si>
  <si>
    <t>+4333392255022</t>
  </si>
  <si>
    <t>maler@peinthor.at</t>
  </si>
  <si>
    <t>https://bilder.dasschnelle.at/DasSchnelle/50/5000/9890/042372/G_042372_P_906122367.adn.gif</t>
  </si>
  <si>
    <t>Goger, Hannes, Gasthof • Pöllau • Steiermark</t>
  </si>
  <si>
    <t>Gastgewerbe - Gasthöfe • Goger, Hannes, Oberneuberg 150, Pöllau • Kontakt über aktuelle Telefonnummern ☎ und Adressen ⚑ mit Karte, Routing, Öffnungszeiten, Homepage, E-Mail, vCard und Firmendaten.</t>
  </si>
  <si>
    <t>Oberneuberg 150</t>
  </si>
  <si>
    <t>47.3150687</t>
  </si>
  <si>
    <t>15.8580748</t>
  </si>
  <si>
    <t>+4333352388</t>
  </si>
  <si>
    <t>info@zumjagawirt.com</t>
  </si>
  <si>
    <t>https://bilder.dasschnelle.at/DasSchnelle/50/5000/9890/043813/G_043813_P_906122372.adn.gif</t>
  </si>
  <si>
    <t>combiente GmbH Ihr Handwerknetzwerk, Planung • Schladming • Steiermark</t>
  </si>
  <si>
    <t>Planungsbüros • combiente GmbH Ihr Handwerknetzwerk, Bahnhofstraße 475, Schladming • Kontakt über aktuelle Telefonnummern ☎ und Adressen ⚑ mit Karte, Routing, Öffnungszeiten, Homepage, E-Mail, vCard und Firmendaten.</t>
  </si>
  <si>
    <t>Bahnhofstraße 475</t>
  </si>
  <si>
    <t>47.39365</t>
  </si>
  <si>
    <t>13.68111</t>
  </si>
  <si>
    <t>+436645727559</t>
  </si>
  <si>
    <t>office@combiente.at</t>
  </si>
  <si>
    <t>https://bilder.dasschnelle.at/DasSchnelle/50/5000/9928/061454/G_061454_P_906123325.adn.gif</t>
  </si>
  <si>
    <t>Zechmann Immobilien GmbH, Immobilien • Schladming • Steiermark</t>
  </si>
  <si>
    <t>Immobilien • Zechmann Immobilien GmbH, Coburgstraße 53, Schladming • Kontakt über aktuelle Telefonnummern ☎ und Adressen ⚑ mit Karte, Routing, Öffnungszeiten, Homepage, E-Mail, vCard und Firmendaten.</t>
  </si>
  <si>
    <t>Coburgstraße 53</t>
  </si>
  <si>
    <t>47.39341</t>
  </si>
  <si>
    <t>13.69242</t>
  </si>
  <si>
    <t>+43361230262</t>
  </si>
  <si>
    <t>office@remax-nature.at</t>
  </si>
  <si>
    <t>https://bilder.dasschnelle.at/DasSchnelle/50/5000/9928/061454/G_061454_P_906124690.adn.gif</t>
  </si>
  <si>
    <t>Zörweg GmbH, Transporte • Öblarn • Steiermark</t>
  </si>
  <si>
    <t>Transportunternehmen • Zörweg GmbH, Niedergstatt 7, Öblarn • Kontakt über aktuelle Telefonnummern ☎ und Adressen ⚑ mit Karte, Routing, Öffnungszeiten, Homepage, E-Mail, vCard und Firmendaten.</t>
  </si>
  <si>
    <t>Niedergstatt 7</t>
  </si>
  <si>
    <t>47.4708763</t>
  </si>
  <si>
    <t>13.9949638</t>
  </si>
  <si>
    <t>+4336842365</t>
  </si>
  <si>
    <t>office@zoerweg-gmbh.at</t>
  </si>
  <si>
    <t>https://bilder.dasschnelle.at/DasSchnelle/50/5000/9928/061466/G_061466_P_906124927.adn.gif</t>
  </si>
  <si>
    <t>tfs - trend facility services Gm, Gebäudereinigung • Linz • Oberösterreich</t>
  </si>
  <si>
    <t>Gebäudereinigung • tfs - trend facility services Gm, Estermannstraße 6, Linz • Kontakt über aktuelle Telefonnummern ☎ und Adressen ⚑ mit Karte, Routing, Öffnungszeiten, Homepage, E-Mail, vCard und Firmendaten.</t>
  </si>
  <si>
    <t>Estermannstraße 6</t>
  </si>
  <si>
    <t>48.30458</t>
  </si>
  <si>
    <t>14.32145</t>
  </si>
  <si>
    <t>+43732781515</t>
  </si>
  <si>
    <t>office@tfs-gmbh.at</t>
  </si>
  <si>
    <t>https://bilder.dasschnelle.at/DasSchnelle/50/5000/9923/042297/G_042297_P_906124694.adn.gif</t>
  </si>
  <si>
    <t>Engleder Baumaschinen GmbH, Baumaschinen • Lembach im Mühlkreis • Oberösterreich</t>
  </si>
  <si>
    <t>Baumaschinen u. -geräte • Engleder Baumaschinen GmbH, Tannbergstraße 10, Lembach im Mühlkreis • Kontakt über aktuelle Telefonnummern ☎ und Adressen ⚑ mit Karte, Routing, Öffnungszeiten, Homepage, E-Mail, vCard und Firmendaten.</t>
  </si>
  <si>
    <t>Tannbergstraße 10</t>
  </si>
  <si>
    <t>48.49755</t>
  </si>
  <si>
    <t>13.89591</t>
  </si>
  <si>
    <t>+43728620038;+436604502247</t>
  </si>
  <si>
    <t>office@engleder-baumaschinen.at</t>
  </si>
  <si>
    <t>https://bilder.dasschnelle.at/DasSchnelle/50/5000/9923/042277/G_042277_P_906124698.adn.gif</t>
  </si>
  <si>
    <t>Lehner, Georg, Tore • Lembach • Oberösterreich</t>
  </si>
  <si>
    <t>Tore • Lehner, Georg, Alfons-Dorfner-Straße 4, Lembach • Kontakt über aktuelle Telefonnummern ☎ und Adressen ⚑ mit Karte, Routing, Öffnungszeiten, Homepage, E-Mail, vCard und Firmendaten.</t>
  </si>
  <si>
    <t>Alfons-Dorfner-Straße 4</t>
  </si>
  <si>
    <t>Lembach</t>
  </si>
  <si>
    <t>48.4969537</t>
  </si>
  <si>
    <t>13.8951776</t>
  </si>
  <si>
    <t>+4367762026286</t>
  </si>
  <si>
    <t>info@lehner-tore.at</t>
  </si>
  <si>
    <t>https://bilder.dasschnelle.at/DasSchnelle/50/5000/9923/042277/I_042277_P_906124776_L_0036177428_1.png</t>
  </si>
  <si>
    <t>https://bilder.dasschnelle.at/DasSchnelle/50/5000/9923/042277/I_042277_P_906124776_B_0036177428_1.gal.png?height=406&amp;width=600;https://bilder.dasschnelle.at/DasSchnelle/50/5000/9923/042277/I_042277_P_906124776_B_0036177428_2.gal.png?height=382&amp;width=600;https://bilder.dasschnelle.at/DasSchnelle/50/5000/9923/042277/I_042277_P_906124776_B_0036177428_3.gal.png?height=478&amp;width=720;https://bilder.dasschnelle.at/DasSchnelle/50/5000/9923/042277/I_042277_P_906124776_B_0036177428_4.gal.png?height=458&amp;width=720</t>
  </si>
  <si>
    <t>Feldler, Manfred, Schlosserei • Haslach an der Mühl • Oberösterreich</t>
  </si>
  <si>
    <t>Autohandel, Baustoffhandel, Metallbau, Schlossereien • Feldler, Manfred, Damreith 16, Haslach an der Mühl • Kontakt über aktuelle Telefonnummern ☎ und Adressen ⚑ mit Karte, Routing, Öffnungszeiten, Homepage, E-Mail, vCard und Firmendaten.</t>
  </si>
  <si>
    <t>Damreith 16</t>
  </si>
  <si>
    <t>4170</t>
  </si>
  <si>
    <t>Haslach an der Mühl</t>
  </si>
  <si>
    <t>48.5766667</t>
  </si>
  <si>
    <t>14.0252017</t>
  </si>
  <si>
    <t>+43728971507</t>
  </si>
  <si>
    <t>+437289715074</t>
  </si>
  <si>
    <t>info@feldler.com</t>
  </si>
  <si>
    <t>https://bilder.dasschnelle.at/DasSchnelle/50/5000/9923/042268/G_042268_P_906123374.adn.gif</t>
  </si>
  <si>
    <t>Fürlinger, Egon, Tischlerei • Lug • Oberösterreich</t>
  </si>
  <si>
    <t>Tischlereien • Fürlinger, Egon, Lug • Kontakt über aktuelle Telefonnummern ☎ und Adressen ⚑ mit Karte, Routing, Öffnungszeiten, Homepage, E-Mail, vCard und Firmendaten.</t>
  </si>
  <si>
    <t>Lug</t>
  </si>
  <si>
    <t>48.4756686</t>
  </si>
  <si>
    <t>13.9182840</t>
  </si>
  <si>
    <t>+436645455587</t>
  </si>
  <si>
    <t>tischlerei@fuerlinger.co.at</t>
  </si>
  <si>
    <t>https://bilder.dasschnelle.at/DasSchnelle/50/5000/9923/042277/G_042277_P_906124612.adn.gif</t>
  </si>
  <si>
    <t>Stein Laschalt KG, Steinmetzmeister • Hartberg • Steiermark</t>
  </si>
  <si>
    <t>Steinmetzbetriebe • Stein Laschalt KG, Neusafenauerstraße 23, Hartberg • Kontakt über aktuelle Telefonnummern ☎ und Adressen ⚑ mit Karte, Routing, Öffnungszeiten, Homepage, E-Mail, vCard und Firmendaten.</t>
  </si>
  <si>
    <t>Neusafenauerstraße 23</t>
  </si>
  <si>
    <t>47.26184</t>
  </si>
  <si>
    <t>15.97148</t>
  </si>
  <si>
    <t>+436641345529</t>
  </si>
  <si>
    <t>office@stein-laschalt.com</t>
  </si>
  <si>
    <t>https://bilder.dasschnelle.at/DasSchnelle/50/5000/9890/042582/G_042582_P_906123626.adn.gif</t>
  </si>
  <si>
    <t>Rinnhofer, Johannes Manfred, Büchsenmachermeister • Hartberg • Steiermark</t>
  </si>
  <si>
    <t>Büchsenmachereien • Rinnhofer, Johannes Manfred, Lebinggasse 2, Hartberg • Kontakt über aktuelle Telefonnummern ☎ und Adressen ⚑ mit Karte, Routing, Öffnungszeiten, Homepage, E-Mail, vCard und Firmendaten.</t>
  </si>
  <si>
    <t>Lebinggasse 2</t>
  </si>
  <si>
    <t>47.26898</t>
  </si>
  <si>
    <t>15.9667</t>
  </si>
  <si>
    <t>+43333262891;+436642644000</t>
  </si>
  <si>
    <t>johannes.rinnhofer@aon.at</t>
  </si>
  <si>
    <t>https://bilder.dasschnelle.at/DasSchnelle/50/5000/9890/042582/G_042582_P_906123631.adn.gif</t>
  </si>
  <si>
    <t>Stocker, Rene, Baumeister • Gröbming • Steiermark</t>
  </si>
  <si>
    <t>Baumeister • Stocker, Rene, Hauptstraße 55, Gröbming • Kontakt über aktuelle Telefonnummern ☎ und Adressen ⚑ mit Karte, Routing, Öffnungszeiten, Homepage, E-Mail, vCard und Firmendaten.</t>
  </si>
  <si>
    <t>Hauptstraße 55</t>
  </si>
  <si>
    <t>47.44374</t>
  </si>
  <si>
    <t>13.90185</t>
  </si>
  <si>
    <t>+43368522472;+436645140130</t>
  </si>
  <si>
    <t>office@echt-bauen.at</t>
  </si>
  <si>
    <t>https://bilder.dasschnelle.at/DasSchnelle/50/5000/9928/044357/G_044357_P_906123634.adn.gif</t>
  </si>
  <si>
    <t>Insamer F GesmbH &amp; Co KG, Brunnenbau, Zentralheizung, Sanitär • Andrichsfurt • Oberösterreich</t>
  </si>
  <si>
    <t>Brunnen u. Brunnenbau • Insamer F GesmbH &amp; Co KG, Albertsedt 1, Andrichsfurt • Kontakt über aktuelle Telefonnummern ☎ und Adressen ⚑ mit Karte, Routing, Öffnungszeiten, Homepage, E-Mail, vCard und Firmendaten.</t>
  </si>
  <si>
    <t>+43775032624</t>
  </si>
  <si>
    <t>https://bilder.dasschnelle.at/DasSchnelle/50/5000/9922/042539/G_042539_P_906124808.adn.gif</t>
  </si>
  <si>
    <t>König Autotechnik, Autotechnik • Hartberg • Steiermark</t>
  </si>
  <si>
    <t>Autoersatzteile u. -zubehör • König Autotechnik, Schildbach 58, Hartberg • Kontakt über aktuelle Telefonnummern ☎ und Adressen ⚑ mit Karte, Routing, Öffnungszeiten, Homepage, E-Mail, vCard und Firmendaten.</t>
  </si>
  <si>
    <t>Schildbach 58</t>
  </si>
  <si>
    <t>47.2716322</t>
  </si>
  <si>
    <t>15.9568367</t>
  </si>
  <si>
    <t>+433332628110</t>
  </si>
  <si>
    <t>+433332628115</t>
  </si>
  <si>
    <t>honda@auto-koenig.at</t>
  </si>
  <si>
    <t>https://bilder.dasschnelle.at/DasSchnelle/50/5000/9890/042582/G_042582_P_906125726.adn.gif</t>
  </si>
  <si>
    <t>Loy, Viktoria, Gastronomie • Gröbming • Steiermark</t>
  </si>
  <si>
    <t>Gastronomiebetriebe • Loy, Viktoria, Loyplatz 98, Gröbming • Kontakt über aktuelle Telefonnummern ☎ und Adressen ⚑ mit Karte, Routing, Öffnungszeiten, Homepage, E-Mail, vCard und Firmendaten.</t>
  </si>
  <si>
    <t>Loyplatz 98</t>
  </si>
  <si>
    <t>47.43964</t>
  </si>
  <si>
    <t>13.90081</t>
  </si>
  <si>
    <t>+43368522357</t>
  </si>
  <si>
    <t>office@hotel-loy.at</t>
  </si>
  <si>
    <t>https://bilder.dasschnelle.at/DasSchnelle/50/5000/9928/044357/G_044357_P_906125730.adn.gif</t>
  </si>
  <si>
    <t>Hofer Innenausbau GmbH, Bau • Dorf • Oberösterreich</t>
  </si>
  <si>
    <t>Bauunternehmen, Innenausbau • Hofer Innenausbau GmbH, Berg 8, Dorf • Kontakt über aktuelle Telefonnummern ☎ und Adressen ⚑ mit Karte, Routing, Öffnungszeiten, Homepage, E-Mail, vCard und Firmendaten.</t>
  </si>
  <si>
    <t>Berg 8</t>
  </si>
  <si>
    <t>Dorf</t>
  </si>
  <si>
    <t>48.51057</t>
  </si>
  <si>
    <t>14.10432</t>
  </si>
  <si>
    <t>+4372827919;+4366488786868;+436641056291;+436641056292;+436641056293;+436641056294</t>
  </si>
  <si>
    <t>office@estriche.cc</t>
  </si>
  <si>
    <t>https://bilder.dasschnelle.at/DasSchnelle/50/5000/9923/042293/G_042293_P_906127357.adn.gif</t>
  </si>
  <si>
    <t>Ing. Josef Ehrenreich, Bestattung • Unzmarkt • Steiermark</t>
  </si>
  <si>
    <t>Tischlereien • Ing. Josef Ehrenreich, Kirchengasse 24, Unzmarkt • Kontakt über aktuelle Telefonnummern ☎ und Adressen ⚑ mit Karte, Routing, Öffnungszeiten, Homepage, E-Mail, vCard und Firmendaten.</t>
  </si>
  <si>
    <t>Kirchengasse 24</t>
  </si>
  <si>
    <t>8800</t>
  </si>
  <si>
    <t>Unzmarkt</t>
  </si>
  <si>
    <t>47.20289</t>
  </si>
  <si>
    <t>14.44938</t>
  </si>
  <si>
    <t>+4335832208</t>
  </si>
  <si>
    <t>ehrenreich@ainet.at</t>
  </si>
  <si>
    <t>https://bilder.dasschnelle.at/DasSchnelle/50/5000/9910/044063/G_044063_P_906128777.adn.gif</t>
  </si>
  <si>
    <t>Kraftfahrzeuge Winkler GmbH &amp; CoKG, KFZ • Rohrbach • Oberösterreich</t>
  </si>
  <si>
    <t>Autohandel • Kraftfahrzeuge Winkler GmbH &amp; CoKG, Krankenhausstraße 31, Rohrbach • Kontakt über aktuelle Telefonnummern ☎ und Adressen ⚑ mit Karte, Routing, Öffnungszeiten, Homepage, E-Mail, vCard und Firmendaten.</t>
  </si>
  <si>
    <t>Krankenhausstraße 31</t>
  </si>
  <si>
    <t>48.5669956</t>
  </si>
  <si>
    <t>13.9901416</t>
  </si>
  <si>
    <t>+43728962350</t>
  </si>
  <si>
    <t>+437289623505</t>
  </si>
  <si>
    <t>kraftfahrzeuge@winkler.co.at</t>
  </si>
  <si>
    <t>https://bilder.dasschnelle.at/DasSchnelle/50/5000/9923/061480/G_061480_P_906127323.adn.gif</t>
  </si>
  <si>
    <t>Bayer Glastechnik GmbH, Glas • Kleinzell • Oberösterreich</t>
  </si>
  <si>
    <t>Glas u. Service, Glasereien • Bayer Glastechnik GmbH, Apfelsbach 40, Kleinzell • Kontakt über aktuelle Telefonnummern ☎ und Adressen ⚑ mit Karte, Routing, Öffnungszeiten, Homepage, E-Mail, vCard und Firmendaten.</t>
  </si>
  <si>
    <t>Apfelsbach 40</t>
  </si>
  <si>
    <t>4115</t>
  </si>
  <si>
    <t>Kleinzell</t>
  </si>
  <si>
    <t>48.4644560</t>
  </si>
  <si>
    <t>14.0229226</t>
  </si>
  <si>
    <t>+43728971528</t>
  </si>
  <si>
    <t>office@bayer-glastechnik.at</t>
  </si>
  <si>
    <t>https://bilder.dasschnelle.at/DasSchnelle/50/5000/9923/042275/I_042275_P_906127401_L_0036177603_1.png</t>
  </si>
  <si>
    <t>https://bilder.dasschnelle.at/DasSchnelle/50/5000/9923/042275/I_042275_P_906127401_B_0036177603_1.gal.png?height=240&amp;width=360;https://bilder.dasschnelle.at/DasSchnelle/50/5000/9923/042275/I_042275_P_906127401_B_0036177603_2.gal.png?height=240&amp;width=360;https://bilder.dasschnelle.at/DasSchnelle/50/5000/9923/042275/I_042275_P_906127401_B_0036177603_3.gal.png?height=240&amp;width=360;https://bilder.dasschnelle.at/DasSchnelle/50/5000/9923/042275/I_042275_P_906127401_B_0036177603_4.gal.png?height=239&amp;width=360</t>
  </si>
  <si>
    <t>Rechberger KG, Versicherungen • Sankt Martin/Mühlkreis • Oberösterreich</t>
  </si>
  <si>
    <t>Versicherungsunternehmen • Rechberger KG, Landshaager Straße 1, Sankt Martin/Mühlkreis • Kontakt über aktuelle Telefonnummern ☎ und Adressen ⚑ mit Karte, Routing, Öffnungszeiten, Homepage, E-Mail, vCard und Firmendaten.</t>
  </si>
  <si>
    <t>Landshaager Straße 1</t>
  </si>
  <si>
    <t>4113</t>
  </si>
  <si>
    <t>Sankt Martin/Mühlkreis</t>
  </si>
  <si>
    <t>48.4154</t>
  </si>
  <si>
    <t>14.03988</t>
  </si>
  <si>
    <t>+4372322010</t>
  </si>
  <si>
    <t>gabriele.hoellinger@uniqa.at</t>
  </si>
  <si>
    <t>https://bilder.dasschnelle.at/DasSchnelle/50/5000/9923/042291/G_042291_P_906127403.adn.gif</t>
  </si>
  <si>
    <t>Wöhrer, Stefan, Gasthof • St. Martin im Mühlkreis • Oberösterreich</t>
  </si>
  <si>
    <t>Bäckereien, Gastgewerbe - Gasthöfe • Wöhrer, Stefan, Markt 6, St. Martin im Mühlkreis • Kontakt über aktuelle Telefonnummern ☎ und Adressen ⚑ mit Karte, Routing, Öffnungszeiten, Homepage, E-Mail, vCard und Firmendaten.</t>
  </si>
  <si>
    <t>St. Martin im Mühlkreis</t>
  </si>
  <si>
    <t>48.4159500</t>
  </si>
  <si>
    <t>14.0393100</t>
  </si>
  <si>
    <t>+4372322221</t>
  </si>
  <si>
    <t>office@woehrer.co.at</t>
  </si>
  <si>
    <t>https://bilder.dasschnelle.at/DasSchnelle/50/5000/9923/042291/G_042291_P_906337521.adn.gif</t>
  </si>
  <si>
    <t>Schuhe und Orthopädie Würfl GmbH, Orthopädie • Rohrbach • Oberösterreich</t>
  </si>
  <si>
    <t>Schuhfachgeschäft • Schuhe und Orthopädie Würfl GmbH, Stadtplatz 16, Rohrbach • Kontakt über aktuelle Telefonnummern ☎ und Adressen ⚑ mit Karte, Routing, Öffnungszeiten, Homepage, E-Mail, vCard und Firmendaten.</t>
  </si>
  <si>
    <t>48.5713454</t>
  </si>
  <si>
    <t>13.9923906</t>
  </si>
  <si>
    <t>+4372898950;+4369916093578</t>
  </si>
  <si>
    <t>+43728920071</t>
  </si>
  <si>
    <t>wuerfl-schuhe@dialog-online.at</t>
  </si>
  <si>
    <t>https://bilder.dasschnelle.at/DasSchnelle/50/5000/9923/061480/G_061480_P_906127411.adn.gif</t>
  </si>
  <si>
    <t>Katzinger Landtechnik GmbH, Landtechnik • Arnreit • Oberösterreich</t>
  </si>
  <si>
    <t>Landtechnik • Katzinger Landtechnik GmbH, Arnreit 52, Arnreit • Kontakt über aktuelle Telefonnummern ☎ und Adressen ⚑ mit Karte, Routing, Öffnungszeiten, Homepage, E-Mail, vCard und Firmendaten.</t>
  </si>
  <si>
    <t>Arnreit 52</t>
  </si>
  <si>
    <t>48.5227750</t>
  </si>
  <si>
    <t>13.9955600</t>
  </si>
  <si>
    <t>+43728270604</t>
  </si>
  <si>
    <t>info@katzinger-landtechnik.at</t>
  </si>
  <si>
    <t>https://bilder.dasschnelle.at/DasSchnelle/50/5000/9923/042264/G_042264_P_906127414.adn.gif</t>
  </si>
  <si>
    <t>Hehenberger Metalltechnik e.U., Metalltechnik • Aigen-Schlägl • Oberösterreich</t>
  </si>
  <si>
    <t>Metallbau • Hehenberger Metalltechnik e.U., Am Teich 9, Aigen-Schlägl • Kontakt über aktuelle Telefonnummern ☎ und Adressen ⚑ mit Karte, Routing, Öffnungszeiten, Homepage, E-Mail, vCard und Firmendaten.</t>
  </si>
  <si>
    <t>Am Teich 9</t>
  </si>
  <si>
    <t>48.6372</t>
  </si>
  <si>
    <t>13.97427</t>
  </si>
  <si>
    <t>+43728160001</t>
  </si>
  <si>
    <t>kontakt@hehenberger-metall.at</t>
  </si>
  <si>
    <t>https://bilder.dasschnelle.at/DasSchnelle/50/5000/9923/061481/G_061481_P_906128624.adn.gif</t>
  </si>
  <si>
    <t>Autohaus Leibetseder GmbH, Autohaus • Rohrbach • Oberösterreich</t>
  </si>
  <si>
    <t>Autohandel • Autohaus Leibetseder GmbH, Scheiblberg 39, Rohrbach • Kontakt über aktuelle Telefonnummern ☎ und Adressen ⚑ mit Karte, Routing, Öffnungszeiten, Homepage, E-Mail, vCard und Firmendaten.</t>
  </si>
  <si>
    <t>Scheiblberg 39</t>
  </si>
  <si>
    <t>48.5589743</t>
  </si>
  <si>
    <t>13.9893763</t>
  </si>
  <si>
    <t>+4372898722</t>
  </si>
  <si>
    <t>+437289872218</t>
  </si>
  <si>
    <t>info@leibetseder.co.at</t>
  </si>
  <si>
    <t>https://bilder.dasschnelle.at/DasSchnelle/50/5000/9923/061480/G_061480_P_906128728.adn.gif</t>
  </si>
  <si>
    <t>Fleischerei Bitter GmbH, Fleischerei • Aigen im Mühlkreis • Oberösterreich</t>
  </si>
  <si>
    <t>Fleischhauereien • Fleischerei Bitter GmbH, Marktplatz 13, Aigen im Mühlkreis • Kontakt über aktuelle Telefonnummern ☎ und Adressen ⚑ mit Karte, Routing, Öffnungszeiten, Homepage, E-Mail, vCard und Firmendaten.</t>
  </si>
  <si>
    <t>Marktplatz 13</t>
  </si>
  <si>
    <t>Aigen im Mühlkreis</t>
  </si>
  <si>
    <t>48.6465472</t>
  </si>
  <si>
    <t>13.9709483</t>
  </si>
  <si>
    <t>+4372816204</t>
  </si>
  <si>
    <t>fleischhauerei.bitter@gmx.at</t>
  </si>
  <si>
    <t>https://bilder.dasschnelle.at/DasSchnelle/50/5000/9923/061481/G_061481_P_906128731.adn.gif</t>
  </si>
  <si>
    <t>Simader Steinmetzbetrieb, Steinmetz • Rohrbach • Oberösterreich</t>
  </si>
  <si>
    <t>Steinmetzbetriebe • Simader Steinmetzbetrieb, Bahnhofstraße 23, Rohrbach • Kontakt über aktuelle Telefonnummern ☎ und Adressen ⚑ mit Karte, Routing, Öffnungszeiten, Homepage, E-Mail, vCard und Firmendaten.</t>
  </si>
  <si>
    <t>48.5769670</t>
  </si>
  <si>
    <t>13.9900130</t>
  </si>
  <si>
    <t>+4372894279</t>
  </si>
  <si>
    <t>info@simader-steinmetz.at</t>
  </si>
  <si>
    <t>https://bilder.dasschnelle.at/DasSchnelle/50/5000/9923/061480/G_061480_P_906128733.adn.gif</t>
  </si>
  <si>
    <t>Elektrotechnik Ofner GmbH, Elektroinstallationen • Teufenbach • Steiermark</t>
  </si>
  <si>
    <t>Elektroinstallationsunternehmen • Elektrotechnik Ofner GmbH, Bahnhofstraße 6, Teufenbach • Kontakt über aktuelle Telefonnummern ☎ und Adressen ⚑ mit Karte, Routing, Öffnungszeiten, Homepage, E-Mail, vCard und Firmendaten.</t>
  </si>
  <si>
    <t>47.13503</t>
  </si>
  <si>
    <t>14.36573</t>
  </si>
  <si>
    <t>+43358284000;+436641816994</t>
  </si>
  <si>
    <t>+433582840013</t>
  </si>
  <si>
    <t>office@eo-ofner.at</t>
  </si>
  <si>
    <t>https://bilder.dasschnelle.at/DasSchnelle/50/5000/9910/061467/G_061467_P_906127335.adn.gif</t>
  </si>
  <si>
    <t>Hollerer, Christina, Florist • Murau • Steiermark</t>
  </si>
  <si>
    <t>Floristik • Hollerer, Christina, Schwarzenbergsiedlung 134, Murau • Kontakt über aktuelle Telefonnummern ☎ und Adressen ⚑ mit Karte, Routing, Öffnungszeiten, Homepage, E-Mail, vCard und Firmendaten.</t>
  </si>
  <si>
    <t>Schwarzenbergsiedlung 134</t>
  </si>
  <si>
    <t>47.11362</t>
  </si>
  <si>
    <t>14.17995</t>
  </si>
  <si>
    <t>+43353220007</t>
  </si>
  <si>
    <t>info@blütenzauber-murau.at</t>
  </si>
  <si>
    <t>https://bilder.dasschnelle.at/DasSchnelle/50/5000/9910/061401/G_061401_P_906127339.adn.gif</t>
  </si>
  <si>
    <t>MaMo GmbH, Holzfachmarkt • Murau • Steiermark</t>
  </si>
  <si>
    <t>Holzfachmärkte • MaMo GmbH, Bundesstraße 14, Murau • Kontakt über aktuelle Telefonnummern ☎ und Adressen ⚑ mit Karte, Routing, Öffnungszeiten, Homepage, E-Mail, vCard und Firmendaten.</t>
  </si>
  <si>
    <t>+43353236030</t>
  </si>
  <si>
    <t>+4335323790</t>
  </si>
  <si>
    <t>office@holzfachmarkt-murau.at</t>
  </si>
  <si>
    <t>https://bilder.dasschnelle.at/DasSchnelle/50/5000/9910/061401/I_061401_P_906127343_L_0036208433_1.png</t>
  </si>
  <si>
    <t>https://bilder.dasschnelle.at/DasSchnelle/50/5000/9910/061401/I_061401_P_906127343_B_0036208433_1.gal.png?height=450&amp;width=600;https://bilder.dasschnelle.at/DasSchnelle/50/5000/9910/061401/I_061401_P_906127343_B_0036208433_2.gal.png?height=450&amp;width=600;https://bilder.dasschnelle.at/DasSchnelle/50/5000/9910/061401/I_061401_P_906127343_B_0036208433_3.gal.png?height=600&amp;width=480;https://bilder.dasschnelle.at/DasSchnelle/50/5000/9910/061401/I_061401_P_906127343_B_0036208433_4.gal.png?height=368&amp;width=600</t>
  </si>
  <si>
    <t>MS Elektro GmbH, Elektro • Hartberg • Steiermark</t>
  </si>
  <si>
    <t>Elektro • MS Elektro GmbH, Bahnhofstraße 30 A, Hartberg • Kontakt über aktuelle Telefonnummern ☎ und Adressen ⚑ mit Karte, Routing, Öffnungszeiten, Homepage, E-Mail, vCard und Firmendaten.</t>
  </si>
  <si>
    <t>Bahnhofstraße 30 A</t>
  </si>
  <si>
    <t>47.2817100</t>
  </si>
  <si>
    <t>15.9805900</t>
  </si>
  <si>
    <t>+436645220732</t>
  </si>
  <si>
    <t>elektro-schloegl@a1.net</t>
  </si>
  <si>
    <t>https://bilder.dasschnelle.at/DasSchnelle/50/5000/9890/042368/I_042368_P_906127350_L_0036256201_1.png</t>
  </si>
  <si>
    <t>Stögerer GmbH, Bestattung • Pinggau • Steiermark</t>
  </si>
  <si>
    <t>Bestattungsunternehmen • Stögerer GmbH, Am Sonnenhang 4, Pinggau • Kontakt über aktuelle Telefonnummern ☎ und Adressen ⚑ mit Karte, Routing, Öffnungszeiten, Homepage, E-Mail, vCard und Firmendaten.</t>
  </si>
  <si>
    <t>Pinggau</t>
  </si>
  <si>
    <t>https://bilder.dasschnelle.at/DasSchnelle/50/5000/9890/043811/G_043811_P_906127427.adn.gif</t>
  </si>
  <si>
    <t>Letmaier Gröbming BaugesmbH, Baugesellschaft • Gröbming • Steiermark</t>
  </si>
  <si>
    <t>Bauunternehmen, Planungsbüros • Letmaier Gröbming BaugesmbH, Stoderstraße 315, Gröbming • Kontakt über aktuelle Telefonnummern ☎ und Adressen ⚑ mit Karte, Routing, Öffnungszeiten, Homepage, E-Mail, vCard und Firmendaten.</t>
  </si>
  <si>
    <t>Stoderstraße 315</t>
  </si>
  <si>
    <t>47.44597</t>
  </si>
  <si>
    <t>13.89518</t>
  </si>
  <si>
    <t>+433685221380</t>
  </si>
  <si>
    <t>+433685221388</t>
  </si>
  <si>
    <t>office@letmaier.at</t>
  </si>
  <si>
    <t>https://bilder.dasschnelle.at/DasSchnelle/50/5000/9928/044357/G_044357_P_906128675.adn.gif</t>
  </si>
  <si>
    <t>Sümbül, Hasan, Pizzeria • Gröbming • Steiermark</t>
  </si>
  <si>
    <t>Pizzerias • Sümbül, Hasan, Hauptstraße 800, Gröbming • Kontakt über aktuelle Telefonnummern ☎ und Adressen ⚑ mit Karte, Routing, Öffnungszeiten, Homepage, E-Mail, vCard und Firmendaten.</t>
  </si>
  <si>
    <t>Hauptstraße 800</t>
  </si>
  <si>
    <t>47.449</t>
  </si>
  <si>
    <t>13.9045</t>
  </si>
  <si>
    <t>+43368523620;+436641309417</t>
  </si>
  <si>
    <t>info@bellaitalia-groebming.at</t>
  </si>
  <si>
    <t>https://bilder.dasschnelle.at/DasSchnelle/50/5000/9928/044357/G_044357_P_906128830.adn.gif</t>
  </si>
  <si>
    <t>Bammer, Reinhold, Malereibetriebe • Sankt Martin im Mühlkreis • Oberösterreich</t>
  </si>
  <si>
    <t>Malereibetriebe • Bammer, Reinhold, Aubachweg 23, Sankt Martin im Mühlkreis • Kontakt über aktuelle Telefonnummern ☎ und Adressen ⚑ mit Karte, Routing, Öffnungszeiten, Homepage, E-Mail, vCard und Firmendaten.</t>
  </si>
  <si>
    <t>Aubachweg 23</t>
  </si>
  <si>
    <t>Sankt Martin im Mühlkreis</t>
  </si>
  <si>
    <t>48.4214800</t>
  </si>
  <si>
    <t>14.0432800</t>
  </si>
  <si>
    <t>+43723234556;+436641812000;+4372323210</t>
  </si>
  <si>
    <t>r.bammer@malerei-bammer.at</t>
  </si>
  <si>
    <t>https://bilder.dasschnelle.at/DasSchnelle/50/5000/9923/042291/G_042291_P_906127456.adn.gif</t>
  </si>
  <si>
    <t>NIC Building Systems GmbH, Softwareentwicklung • Niederkappel • Oberösterreich</t>
  </si>
  <si>
    <t>Mechatronik • NIC Building Systems GmbH, Gewerbepark 5, Niederkappel • Kontakt über aktuelle Telefonnummern ☎ und Adressen ⚑ mit Karte, Routing, Öffnungszeiten, Homepage, E-Mail, vCard und Firmendaten.</t>
  </si>
  <si>
    <t>4133</t>
  </si>
  <si>
    <t>Niederkappel</t>
  </si>
  <si>
    <t>48.48928</t>
  </si>
  <si>
    <t>13.8988</t>
  </si>
  <si>
    <t>+43728680881</t>
  </si>
  <si>
    <t>office@nicbuilding.at</t>
  </si>
  <si>
    <t>https://bilder.dasschnelle.at/DasSchnelle/50/5000/9923/042277/I_042277_P_906129885_L_0036208385_1.png</t>
  </si>
  <si>
    <t>https://bilder.dasschnelle.at/DasSchnelle/50/5000/9923/042277/I_042277_P_906129885_B_0036208385_1.gal.png?height=450&amp;width=600;https://bilder.dasschnelle.at/DasSchnelle/50/5000/9923/042277/I_042277_P_906129885_B_0036208385_2.gal.png?height=400&amp;width=600;https://bilder.dasschnelle.at/DasSchnelle/50/5000/9923/042277/I_042277_P_906129885_B_0036208385_3.gal.png?height=367&amp;width=550</t>
  </si>
  <si>
    <t>Vermessung Withalm &amp; Hochstöger ZT OG • Freistadt • Oberösterreich</t>
  </si>
  <si>
    <t>Vermessungsbüros • Vermessung Withalm &amp; Hochstöger ZT OG, Schulgasse 6, Freistadt • Kontakt über aktuelle Telefonnummern ☎ und Adressen ⚑ mit Karte, Routing, Öffnungszeiten, Homepage, E-Mail, vCard und Firmendaten.</t>
  </si>
  <si>
    <t>48.51071</t>
  </si>
  <si>
    <t>14.50486</t>
  </si>
  <si>
    <t>+43794272536</t>
  </si>
  <si>
    <t>office@vermessung-freistadt.at</t>
  </si>
  <si>
    <t>https://bilder.dasschnelle.at/DasSchnelle/50/5000/9882/044815/G_044815_P_906129898.adn.gif</t>
  </si>
  <si>
    <t>Fussi, Reinhard, Maler • Murau • Steiermark</t>
  </si>
  <si>
    <t>Malereibetriebe • Fussi, Reinhard, Grazer Straße 10, Murau • Kontakt über aktuelle Telefonnummern ☎ und Adressen ⚑ mit Karte, Routing, Öffnungszeiten, Homepage, E-Mail, vCard und Firmendaten.</t>
  </si>
  <si>
    <t>47.10998</t>
  </si>
  <si>
    <t>14.17482</t>
  </si>
  <si>
    <t>+436641644981</t>
  </si>
  <si>
    <t>office@malerei-fussi.at</t>
  </si>
  <si>
    <t>https://bilder.dasschnelle.at/DasSchnelle/50/5000/9910/061401/G_061401_P_906131343.adn.gif</t>
  </si>
  <si>
    <t>HB Haustechnik GmbH, Haustechnik • Hartberg • Steiermark</t>
  </si>
  <si>
    <t>Haustechnik • HB Haustechnik GmbH, Flurgasse 11, Hartberg • Kontakt über aktuelle Telefonnummern ☎ und Adressen ⚑ mit Karte, Routing, Öffnungszeiten, Homepage, E-Mail, vCard und Firmendaten.</t>
  </si>
  <si>
    <t>Flurgasse 11</t>
  </si>
  <si>
    <t>47.2755200</t>
  </si>
  <si>
    <t>15.9667300</t>
  </si>
  <si>
    <t>+43333266144</t>
  </si>
  <si>
    <t>+4333326614413</t>
  </si>
  <si>
    <t>office@hbhaustechnik.at</t>
  </si>
  <si>
    <t>https://bilder.dasschnelle.at/DasSchnelle/50/5000/9890/042582/G_042582_P_906129978.adn.gif</t>
  </si>
  <si>
    <t>Bestattung Rudi Weiß GmbH, Bestattung • Gröbming • Steiermark</t>
  </si>
  <si>
    <t>Bestattungsunternehmen • Bestattung Rudi Weiß GmbH, Klostergasse 198, Gröbming • Kontakt über aktuelle Telefonnummern ☎ und Adressen ⚑ mit Karte, Routing, Öffnungszeiten, Homepage, E-Mail, vCard und Firmendaten.</t>
  </si>
  <si>
    <t>Klostergasse 198</t>
  </si>
  <si>
    <t>47.44602</t>
  </si>
  <si>
    <t>13.90014</t>
  </si>
  <si>
    <t>+43368523733;+436642333233</t>
  </si>
  <si>
    <t>groebming@bestattungweiss.at</t>
  </si>
  <si>
    <t>https://bilder.dasschnelle.at/DasSchnelle/50/5000/9928/044357/G_044357_P_906129983.adn.gif</t>
  </si>
  <si>
    <t>Steiner Haustechnik GmbH &amp; CoKG, Haustechnik • Gröbming • Steiermark</t>
  </si>
  <si>
    <t>Haustechnik • Steiner Haustechnik GmbH &amp; CoKG, Hauptstraße 800, Gröbming • Kontakt über aktuelle Telefonnummern ☎ und Adressen ⚑ mit Karte, Routing, Öffnungszeiten, Homepage, E-Mail, vCard und Firmendaten.</t>
  </si>
  <si>
    <t>+433685223000;+433685224890;+436642304940</t>
  </si>
  <si>
    <t>+433685231500</t>
  </si>
  <si>
    <t>haustechnik@steiner.net</t>
  </si>
  <si>
    <t>https://bilder.dasschnelle.at/DasSchnelle/50/5000/9928/044357/G_044357_P_906129992.adn.gif</t>
  </si>
  <si>
    <t>Auto Engleder GmbH, Kfz-Handel, Kfz-Werkst • Putzleinsdorf • Oberösterreich</t>
  </si>
  <si>
    <t>Autohandel • Auto Engleder GmbH, Winkelweg 2, Putzleinsdorf • Kontakt über aktuelle Telefonnummern ☎ und Adressen ⚑ mit Karte, Routing, Öffnungszeiten, Homepage, E-Mail, vCard und Firmendaten.</t>
  </si>
  <si>
    <t>Winkelweg 2</t>
  </si>
  <si>
    <t>48.52041</t>
  </si>
  <si>
    <t>13.87435</t>
  </si>
  <si>
    <t>+43728671740</t>
  </si>
  <si>
    <t>office@auto-engleder.at</t>
  </si>
  <si>
    <t>https://bilder.dasschnelle.at/DasSchnelle/50/5000/9923/042287/G_042287_P_906131124.adn.gif</t>
  </si>
  <si>
    <t>Smetschka, Martina, Kosmetik • Lembach im Mühlkreis • Oberösterreich</t>
  </si>
  <si>
    <t>Fußpflege • Smetschka, Martina, Marktplatz 5, Lembach im Mühlkreis • Kontakt über aktuelle Telefonnummern ☎ und Adressen ⚑ mit Karte, Routing, Öffnungszeiten, Homepage, E-Mail, vCard und Firmendaten.</t>
  </si>
  <si>
    <t>48.49558</t>
  </si>
  <si>
    <t>13.89471</t>
  </si>
  <si>
    <t>+43728620054</t>
  </si>
  <si>
    <t>martina@wohlfuehlcenter.at</t>
  </si>
  <si>
    <t>https://bilder.dasschnelle.at/DasSchnelle/50/5000/9923/042277/I_042277_P_906131351_L_0036177628_1.png</t>
  </si>
  <si>
    <t>https://bilder.dasschnelle.at/DasSchnelle/50/5000/9923/042277/I_042277_P_906131351_B_0036177628_1.gal.png?height=300&amp;width=201;https://bilder.dasschnelle.at/DasSchnelle/50/5000/9923/042277/I_042277_P_906131351_B_0036177628_2.gal.png?height=180&amp;width=300;https://bilder.dasschnelle.at/DasSchnelle/50/5000/9923/042277/I_042277_P_906131351_B_0036177628_3.gal.png?height=183&amp;width=300;https://bilder.dasschnelle.at/DasSchnelle/50/5000/9923/042277/I_042277_P_906131351_B_0036177628_4.gal.png?height=200&amp;width=300</t>
  </si>
  <si>
    <t>Ecker Taxi - Mietwagen - Krankentrasporte, Taxi • Kleinzell im Mühlkreis • Oberösterreich</t>
  </si>
  <si>
    <t>Taxi • Ecker Taxi - Mietwagen - Krankentrasporte, Edholz 49, Kleinzell im Mühlkreis • Kontakt über aktuelle Telefonnummern ☎ und Adressen ⚑ mit Karte, Routing, Öffnungszeiten, Homepage, E-Mail, vCard und Firmendaten.</t>
  </si>
  <si>
    <t>Edholz 49</t>
  </si>
  <si>
    <t>Kleinzell im Mühlkreis</t>
  </si>
  <si>
    <t>48.4696511</t>
  </si>
  <si>
    <t>13.9919145</t>
  </si>
  <si>
    <t>+43676840073400</t>
  </si>
  <si>
    <t>taxi@sabine-ecker.at</t>
  </si>
  <si>
    <t>https://bilder.dasschnelle.at/DasSchnelle/50/5000/9923/042275/I_042275_P_906131353_L_0036031414_1.png</t>
  </si>
  <si>
    <t>https://bilder.dasschnelle.at/DasSchnelle/50/5000/9923/042275/I_042275_P_906131353_B_0036031414_1.gal.png?height=150&amp;width=600;https://bilder.dasschnelle.at/DasSchnelle/50/5000/9923/042275/I_042275_P_906131353_B_0036031414_2.gal.png?height=150&amp;width=600;https://bilder.dasschnelle.at/DasSchnelle/50/5000/9923/042275/I_042275_P_906131353_B_0036031414_3.gal.png?height=477&amp;width=720;https://bilder.dasschnelle.at/DasSchnelle/50/5000/9923/042275/I_042275_P_906131353_B_0036031414_4.gal.png?height=483&amp;width=720;https://bilder.dasschnelle.at/DasSchnelle/50/5000/9923/042275/G_042275_P_906131353.adn.gif</t>
  </si>
  <si>
    <t>Steiner Wilfried GesmbH, Dachdeckerei u Spenglerei • Haus • Steiermark</t>
  </si>
  <si>
    <t>Dachdeckerei u. Spenglerei • Steiner Wilfried GesmbH, Oberhaus 46, Haus • Kontakt über aktuelle Telefonnummern ☎ und Adressen ⚑ mit Karte, Routing, Öffnungszeiten, Homepage, E-Mail, vCard und Firmendaten.</t>
  </si>
  <si>
    <t>Oberhaus 46</t>
  </si>
  <si>
    <t>47.4063234</t>
  </si>
  <si>
    <t>13.7494820</t>
  </si>
  <si>
    <t>+4336862262;+436643575173;+436644330343</t>
  </si>
  <si>
    <t>+4336862523</t>
  </si>
  <si>
    <t>info@dach-steiner.at</t>
  </si>
  <si>
    <t>https://bilder.dasschnelle.at/DasSchnelle/50/5000/9928/044850/G_044850_P_906131894.adn.gif</t>
  </si>
  <si>
    <t>Murauer Stadtwerke GesmbH, Elektroinstallationsunternehmen • Murau • Steiermark</t>
  </si>
  <si>
    <t>Elektroinstallationsunternehmen • Murauer Stadtwerke GesmbH, Bahnhofviertel 27, Murau • Kontakt über aktuelle Telefonnummern ☎ und Adressen ⚑ mit Karte, Routing, Öffnungszeiten, Homepage, E-Mail, vCard und Firmendaten.</t>
  </si>
  <si>
    <t>Bahnhofviertel 27</t>
  </si>
  <si>
    <t>47.1086851</t>
  </si>
  <si>
    <t>14.1805528</t>
  </si>
  <si>
    <t>+43353223100;+433532231072;+433532231077;+433532231074;+433532231090;+433532231075;+433532231082;+433532231076;+433532231084;+433532231077;+433532231078;+433532231083;+433532231081;+433532231085</t>
  </si>
  <si>
    <t>+433532231023</t>
  </si>
  <si>
    <t>stadtwerke@murau.at</t>
  </si>
  <si>
    <t>https://bilder.dasschnelle.at/DasSchnelle/50/5000/9910/061401/G_061401_P_906130181.adn.gif</t>
  </si>
  <si>
    <t>Stadtfriseur D&amp;D Haarkunst, Friseur • Murau • Steiermark</t>
  </si>
  <si>
    <t>Friseure • Stadtfriseur D&amp;D Haarkunst, Schwarzenbergstraße 2 a, Murau • Kontakt über aktuelle Telefonnummern ☎ und Adressen ⚑ mit Karte, Routing, Öffnungszeiten, Homepage, E-Mail, vCard und Firmendaten.</t>
  </si>
  <si>
    <t>Schwarzenbergstraße 2 a</t>
  </si>
  <si>
    <t>47.11109</t>
  </si>
  <si>
    <t>14.17117</t>
  </si>
  <si>
    <t>+4335322007</t>
  </si>
  <si>
    <t>office@stadtfriseur.at</t>
  </si>
  <si>
    <t>https://bilder.dasschnelle.at/DasSchnelle/50/5000/9910/061401/G_061401_P_906130199.adn.gif</t>
  </si>
  <si>
    <t>Salon Gaberschek Thomas, Friseur • Murau • Steiermark</t>
  </si>
  <si>
    <t>Friseure • Salon Gaberschek Thomas, Schwarzenbergstraße 16, Murau • Kontakt über aktuelle Telefonnummern ☎ und Adressen ⚑ mit Karte, Routing, Öffnungszeiten, Homepage, E-Mail, vCard und Firmendaten.</t>
  </si>
  <si>
    <t>Schwarzenbergstraße 16</t>
  </si>
  <si>
    <t>47.11257</t>
  </si>
  <si>
    <t>14.16997</t>
  </si>
  <si>
    <t>+4335322354</t>
  </si>
  <si>
    <t>gaberschek@gmx.at</t>
  </si>
  <si>
    <t>https://bilder.dasschnelle.at/DasSchnelle/50/5000/9910/061401/G_061401_P_906130204.adn.gif</t>
  </si>
  <si>
    <t>Autischer, Angelika, Friseursalon • Sankt Lorenzen ob Murau • Steiermark</t>
  </si>
  <si>
    <t>Friseure • Autischer, Angelika, Sankt Lorenzen 5, Sankt Lorenzen ob Murau • Kontakt über aktuelle Telefonnummern ☎ und Adressen ⚑ mit Karte, Routing, Öffnungszeiten, Homepage, E-Mail, vCard und Firmendaten.</t>
  </si>
  <si>
    <t>Sankt Lorenzen 5</t>
  </si>
  <si>
    <t>8861</t>
  </si>
  <si>
    <t>Sankt Lorenzen ob Murau</t>
  </si>
  <si>
    <t>47.10159</t>
  </si>
  <si>
    <t>14.09058</t>
  </si>
  <si>
    <t>+43353722259</t>
  </si>
  <si>
    <t>w.autischer@gmx.at</t>
  </si>
  <si>
    <t>https://bilder.dasschnelle.at/DasSchnelle/50/5000/9910/061476/G_061476_P_906131222.adn.gif</t>
  </si>
  <si>
    <t>Bernhard Kitzer e.U., Lebensmittel • Aich • Steiermark</t>
  </si>
  <si>
    <t>Lebensmittel • Bernhard Kitzer e.U., Bundesstraße 186, Aich • Kontakt über aktuelle Telefonnummern ☎ und Adressen ⚑ mit Karte, Routing, Öffnungszeiten, Homepage, E-Mail, vCard und Firmendaten.</t>
  </si>
  <si>
    <t>Bundesstraße 186</t>
  </si>
  <si>
    <t>47.41719</t>
  </si>
  <si>
    <t>13.81232</t>
  </si>
  <si>
    <t>+43368620181</t>
  </si>
  <si>
    <t>bernhard.kitzer@sparmarkt.at</t>
  </si>
  <si>
    <t>https://bilder.dasschnelle.at/DasSchnelle/50/5000/9928/061473/G_061473_P_906131381.adn.gif</t>
  </si>
  <si>
    <t>Steinmetz Zach GmbH, Steinmetze • Dunzendorf • Oberösterreich</t>
  </si>
  <si>
    <t>Steinmetzbetriebe • Steinmetz Zach GmbH, Dunzendorf • Kontakt über aktuelle Telefonnummern ☎ und Adressen ⚑ mit Karte, Routing, Öffnungszeiten, Homepage, E-Mail, vCard und Firmendaten.</t>
  </si>
  <si>
    <t>Dunzendorf</t>
  </si>
  <si>
    <t>48.4282700</t>
  </si>
  <si>
    <t>14.0319900</t>
  </si>
  <si>
    <t>+43723238039;+436645321728</t>
  </si>
  <si>
    <t>office@steinmetz-zach.at</t>
  </si>
  <si>
    <t>https://bilder.dasschnelle.at/DasSchnelle/50/5000/9923/042291/I_042291_P_906133426_L_0036177386_1.png</t>
  </si>
  <si>
    <t>https://bilder.dasschnelle.at/DasSchnelle/50/5000/9923/042291/I_042291_P_906133426_B_0036177386_1.gal.png?height=372&amp;width=600;https://bilder.dasschnelle.at/DasSchnelle/50/5000/9923/042291/I_042291_P_906133426_B_0036177386_2.gal.png?height=372&amp;width=600;https://bilder.dasschnelle.at/DasSchnelle/50/5000/9923/042291/I_042291_P_906133426_B_0036177386_3.gal.png?height=372&amp;width=600;https://bilder.dasschnelle.at/DasSchnelle/50/5000/9923/042291/I_042291_P_906133426_B_0036177386_4.gal.png?height=372&amp;width=600</t>
  </si>
  <si>
    <t>Öller Versicherungsmakler GmbH, Versicherungen • Dietrichschlag • Oberösterreich</t>
  </si>
  <si>
    <t>Versicherungsmakler • Öller Versicherungsmakler GmbH, Dietrichschlag • Kontakt über aktuelle Telefonnummern ☎ und Adressen ⚑ mit Karte, Routing, Öffnungszeiten, Homepage, E-Mail, vCard und Firmendaten.</t>
  </si>
  <si>
    <t>Dietrichschlag</t>
  </si>
  <si>
    <t>48.66762</t>
  </si>
  <si>
    <t>13.91536</t>
  </si>
  <si>
    <t>+4372882444</t>
  </si>
  <si>
    <t>josef.oeller@vm-oeller.at</t>
  </si>
  <si>
    <t>https://bilder.dasschnelle.at/DasSchnelle/50/5000/9923/042301/G_042301_P_906133430.adn.gif</t>
  </si>
  <si>
    <t>Fahrschule EUROLINE Leitner e.U., Fahrschule • Rohrbach • Oberösterreich</t>
  </si>
  <si>
    <t>Fahrschulen • Fahrschule EUROLINE Leitner e.U., Ehrenreiterweg 4, Rohrbach • Kontakt über aktuelle Telefonnummern ☎ und Adressen ⚑ mit Karte, Routing, Öffnungszeiten, Homepage, E-Mail, vCard und Firmendaten.</t>
  </si>
  <si>
    <t>Ehrenreiterweg 4</t>
  </si>
  <si>
    <t>48.5706804</t>
  </si>
  <si>
    <t>13.9932551</t>
  </si>
  <si>
    <t>+4372894090</t>
  </si>
  <si>
    <t>office@fahrschule-euroline.at</t>
  </si>
  <si>
    <t>https://bilder.dasschnelle.at/DasSchnelle/50/5000/9923/061480/G_061480_P_906134684.adn.gif</t>
  </si>
  <si>
    <t>Rosenauer, Martin, Sicherheitstechnik • Rohrbach • Oberösterreich</t>
  </si>
  <si>
    <t>Sicherheitstechnik • Rosenauer, Martin, Linzer Straße 5, Rohrbach • Kontakt über aktuelle Telefonnummern ☎ und Adressen ⚑ mit Karte, Routing, Öffnungszeiten, Homepage, E-Mail, vCard und Firmendaten.</t>
  </si>
  <si>
    <t>48.5710431</t>
  </si>
  <si>
    <t>13.9935462</t>
  </si>
  <si>
    <t>+4372898232</t>
  </si>
  <si>
    <t>ro-key1@aon.at</t>
  </si>
  <si>
    <t>https://bilder.dasschnelle.at/DasSchnelle/50/5000/9923/061480/I_061480_P_906134686_L_0036177547_1.png</t>
  </si>
  <si>
    <t>https://bilder.dasschnelle.at/DasSchnelle/50/5000/9923/061480/I_061480_P_906134686_B_0036177547_1.gal.png?height=400&amp;width=223;https://bilder.dasschnelle.at/DasSchnelle/50/5000/9923/061480/I_061480_P_906134686_B_0036177547_2.gal.png?height=400&amp;width=314;https://bilder.dasschnelle.at/DasSchnelle/50/5000/9923/061480/I_061480_P_906134686_B_0036177547_3.gal.png?height=400&amp;width=247</t>
  </si>
  <si>
    <t>Suciu, Septimiu, Dr., Zahnarzt • Sarleinsbach • Oberösterreich</t>
  </si>
  <si>
    <t>Ärzte / Zahnärzte • Suciu, Septimiu, Dr., Altendorf 15, Sarleinsbach • Kontakt über aktuelle Telefonnummern ☎ und Adressen ⚑ mit Karte, Routing, Öffnungszeiten, Homepage, E-Mail, vCard und Firmendaten.</t>
  </si>
  <si>
    <t>Altendorf 15</t>
  </si>
  <si>
    <t>4152</t>
  </si>
  <si>
    <t>Sarleinsbach</t>
  </si>
  <si>
    <t>48.5419593</t>
  </si>
  <si>
    <t>13.9049126</t>
  </si>
  <si>
    <t>+43728380155</t>
  </si>
  <si>
    <t>office@laechelfabrik.at</t>
  </si>
  <si>
    <t>https://bilder.dasschnelle.at/DasSchnelle/50/5000/9923/042297/I_042297_P_906134688_L_0037255510_1.png</t>
  </si>
  <si>
    <t>https://bilder.dasschnelle.at/DasSchnelle/50/5000/9923/042297/I_042297_P_906134688_B_0037255510_1.gal.png?height=360&amp;width=600</t>
  </si>
  <si>
    <t>Steinmetz Kala, Steinmetz • Scheifling • Steiermark</t>
  </si>
  <si>
    <t>Steinmetzbetriebe • Steinmetz Kala, Murauer Straße 3, Scheifling • Kontakt über aktuelle Telefonnummern ☎ und Adressen ⚑ mit Karte, Routing, Öffnungszeiten, Homepage, E-Mail, vCard und Firmendaten.</t>
  </si>
  <si>
    <t>Murauer Straße 3</t>
  </si>
  <si>
    <t>Scheifling</t>
  </si>
  <si>
    <t>47.15193</t>
  </si>
  <si>
    <t>14.41181</t>
  </si>
  <si>
    <t>+4335822356</t>
  </si>
  <si>
    <t>office@kala.at</t>
  </si>
  <si>
    <t>https://bilder.dasschnelle.at/DasSchnelle/50/5000/9910/061446/I_061446_P_906133459_L_0036240392_1.png</t>
  </si>
  <si>
    <t>https://bilder.dasschnelle.at/DasSchnelle/50/5000/9910/061446/I_061446_P_906133459_B_0036240392_1.gal.png?height=150&amp;width=150;https://bilder.dasschnelle.at/DasSchnelle/50/5000/9910/061446/I_061446_P_906133459_B_0036240392_2.gal.png?height=150&amp;width=150;https://bilder.dasschnelle.at/DasSchnelle/50/5000/9910/061446/I_061446_P_906133459_B_0036240392_3.gal.png?height=150&amp;width=150;https://bilder.dasschnelle.at/DasSchnelle/50/5000/9910/061446/I_061446_P_906133459_B_0036240392_4.gal.png?height=150&amp;width=150</t>
  </si>
  <si>
    <t>Allmer, Christian, Glaserei • Sankt Lambrecht • Steiermark</t>
  </si>
  <si>
    <t>Glasereien • Allmer, Christian, Hauptstraße 61, Sankt Lambrecht • Kontakt über aktuelle Telefonnummern ☎ und Adressen ⚑ mit Karte, Routing, Öffnungszeiten, Homepage, E-Mail, vCard und Firmendaten.</t>
  </si>
  <si>
    <t>Hauptstraße 61</t>
  </si>
  <si>
    <t>47.07388</t>
  </si>
  <si>
    <t>14.30635</t>
  </si>
  <si>
    <t>+43358525460;+436641228801;+436642018739</t>
  </si>
  <si>
    <t>+4335852557</t>
  </si>
  <si>
    <t>info@glas-allmer.at</t>
  </si>
  <si>
    <t>https://bilder.dasschnelle.at/DasSchnelle/50/5000/9910/061471/I_061471_P_906134748_L_0036177606_1.png</t>
  </si>
  <si>
    <t>https://bilder.dasschnelle.at/DasSchnelle/50/5000/9910/061471/I_061471_P_906134748_B_0036177606_1.gal.png?height=333&amp;width=250;https://bilder.dasschnelle.at/DasSchnelle/50/5000/9910/061471/I_061471_P_906134748_B_0036177606_2.gal.png?height=333&amp;width=250;https://bilder.dasschnelle.at/DasSchnelle/50/5000/9910/061471/I_061471_P_906134748_B_0036177606_3.gal.png?height=300&amp;width=400;https://bilder.dasschnelle.at/DasSchnelle/50/5000/9910/061471/I_061471_P_906134748_B_0036177606_4.gal.png?height=384&amp;width=259</t>
  </si>
  <si>
    <t>Hollerer, Herbert, Holzbau • Ranten • Steiermark</t>
  </si>
  <si>
    <t>Holzbau • Hollerer, Herbert, Am Schloßfeld, Ranten • Kontakt über aktuelle Telefonnummern ☎ und Adressen ⚑ mit Karte, Routing, Öffnungszeiten, Homepage, E-Mail, vCard und Firmendaten.</t>
  </si>
  <si>
    <t>Am Schloßfeld</t>
  </si>
  <si>
    <t>47.15785</t>
  </si>
  <si>
    <t>14.08685</t>
  </si>
  <si>
    <t>+43353520023</t>
  </si>
  <si>
    <t>office@hollerer.cc</t>
  </si>
  <si>
    <t>https://bilder.dasschnelle.at/DasSchnelle/50/5000/9910/061470/G_061470_P_906134753.adn.gif</t>
  </si>
  <si>
    <t>Zangl, Josef, Malermeister • Ranten • Steiermark</t>
  </si>
  <si>
    <t>Malereibetriebe • Zangl, Josef, Freiberg 14, Ranten • Kontakt über aktuelle Telefonnummern ☎ und Adressen ⚑ mit Karte, Routing, Öffnungszeiten, Homepage, E-Mail, vCard und Firmendaten.</t>
  </si>
  <si>
    <t>Freiberg 14</t>
  </si>
  <si>
    <t>47.1655691</t>
  </si>
  <si>
    <t>14.0794478</t>
  </si>
  <si>
    <t>+436645076153</t>
  </si>
  <si>
    <t>info@malermeister-zangl.at</t>
  </si>
  <si>
    <t>https://bilder.dasschnelle.at/DasSchnelle/50/5000/9910/061470/G_061470_P_906134755.adn.gif</t>
  </si>
  <si>
    <t>Tischlerei Gruber GmbH, Tischler • Niederwölz • Steiermark</t>
  </si>
  <si>
    <t>Tischlereien • Tischlerei Gruber GmbH, Niederwölz • Kontakt über aktuelle Telefonnummern ☎ und Adressen ⚑ mit Karte, Routing, Öffnungszeiten, Homepage, E-Mail, vCard und Firmendaten.</t>
  </si>
  <si>
    <t>8831</t>
  </si>
  <si>
    <t>Niederwölz</t>
  </si>
  <si>
    <t>47.1500862</t>
  </si>
  <si>
    <t>14.3733168</t>
  </si>
  <si>
    <t>+43358222670</t>
  </si>
  <si>
    <t>office@tischlereigruber.at</t>
  </si>
  <si>
    <t>https://bilder.dasschnelle.at/DasSchnelle/50/5000/9910/045116/G_045116_P_906133341.adn.gif</t>
  </si>
  <si>
    <t>OFNER HERBERT ING GESMBH, Bauunternehmen • Sankt Georgen bei Neumarkt • Steiermark</t>
  </si>
  <si>
    <t>Bauunternehmen • OFNER HERBERT ING GESMBH, Sankt Georgen 118, Sankt Georgen bei Neumarkt • Kontakt über aktuelle Telefonnummern ☎ und Adressen ⚑ mit Karte, Routing, Öffnungszeiten, Homepage, E-Mail, vCard und Firmendaten.</t>
  </si>
  <si>
    <t>Sankt Georgen 118</t>
  </si>
  <si>
    <t>Sankt Georgen bei Neumarkt</t>
  </si>
  <si>
    <t>47.0664759</t>
  </si>
  <si>
    <t>14.4310424</t>
  </si>
  <si>
    <t>+43358423560</t>
  </si>
  <si>
    <t>+43358423564</t>
  </si>
  <si>
    <t>office@ofner-bau.at</t>
  </si>
  <si>
    <t>https://bilder.dasschnelle.at/DasSchnelle/50/5000/9910/061462/I_061462_P_906133345_L_0036208483_1.png</t>
  </si>
  <si>
    <t>Hasler GmbH, Dachdeckerei &amp; Spenglerei • Scheifling • Steiermark</t>
  </si>
  <si>
    <t>Dachdeckereien • Hasler GmbH, Puchfeldsiedlung 12, Scheifling • Kontakt über aktuelle Telefonnummern ☎ und Adressen ⚑ mit Karte, Routing, Öffnungszeiten, Homepage, E-Mail, vCard und Firmendaten.</t>
  </si>
  <si>
    <t>Puchfeldsiedlung 12</t>
  </si>
  <si>
    <t>47.12618</t>
  </si>
  <si>
    <t>14.44321</t>
  </si>
  <si>
    <t>+43358441993</t>
  </si>
  <si>
    <t>christian@hasler-dach.at</t>
  </si>
  <si>
    <t>https://bilder.dasschnelle.at/DasSchnelle/50/5000/9910/061446/I_061446_P_906133348_L_0036240471_1.png</t>
  </si>
  <si>
    <t>https://bilder.dasschnelle.at/DasSchnelle/50/5000/9910/061446/I_061446_P_906133348_B_0036240471_1.gal.png?height=157&amp;width=600;https://bilder.dasschnelle.at/DasSchnelle/50/5000/9910/061446/I_061446_P_906133348_B_0036240471_2.gal.png?height=157&amp;width=600;https://bilder.dasschnelle.at/DasSchnelle/50/5000/9910/061446/I_061446_P_906133348_B_0036240471_3.gal.png?height=157&amp;width=600;https://bilder.dasschnelle.at/DasSchnelle/50/5000/9910/061446/I_061446_P_906133348_B_0036240471_4.gal.png?height=157&amp;width=600</t>
  </si>
  <si>
    <t>Trinkl, Brigitte, Gärtnereien • Mariahof • Steiermark</t>
  </si>
  <si>
    <t>Gärtnereien • Trinkl, Brigitte, Stadlob 146, Mariahof • Kontakt über aktuelle Telefonnummern ☎ und Adressen ⚑ mit Karte, Routing, Öffnungszeiten, Homepage, E-Mail, vCard und Firmendaten.</t>
  </si>
  <si>
    <t>Stadlob 146</t>
  </si>
  <si>
    <t>47.08267</t>
  </si>
  <si>
    <t>14.41636</t>
  </si>
  <si>
    <t>+4335842490</t>
  </si>
  <si>
    <t>office@gaertnerei-trinkl.at</t>
  </si>
  <si>
    <t>https://bilder.dasschnelle.at/DasSchnelle/50/5000/9910/061462/G_061462_P_906133350.adn.gif</t>
  </si>
  <si>
    <t>EFB Fenster, Fenster • Hartberg • Steiermark</t>
  </si>
  <si>
    <t>Fenster u. Türen • EFB Fenster, Hans Fuchs Gasse 27/1, Hartberg • Kontakt über aktuelle Telefonnummern ☎ und Adressen ⚑ mit Karte, Routing, Öffnungszeiten, Homepage, E-Mail, vCard und Firmendaten.</t>
  </si>
  <si>
    <t>Hans Fuchs Gasse 27/1</t>
  </si>
  <si>
    <t>47.2880100</t>
  </si>
  <si>
    <t>15.9845800</t>
  </si>
  <si>
    <t>+436609427778</t>
  </si>
  <si>
    <t>efb.fenster@gmail.com</t>
  </si>
  <si>
    <t>https://bilder.dasschnelle.at/DasSchnelle/50/5000/9890/042582/I_042582_P_906133558_L_0038822674_1.png</t>
  </si>
  <si>
    <t>Maderbacher GmbH, Erdbau • Wenigzell • Steiermark</t>
  </si>
  <si>
    <t>Erdbau, Transportunternehmen • Maderbacher GmbH, Sommersgut 19, Wenigzell • Kontakt über aktuelle Telefonnummern ☎ und Adressen ⚑ mit Karte, Routing, Öffnungszeiten, Homepage, E-Mail, vCard und Firmendaten.</t>
  </si>
  <si>
    <t>Sommersgut 19</t>
  </si>
  <si>
    <t>8254</t>
  </si>
  <si>
    <t>Wenigzell</t>
  </si>
  <si>
    <t>47.4248198</t>
  </si>
  <si>
    <t>15.7893737</t>
  </si>
  <si>
    <t>+4333362217</t>
  </si>
  <si>
    <t>transporte.maderbacher@speed.at</t>
  </si>
  <si>
    <t>https://bilder.dasschnelle.at/DasSchnelle/50/5000/9890/043839/I_043839_P_906134808_L_0036262148_1.png</t>
  </si>
  <si>
    <t>https://bilder.dasschnelle.at/DasSchnelle/50/5000/9890/043839/I_043839_P_906134808_B_0036262148_1.gal.png?height=313&amp;width=300;https://bilder.dasschnelle.at/DasSchnelle/50/5000/9890/043839/I_043839_P_906134808_B_0036262148_2.gal.png?height=181&amp;width=180;https://bilder.dasschnelle.at/DasSchnelle/50/5000/9890/043839/I_043839_P_906134808_B_0036262148_3.gal.png?height=180&amp;width=180;https://bilder.dasschnelle.at/DasSchnelle/50/5000/9890/043839/I_043839_P_906134808_B_0036262148_4.gal.png?height=180&amp;width=180</t>
  </si>
  <si>
    <t>Pichler Fassaden OG, Fassaden • Vorau • Steiermark</t>
  </si>
  <si>
    <t>Fassaden • Pichler Fassaden OG, Vornholz 18, Vorau • Kontakt über aktuelle Telefonnummern ☎ und Adressen ⚑ mit Karte, Routing, Öffnungszeiten, Homepage, E-Mail, vCard und Firmendaten.</t>
  </si>
  <si>
    <t>Vornholz 18</t>
  </si>
  <si>
    <t>47.4289865</t>
  </si>
  <si>
    <t>15.8476652</t>
  </si>
  <si>
    <t>+436645155847</t>
  </si>
  <si>
    <t>office@pichler-fassaden.at</t>
  </si>
  <si>
    <t>https://bilder.dasschnelle.at/DasSchnelle/50/5000/9890/061414/G_061414_P_906133789.adn.gif</t>
  </si>
  <si>
    <t>RM Gebäudetechnik GmbH, Gebäudetechnik • Penzendorf • Steiermark</t>
  </si>
  <si>
    <t>Gebäudetechnik • RM Gebäudetechnik GmbH, Gewerbepark Greinbach West 249, Penzendorf • Kontakt über aktuelle Telefonnummern ☎ und Adressen ⚑ mit Karte, Routing, Öffnungszeiten, Homepage, E-Mail, vCard und Firmendaten.</t>
  </si>
  <si>
    <t>Gewerbepark Greinbach West 249</t>
  </si>
  <si>
    <t>Penzendorf</t>
  </si>
  <si>
    <t>47.31564</t>
  </si>
  <si>
    <t>15.97965</t>
  </si>
  <si>
    <t>+43333265264</t>
  </si>
  <si>
    <t>office@rm-gebaeudetechnik.at</t>
  </si>
  <si>
    <t>https://bilder.dasschnelle.at/DasSchnelle/50/5000/9890/042374/G_042374_P_906133557.adn.gif</t>
  </si>
  <si>
    <t>Smartes Wohnen Allmer, Elektro • Pischelsdorf am Kulm • Steiermark</t>
  </si>
  <si>
    <t>Elektrotechnik • Smartes Wohnen Allmer, Kleinpesendorf 53, Pischelsdorf am Kulm • Kontakt über aktuelle Telefonnummern ☎ und Adressen ⚑ mit Karte, Routing, Öffnungszeiten, Homepage, E-Mail, vCard und Firmendaten.</t>
  </si>
  <si>
    <t>https://bilder.dasschnelle.at/DasSchnelle/50/5000/9890/042583/I_042583_P_906135901_L_0036252711_1.png</t>
  </si>
  <si>
    <t>https://bilder.dasschnelle.at/DasSchnelle/50/5000/9890/042583/I_042583_P_906135901_B_0036252711_1.gal.png?height=3200&amp;width=4800</t>
  </si>
  <si>
    <t>Fuchsberger Stockinger, Steinmetzbetrieb • Vöcklamarkt • Salzburg</t>
  </si>
  <si>
    <t>Steinmetzbetriebe • Fuchsberger Stockinger, Blumenstraße 4, Vöcklamarkt • Kontakt über aktuelle Telefonnummern ☎ und Adressen ⚑ mit Karte, Routing, Öffnungszeiten, Homepage, E-Mail, vCard und Firmendaten.</t>
  </si>
  <si>
    <t>Blumenstraße 4</t>
  </si>
  <si>
    <t>47.9481400</t>
  </si>
  <si>
    <t>13.2258900</t>
  </si>
  <si>
    <t>+436641355154</t>
  </si>
  <si>
    <t>office@steinmetzbetrieb.com</t>
  </si>
  <si>
    <t>https://bilder.dasschnelle.at/DasSchnelle/50/5000/9940/043556/G_043556_P_906137185.adn.gif</t>
  </si>
  <si>
    <t>Wolfmayr, Gerald, Bäckerei • Altenfelden • Oberösterreich</t>
  </si>
  <si>
    <t>Bäckereien • Wolfmayr, Gerald, Veldenstraße 8, Altenfelden • Kontakt über aktuelle Telefonnummern ☎ und Adressen ⚑ mit Karte, Routing, Öffnungszeiten, Homepage, E-Mail, vCard und Firmendaten.</t>
  </si>
  <si>
    <t>Veldenstraße 8</t>
  </si>
  <si>
    <t>48.48502</t>
  </si>
  <si>
    <t>13.97096</t>
  </si>
  <si>
    <t>+4372825505;+436644150902</t>
  </si>
  <si>
    <t>gerald@wolfmayr.at</t>
  </si>
  <si>
    <t>https://bilder.dasschnelle.at/DasSchnelle/50/5000/9923/042263/G_042263_P_906135594.adn.gif</t>
  </si>
  <si>
    <t>Haustechnik Krenn GmbH • Kollerschlag • Oberösterreich</t>
  </si>
  <si>
    <t>Haustechnik • Haustechnik Krenn GmbH, Linzerstraße 20, Kollerschlag • Kontakt über aktuelle Telefonnummern ☎ und Adressen ⚑ mit Karte, Routing, Öffnungszeiten, Homepage, E-Mail, vCard und Firmendaten.</t>
  </si>
  <si>
    <t>Linzerstraße 20</t>
  </si>
  <si>
    <t>48.60153</t>
  </si>
  <si>
    <t>13.84358</t>
  </si>
  <si>
    <t>+4372878157</t>
  </si>
  <si>
    <t>office@ekrenn.com</t>
  </si>
  <si>
    <t>https://bilder.dasschnelle.at/DasSchnelle/50/5000/9923/042276/G_042276_P_906135597.adn.gif</t>
  </si>
  <si>
    <t>Wolkerstorfer, Alois, Café, Bäckerei, Konditorei • Kollerschlag • Oberösterreich</t>
  </si>
  <si>
    <t>Bäckereien, Cafés, Konditoreien • Wolkerstorfer, Alois, Markt 11, Kollerschlag • Kontakt über aktuelle Telefonnummern ☎ und Adressen ⚑ mit Karte, Routing, Öffnungszeiten, Homepage, E-Mail, vCard und Firmendaten.</t>
  </si>
  <si>
    <t>Markt 11</t>
  </si>
  <si>
    <t>48.60514</t>
  </si>
  <si>
    <t>13.84102</t>
  </si>
  <si>
    <t>+4372878137</t>
  </si>
  <si>
    <t>alois-wolkerstorfer@a1.net</t>
  </si>
  <si>
    <t>https://bilder.dasschnelle.at/DasSchnelle/50/5000/9923/042276/G_042276_P_906135599.adn.gif</t>
  </si>
  <si>
    <t>Neumüller, Friedrich, Transporte • Hofkirchen • Oberösterreich</t>
  </si>
  <si>
    <t>Kranservice • Neumüller, Friedrich, Hochhaus 4, Hofkirchen • Kontakt über aktuelle Telefonnummern ☎ und Adressen ⚑ mit Karte, Routing, Öffnungszeiten, Homepage, E-Mail, vCard und Firmendaten.</t>
  </si>
  <si>
    <t>Hochhaus 4</t>
  </si>
  <si>
    <t>Hofkirchen</t>
  </si>
  <si>
    <t>48.5088719</t>
  </si>
  <si>
    <t>13.7860820</t>
  </si>
  <si>
    <t>+4372856414;+436648496166;+436643413872;+436642610542</t>
  </si>
  <si>
    <t>info@neumueller-transporte.at</t>
  </si>
  <si>
    <t>https://bilder.dasschnelle.at/DasSchnelle/50/5000/9923/042286/I_042286_P_906135600_L_0036177690_1.png</t>
  </si>
  <si>
    <t>https://bilder.dasschnelle.at/DasSchnelle/50/5000/9923/042286/I_042286_P_906135600_B_0036177690_1.gal.png?height=208&amp;width=500;https://bilder.dasschnelle.at/DasSchnelle/50/5000/9923/042286/I_042286_P_906135600_B_0036177690_2.gal.png?height=208&amp;width=500;https://bilder.dasschnelle.at/DasSchnelle/50/5000/9923/042286/I_042286_P_906135600_B_0036177690_3.gal.png?height=208&amp;width=500;https://bilder.dasschnelle.at/DasSchnelle/50/5000/9923/042286/G_042286_P_906135600.adn.gif</t>
  </si>
  <si>
    <t>Lauß, Günther, Kernbohrungen Kernbohrungen • Haslach an der Mühl • Oberösterreich</t>
  </si>
  <si>
    <t>Kernbohrungen • Lauß, Günther, Hochgärten 33, Haslach an der Mühl • Kontakt über aktuelle Telefonnummern ☎ und Adressen ⚑ mit Karte, Routing, Öffnungszeiten, Homepage, E-Mail, vCard und Firmendaten.</t>
  </si>
  <si>
    <t>Hochgärten 33</t>
  </si>
  <si>
    <t>48.57726</t>
  </si>
  <si>
    <t>14.05673</t>
  </si>
  <si>
    <t>+436642509502</t>
  </si>
  <si>
    <t>betonschneider.lauss@gmail.com</t>
  </si>
  <si>
    <t>https://bilder.dasschnelle.at/DasSchnelle/50/5000/9923/042268/G_042268_P_906135930.adn.gif</t>
  </si>
  <si>
    <t>Kosta Leichtstahlbau GesmbH, Stahlbau • Niederwaldkirchen • Oberösterreich</t>
  </si>
  <si>
    <t>Stahl- u. Industriebau • Kosta Leichtstahlbau GesmbH, Drautendorf 57, Niederwaldkirchen • Kontakt über aktuelle Telefonnummern ☎ und Adressen ⚑ mit Karte, Routing, Öffnungszeiten, Homepage, E-Mail, vCard und Firmendaten.</t>
  </si>
  <si>
    <t>Drautendorf 57</t>
  </si>
  <si>
    <t>4174</t>
  </si>
  <si>
    <t>Niederwaldkirchen</t>
  </si>
  <si>
    <t>48.4423345</t>
  </si>
  <si>
    <t>14.0540720</t>
  </si>
  <si>
    <t>+4372313102</t>
  </si>
  <si>
    <t>+4372313101</t>
  </si>
  <si>
    <t>office@kosta-leichtstahlbau.at</t>
  </si>
  <si>
    <t>https://bilder.dasschnelle.at/DasSchnelle/50/5000/9923/042282/G_042282_P_906136986.adn.gif</t>
  </si>
  <si>
    <t>Waffen Hofer, Waffen • Sankt Johann am Wimberg • Oberösterreich</t>
  </si>
  <si>
    <t>Waffen u. Munition • Waffen Hofer, Pesenbach Straße 13, Sankt Johann am Wimberg • Kontakt über aktuelle Telefonnummern ☎ und Adressen ⚑ mit Karte, Routing, Öffnungszeiten, Homepage, E-Mail, vCard und Firmendaten.</t>
  </si>
  <si>
    <t>Pesenbach Straße 13</t>
  </si>
  <si>
    <t>14.11861</t>
  </si>
  <si>
    <t>+43721720639</t>
  </si>
  <si>
    <t>office@waffenhofer.at</t>
  </si>
  <si>
    <t>https://bilder.dasschnelle.at/DasSchnelle/50/5000/9923/042290/G_042290_P_906136989.adn.gif</t>
  </si>
  <si>
    <t>Fliesencenter Horvatits • Oberwart • Burgenland</t>
  </si>
  <si>
    <t>Fliesenfachhandel • Fliesencenter Horvatits, Steinamangerer Str. 170, Oberwart • Kontakt über aktuelle Telefonnummern ☎ und Adressen ⚑ mit Karte, Routing, Öffnungszeiten, Homepage, E-Mail, vCard und Firmendaten.</t>
  </si>
  <si>
    <t>Steinamangerer Str. 170</t>
  </si>
  <si>
    <t>47.2742300</t>
  </si>
  <si>
    <t>16.2323000</t>
  </si>
  <si>
    <t>+436644248520</t>
  </si>
  <si>
    <t>office@fliesencenter-horvatits.at</t>
  </si>
  <si>
    <t>https://bilder.dasschnelle.at/DasSchnelle/50/5000/9890/042582/G_042582_P_906135976.adn.gif</t>
  </si>
  <si>
    <t>Wildparkwirt, Gasthaus • Altenfelden • Oberösterreich</t>
  </si>
  <si>
    <t>Gastgewerbe - Gasthöfe • Wildparkwirt, Atzesberg 7, Altenfelden • Kontakt über aktuelle Telefonnummern ☎ und Adressen ⚑ mit Karte, Routing, Öffnungszeiten, Homepage, E-Mail, vCard und Firmendaten.</t>
  </si>
  <si>
    <t>Atzesberg 7</t>
  </si>
  <si>
    <t>48.4693357</t>
  </si>
  <si>
    <t>13.9591757</t>
  </si>
  <si>
    <t>+43728255860</t>
  </si>
  <si>
    <t>info@wildparkwirt.at</t>
  </si>
  <si>
    <t>https://bilder.dasschnelle.at/DasSchnelle/50/5000/9923/042263/G_042263_P_906137226.adn.gif</t>
  </si>
  <si>
    <t>Puchner, Otmar, Dr., FA f HNO-Krankheiten • Rohrbach-Berg • Oberösterreich</t>
  </si>
  <si>
    <t>Ärzte / Fachärzte f. Hals-, Nasen u. Ohrenkrankheiten • Puchner, Otmar, Dr., Stadtplatz 17, Rohrbach-Berg • Kontakt über aktuelle Telefonnummern ☎ und Adressen ⚑ mit Karte, Routing, Öffnungszeiten, Homepage, E-Mail, vCard und Firmendaten.</t>
  </si>
  <si>
    <t>+43728940030500</t>
  </si>
  <si>
    <t>+43728940030519</t>
  </si>
  <si>
    <t>hno@mdz-rohrbach.at</t>
  </si>
  <si>
    <t>https://bilder.dasschnelle.at/DasSchnelle/50/5000/9923/061480/G_061480_P_906137827.adn.gif</t>
  </si>
  <si>
    <t>Burger Boutique • Hartberg • Steiermark</t>
  </si>
  <si>
    <t>Mode • Burger Boutique, Ferdinand-Leihs-Straße 45, Hartberg • Kontakt über aktuelle Telefonnummern ☎ und Adressen ⚑ mit Karte, Routing, Öffnungszeiten, Homepage, E-Mail, vCard und Firmendaten.</t>
  </si>
  <si>
    <t>Ferdinand-Leihs-Straße 45</t>
  </si>
  <si>
    <t>47.2838245</t>
  </si>
  <si>
    <t>15.9913243</t>
  </si>
  <si>
    <t>+436766525721</t>
  </si>
  <si>
    <t>burgerboutiqueklagenfurt@gmail.com</t>
  </si>
  <si>
    <t>https://bilder.dasschnelle.at/DasSchnelle/50/5000/9890/042582/G_042582_P_906137518.adn.gif</t>
  </si>
  <si>
    <t>Putz Daniel Holzbau und Montagen • Wenigzell • Steiermark</t>
  </si>
  <si>
    <t>Holzbau • Putz Daniel Holzbau und Montagen, Sichart 67, Wenigzell • Kontakt über aktuelle Telefonnummern ☎ und Adressen ⚑ mit Karte, Routing, Öffnungszeiten, Homepage, E-Mail, vCard und Firmendaten.</t>
  </si>
  <si>
    <t>Sichart 67</t>
  </si>
  <si>
    <t>47.4038578</t>
  </si>
  <si>
    <t>15.7941063</t>
  </si>
  <si>
    <t>+436643151398</t>
  </si>
  <si>
    <t>putzdaniel1@gmx.at</t>
  </si>
  <si>
    <t>https://bilder.dasschnelle.at/DasSchnelle/50/5000/9890/043839/G_043839_P_906137519.adn.gif</t>
  </si>
  <si>
    <t>Roko Restaurant • Hartberg • Steiermark</t>
  </si>
  <si>
    <t>Restaurants • Roko Restaurant, Rochusplatz 5, Hartberg • Kontakt über aktuelle Telefonnummern ☎ und Adressen ⚑ mit Karte, Routing, Öffnungszeiten, Homepage, E-Mail, vCard und Firmendaten.</t>
  </si>
  <si>
    <t>Rochusplatz 5</t>
  </si>
  <si>
    <t>47.2820340</t>
  </si>
  <si>
    <t>15.9731095</t>
  </si>
  <si>
    <t>+436507059694</t>
  </si>
  <si>
    <t>roko.restaurant@gmx.at</t>
  </si>
  <si>
    <t>https://bilder.dasschnelle.at/DasSchnelle/50/5000/9890/042582/I_042582_P_906137520_L_0038823759_1.png</t>
  </si>
  <si>
    <t>https://bilder.dasschnelle.at/DasSchnelle/50/5000/9890/042582/I_042582_P_906137520_B_0038823759_1.gal.png?height=700&amp;width=700;https://bilder.dasschnelle.at/DasSchnelle/50/5000/9890/042582/I_042582_P_906137520_B_0038823759_2.gal.png?height=700&amp;width=700;https://bilder.dasschnelle.at/DasSchnelle/50/5000/9890/042582/I_042582_P_906137520_B_0038823759_3.gal.png?height=700&amp;width=700;https://bilder.dasschnelle.at/DasSchnelle/50/5000/9890/042582/I_042582_P_906137520_B_0038823759_4.gal.png?height=585&amp;width=700</t>
  </si>
  <si>
    <t>Naturpark-Bus, Busunternehmen • Zeutschach • Steiermark</t>
  </si>
  <si>
    <t>Busunternehmen • Naturpark-Bus, Zeutschach • Kontakt über aktuelle Telefonnummern ☎ und Adressen ⚑ mit Karte, Routing, Öffnungszeiten, Homepage, E-Mail, vCard und Firmendaten.</t>
  </si>
  <si>
    <t>47.0712477</t>
  </si>
  <si>
    <t>14.3664485</t>
  </si>
  <si>
    <t>+436644024600</t>
  </si>
  <si>
    <t>info@naturpark-bus.at</t>
  </si>
  <si>
    <t>https://bilder.dasschnelle.at/DasSchnelle/50/5000/9910/061462/G_061462_P_906139548.adn.gif</t>
  </si>
  <si>
    <t>Reinhard Mühlsteiner Dach und Wand GmbH, Dachdeckerei-Spenglerei • Rohrbach • Oberösterreich</t>
  </si>
  <si>
    <t>Dachdeckereien, Spenglereien • Reinhard Mühlsteiner Dach und Wand GmbH, Neundling 23, Rohrbach • Kontakt über aktuelle Telefonnummern ☎ und Adressen ⚑ mit Karte, Routing, Öffnungszeiten, Homepage, E-Mail, vCard und Firmendaten.</t>
  </si>
  <si>
    <t>Neundling 23</t>
  </si>
  <si>
    <t>48.5736366</t>
  </si>
  <si>
    <t>13.9907476</t>
  </si>
  <si>
    <t>+43728943230</t>
  </si>
  <si>
    <t>office@muehlsteiner.at</t>
  </si>
  <si>
    <t>https://bilder.dasschnelle.at/DasSchnelle/50/5000/9923/061480/G_061480_P_906139658.adn.gif</t>
  </si>
  <si>
    <t>Kumpfmüller Bau GmbH, Bauunternehmen • Lembach im Mühlkreis • Oberösterreich</t>
  </si>
  <si>
    <t>Bauunternehmen • Kumpfmüller Bau GmbH, Linzer Straße 46, Lembach im Mühlkreis • Kontakt über aktuelle Telefonnummern ☎ und Adressen ⚑ mit Karte, Routing, Öffnungszeiten, Homepage, E-Mail, vCard und Firmendaten.</t>
  </si>
  <si>
    <t>Linzer Straße 46</t>
  </si>
  <si>
    <t>48.48921</t>
  </si>
  <si>
    <t>13.90321</t>
  </si>
  <si>
    <t>+43728681230;+437286812324</t>
  </si>
  <si>
    <t>+437286812345</t>
  </si>
  <si>
    <t>office@kumpfmueller.co.at</t>
  </si>
  <si>
    <t>https://bilder.dasschnelle.at/DasSchnelle/50/5000/9923/042277/G_042277_P_906139560.adn.gif</t>
  </si>
  <si>
    <t>Kneidinger Center GmbH, Autohandel • Rohrbach • Oberösterreich</t>
  </si>
  <si>
    <t>Autohandel • Kneidinger Center GmbH, Gewerbeallee 24, Rohrbach • Kontakt über aktuelle Telefonnummern ☎ und Adressen ⚑ mit Karte, Routing, Öffnungszeiten, Homepage, E-Mail, vCard und Firmendaten.</t>
  </si>
  <si>
    <t>Gewerbeallee 24</t>
  </si>
  <si>
    <t>48.5659130</t>
  </si>
  <si>
    <t>13.9849170</t>
  </si>
  <si>
    <t>+4372898951;+43728962412;+43728987470</t>
  </si>
  <si>
    <t>info@kneidingercenter.at</t>
  </si>
  <si>
    <t>https://bilder.dasschnelle.at/DasSchnelle/50/5000/9923/061480/G_061480_P_906140474.adn.gif</t>
  </si>
  <si>
    <t>Lindorfer, Manfred, Raumausstattung • Altenfelden • Oberösterreich</t>
  </si>
  <si>
    <t>Raumausstatter • Lindorfer, Manfred, Freileben 12, Altenfelden • Kontakt über aktuelle Telefonnummern ☎ und Adressen ⚑ mit Karte, Routing, Öffnungszeiten, Homepage, E-Mail, vCard und Firmendaten.</t>
  </si>
  <si>
    <t>Freileben 12</t>
  </si>
  <si>
    <t>48.4916573</t>
  </si>
  <si>
    <t>13.9716948</t>
  </si>
  <si>
    <t>+4372825911</t>
  </si>
  <si>
    <t>info@raum.li</t>
  </si>
  <si>
    <t>https://bilder.dasschnelle.at/DasSchnelle/50/5000/9923/042263/G_042263_P_906140655.adn.gif</t>
  </si>
  <si>
    <t>MDZ-Rohrbach, Ärzte • Rohrbach-Berg • Oberösterreich</t>
  </si>
  <si>
    <t>Ärzte / Fachärzte f. Innere Medizin • MDZ-Rohrbach, Stadtplatz 17, Rohrbach-Berg • Kontakt über aktuelle Telefonnummern ☎ und Adressen ⚑ mit Karte, Routing, Öffnungszeiten, Homepage, E-Mail, vCard und Firmendaten.</t>
  </si>
  <si>
    <t>+43728940030</t>
  </si>
  <si>
    <t>https://bilder.dasschnelle.at/DasSchnelle/50/5000/9923/061480/G_061480_P_906139512.adn.gif</t>
  </si>
  <si>
    <t>Schröcker, Ulrike, Kosmetikstudio • Murau • Steiermark</t>
  </si>
  <si>
    <t>Kosmetikstudios • Schröcker, Ulrike, Bundesstraße 1 A, Murau • Kontakt über aktuelle Telefonnummern ☎ und Adressen ⚑ mit Karte, Routing, Öffnungszeiten, Homepage, E-Mail, vCard und Firmendaten.</t>
  </si>
  <si>
    <t>Bundesstraße 1 A</t>
  </si>
  <si>
    <t>47.11148</t>
  </si>
  <si>
    <t>14.18399</t>
  </si>
  <si>
    <t>+436645286576</t>
  </si>
  <si>
    <t>ulrike.schroecker@gmx.at</t>
  </si>
  <si>
    <t>https://bilder.dasschnelle.at/DasSchnelle/50/5000/9910/061401/G_061401_P_906140450.adn.gif</t>
  </si>
  <si>
    <t>Pobatschnig, Hubert, Bodenverlegung • Neumarkt • Steiermark</t>
  </si>
  <si>
    <t>Bodenverlegung, Raumausstatter • Pobatschnig, Hubert, Kärntner Straße 2, Neumarkt • Kontakt über aktuelle Telefonnummern ☎ und Adressen ⚑ mit Karte, Routing, Öffnungszeiten, Homepage, E-Mail, vCard und Firmendaten.</t>
  </si>
  <si>
    <t>Kärntner Straße 2</t>
  </si>
  <si>
    <t>47.0712306</t>
  </si>
  <si>
    <t>14.4270988</t>
  </si>
  <si>
    <t>+4335842165</t>
  </si>
  <si>
    <t>office@hupo-raumdesign.at</t>
  </si>
  <si>
    <t>https://bilder.dasschnelle.at/DasSchnelle/50/5000/9910/061462/G_061462_P_906139613.adn.gif</t>
  </si>
  <si>
    <t>Hasler, Peter, Fenster u Türen • Neumarkt • Steiermark</t>
  </si>
  <si>
    <t>Fenster u. Türen • Hasler, Peter, Birkenweg 15, Neumarkt • Kontakt über aktuelle Telefonnummern ☎ und Adressen ⚑ mit Karte, Routing, Öffnungszeiten, Homepage, E-Mail, vCard und Firmendaten.</t>
  </si>
  <si>
    <t>Birkenweg 15</t>
  </si>
  <si>
    <t>47.0753597</t>
  </si>
  <si>
    <t>14.4160007</t>
  </si>
  <si>
    <t>+43358440082</t>
  </si>
  <si>
    <t>phasler@aon.at</t>
  </si>
  <si>
    <t>https://bilder.dasschnelle.at/DasSchnelle/50/5000/9910/061462/I_061462_P_906139615_L_0036250478_1.png</t>
  </si>
  <si>
    <t>https://bilder.dasschnelle.at/DasSchnelle/50/5000/9910/061462/G_061462_P_906139615.adn.gif</t>
  </si>
  <si>
    <t>Gasthaus Tritscher e.U. • Schladming • Steiermark</t>
  </si>
  <si>
    <t>Gastgewerbe - Gasthöfe, Hotels • Gasthaus Tritscher e.U., Salzburgerstraße 27, Schladming • Kontakt über aktuelle Telefonnummern ☎ und Adressen ⚑ mit Karte, Routing, Öffnungszeiten, Homepage, E-Mail, vCard und Firmendaten.</t>
  </si>
  <si>
    <t>Salzburgerstraße 27</t>
  </si>
  <si>
    <t>47.3914</t>
  </si>
  <si>
    <t>13.68733</t>
  </si>
  <si>
    <t>+43368722435</t>
  </si>
  <si>
    <t>info@kirchenwirt-schladming.com</t>
  </si>
  <si>
    <t>https://bilder.dasschnelle.at/DasSchnelle/50/5000/9928/061454/I_061454_P_906140604_L_0036237636_1.png</t>
  </si>
  <si>
    <t>https://bilder.dasschnelle.at/DasSchnelle/50/5000/9928/061454/I_061454_P_906140604_B_0036237636_1.gal.png?height=160&amp;width=240;https://bilder.dasschnelle.at/DasSchnelle/50/5000/9928/061454/I_061454_P_906140604_B_0036237636_2.gal.png?height=160&amp;width=240;https://bilder.dasschnelle.at/DasSchnelle/50/5000/9928/061454/I_061454_P_906140604_B_0036237636_3.gal.png?height=380&amp;width=965;https://bilder.dasschnelle.at/DasSchnelle/50/5000/9928/061454/I_061454_P_906140604_B_0036237636_4.gal.png?height=180&amp;width=240</t>
  </si>
  <si>
    <t>Kieweg, Elfriede, Tapezierermeister • Sarleinsbach • Oberösterreich</t>
  </si>
  <si>
    <t>Malereibetriebe, Raumausstatter, Tapezierer u. Dekorateure • Kieweg, Elfriede, Scheibstatt 5, Sarleinsbach • Kontakt über aktuelle Telefonnummern ☎ und Adressen ⚑ mit Karte, Routing, Öffnungszeiten, Homepage, E-Mail, vCard und Firmendaten.</t>
  </si>
  <si>
    <t>Scheibstatt 5</t>
  </si>
  <si>
    <t>48.54428</t>
  </si>
  <si>
    <t>13.90527</t>
  </si>
  <si>
    <t>+4372838219</t>
  </si>
  <si>
    <t>elfriede.kieweg@aon.at</t>
  </si>
  <si>
    <t>https://bilder.dasschnelle.at/DasSchnelle/50/5000/9923/042297/G_042297_P_906140608.adn.gif</t>
  </si>
  <si>
    <t>Mittermayr, Sigrid, Friseur • Sarleinsbach • Oberösterreich</t>
  </si>
  <si>
    <t>Friseure • Mittermayr, Sigrid, Zöhrerweg 2, Sarleinsbach • Kontakt über aktuelle Telefonnummern ☎ und Adressen ⚑ mit Karte, Routing, Öffnungszeiten, Homepage, E-Mail, vCard und Firmendaten.</t>
  </si>
  <si>
    <t>Zöhrerweg 2</t>
  </si>
  <si>
    <t>48.54615</t>
  </si>
  <si>
    <t>13.90408</t>
  </si>
  <si>
    <t>+4372838786</t>
  </si>
  <si>
    <t>sigrid.mittermayr@aon.at</t>
  </si>
  <si>
    <t>https://bilder.dasschnelle.at/DasSchnelle/50/5000/9923/042297/G_042297_P_906140610.adn.gif</t>
  </si>
  <si>
    <t>Markolin GmbH, Dachdeckerei • Neumarkt in Steiermark • Steiermark</t>
  </si>
  <si>
    <t>Dachdeckereien • Markolin GmbH, Altenbach 18, Neumarkt in Steiermark • Kontakt über aktuelle Telefonnummern ☎ und Adressen ⚑ mit Karte, Routing, Öffnungszeiten, Homepage, E-Mail, vCard und Firmendaten.</t>
  </si>
  <si>
    <t>Altenbach 18</t>
  </si>
  <si>
    <t>Neumarkt in Steiermark</t>
  </si>
  <si>
    <t>47.0799244</t>
  </si>
  <si>
    <t>14.4255155</t>
  </si>
  <si>
    <t>+43358434234</t>
  </si>
  <si>
    <t>https://bilder.dasschnelle.at/DasSchnelle/50/5000/9910/061462/I_061462_P_906141655_L_0036208478_1.png</t>
  </si>
  <si>
    <t>https://bilder.dasschnelle.at/DasSchnelle/50/5000/9910/061462/I_061462_P_906141655_B_0036208478_1.gal.png?height=400&amp;width=600;https://bilder.dasschnelle.at/DasSchnelle/50/5000/9910/061462/I_061462_P_906141655_B_0036208478_2.gal.png?height=400&amp;width=600;https://bilder.dasschnelle.at/DasSchnelle/50/5000/9910/061462/I_061462_P_906141655_B_0036208478_3.gal.png?height=400&amp;width=600;https://bilder.dasschnelle.at/DasSchnelle/50/5000/9910/061462/I_061462_P_906141655_B_0036208478_4.gal.png?height=400&amp;width=600</t>
  </si>
  <si>
    <t>Lehner &amp; Wöss OG, Farbenfachhandel • Aigen-Schlägl • Oberösterreich</t>
  </si>
  <si>
    <t>Farbenfachhandel • Lehner &amp; Wöss OG, Gartenstraße 11, Aigen-Schlägl • Kontakt über aktuelle Telefonnummern ☎ und Adressen ⚑ mit Karte, Routing, Öffnungszeiten, Homepage, E-Mail, vCard und Firmendaten.</t>
  </si>
  <si>
    <t>Gartenstraße 11</t>
  </si>
  <si>
    <t>48.6473318</t>
  </si>
  <si>
    <t>13.9702822</t>
  </si>
  <si>
    <t>+43728160078</t>
  </si>
  <si>
    <t>office@lehner-woess.at</t>
  </si>
  <si>
    <t>https://bilder.dasschnelle.at/DasSchnelle/50/5000/9923/061481/G_061481_P_906141591.adn.gif</t>
  </si>
  <si>
    <t>Pfoser Sägewerk e.U., Sägewerk • Ulrichsberg • Oberösterreich</t>
  </si>
  <si>
    <t>Säge- u. Hobelwerke • Pfoser Sägewerk e.U., Hintenberg 57, Ulrichsberg • Kontakt über aktuelle Telefonnummern ☎ und Adressen ⚑ mit Karte, Routing, Öffnungszeiten, Homepage, E-Mail, vCard und Firmendaten.</t>
  </si>
  <si>
    <t>Hintenberg 57</t>
  </si>
  <si>
    <t>48.6858534</t>
  </si>
  <si>
    <t>13.9267225</t>
  </si>
  <si>
    <t>+4372882456</t>
  </si>
  <si>
    <t>office@holz-pfoser.at</t>
  </si>
  <si>
    <t>https://bilder.dasschnelle.at/DasSchnelle/50/5000/9923/042301/G_042301_P_906141598.adn.gif</t>
  </si>
  <si>
    <t>NT Bauservice, Bauunternehmen • Oepping • Oberösterreich</t>
  </si>
  <si>
    <t>Bauunternehmen • NT Bauservice, Oberneudorf 3, Oepping • Kontakt über aktuelle Telefonnummern ☎ und Adressen ⚑ mit Karte, Routing, Öffnungszeiten, Homepage, E-Mail, vCard und Firmendaten.</t>
  </si>
  <si>
    <t>Oberneudorf 3</t>
  </si>
  <si>
    <t>4151</t>
  </si>
  <si>
    <t>Oepping</t>
  </si>
  <si>
    <t>48.6246461</t>
  </si>
  <si>
    <t>13.9321497</t>
  </si>
  <si>
    <t>+436607749190</t>
  </si>
  <si>
    <t>office@nt-bauservice.at</t>
  </si>
  <si>
    <t>https://bilder.dasschnelle.at/DasSchnelle/50/5000/9923/042284/I_042284_P_906141574_L_0036177518_1.png</t>
  </si>
  <si>
    <t>https://bilder.dasschnelle.at/DasSchnelle/50/5000/9923/042284/I_042284_P_906141574_B_0036177518_1.gal.png?height=400&amp;width=600;https://bilder.dasschnelle.at/DasSchnelle/50/5000/9923/042284/I_042284_P_906141574_B_0036177518_2.gal.png?height=400&amp;width=600;https://bilder.dasschnelle.at/DasSchnelle/50/5000/9923/042284/I_042284_P_906141574_B_0036177518_3.gal.png?height=475&amp;width=715;https://bilder.dasschnelle.at/DasSchnelle/50/5000/9923/042284/I_042284_P_906141574_B_0036177518_4.gal.png?height=475&amp;width=716</t>
  </si>
  <si>
    <t>H &amp; H Haustechnik • Hartberg • Steiermark</t>
  </si>
  <si>
    <t>Haustechnik • H &amp; H Haustechnik, Flattendorf 5/4, Hartberg • Kontakt über aktuelle Telefonnummern ☎ und Adressen ⚑ mit Karte, Routing, Öffnungszeiten, Homepage, E-Mail, vCard und Firmendaten.</t>
  </si>
  <si>
    <t>Flattendorf 5/4</t>
  </si>
  <si>
    <t>47.2672300</t>
  </si>
  <si>
    <t>15.9179800</t>
  </si>
  <si>
    <t>+436645464508</t>
  </si>
  <si>
    <t>office@hh-haustechnik.at</t>
  </si>
  <si>
    <t>https://bilder.dasschnelle.at/DasSchnelle/50/5000/9890/042582/G_042582_P_906141830.adn.gif</t>
  </si>
  <si>
    <t>Gattringer, Klaus/Maria, Kfz-Werkstatt • Altenfelden • Oberösterreich</t>
  </si>
  <si>
    <t>Autohandel • Gattringer, Klaus/Maria, Mairhof 7, Altenfelden • Kontakt über aktuelle Telefonnummern ☎ und Adressen ⚑ mit Karte, Routing, Öffnungszeiten, Homepage, E-Mail, vCard und Firmendaten.</t>
  </si>
  <si>
    <t>Mairhof 7</t>
  </si>
  <si>
    <t>48.4863272</t>
  </si>
  <si>
    <t>13.9456528</t>
  </si>
  <si>
    <t>+4372825329</t>
  </si>
  <si>
    <t>info@kfz-gattringer.at</t>
  </si>
  <si>
    <t>https://bilder.dasschnelle.at/DasSchnelle/50/5000/9923/042263/G_042263_P_906142461.adn.gif</t>
  </si>
  <si>
    <t>Höller, Günter, Gasthaus • Sankt Peter am Wimberg • Oberösterreich</t>
  </si>
  <si>
    <t>Gastgewerbe - Gasthöfe • Höller, Günter, Wimbergstraße 11, Sankt Peter am Wimberg • Kontakt über aktuelle Telefonnummern ☎ und Adressen ⚑ mit Karte, Routing, Öffnungszeiten, Homepage, E-Mail, vCard und Firmendaten.</t>
  </si>
  <si>
    <t>Wimbergstraße 11</t>
  </si>
  <si>
    <t>Sankt Peter am Wimberg</t>
  </si>
  <si>
    <t>48.5020326</t>
  </si>
  <si>
    <t>14.0804834</t>
  </si>
  <si>
    <t>+4372828039;+43728220029</t>
  </si>
  <si>
    <t>info@gh-hoeller.at</t>
  </si>
  <si>
    <t>https://bilder.dasschnelle.at/DasSchnelle/50/5000/9923/042293/G_042293_P_906142466.adn.gif</t>
  </si>
  <si>
    <t>Auto Pöchtrager GmbH • Neufelden • Oberösterreich</t>
  </si>
  <si>
    <t>Autohandel, Autoreparaturen • Auto Pöchtrager GmbH, Veldner Straße 76, Neufelden • Kontakt über aktuelle Telefonnummern ☎ und Adressen ⚑ mit Karte, Routing, Öffnungszeiten, Homepage, E-Mail, vCard und Firmendaten.</t>
  </si>
  <si>
    <t>Veldner Straße 76</t>
  </si>
  <si>
    <t>4120</t>
  </si>
  <si>
    <t>Neufelden</t>
  </si>
  <si>
    <t>48.48605</t>
  </si>
  <si>
    <t>13.98599</t>
  </si>
  <si>
    <t>+4372826338</t>
  </si>
  <si>
    <t>office@poechtrager.com</t>
  </si>
  <si>
    <t>https://bilder.dasschnelle.at/DasSchnelle/50/5000/9923/042280/G_042280_P_906141735.adn.gif</t>
  </si>
  <si>
    <t>Reinis Gartenservice • Haslach an der Mühl • Oberösterreich</t>
  </si>
  <si>
    <t>Garten- u. Landschaftsgestaltung • Reinis Gartenservice, Weberstraße 2, Haslach an der Mühl • Kontakt über aktuelle Telefonnummern ☎ und Adressen ⚑ mit Karte, Routing, Öffnungszeiten, Homepage, E-Mail, vCard und Firmendaten.</t>
  </si>
  <si>
    <t>Weberstraße 2</t>
  </si>
  <si>
    <t>48.5756700</t>
  </si>
  <si>
    <t>14.0340200</t>
  </si>
  <si>
    <t>+436641619492</t>
  </si>
  <si>
    <t>office@reinis-gartenservice.at</t>
  </si>
  <si>
    <t>https://bilder.dasschnelle.at/DasSchnelle/50/5000/9923/042268/I_042268_P_906144236_L_0038479311_1.png</t>
  </si>
  <si>
    <t>https://bilder.dasschnelle.at/DasSchnelle/50/5000/9923/042268/I_042268_P_906144236_B_0038479311_1.gal.png?height=300&amp;width=225;https://bilder.dasschnelle.at/DasSchnelle/50/5000/9923/042268/I_042268_P_906144236_B_0038479311_2.gal.png?height=100&amp;width=150;https://bilder.dasschnelle.at/DasSchnelle/50/5000/9923/042268/I_042268_P_906144236_B_0038479311_3.gal.png?height=100&amp;width=150;https://bilder.dasschnelle.at/DasSchnelle/50/5000/9923/042268/I_042268_P_906144236_B_0038479311_4.gal.png?height=100&amp;width=150</t>
  </si>
  <si>
    <t>Hehenberger, Ralph, Friseur • Hofkirchen im Mühlkreis • Oberösterreich</t>
  </si>
  <si>
    <t>Friseure • Hehenberger, Ralph, Marsbacher Straße 1, Hofkirchen im Mühlkreis • Kontakt über aktuelle Telefonnummern ☎ und Adressen ⚑ mit Karte, Routing, Öffnungszeiten, Homepage, E-Mail, vCard und Firmendaten.</t>
  </si>
  <si>
    <t>Marsbacher Straße 1</t>
  </si>
  <si>
    <t>48.48225</t>
  </si>
  <si>
    <t>13.81317</t>
  </si>
  <si>
    <t>+4372852690;+4372856466</t>
  </si>
  <si>
    <t>office@hehenberger.at</t>
  </si>
  <si>
    <t>https://bilder.dasschnelle.at/DasSchnelle/50/5000/9923/042271/G_042271_P_906145413.adn.gif</t>
  </si>
  <si>
    <t>HRM Versicherungsmakler GmbH • Hofkirchen • Oberösterreich</t>
  </si>
  <si>
    <t>Versicherungsmakler • HRM Versicherungsmakler GmbH, Sportstraße 7, Hofkirchen • Kontakt über aktuelle Telefonnummern ☎ und Adressen ⚑ mit Karte, Routing, Öffnungszeiten, Homepage, E-Mail, vCard und Firmendaten.</t>
  </si>
  <si>
    <t>Sportstraße 7</t>
  </si>
  <si>
    <t>48.48273</t>
  </si>
  <si>
    <t>13.80482</t>
  </si>
  <si>
    <t>+4372857017</t>
  </si>
  <si>
    <t>o.bauer@lml.at</t>
  </si>
  <si>
    <t>https://bilder.dasschnelle.at/DasSchnelle/50/5000/9923/042271/I_042271_P_906145416_L_0036177422_1.png</t>
  </si>
  <si>
    <t>https://bilder.dasschnelle.at/DasSchnelle/50/5000/9923/042271/I_042271_P_906145416_B_0036177422_1.gal.png?height=442&amp;width=502;https://bilder.dasschnelle.at/DasSchnelle/50/5000/9923/042271/I_042271_P_906145416_B_0036177422_2.gal.png?height=310&amp;width=540</t>
  </si>
  <si>
    <t>Kepplinger, Siegfried, Tischler • Sankt Martin im Mühlkreis • Oberösterreich</t>
  </si>
  <si>
    <t>Bestattungsunternehmen, Tischlereien • Kepplinger, Siegfried, Schmiedgrub 1, Sankt Martin im Mühlkreis • Kontakt über aktuelle Telefonnummern ☎ und Adressen ⚑ mit Karte, Routing, Öffnungszeiten, Homepage, E-Mail, vCard und Firmendaten.</t>
  </si>
  <si>
    <t>Schmiedgrub 1</t>
  </si>
  <si>
    <t>48.41555</t>
  </si>
  <si>
    <t>14.04747</t>
  </si>
  <si>
    <t>+43723236480;+437232364899</t>
  </si>
  <si>
    <t>siegfried.kepplinger@tischlerei-kepplinger.at</t>
  </si>
  <si>
    <t>https://bilder.dasschnelle.at/DasSchnelle/50/5000/9923/042291/G_042291_P_906145420.adn.gif</t>
  </si>
  <si>
    <t>Kneidinger J. GesmbH, Autohandel • Haslach an der Mühl • Oberösterreich</t>
  </si>
  <si>
    <t>Autohandel • Kneidinger J. GesmbH, Sternwaldstraße 48, Haslach an der Mühl • Kontakt über aktuelle Telefonnummern ☎ und Adressen ⚑ mit Karte, Routing, Öffnungszeiten, Homepage, E-Mail, vCard und Firmendaten.</t>
  </si>
  <si>
    <t>Sternwaldstraße 48</t>
  </si>
  <si>
    <t>48.57488</t>
  </si>
  <si>
    <t>14.05124</t>
  </si>
  <si>
    <t>+43728971797</t>
  </si>
  <si>
    <t>info@kneidinger.bmw.at</t>
  </si>
  <si>
    <t>https://bilder.dasschnelle.at/DasSchnelle/50/5000/9923/042268/G_042268_P_906144530.adn.gif</t>
  </si>
  <si>
    <t>Dollhofer, Sebastian, Friseur • Vorchdorf • Oberösterreich</t>
  </si>
  <si>
    <t>Friseure • Dollhofer, Sebastian, Bahnhofstraße 6, Vorchdorf • Kontakt über aktuelle Telefonnummern ☎ und Adressen ⚑ mit Karte, Routing, Öffnungszeiten, Homepage, E-Mail, vCard und Firmendaten.</t>
  </si>
  <si>
    <t>48.00258</t>
  </si>
  <si>
    <t>13.92092</t>
  </si>
  <si>
    <t>+436765243128</t>
  </si>
  <si>
    <t>s.dollhofer@gmx.at</t>
  </si>
  <si>
    <t>https://bilder.dasschnelle.at/DasSchnelle/50/5000/9943/041807/G_041807_P_906145556.adn.gif</t>
  </si>
  <si>
    <t>Kohler, Dieter, Friseur • Eberstalzell • Oberösterreich</t>
  </si>
  <si>
    <t>Friseure • Kohler, Dieter, Hauptstraße 6, Eberstalzell • Kontakt über aktuelle Telefonnummern ☎ und Adressen ⚑ mit Karte, Routing, Öffnungszeiten, Homepage, E-Mail, vCard und Firmendaten.</t>
  </si>
  <si>
    <t>48.04402</t>
  </si>
  <si>
    <t>13.98178</t>
  </si>
  <si>
    <t>+4372415577</t>
  </si>
  <si>
    <t>office@salon-kohler.at</t>
  </si>
  <si>
    <t>https://bilder.dasschnelle.at/DasSchnelle/50/5000/9934/043566/G_043566_P_906146772.adn.gif</t>
  </si>
  <si>
    <t>Günter Thaller, Glaserei • Hofkirchen im Mühlkreis • Oberösterreich</t>
  </si>
  <si>
    <t>Glasereien • Günter Thaller, Mühlgasse 2, Hofkirchen im Mühlkreis • Kontakt über aktuelle Telefonnummern ☎ und Adressen ⚑ mit Karte, Routing, Öffnungszeiten, Homepage, E-Mail, vCard und Firmendaten.</t>
  </si>
  <si>
    <t>Mühlgasse 2</t>
  </si>
  <si>
    <t>48.4828</t>
  </si>
  <si>
    <t>13.8104</t>
  </si>
  <si>
    <t>+43728524608</t>
  </si>
  <si>
    <t>glasbau@ihr-glaser.at</t>
  </si>
  <si>
    <t>https://bilder.dasschnelle.at/DasSchnelle/50/5000/9923/042271/I_042271_P_906147005_L_0035993796_1.png</t>
  </si>
  <si>
    <t>https://bilder.dasschnelle.at/DasSchnelle/50/5000/9923/042271/I_042271_P_906147005_B_0035993796_1.gal.png?height=720&amp;width=540;https://bilder.dasschnelle.at/DasSchnelle/50/5000/9923/042271/I_042271_P_906147005_B_0035993796_2.gal.png?height=720&amp;width=540;https://bilder.dasschnelle.at/DasSchnelle/50/5000/9923/042271/I_042271_P_906147005_B_0035993796_3.gal.png?height=540&amp;width=720;https://bilder.dasschnelle.at/DasSchnelle/50/5000/9923/042271/I_042271_P_906147005_B_0035993796_4.gal.png?height=404&amp;width=720</t>
  </si>
  <si>
    <t>Metallbau Prielinger GmbH • Vorchdorf • Oberösterreich</t>
  </si>
  <si>
    <t>Metallbau • Metallbau Prielinger GmbH, Josef Haas-Straße 10, Vorchdorf • Kontakt über aktuelle Telefonnummern ☎ und Adressen ⚑ mit Karte, Routing, Öffnungszeiten, Homepage, E-Mail, vCard und Firmendaten.</t>
  </si>
  <si>
    <t>Josef Haas-Straße 10</t>
  </si>
  <si>
    <t>48.01401</t>
  </si>
  <si>
    <t>13.91994</t>
  </si>
  <si>
    <t>+43761451544</t>
  </si>
  <si>
    <t>office@prielinger.com</t>
  </si>
  <si>
    <t>https://bilder.dasschnelle.at/DasSchnelle/50/5000/9943/041807/G_041807_P_906148094.adn.gif</t>
  </si>
  <si>
    <t>Kalki`s Hausfleischerei e.U. • Vorchdorf • Oberösterreich</t>
  </si>
  <si>
    <t>Fleischhauereien • Kalki`s Hausfleischerei e.U., Albenedt 19, Vorchdorf • Kontakt über aktuelle Telefonnummern ☎ und Adressen ⚑ mit Karte, Routing, Öffnungszeiten, Homepage, E-Mail, vCard und Firmendaten.</t>
  </si>
  <si>
    <t>Albenedt 19</t>
  </si>
  <si>
    <t>47.9995363</t>
  </si>
  <si>
    <t>13.9771307</t>
  </si>
  <si>
    <t>+4369911508952</t>
  </si>
  <si>
    <t>office@kalkis-hausfleischerei.at</t>
  </si>
  <si>
    <t>https://bilder.dasschnelle.at/DasSchnelle/50/5000/9943/041807/G_041807_P_906148095.adn.gif</t>
  </si>
  <si>
    <t>Kleiderreinigung, Textilreinigung • Vorchdorf • Oberösterreich</t>
  </si>
  <si>
    <t>Textilreinigung • Kleiderreinigung, Pettenbacherstraße 13, Vorchdorf • Kontakt über aktuelle Telefonnummern ☎ und Adressen ⚑ mit Karte, Routing, Öffnungszeiten, Homepage, E-Mail, vCard und Firmendaten.</t>
  </si>
  <si>
    <t>Pettenbacherstraße 13</t>
  </si>
  <si>
    <t>13.92382</t>
  </si>
  <si>
    <t>+4376146324</t>
  </si>
  <si>
    <t>kirchmairats@aon.at</t>
  </si>
  <si>
    <t>https://bilder.dasschnelle.at/DasSchnelle/50/5000/9943/041807/G_041807_P_906148098.adn.gif</t>
  </si>
  <si>
    <t>Kohler, Dieter, Friseursalon • Vorchdorf • Oberösterreich</t>
  </si>
  <si>
    <t>Friseure • Kohler, Dieter, Schloßplatz 9, Vorchdorf • Kontakt über aktuelle Telefonnummern ☎ und Adressen ⚑ mit Karte, Routing, Öffnungszeiten, Homepage, E-Mail, vCard und Firmendaten.</t>
  </si>
  <si>
    <t>Schloßplatz 9</t>
  </si>
  <si>
    <t>48.00331</t>
  </si>
  <si>
    <t>13.92204</t>
  </si>
  <si>
    <t>+4376146232</t>
  </si>
  <si>
    <t>https://bilder.dasschnelle.at/DasSchnelle/50/5000/9943/041807/G_041807_P_906146869.adn.gif</t>
  </si>
  <si>
    <t>Lohninger, Helga, Friseur • Vorchdorf • Oberösterreich</t>
  </si>
  <si>
    <t>Friseure • Lohninger, Helga, Bahnhofstraße 19, Vorchdorf • Kontakt über aktuelle Telefonnummern ☎ und Adressen ⚑ mit Karte, Routing, Öffnungszeiten, Homepage, E-Mail, vCard und Firmendaten.</t>
  </si>
  <si>
    <t>47.99994</t>
  </si>
  <si>
    <t>13.92225</t>
  </si>
  <si>
    <t>+4376145151</t>
  </si>
  <si>
    <t>kontakt@haargenau.at</t>
  </si>
  <si>
    <t>https://bilder.dasschnelle.at/DasSchnelle/50/5000/9943/041807/G_041807_P_906153778.adn.gif</t>
  </si>
  <si>
    <t>General Agentur Ennser e.U., Versicherungsagentur • Sattledt • Oberösterreich</t>
  </si>
  <si>
    <t>Versicherungsagentur • General Agentur Ennser e.U., Hauptstraße 26, Sattledt • Kontakt über aktuelle Telefonnummern ☎ und Adressen ⚑ mit Karte, Routing, Öffnungszeiten, Homepage, E-Mail, vCard und Firmendaten.</t>
  </si>
  <si>
    <t>48.07321</t>
  </si>
  <si>
    <t>14.0577</t>
  </si>
  <si>
    <t>+4372448078912</t>
  </si>
  <si>
    <t>walter.ennser@uniqa.at</t>
  </si>
  <si>
    <t>https://bilder.dasschnelle.at/DasSchnelle/50/5000/9934/043578/G_043578_P_906153780.adn.gif</t>
  </si>
  <si>
    <t>Schladminger Bruderlade - Verein f Hauskrankenpflege f Jung u Alt, Krankenpflege • Schladming • Steiermark</t>
  </si>
  <si>
    <t>Vereine • Schladminger Bruderlade - Verein f Hauskrankenpflege f Jung u Alt, Bahnhofstraße 784, Schladming • Kontakt über aktuelle Telefonnummern ☎ und Adressen ⚑ mit Karte, Routing, Öffnungszeiten, Homepage, E-Mail, vCard und Firmendaten.</t>
  </si>
  <si>
    <t>Bahnhofstraße 784</t>
  </si>
  <si>
    <t>47.39393</t>
  </si>
  <si>
    <t>13.68223</t>
  </si>
  <si>
    <t>+43368723840</t>
  </si>
  <si>
    <t>office@schladminger-bruderlade.at</t>
  </si>
  <si>
    <t>https://bilder.dasschnelle.at/DasSchnelle/50/5000/9905/061454/G_061454_P_906153782.adn.gif</t>
  </si>
  <si>
    <t>Schladminger Bruderlade, Krankenpflege • Schladming • Steiermark</t>
  </si>
  <si>
    <t>Vereine • Schladminger Bruderlade, Bahnhofstraße 784, Schladming • Kontakt über aktuelle Telefonnummern ☎ und Adressen ⚑ mit Karte, Routing, Öffnungszeiten, Homepage, E-Mail, vCard und Firmendaten.</t>
  </si>
  <si>
    <t>https://bilder.dasschnelle.at/DasSchnelle/50/5000/9928/061454/G_061454_P_906153784.adn.gif</t>
  </si>
  <si>
    <t>Seifter, Michaela, Tischlerei • Falkendorf • Steiermark</t>
  </si>
  <si>
    <t>Tischlereien • Seifter, Michaela, Falkendorf • Kontakt über aktuelle Telefonnummern ☎ und Adressen ⚑ mit Karte, Routing, Öffnungszeiten, Homepage, E-Mail, vCard und Firmendaten.</t>
  </si>
  <si>
    <t>47.1023560</t>
  </si>
  <si>
    <t>14.0069610</t>
  </si>
  <si>
    <t>+4335342674</t>
  </si>
  <si>
    <t>tischlerei-seifter@aon.at</t>
  </si>
  <si>
    <t>https://bilder.dasschnelle.at/DasSchnelle/50/5000/9910/061476/G_061476_P_906155418.adn.gif</t>
  </si>
  <si>
    <t>Schultes, Günter, Dr., FA f Zahn-, Mund-u Kieferheilkunde • Schladming • Steiermark</t>
  </si>
  <si>
    <t>Ärzte / Fachärzte f. Zahn-, Mund u. Kieferheilkunde • Schultes, Günter, Dr., Hauptplatz 36, Schladming • Kontakt über aktuelle Telefonnummern ☎ und Adressen ⚑ mit Karte, Routing, Öffnungszeiten, Homepage, E-Mail, vCard und Firmendaten.</t>
  </si>
  <si>
    <t>Hauptplatz 36</t>
  </si>
  <si>
    <t>47.39143</t>
  </si>
  <si>
    <t>13.68868</t>
  </si>
  <si>
    <t>+43368722970</t>
  </si>
  <si>
    <t>gschultes@aol.com</t>
  </si>
  <si>
    <t>https://bilder.dasschnelle.at/DasSchnelle/50/5000/9928/061454/G_061454_P_906155359.adn.gif</t>
  </si>
  <si>
    <t>Kehrer GmbH &amp; Co KG, Baggerunternehmen • St. Martin im Mühlkreis • Oberösterreich</t>
  </si>
  <si>
    <t>Baggerunternehmen • Kehrer GmbH &amp; Co KG, Unterhart 28, St. Martin im Mühlkreis • Kontakt über aktuelle Telefonnummern ☎ und Adressen ⚑ mit Karte, Routing, Öffnungszeiten, Homepage, E-Mail, vCard und Firmendaten.</t>
  </si>
  <si>
    <t>Unterhart 28</t>
  </si>
  <si>
    <t>48.3800800</t>
  </si>
  <si>
    <t>14.0424600</t>
  </si>
  <si>
    <t>+436645548937</t>
  </si>
  <si>
    <t>office@baggerungen-kehrer.at</t>
  </si>
  <si>
    <t>https://bilder.dasschnelle.at/DasSchnelle/50/5000/9923/042291/G_042291_P_906156448.adn.gif</t>
  </si>
  <si>
    <t>Bernhofer, Hans-Georg, Malermeister • Tamsweg • Salzburg</t>
  </si>
  <si>
    <t>Malereibetriebe • Bernhofer, Hans-Georg, Mitschegasse 11, Tamsweg • Kontakt über aktuelle Telefonnummern ☎ und Adressen ⚑ mit Karte, Routing, Öffnungszeiten, Homepage, E-Mail, vCard und Firmendaten.</t>
  </si>
  <si>
    <t>Mitschegasse 11</t>
  </si>
  <si>
    <t>47.12586</t>
  </si>
  <si>
    <t>13.80684</t>
  </si>
  <si>
    <t>+4364742536</t>
  </si>
  <si>
    <t>malermeister.bernhofer@aon.at</t>
  </si>
  <si>
    <t>https://bilder.dasschnelle.at/DasSchnelle/50/5000/9936/043804/I_043804_P_906158615_L_0036233217_1.png</t>
  </si>
  <si>
    <t>Hutegger, Karin, Eisenwaren • Tamsweg • Salzburg</t>
  </si>
  <si>
    <t>Eisenwaren • Hutegger, Karin, Leisnitzgasse 4, Tamsweg • Kontakt über aktuelle Telefonnummern ☎ und Adressen ⚑ mit Karte, Routing, Öffnungszeiten, Homepage, E-Mail, vCard und Firmendaten.</t>
  </si>
  <si>
    <t>Leisnitzgasse 4</t>
  </si>
  <si>
    <t>47.12779</t>
  </si>
  <si>
    <t>13.80917</t>
  </si>
  <si>
    <t>+436474223733</t>
  </si>
  <si>
    <t>tamsweg@eisenhutegger.at</t>
  </si>
  <si>
    <t>https://bilder.dasschnelle.at/DasSchnelle/50/5000/9936/043804/G_043804_P_906159777.adn.gif</t>
  </si>
  <si>
    <t>Hand-in-Hand-Werker GmbH Sanieren-Modernisieren-Neubau, Renovierung • Tamsweg • Salzburg</t>
  </si>
  <si>
    <t>Bauunternehmen • Hand-in-Hand-Werker GmbH Sanieren-Modernisieren-Neubau, Bröllsteig 13, Tamsweg • Kontakt über aktuelle Telefonnummern ☎ und Adressen ⚑ mit Karte, Routing, Öffnungszeiten, Homepage, E-Mail, vCard und Firmendaten.</t>
  </si>
  <si>
    <t>Bröllsteig 13</t>
  </si>
  <si>
    <t>47.12942</t>
  </si>
  <si>
    <t>13.80681</t>
  </si>
  <si>
    <t>+4364742655</t>
  </si>
  <si>
    <t>office.tamsweg@hand-inhand-werker.at</t>
  </si>
  <si>
    <t>https://bilder.dasschnelle.at/DasSchnelle/50/5000/9936/043804/I_043804_P_906159779_L_0036239084_1.png</t>
  </si>
  <si>
    <t>https://bilder.dasschnelle.at/DasSchnelle/50/5000/9936/043804/I_043804_P_906159779_B_0036239084_1.gal.png?height=399&amp;width=600;https://bilder.dasschnelle.at/DasSchnelle/50/5000/9936/043804/I_043804_P_906159779_B_0036239084_2.gal.png?height=423&amp;width=600;https://bilder.dasschnelle.at/DasSchnelle/50/5000/9936/043804/I_043804_P_906159779_B_0036239084_3.gal.png?height=399&amp;width=600</t>
  </si>
  <si>
    <t>Pürstinger Autohaus GmbH • Ried im Innkreis • Oberösterreich</t>
  </si>
  <si>
    <t>Autohäuser • Pürstinger Autohaus GmbH, Schärdinger Straße 36, Ried im Innkreis • Kontakt über aktuelle Telefonnummern ☎ und Adressen ⚑ mit Karte, Routing, Öffnungszeiten, Homepage, E-Mail, vCard und Firmendaten.</t>
  </si>
  <si>
    <t>Schärdinger Straße 36</t>
  </si>
  <si>
    <t>48.21609</t>
  </si>
  <si>
    <t>13.48281</t>
  </si>
  <si>
    <t>+437752830610</t>
  </si>
  <si>
    <t>+4377528306140</t>
  </si>
  <si>
    <t>office@opel-puerstinger.at</t>
  </si>
  <si>
    <t>https://bilder.dasschnelle.at/DasSchnelle/50/5000/9922/042563/G_042563_P_906158689.adn.gif</t>
  </si>
  <si>
    <t>Glas Krausmann GmbH, Glas • Ried im Innkreis • Oberösterreich</t>
  </si>
  <si>
    <t>Glas u. Service • Glas Krausmann GmbH, Bahnhofstraße 10 -12, Ried im Innkreis • Kontakt über aktuelle Telefonnummern ☎ und Adressen ⚑ mit Karte, Routing, Öffnungszeiten, Homepage, E-Mail, vCard und Firmendaten.</t>
  </si>
  <si>
    <t>Bahnhofstraße 10 -12</t>
  </si>
  <si>
    <t>48.2074249</t>
  </si>
  <si>
    <t>13.4874816</t>
  </si>
  <si>
    <t>+437752822410</t>
  </si>
  <si>
    <t>office@krausmann.at</t>
  </si>
  <si>
    <t>https://bilder.dasschnelle.at/DasSchnelle/50/5000/9922/042563/G_042563_P_906159763.adn.gif</t>
  </si>
  <si>
    <t>Blindeneder-Mitterbucher GmbH, Malerei • Ried im Innkreis • Oberösterreich</t>
  </si>
  <si>
    <t>Malereibetriebe • Blindeneder-Mitterbucher GmbH, Claudistraße 4 C, Ried im Innkreis • Kontakt über aktuelle Telefonnummern ☎ und Adressen ⚑ mit Karte, Routing, Öffnungszeiten, Homepage, E-Mail, vCard und Firmendaten.</t>
  </si>
  <si>
    <t>Claudistraße 4 C</t>
  </si>
  <si>
    <t>48.2053951</t>
  </si>
  <si>
    <t>13.4879123</t>
  </si>
  <si>
    <t>+43775271914</t>
  </si>
  <si>
    <t>office@blindeneder-mitterbucher.at</t>
  </si>
  <si>
    <t>https://bilder.dasschnelle.at/DasSchnelle/50/5000/9922/042563/I_042563_P_906159765_L_0035999752_1.png</t>
  </si>
  <si>
    <t>https://bilder.dasschnelle.at/DasSchnelle/50/5000/9922/042563/I_042563_P_906159765_B_0035999752_1.gal.png?height=400&amp;width=600;https://bilder.dasschnelle.at/DasSchnelle/50/5000/9922/042563/I_042563_P_906159765_B_0035999752_2.gal.png?height=400&amp;width=600;https://bilder.dasschnelle.at/DasSchnelle/50/5000/9922/042563/I_042563_P_906159765_B_0035999752_3.gal.png?height=400&amp;width=600;https://bilder.dasschnelle.at/DasSchnelle/50/5000/9922/042563/I_042563_P_906159765_B_0035999752_4.gal.png?height=400&amp;width=600</t>
  </si>
  <si>
    <t>Perhab Erdbau • Ramsau am Dachstein • Steiermark</t>
  </si>
  <si>
    <t>Erdbau • Perhab Erdbau, Rössing 15, Ramsau am Dachstein • Kontakt über aktuelle Telefonnummern ☎ und Adressen ⚑ mit Karte, Routing, Öffnungszeiten, Homepage, E-Mail, vCard und Firmendaten.</t>
  </si>
  <si>
    <t>Rössing 15</t>
  </si>
  <si>
    <t>47.4239215</t>
  </si>
  <si>
    <t>13.6959379</t>
  </si>
  <si>
    <t>+436642159282</t>
  </si>
  <si>
    <t>fliegenpilz-ramsau@aon.at</t>
  </si>
  <si>
    <t>Gugg Dachdeckerei GmbH • Tamsweg • Salzburg</t>
  </si>
  <si>
    <t>Dachdeckerei u. Spenglerei • Gugg Dachdeckerei GmbH, Gewerbepark 306, Tamsweg • Kontakt über aktuelle Telefonnummern ☎ und Adressen ⚑ mit Karte, Routing, Öffnungszeiten, Homepage, E-Mail, vCard und Firmendaten.</t>
  </si>
  <si>
    <t>Gewerbepark 306</t>
  </si>
  <si>
    <t>47.1295500</t>
  </si>
  <si>
    <t>13.8103600</t>
  </si>
  <si>
    <t>+4364742262</t>
  </si>
  <si>
    <t>office@dach-gugg.at</t>
  </si>
  <si>
    <t>https://bilder.dasschnelle.at/DasSchnelle/50/5000/9936/043804/G_043804_P_906160672.adn.gif</t>
  </si>
  <si>
    <t>Weißenbacher, René, Fliesen und Ofenbau • Ranten • Steiermark</t>
  </si>
  <si>
    <t>Fliesenfachhandel, Ofenbau • Weißenbacher, René, Ranten 32 8, Ranten • Kontakt über aktuelle Telefonnummern ☎ und Adressen ⚑ mit Karte, Routing, Öffnungszeiten, Homepage, E-Mail, vCard und Firmendaten.</t>
  </si>
  <si>
    <t>Ranten 32 8</t>
  </si>
  <si>
    <t>47.1558500</t>
  </si>
  <si>
    <t>14.0835600</t>
  </si>
  <si>
    <t>+436641240964</t>
  </si>
  <si>
    <t>office@ofenbau-weissenbacher.at</t>
  </si>
  <si>
    <t>https://bilder.dasschnelle.at/DasSchnelle/50/5000/9910/061470/G_061470_P_906160674.adn.gif</t>
  </si>
  <si>
    <t>Malerei Mayr GmbH, Malerei • Tamsweg • Salzburg</t>
  </si>
  <si>
    <t>Malereibetriebe • Malerei Mayr GmbH, Zinsgasse 6, Tamsweg • Kontakt über aktuelle Telefonnummern ☎ und Adressen ⚑ mit Karte, Routing, Öffnungszeiten, Homepage, E-Mail, vCard und Firmendaten.</t>
  </si>
  <si>
    <t>Zinsgasse 6</t>
  </si>
  <si>
    <t>47.13</t>
  </si>
  <si>
    <t>13.81012</t>
  </si>
  <si>
    <t>+4364742293</t>
  </si>
  <si>
    <t>office@malermayr.at</t>
  </si>
  <si>
    <t>https://bilder.dasschnelle.at/DasSchnelle/50/5000/9936/043804/G_043804_P_906161841.adn.gif</t>
  </si>
  <si>
    <t>MG Bau u. Partner GmbH • Tamsweg • Salzburg</t>
  </si>
  <si>
    <t>Bauunternehmen • MG Bau u. Partner GmbH, Mörtelsdorf 65, Tamsweg • Kontakt über aktuelle Telefonnummern ☎ und Adressen ⚑ mit Karte, Routing, Öffnungszeiten, Homepage, E-Mail, vCard und Firmendaten.</t>
  </si>
  <si>
    <t>Mörtelsdorf 65</t>
  </si>
  <si>
    <t>47.1277200</t>
  </si>
  <si>
    <t>13.7885300</t>
  </si>
  <si>
    <t>+436609569933</t>
  </si>
  <si>
    <t>office@mgbau.at</t>
  </si>
  <si>
    <t>https://bilder.dasschnelle.at/DasSchnelle/50/5000/9936/043804/G_043804_P_906160893.adn.gif</t>
  </si>
  <si>
    <t>Lerchner, Manfred, Pub • Mariapfarr • Salzburg</t>
  </si>
  <si>
    <t>Pubs • Lerchner, Manfred, Pfarrstraße 16, Mariapfarr • Kontakt über aktuelle Telefonnummern ☎ und Adressen ⚑ mit Karte, Routing, Öffnungszeiten, Homepage, E-Mail, vCard und Firmendaten.</t>
  </si>
  <si>
    <t>Pfarrstraße 16</t>
  </si>
  <si>
    <t>47.14987</t>
  </si>
  <si>
    <t>13.74494</t>
  </si>
  <si>
    <t>+43647320182</t>
  </si>
  <si>
    <t>https://bilder.dasschnelle.at/DasSchnelle/50/5000/9936/043361/G_043361_P_906161845.adn.gif</t>
  </si>
  <si>
    <t>Nikolaus Apotheke Steinerkirchen • Steinakirchen am Forst • Niederösterreich</t>
  </si>
  <si>
    <t>Apotheken • Nikolaus Apotheke Steinerkirchen, Unterer Markt 17, Steinakirchen am Forst • Kontakt über aktuelle Telefonnummern ☎ und Adressen ⚑ mit Karte, Routing, Öffnungszeiten, Homepage, E-Mail, vCard und Firmendaten.</t>
  </si>
  <si>
    <t>Unterer Markt 17</t>
  </si>
  <si>
    <t>48.06655</t>
  </si>
  <si>
    <t>15.04946</t>
  </si>
  <si>
    <t>+43748871616</t>
  </si>
  <si>
    <t>nikolausapotheke.steinerkirchen@gmail.com</t>
  </si>
  <si>
    <t>https://bilder.dasschnelle.at/DasSchnelle/50/5000/9927/041935/G_041935_P_906162662.adn.gif</t>
  </si>
  <si>
    <t>Musikhaus Seidl, Gerhard Seidl • Sankt Georgen • Steiermark</t>
  </si>
  <si>
    <t>Musikhaus • Musikhaus Seidl, Gerhard Seidl, Oberredling 117, Sankt Georgen • Kontakt über aktuelle Telefonnummern ☎ und Adressen ⚑ mit Karte, Routing, Öffnungszeiten, Homepage, E-Mail, vCard und Firmendaten.</t>
  </si>
  <si>
    <t>Oberredling 117</t>
  </si>
  <si>
    <t>47.1112305</t>
  </si>
  <si>
    <t>14.1149961</t>
  </si>
  <si>
    <t>+436643145705</t>
  </si>
  <si>
    <t>info@musikhaus-seidl.at</t>
  </si>
  <si>
    <t>https://bilder.dasschnelle.at/DasSchnelle/50/5000/9910/061476/I_061476_P_906162600_L_0036256153_1.png</t>
  </si>
  <si>
    <t>https://bilder.dasschnelle.at/DasSchnelle/50/5000/9910/061476/I_061476_P_906162600_B_0036256153_1.gal.png?height=600&amp;width=600;https://bilder.dasschnelle.at/DasSchnelle/50/5000/9910/061476/I_061476_P_906162600_B_0036256153_2.gal.png?height=450&amp;width=600;https://bilder.dasschnelle.at/DasSchnelle/50/5000/9910/061476/I_061476_P_906162600_B_0036256153_3.gal.png?height=800&amp;width=600;https://bilder.dasschnelle.at/DasSchnelle/50/5000/9910/061476/I_061476_P_906162600_B_0036256153_4.gal.png?height=450&amp;width=600</t>
  </si>
  <si>
    <t>Nadine Hasler GmbH, Dachdeckerei • Scheifling • Steiermark</t>
  </si>
  <si>
    <t>Dachdeckereien • Nadine Hasler GmbH, Puchfeldsiedlung 12, Scheifling • Kontakt über aktuelle Telefonnummern ☎ und Adressen ⚑ mit Karte, Routing, Öffnungszeiten, Homepage, E-Mail, vCard und Firmendaten.</t>
  </si>
  <si>
    <t>offfice@tbs-seidl.at</t>
  </si>
  <si>
    <t>https://bilder.dasschnelle.at/DasSchnelle/50/5000/9910/061446/G_061446_P_906162677.adn.gif</t>
  </si>
  <si>
    <t>Grundner Solarmontagen GmbH • Vorchdorf • Oberösterreich</t>
  </si>
  <si>
    <t>Solaranlagen • Grundner Solarmontagen GmbH, Berg 8, Vorchdorf • Kontakt über aktuelle Telefonnummern ☎ und Adressen ⚑ mit Karte, Routing, Öffnungszeiten, Homepage, E-Mail, vCard und Firmendaten.</t>
  </si>
  <si>
    <t>47.9963369</t>
  </si>
  <si>
    <t>13.8874036</t>
  </si>
  <si>
    <t>+43761420054</t>
  </si>
  <si>
    <t>manfred@grundner-solarmontagen.at</t>
  </si>
  <si>
    <t>https://bilder.dasschnelle.at/DasSchnelle/50/5000/9943/041807/I_041807_P_906160769_L_0037551008_1.png</t>
  </si>
  <si>
    <t>https://bilder.dasschnelle.at/DasSchnelle/50/5000/9943/041807/I_041807_P_906160769_B_0037551008_1.gal.png?height=750&amp;width=1000;https://bilder.dasschnelle.at/DasSchnelle/50/5000/9943/041807/I_041807_P_906160769_B_0037551008_2.gal.png?height=750&amp;width=1000;https://bilder.dasschnelle.at/DasSchnelle/50/5000/9943/041807/I_041807_P_906160769_B_0037551008_3.gal.png?height=750&amp;width=1000;https://bilder.dasschnelle.at/DasSchnelle/50/5000/9943/041807/I_041807_P_906160769_B_0037551008_4.gal.png?height=750&amp;width=1000</t>
  </si>
  <si>
    <t>Lukic, Ilija, Ing., Ingenieurkonsulent f Bauingenieurwesen • Sankt Johann im Pongau • Salzburg</t>
  </si>
  <si>
    <t>Ziviltechniker • Lukic, Ilija, Ing., Bundesstraße 12, Sankt Johann im Pongau • Kontakt über aktuelle Telefonnummern ☎ und Adressen ⚑ mit Karte, Routing, Öffnungszeiten, Homepage, E-Mail, vCard und Firmendaten.</t>
  </si>
  <si>
    <t>Bundesstraße 12</t>
  </si>
  <si>
    <t>47.35603</t>
  </si>
  <si>
    <t>13.20377</t>
  </si>
  <si>
    <t>+436645489450</t>
  </si>
  <si>
    <t>info@zt-lukic.com</t>
  </si>
  <si>
    <t>https://bilder.dasschnelle.at/DasSchnelle/50/5000/9919/043351/G_043351_P_906161870.adn.gif</t>
  </si>
  <si>
    <t>Rachbauer, Josef, Baustoffhandel • Ried im Innkreis • Oberösterreich</t>
  </si>
  <si>
    <t>Baustoffhandel, Tischlereien • Rachbauer, Josef, Frankenburger Straße 25 B, Ried im Innkreis • Kontakt über aktuelle Telefonnummern ☎ und Adressen ⚑ mit Karte, Routing, Öffnungszeiten, Homepage, E-Mail, vCard und Firmendaten.</t>
  </si>
  <si>
    <t>Frankenburger Straße 25 B</t>
  </si>
  <si>
    <t>48.20012</t>
  </si>
  <si>
    <t>13.48073</t>
  </si>
  <si>
    <t>+43775289011</t>
  </si>
  <si>
    <t>tischlereirachbauer@aon.at</t>
  </si>
  <si>
    <t>https://bilder.dasschnelle.at/DasSchnelle/50/5000/9922/042563/I_042563_P_906161929_L_0036208431_1.png</t>
  </si>
  <si>
    <t>https://bilder.dasschnelle.at/DasSchnelle/50/5000/9922/042563/I_042563_P_906161929_B_0036208431_1.gal.png?height=450&amp;width=600;https://bilder.dasschnelle.at/DasSchnelle/50/5000/9922/042563/I_042563_P_906161929_B_0036208431_2.gal.png?height=398&amp;width=600;https://bilder.dasschnelle.at/DasSchnelle/50/5000/9922/042563/I_042563_P_906161929_B_0036208431_3.gal.png?height=398&amp;width=600;https://bilder.dasschnelle.at/DasSchnelle/50/5000/9922/042563/I_042563_P_906161929_B_0036208431_4.gal.png?height=398&amp;width=600</t>
  </si>
  <si>
    <t>Michael Gärner, Optiker • Ried im Innkreis • Oberösterreich</t>
  </si>
  <si>
    <t>Brillenfachhandel • Michael Gärner, Hauptplatz 11, Ried im Innkreis • Kontakt über aktuelle Telefonnummern ☎ und Adressen ⚑ mit Karte, Routing, Öffnungszeiten, Homepage, E-Mail, vCard und Firmendaten.</t>
  </si>
  <si>
    <t>48.21009</t>
  </si>
  <si>
    <t>13.488</t>
  </si>
  <si>
    <t>+43775287878</t>
  </si>
  <si>
    <t>ried@michael-gaerner.at</t>
  </si>
  <si>
    <t>https://bilder.dasschnelle.at/DasSchnelle/50/5000/9922/042563/G_042563_P_906161931.adn.gif</t>
  </si>
  <si>
    <t>Kendlbacher KFZ Technik GmbH • Tamsweg • Salzburg</t>
  </si>
  <si>
    <t>Kfz-Werkstätte • Kendlbacher KFZ Technik GmbH, Gewerbepark 254, Tamsweg • Kontakt über aktuelle Telefonnummern ☎ und Adressen ⚑ mit Karte, Routing, Öffnungszeiten, Homepage, E-Mail, vCard und Firmendaten.</t>
  </si>
  <si>
    <t>Gewerbepark 254</t>
  </si>
  <si>
    <t>47.1274</t>
  </si>
  <si>
    <t>13.78963</t>
  </si>
  <si>
    <t>+4364742525</t>
  </si>
  <si>
    <t>office@kendlbacher.at</t>
  </si>
  <si>
    <t>https://bilder.dasschnelle.at/DasSchnelle/50/5000/9936/043804/G_043804_P_906163836.adn.gif</t>
  </si>
  <si>
    <t>Spindler Installationen GmbH • Rödt • Oberösterreich</t>
  </si>
  <si>
    <t>Installationsunternehmen • Spindler Installationen GmbH, Rödt 9, Rödt • Kontakt über aktuelle Telefonnummern ☎ und Adressen ⚑ mit Karte, Routing, Öffnungszeiten, Homepage, E-Mail, vCard und Firmendaten.</t>
  </si>
  <si>
    <t>Rödt 9</t>
  </si>
  <si>
    <t>Rödt</t>
  </si>
  <si>
    <t>48.1375856</t>
  </si>
  <si>
    <t>13.4794034</t>
  </si>
  <si>
    <t>+436765981641</t>
  </si>
  <si>
    <t>spindler.rudof@gmx.net</t>
  </si>
  <si>
    <t>https://bilder.dasschnelle.at/DasSchnelle/50/5000/9922/042561/I_042561_P_906164957_L_0036208391_1.png</t>
  </si>
  <si>
    <t>https://bilder.dasschnelle.at/DasSchnelle/50/5000/9922/042561/I_042561_P_906164957_B_0036208391_1.gal.png?height=750&amp;width=1000;https://bilder.dasschnelle.at/DasSchnelle/50/5000/9922/042561/I_042561_P_906164957_B_0036208391_2.gal.png?height=667&amp;width=1000;https://bilder.dasschnelle.at/DasSchnelle/50/5000/9922/042561/I_042561_P_906164957_B_0036208391_3.gal.png?height=750&amp;width=1000;https://bilder.dasschnelle.at/DasSchnelle/50/5000/9922/042561/I_042561_P_906164957_B_0036208391_4.gal.png?height=666&amp;width=1000</t>
  </si>
  <si>
    <t>Reiter, Hubert, Taxi • Neuhofen im Innkreis • Oberösterreich</t>
  </si>
  <si>
    <t>Taxi • Reiter, Hubert, Ahornplatz 11, Neuhofen im Innkreis • Kontakt über aktuelle Telefonnummern ☎ und Adressen ⚑ mit Karte, Routing, Öffnungszeiten, Homepage, E-Mail, vCard und Firmendaten.</t>
  </si>
  <si>
    <t>Ahornplatz 11</t>
  </si>
  <si>
    <t>4912</t>
  </si>
  <si>
    <t>Neuhofen im Innkreis</t>
  </si>
  <si>
    <t>48.19515</t>
  </si>
  <si>
    <t>13.46877</t>
  </si>
  <si>
    <t>+43775281718;+43775285466</t>
  </si>
  <si>
    <t>reiter_gmbh@utanet.at</t>
  </si>
  <si>
    <t>https://bilder.dasschnelle.at/DasSchnelle/50/5000/9922/042556/G_042556_P_906163892.adn.gif</t>
  </si>
  <si>
    <t>Erhart, Wolfgang, Dr., Notar • Schladming • Steiermark</t>
  </si>
  <si>
    <t>Notare • Erhart, Wolfgang, Dr., Hauptplatz 40, Schladming • Kontakt über aktuelle Telefonnummern ☎ und Adressen ⚑ mit Karte, Routing, Öffnungszeiten, Homepage, E-Mail, vCard und Firmendaten.</t>
  </si>
  <si>
    <t>Hauptplatz 40</t>
  </si>
  <si>
    <t>47.3917776</t>
  </si>
  <si>
    <t>13.6894612</t>
  </si>
  <si>
    <t>+433687245730</t>
  </si>
  <si>
    <t>wolfgang.erhart@notar.at</t>
  </si>
  <si>
    <t>https://bilder.dasschnelle.at/DasSchnelle/50/5000/9928/061454/G_061454_P_906163895.adn.gif</t>
  </si>
  <si>
    <t>Hacker, Christian, Dr., FA f Zahn-, Mund-, u Kieferheilkunde • Purgstall • Niederösterreich</t>
  </si>
  <si>
    <t>Ärzte / Fachärzte f. Zahn-, Mund u. Kieferheilkunde • Hacker, Christian, Dr., Augasse 21, Purgstall • Kontakt über aktuelle Telefonnummern ☎ und Adressen ⚑ mit Karte, Routing, Öffnungszeiten, Homepage, E-Mail, vCard und Firmendaten.</t>
  </si>
  <si>
    <t>Augasse 21</t>
  </si>
  <si>
    <t>48.0554200</t>
  </si>
  <si>
    <t>15.1296964</t>
  </si>
  <si>
    <t>+4374892110</t>
  </si>
  <si>
    <t>christian@zahnarzt-hacker.at</t>
  </si>
  <si>
    <t>https://bilder.dasschnelle.at/DasSchnelle/50/5000/9927/041929/G_041929_P_906164890.adn.gif</t>
  </si>
  <si>
    <t>Lederhuber, Martin, Dr.med., FA für Augenheilkunde • Scheibbs • Niederösterreich</t>
  </si>
  <si>
    <t>Ärzte / Fachärzte f. Augenheilkunde u. Optometrie • Lederhuber, Martin, Dr.med., Erlaufpromenade 30, Scheibbs • Kontakt über aktuelle Telefonnummern ☎ und Adressen ⚑ mit Karte, Routing, Öffnungszeiten, Homepage, E-Mail, vCard und Firmendaten.</t>
  </si>
  <si>
    <t>Erlaufpromenade 30</t>
  </si>
  <si>
    <t>48.00321</t>
  </si>
  <si>
    <t>15.16593</t>
  </si>
  <si>
    <t>+43748246494</t>
  </si>
  <si>
    <t>https://bilder.dasschnelle.at/DasSchnelle/50/5000/9927/041934/G_041934_P_906163749.adn.gif</t>
  </si>
  <si>
    <t>Häuserl im Wald, Gasthäuser und Gasthöfe • Mariapfarr • Salzburg</t>
  </si>
  <si>
    <t>Gastgewerbe - Gasthöfe, Hotels • Häuserl im Wald, Niederrain 140, Mariapfarr • Kontakt über aktuelle Telefonnummern ☎ und Adressen ⚑ mit Karte, Routing, Öffnungszeiten, Homepage, E-Mail, vCard und Firmendaten.</t>
  </si>
  <si>
    <t>Niederrain 140</t>
  </si>
  <si>
    <t>47.15497</t>
  </si>
  <si>
    <t>13.72563</t>
  </si>
  <si>
    <t>+43647382880</t>
  </si>
  <si>
    <t>info@haeuserlimwald.com</t>
  </si>
  <si>
    <t>https://bilder.dasschnelle.at/DasSchnelle/50/5000/9936/043361/G_043361_P_906164809.adn.gif</t>
  </si>
  <si>
    <t>WIEDL's TAXI GmbH • Vorchdorf • Oberösterreich</t>
  </si>
  <si>
    <t>Ausflugsfahrten, Krankentransporte / Krankenbeförderung, Taxi • WIEDL's TAXI GmbH, Brunnmühlstraße 8, Vorchdorf • Kontakt über aktuelle Telefonnummern ☎ und Adressen ⚑ mit Karte, Routing, Öffnungszeiten, Homepage, E-Mail, vCard und Firmendaten.</t>
  </si>
  <si>
    <t>Brunnmühlstraße 8</t>
  </si>
  <si>
    <t>47.99932</t>
  </si>
  <si>
    <t>13.94141</t>
  </si>
  <si>
    <t>+4369918246216</t>
  </si>
  <si>
    <t>wiedl@speed.at</t>
  </si>
  <si>
    <t>https://bilder.dasschnelle.at/DasSchnelle/50/5000/9943/998168/G_998168_P_906165843.adn.gif</t>
  </si>
  <si>
    <t>Fidas Schladming Steuerberatung GmbH, Wirtschaftstreuhänder / Steuerberater • Schladming • Steiermark</t>
  </si>
  <si>
    <t>Wirtschaftstreuhänder / Steuerberater • Fidas Schladming Steuerberatung GmbH, Untere Klaus 327, Schladming • Kontakt über aktuelle Telefonnummern ☎ und Adressen ⚑ mit Karte, Routing, Öffnungszeiten, Homepage, E-Mail, vCard und Firmendaten.</t>
  </si>
  <si>
    <t>Untere Klaus 327</t>
  </si>
  <si>
    <t>47.39973</t>
  </si>
  <si>
    <t>13.69803</t>
  </si>
  <si>
    <t>+43368724647;+436643938472</t>
  </si>
  <si>
    <t>+4336872464785</t>
  </si>
  <si>
    <t>office@fidas-schladming.at</t>
  </si>
  <si>
    <t>https://bilder.dasschnelle.at/DasSchnelle/50/5000/9928/061454/G_061454_P_906165849.adn.gif</t>
  </si>
  <si>
    <t>Trinker, Gerhard, Tischlerei • Sankt Andrä im Lungau • Salzburg</t>
  </si>
  <si>
    <t>Tischlereien • Trinker, Gerhard, St. Andrä 91, Sankt Andrä im Lungau • Kontakt über aktuelle Telefonnummern ☎ und Adressen ⚑ mit Karte, Routing, Öffnungszeiten, Homepage, E-Mail, vCard und Firmendaten.</t>
  </si>
  <si>
    <t>St. Andrä 91</t>
  </si>
  <si>
    <t>Sankt Andrä im Lungau</t>
  </si>
  <si>
    <t>47.1498194</t>
  </si>
  <si>
    <t>13.7921682</t>
  </si>
  <si>
    <t>+4364748539;+436644108668</t>
  </si>
  <si>
    <t>tischlerei.trinker@sbg.at</t>
  </si>
  <si>
    <t>https://bilder.dasschnelle.at/DasSchnelle/50/5000/9936/043801/G_043801_P_906165952.adn.gif</t>
  </si>
  <si>
    <t>Pausch, Gerhard, Elektrotechnik • Mariapfarr • Salzburg</t>
  </si>
  <si>
    <t>Elektrotechnik • Pausch, Gerhard, Am Weiher 175, Mariapfarr • Kontakt über aktuelle Telefonnummern ☎ und Adressen ⚑ mit Karte, Routing, Öffnungszeiten, Homepage, E-Mail, vCard und Firmendaten.</t>
  </si>
  <si>
    <t>Am Weiher 175</t>
  </si>
  <si>
    <t>47.15076</t>
  </si>
  <si>
    <t>13.74434</t>
  </si>
  <si>
    <t>+4364738797</t>
  </si>
  <si>
    <t>gerhard@elektropausch.at</t>
  </si>
  <si>
    <t>https://bilder.dasschnelle.at/DasSchnelle/50/5000/9936/043361/I_043361_P_906165956_L_0036238921_1.png</t>
  </si>
  <si>
    <t>https://bilder.dasschnelle.at/DasSchnelle/50/5000/9936/043361/I_043361_P_906165956_B_0036238921_1.gal.png?height=239&amp;width=594;https://bilder.dasschnelle.at/DasSchnelle/50/5000/9936/043361/I_043361_P_906165956_B_0036238921_2.gal.png?height=237&amp;width=589;https://bilder.dasschnelle.at/DasSchnelle/50/5000/9936/043361/I_043361_P_906165956_B_0036238921_3.gal.png?height=234&amp;width=591;https://bilder.dasschnelle.at/DasSchnelle/50/5000/9936/043361/I_043361_P_906165956_B_0036238921_4.gal.png?height=600&amp;width=450</t>
  </si>
  <si>
    <t>Oberaigner Automobile GesmbH, Mercedes Benz Vertragswerkstätte • Rohrbach • Oberösterreich</t>
  </si>
  <si>
    <t>Autohandel, Autoreparaturen • Oberaigner Automobile GesmbH, Krankenhausstraße 28, Rohrbach • Kontakt über aktuelle Telefonnummern ☎ und Adressen ⚑ mit Karte, Routing, Öffnungszeiten, Homepage, E-Mail, vCard und Firmendaten.</t>
  </si>
  <si>
    <t>Krankenhausstraße 28</t>
  </si>
  <si>
    <t>48.5663762</t>
  </si>
  <si>
    <t>13.9895227</t>
  </si>
  <si>
    <t>+43728940000;+43728962010;+437289620114</t>
  </si>
  <si>
    <t>+437289620120</t>
  </si>
  <si>
    <t>info@oberaigner.at</t>
  </si>
  <si>
    <t>https://bilder.dasschnelle.at/DasSchnelle/50/5000/9923/061480/I_061480_P_906166959_L_0035999433_1.png</t>
  </si>
  <si>
    <t>https://bilder.dasschnelle.at/DasSchnelle/50/5000/9923/061480/I_061480_P_906166959_B_0035999433_1.gal.png?height=188&amp;width=400;https://bilder.dasschnelle.at/DasSchnelle/50/5000/9923/061480/I_061480_P_906166959_B_0035999433_2.gal.png?height=177&amp;width=400;https://bilder.dasschnelle.at/DasSchnelle/50/5000/9923/061480/I_061480_P_906166959_B_0035999433_3.gal.png?height=216&amp;width=400;https://bilder.dasschnelle.at/DasSchnelle/50/5000/9923/061480/I_061480_P_906166959_B_0035999433_4.gal.png?height=599&amp;width=400</t>
  </si>
  <si>
    <t>Elektroservice Karner GmbH, Elektroinstallationsunternehmen • Pichl • Salzburg</t>
  </si>
  <si>
    <t>Elektroinstallationsunternehmen • Elektroservice Karner GmbH, Stranach 108, Pichl • Kontakt über aktuelle Telefonnummern ☎ und Adressen ⚑ mit Karte, Routing, Öffnungszeiten, Homepage, E-Mail, vCard und Firmendaten.</t>
  </si>
  <si>
    <t>Stranach 108</t>
  </si>
  <si>
    <t>47.14022</t>
  </si>
  <si>
    <t>13.74281</t>
  </si>
  <si>
    <t>+4364738790</t>
  </si>
  <si>
    <t>office@franz-karner.at</t>
  </si>
  <si>
    <t>https://bilder.dasschnelle.at/DasSchnelle/50/5000/9936/043361/G_043361_P_906166964.adn.gif</t>
  </si>
  <si>
    <t>Heil, Ekkehard, Dr., Zahnarzt • Scheibbs • Niederösterreich</t>
  </si>
  <si>
    <t>Ärzte / Fachärzte f. Zahn-, Mund u. Kieferheilkunde, Ärzte / Zahnärzte • Heil, Ekkehard, Dr., Gaminger Straße 31, Scheibbs • Kontakt über aktuelle Telefonnummern ☎ und Adressen ⚑ mit Karte, Routing, Öffnungszeiten, Homepage, E-Mail, vCard und Firmendaten.</t>
  </si>
  <si>
    <t>Gaminger Straße 31</t>
  </si>
  <si>
    <t>48.00281</t>
  </si>
  <si>
    <t>15.16665</t>
  </si>
  <si>
    <t>+437482423070</t>
  </si>
  <si>
    <t>https://bilder.dasschnelle.at/DasSchnelle/50/5000/9927/041934/G_041934_P_906167017.adn.gif</t>
  </si>
  <si>
    <t>Wolfram, Werner, Elektrotechnik • Schwechat • Niederösterreich</t>
  </si>
  <si>
    <t>Elektrotechnik • Wolfram, Werner, Ehbrustergasse 5, Schwechat • Kontakt über aktuelle Telefonnummern ☎ und Adressen ⚑ mit Karte, Routing, Öffnungszeiten, Homepage, E-Mail, vCard und Firmendaten.</t>
  </si>
  <si>
    <t>Ehbrustergasse 5</t>
  </si>
  <si>
    <t>48.13905</t>
  </si>
  <si>
    <t>16.48046</t>
  </si>
  <si>
    <t>+4317073585</t>
  </si>
  <si>
    <t>elektro.wolfram@aon.at</t>
  </si>
  <si>
    <t>https://bilder.dasschnelle.at/DasSchnelle/50/5000/9930/506180/I_506180_P_906167923_L_0036242969_1.png</t>
  </si>
  <si>
    <t>https://bilder.dasschnelle.at/DasSchnelle/50/5000/9930/506180/I_506180_P_906167923_B_0036242969_1.gal.png?height=340&amp;width=913;https://bilder.dasschnelle.at/DasSchnelle/50/5000/9930/506180/I_506180_P_906167923_B_0036242969_2.gal.png?height=340&amp;width=913</t>
  </si>
  <si>
    <t>Schaffgotsch, Gotthard, Zimmerei • Zwölfaxing • Niederösterreich</t>
  </si>
  <si>
    <t>Zimmereien • Schaffgotsch, Gotthard, Mühlgasse 5, Zwölfaxing • Kontakt über aktuelle Telefonnummern ☎ und Adressen ⚑ mit Karte, Routing, Öffnungszeiten, Homepage, E-Mail, vCard und Firmendaten.</t>
  </si>
  <si>
    <t>Mühlgasse 5</t>
  </si>
  <si>
    <t>48.10872</t>
  </si>
  <si>
    <t>16.45989</t>
  </si>
  <si>
    <t>+4312440282;+436767244603</t>
  </si>
  <si>
    <t>gotthard.schaffgotsch@kabsi.at</t>
  </si>
  <si>
    <t>https://bilder.dasschnelle.at/DasSchnelle/50/5000/9930/506182/G_506182_P_906167924.adn.gif</t>
  </si>
  <si>
    <t>La Fleur, Blumen • Himberg • Niederösterreich</t>
  </si>
  <si>
    <t>Blumenhandel, Floristik • La Fleur, Hauptplatz 8, Himberg • Kontakt über aktuelle Telefonnummern ☎ und Adressen ⚑ mit Karte, Routing, Öffnungszeiten, Homepage, E-Mail, vCard und Firmendaten.</t>
  </si>
  <si>
    <t>48.08197</t>
  </si>
  <si>
    <t>16.43868</t>
  </si>
  <si>
    <t>+43223522600</t>
  </si>
  <si>
    <t>office@lafleur.florist</t>
  </si>
  <si>
    <t>https://bilder.dasschnelle.at/DasSchnelle/50/5000/9930/044509/G_044509_P_906167928.adn.gif</t>
  </si>
  <si>
    <t>Rothner, Andreas, Mag., Praxis für Psychotherapie • Scheibbs • Niederösterreich</t>
  </si>
  <si>
    <t>Psychotherapie • Rothner, Andreas, Mag., Hauptstraße 17 /6, Scheibbs • Kontakt über aktuelle Telefonnummern ☎ und Adressen ⚑ mit Karte, Routing, Öffnungszeiten, Homepage, E-Mail, vCard und Firmendaten.</t>
  </si>
  <si>
    <t>Hauptstraße 17 /6</t>
  </si>
  <si>
    <t>48.0065900</t>
  </si>
  <si>
    <t>15.1665600</t>
  </si>
  <si>
    <t>+436766214574</t>
  </si>
  <si>
    <t>office@rothner.net</t>
  </si>
  <si>
    <t>https://bilder.dasschnelle.at/DasSchnelle/50/5000/9927/041934/G_041934_P_906167930.adn.gif</t>
  </si>
  <si>
    <t>Zeppetzauer, Daniela, Uhrenfachgeschäft • Ried im Innkreis • Oberösterreich</t>
  </si>
  <si>
    <t>Uhren u. Schmuck • Zeppetzauer, Daniela, Hauptplatz 37, Ried im Innkreis • Kontakt über aktuelle Telefonnummern ☎ und Adressen ⚑ mit Karte, Routing, Öffnungszeiten, Homepage, E-Mail, vCard und Firmendaten.</t>
  </si>
  <si>
    <t>Hauptplatz 37</t>
  </si>
  <si>
    <t>48.20977</t>
  </si>
  <si>
    <t>13.48825</t>
  </si>
  <si>
    <t>+43775287482</t>
  </si>
  <si>
    <t>nuruhr@inext.at</t>
  </si>
  <si>
    <t>https://bilder.dasschnelle.at/DasSchnelle/50/5000/9922/042563/G_042563_P_906169264.adn.gif</t>
  </si>
  <si>
    <t>Hohengassner, Johann, Dipl.-Ing.(FH), Elektrohandel • Mariapfarr • Salzburg</t>
  </si>
  <si>
    <t>Elektrotechnik • Hohengassner, Johann, Dipl.-Ing.(FH), Pfarrstraße 243, Mariapfarr • Kontakt über aktuelle Telefonnummern ☎ und Adressen ⚑ mit Karte, Routing, Öffnungszeiten, Homepage, E-Mail, vCard und Firmendaten.</t>
  </si>
  <si>
    <t>Pfarrstraße 243</t>
  </si>
  <si>
    <t>47.14939</t>
  </si>
  <si>
    <t>13.7474</t>
  </si>
  <si>
    <t>+4364738307</t>
  </si>
  <si>
    <t>elektro_hohengassner@aon.at</t>
  </si>
  <si>
    <t>https://bilder.dasschnelle.at/DasSchnelle/50/5000/9936/043361/G_043361_P_906169266.adn.gif</t>
  </si>
  <si>
    <t>Leitner, Waltraud, Kosmetik, Fußpflege • Mauterndorf • Salzburg</t>
  </si>
  <si>
    <t>Fußpflege, Kosmetik • Leitner, Waltraud, Markt 96, Mauterndorf • Kontakt über aktuelle Telefonnummern ☎ und Adressen ⚑ mit Karte, Routing, Öffnungszeiten, Homepage, E-Mail, vCard und Firmendaten.</t>
  </si>
  <si>
    <t>Markt 96</t>
  </si>
  <si>
    <t>47.13359</t>
  </si>
  <si>
    <t>13.68192</t>
  </si>
  <si>
    <t>+436504270220</t>
  </si>
  <si>
    <t>waltraud@kosmetik-mauterndorf.at</t>
  </si>
  <si>
    <t>https://bilder.dasschnelle.at/DasSchnelle/50/5000/9936/043362/G_043362_P_906169268.adn.gif</t>
  </si>
  <si>
    <t>Kohlweg, Gerold, Edelmetalldesigner • Vorchdorf • Oberösterreich</t>
  </si>
  <si>
    <t>Metallbe- u. -verarbeitung • Kohlweg, Gerold, Josef Haas-Straße 5 B, Vorchdorf • Kontakt über aktuelle Telefonnummern ☎ und Adressen ⚑ mit Karte, Routing, Öffnungszeiten, Homepage, E-Mail, vCard und Firmendaten.</t>
  </si>
  <si>
    <t>Josef Haas-Straße 5 B</t>
  </si>
  <si>
    <t>48.0132252</t>
  </si>
  <si>
    <t>13.9210276</t>
  </si>
  <si>
    <t>+4376148040;+436502126818</t>
  </si>
  <si>
    <t>office@edde.at</t>
  </si>
  <si>
    <t>https://bilder.dasschnelle.at/DasSchnelle/50/5000/9943/041807/G_041807_P_906170657.adn.gif</t>
  </si>
  <si>
    <t>VBV Versicherungsbüro Vorchdorf OG. • Vorchdorf • Oberösterreich</t>
  </si>
  <si>
    <t>Versicherungsunternehmen • VBV Versicherungsbüro Vorchdorf OG., Bahnhofstraße 1, Vorchdorf • Kontakt über aktuelle Telefonnummern ☎ und Adressen ⚑ mit Karte, Routing, Öffnungszeiten, Homepage, E-Mail, vCard und Firmendaten.</t>
  </si>
  <si>
    <t>48.00263</t>
  </si>
  <si>
    <t>13.92178</t>
  </si>
  <si>
    <t>+436764891623</t>
  </si>
  <si>
    <t>vbv@vbvorchdorf.at</t>
  </si>
  <si>
    <t>https://bilder.dasschnelle.at/DasSchnelle/50/5000/9943/041807/G_041807_P_906170659.adn.gif</t>
  </si>
  <si>
    <t>Palman, Oliver, Malereibetrieb • Vorchdorf • Oberösterreich</t>
  </si>
  <si>
    <t>Malereibetriebe • Palman, Oliver, Schart 14, Vorchdorf • Kontakt über aktuelle Telefonnummern ☎ und Adressen ⚑ mit Karte, Routing, Öffnungszeiten, Homepage, E-Mail, vCard und Firmendaten.</t>
  </si>
  <si>
    <t>Schart 14</t>
  </si>
  <si>
    <t>48.0196707</t>
  </si>
  <si>
    <t>13.9598953</t>
  </si>
  <si>
    <t>+4369910055070</t>
  </si>
  <si>
    <t>company.palman@aon.at</t>
  </si>
  <si>
    <t>https://bilder.dasschnelle.at/DasSchnelle/50/5000/9943/041807/G_041807_P_906170661.adn.gif</t>
  </si>
  <si>
    <t>Scherleithner, Josef, Fremdenzimmer • Schart</t>
  </si>
  <si>
    <t>Fremdenzimmer • Scherleithner, Josef, Schart 17, Schart • Kontakt über aktuelle Telefonnummern ☎ und Adressen ⚑ mit Karte, Routing, Öffnungszeiten, Homepage, E-Mail, vCard und Firmendaten.</t>
  </si>
  <si>
    <t>Schart 17</t>
  </si>
  <si>
    <t>Schart</t>
  </si>
  <si>
    <t>48.0144121</t>
  </si>
  <si>
    <t>13.9520145</t>
  </si>
  <si>
    <t>+4376146617</t>
  </si>
  <si>
    <t>office@vogelhubergut.at</t>
  </si>
  <si>
    <t>https://bilder.dasschnelle.at/DasSchnelle/50/5000/9943/041797/G_041797_P_906170663.adn.gif</t>
  </si>
  <si>
    <t>Bertl, Margarete, FA f Zahn-, Mund- u Kieferheilkunde • Liezen • Steiermark</t>
  </si>
  <si>
    <t>Ärzte / Fachärzte f. Zahn-, Mund u. Kieferheilkunde • Bertl, Margarete, Fronleichnamsweg 20, Liezen • Kontakt über aktuelle Telefonnummern ☎ und Adressen ⚑ mit Karte, Routing, Öffnungszeiten, Homepage, E-Mail, vCard und Firmendaten.</t>
  </si>
  <si>
    <t>Fronleichnamsweg 20</t>
  </si>
  <si>
    <t>47.56583</t>
  </si>
  <si>
    <t>14.24032</t>
  </si>
  <si>
    <t>+433612223030</t>
  </si>
  <si>
    <t>info@zahnregulierung-liezen.at</t>
  </si>
  <si>
    <t>https://bilder.dasschnelle.at/DasSchnelle/50/5000/9905/061443/G_061443_P_906170665.adn.gif</t>
  </si>
  <si>
    <t>Linder &amp; Gruber, Steuer- u. Wirtschaftsberatung • Schladming • Steiermark</t>
  </si>
  <si>
    <t>Steuerberater • Linder &amp; Gruber, Martin-Luther-Straße 160, Schladming • Kontakt über aktuelle Telefonnummern ☎ und Adressen ⚑ mit Karte, Routing, Öffnungszeiten, Homepage, E-Mail, vCard und Firmendaten.</t>
  </si>
  <si>
    <t>Martin-Luther-Straße 160</t>
  </si>
  <si>
    <t>47.3907949</t>
  </si>
  <si>
    <t>13.6884239</t>
  </si>
  <si>
    <t>+43368722363</t>
  </si>
  <si>
    <t>office@linder-gruber.at</t>
  </si>
  <si>
    <t>Rehart, Afsaneh, Dr., FA f Zahn-, Mund- u Kieferheilkunde • Wieselburg • Niederösterreich</t>
  </si>
  <si>
    <t>Ärzte / Fachärzte f. Zahn-, Mund u. Kieferheilkunde • Rehart, Afsaneh, Dr., Handel-Mazzetti-Weg 1, Wieselburg • Kontakt über aktuelle Telefonnummern ☎ und Adressen ⚑ mit Karte, Routing, Öffnungszeiten, Homepage, E-Mail, vCard und Firmendaten.</t>
  </si>
  <si>
    <t>Handel-Mazzetti-Weg 1</t>
  </si>
  <si>
    <t>48.13249</t>
  </si>
  <si>
    <t>15.13727</t>
  </si>
  <si>
    <t>+43741653553</t>
  </si>
  <si>
    <t>+43741653442</t>
  </si>
  <si>
    <t>office.dr.rehart@aon.at</t>
  </si>
  <si>
    <t>https://bilder.dasschnelle.at/DasSchnelle/50/5000/9927/041937/G_041937_P_906170940.adn.gif</t>
  </si>
  <si>
    <t>Hoidn Ingeborg Dachdecker u WarenhandelsgesmbH • Leopoldsdorf • Niederösterreich</t>
  </si>
  <si>
    <t>Dachdeckereien • Hoidn Ingeborg Dachdecker u WarenhandelsgesmbH, Hauptstraße 18, Leopoldsdorf • Kontakt über aktuelle Telefonnummern ☎ und Adressen ⚑ mit Karte, Routing, Öffnungszeiten, Homepage, E-Mail, vCard und Firmendaten.</t>
  </si>
  <si>
    <t>48.10827</t>
  </si>
  <si>
    <t>16.39543</t>
  </si>
  <si>
    <t>+43223547101;+43223547102;+436644043697;+436644504028;+436642143092;+436642143094;+436642143093;+436645151299;+436641803767</t>
  </si>
  <si>
    <t>+43223542901</t>
  </si>
  <si>
    <t>dach@hoidn.at</t>
  </si>
  <si>
    <t>https://bilder.dasschnelle.at/DasSchnelle/50/5000/9930/044513/G_044513_P_906169458.adn.gif</t>
  </si>
  <si>
    <t>Alte Stadtapotheke • Ried im Innkreis • Oberösterreich</t>
  </si>
  <si>
    <t>Apotheken • Alte Stadtapotheke, Hauptplatz 6, Ried im Innkreis • Kontakt über aktuelle Telefonnummern ☎ und Adressen ⚑ mit Karte, Routing, Öffnungszeiten, Homepage, E-Mail, vCard und Firmendaten.</t>
  </si>
  <si>
    <t>48.2097</t>
  </si>
  <si>
    <t>13.48731</t>
  </si>
  <si>
    <t>+437752820100</t>
  </si>
  <si>
    <t>apotheke.ried@alte-stadtapotheke.at</t>
  </si>
  <si>
    <t>https://bilder.dasschnelle.at/DasSchnelle/50/5000/9922/042563/I_042563_P_906169469_L_0037647521_1.png</t>
  </si>
  <si>
    <t>https://bilder.dasschnelle.at/DasSchnelle/50/5000/9922/042563/I_042563_P_906169469_B_0037647521_1.gal.png?height=361&amp;width=720;https://bilder.dasschnelle.at/DasSchnelle/50/5000/9922/042563/I_042563_P_906169469_B_0037647521_2.gal.png?height=495&amp;width=720;https://bilder.dasschnelle.at/DasSchnelle/50/5000/9922/042563/I_042563_P_906169469_B_0037647521_3.gal.png?height=539&amp;width=720;https://bilder.dasschnelle.at/DasSchnelle/50/5000/9922/042563/I_042563_P_906169469_B_0037647521_4.gal.png?height=462&amp;width=720</t>
  </si>
  <si>
    <t>Dullnigg, Hubert, Erdbewegungen • Murau • Steiermark</t>
  </si>
  <si>
    <t>Erdbewegungen • Dullnigg, Hubert, Auen 16, Murau • Kontakt über aktuelle Telefonnummern ☎ und Adressen ⚑ mit Karte, Routing, Öffnungszeiten, Homepage, E-Mail, vCard und Firmendaten.</t>
  </si>
  <si>
    <t>Auen 16</t>
  </si>
  <si>
    <t>47.0716</t>
  </si>
  <si>
    <t>14.18036</t>
  </si>
  <si>
    <t>+4335322248;+436642822340</t>
  </si>
  <si>
    <t>hubert.dullnigg@aon.at</t>
  </si>
  <si>
    <t>https://bilder.dasschnelle.at/DasSchnelle/50/5000/9910/061401/G_061401_P_906170859.adn.gif</t>
  </si>
  <si>
    <t>Bischof, Stephan, Spenglerei • St. Peter • Steiermark</t>
  </si>
  <si>
    <t>Spenglereien • Bischof, Stephan, Sankt Peter 130, St. Peter • Kontakt über aktuelle Telefonnummern ☎ und Adressen ⚑ mit Karte, Routing, Öffnungszeiten, Homepage, E-Mail, vCard und Firmendaten.</t>
  </si>
  <si>
    <t>Sankt Peter 130</t>
  </si>
  <si>
    <t>St. Peter</t>
  </si>
  <si>
    <t>47.1887871</t>
  </si>
  <si>
    <t>14.1858623</t>
  </si>
  <si>
    <t>+43353672160;+436642828821</t>
  </si>
  <si>
    <t>+43353672164</t>
  </si>
  <si>
    <t>spenglerei.bischof@aon.at</t>
  </si>
  <si>
    <t>https://bilder.dasschnelle.at/DasSchnelle/50/5000/9910/045128/G_045128_P_906170866.adn.gif</t>
  </si>
  <si>
    <t>Feiel Karl GesmbH, Heizung-Sanitär • Murau • Steiermark</t>
  </si>
  <si>
    <t>Heizungen • Feiel Karl GesmbH, Märzenkeller 12, Murau • Kontakt über aktuelle Telefonnummern ☎ und Adressen ⚑ mit Karte, Routing, Öffnungszeiten, Homepage, E-Mail, vCard und Firmendaten.</t>
  </si>
  <si>
    <t>Märzenkeller 12</t>
  </si>
  <si>
    <t>47.11321</t>
  </si>
  <si>
    <t>14.16463</t>
  </si>
  <si>
    <t>+43353238860</t>
  </si>
  <si>
    <t>installationen.feiel@aon.at</t>
  </si>
  <si>
    <t>https://bilder.dasschnelle.at/DasSchnelle/50/5000/9910/061401/I_061401_P_906170870_L_0036233243_1.png</t>
  </si>
  <si>
    <t>https://bilder.dasschnelle.at/DasSchnelle/50/5000/9910/061401/I_061401_P_906170870_B_0036233243_1.gal.png?height=407&amp;width=600;https://bilder.dasschnelle.at/DasSchnelle/50/5000/9910/061401/I_061401_P_906170870_B_0036233243_2.gal.png?height=339&amp;width=600;https://bilder.dasschnelle.at/DasSchnelle/50/5000/9910/061401/G_061401_P_906170870.adn.gif</t>
  </si>
  <si>
    <t>Taferner, Erich, Estriche • Katsch an der Mur • Steiermark</t>
  </si>
  <si>
    <t>Estriche • Taferner, Erich, Katsch an der Mur 167, Katsch an der Mur • Kontakt über aktuelle Telefonnummern ☎ und Adressen ⚑ mit Karte, Routing, Öffnungszeiten, Homepage, E-Mail, vCard und Firmendaten.</t>
  </si>
  <si>
    <t>Katsch an der Mur 167</t>
  </si>
  <si>
    <t>8842</t>
  </si>
  <si>
    <t>Katsch an der Mur</t>
  </si>
  <si>
    <t>47.1430057</t>
  </si>
  <si>
    <t>14.2856992</t>
  </si>
  <si>
    <t>+433588776</t>
  </si>
  <si>
    <t>taferner.erich@utanet.at</t>
  </si>
  <si>
    <t>https://bilder.dasschnelle.at/DasSchnelle/50/5000/9910/061467/G_061467_P_906170872.adn.gif</t>
  </si>
  <si>
    <t>Wamprechtshammer Metalltechnik GmbH • Utzenaich • Oberösterreich</t>
  </si>
  <si>
    <t>Schlossereien • Wamprechtshammer Metalltechnik GmbH, Gewerbegebiet 2, Utzenaich • Kontakt über aktuelle Telefonnummern ☎ und Adressen ⚑ mit Karte, Routing, Öffnungszeiten, Homepage, E-Mail, vCard und Firmendaten.</t>
  </si>
  <si>
    <t>48.27834</t>
  </si>
  <si>
    <t>13.45795</t>
  </si>
  <si>
    <t>+43775120148</t>
  </si>
  <si>
    <t>office@wamprechtshammer.at</t>
  </si>
  <si>
    <t>https://bilder.dasschnelle.at/DasSchnelle/50/5000/9922/042256/G_042256_P_906170875.adn.gif</t>
  </si>
  <si>
    <t>Baumgartner, Franz, Ing., Autoreparaturen • Schwechat • Niederösterreich</t>
  </si>
  <si>
    <t>Autoreparaturen • Baumgartner, Franz, Ing., Wiener Straße 41, Schwechat • Kontakt über aktuelle Telefonnummern ☎ und Adressen ⚑ mit Karte, Routing, Öffnungszeiten, Homepage, E-Mail, vCard und Firmendaten.</t>
  </si>
  <si>
    <t>Wiener Straße 41</t>
  </si>
  <si>
    <t>48.14393</t>
  </si>
  <si>
    <t>16.47031</t>
  </si>
  <si>
    <t>+43170783200</t>
  </si>
  <si>
    <t>office@abs.co.at</t>
  </si>
  <si>
    <t>https://bilder.dasschnelle.at/DasSchnelle/50/5000/9930/506180/G_506180_P_906169530.adn.gif</t>
  </si>
  <si>
    <t>Walzer, Bernhard, KFZ-Handel • Neumarkt • Steiermark</t>
  </si>
  <si>
    <t>Autohandel • Walzer, Bernhard, Wiener Straße 22, Neumarkt • Kontakt über aktuelle Telefonnummern ☎ und Adressen ⚑ mit Karte, Routing, Öffnungszeiten, Homepage, E-Mail, vCard und Firmendaten.</t>
  </si>
  <si>
    <t>47.0803709</t>
  </si>
  <si>
    <t>14.4249739</t>
  </si>
  <si>
    <t>+43358440527;+436649231731</t>
  </si>
  <si>
    <t>office@walzer.cc</t>
  </si>
  <si>
    <t>https://bilder.dasschnelle.at/DasSchnelle/50/5000/9910/061462/I_061462_P_906171816_L_0036256276_1.png</t>
  </si>
  <si>
    <t>https://bilder.dasschnelle.at/DasSchnelle/50/5000/9910/061462/I_061462_P_906171816_B_0036256276_1.gal.png?height=233&amp;width=600;https://bilder.dasschnelle.at/DasSchnelle/50/5000/9910/061462/I_061462_P_906171816_B_0036256276_2.gal.png?height=233&amp;width=600;https://bilder.dasschnelle.at/DasSchnelle/50/5000/9910/061462/I_061462_P_906171816_B_0036256276_3.gal.png?height=234&amp;width=600;https://bilder.dasschnelle.at/DasSchnelle/50/5000/9910/061462/I_061462_P_906171816_B_0036256276_4.gal.png?height=233&amp;width=600</t>
  </si>
  <si>
    <t>Wallgram, Gerhard, Karosseriewerkstätte • Sankt Georgen bei Neumarkt • Steiermark</t>
  </si>
  <si>
    <t>Karosseriebau • Wallgram, Gerhard, Sankt Georgen bei Neumarkt 165, Sankt Georgen bei Neumarkt • Kontakt über aktuelle Telefonnummern ☎ und Adressen ⚑ mit Karte, Routing, Öffnungszeiten, Homepage, E-Mail, vCard und Firmendaten.</t>
  </si>
  <si>
    <t>Sankt Georgen bei Neumarkt 165</t>
  </si>
  <si>
    <t>47.0577748</t>
  </si>
  <si>
    <t>14.4342222</t>
  </si>
  <si>
    <t>+4335842774</t>
  </si>
  <si>
    <t>+43358441989</t>
  </si>
  <si>
    <t>gerhard.wallgram@aon.at</t>
  </si>
  <si>
    <t>https://bilder.dasschnelle.at/DasSchnelle/50/5000/9910/061462/G_061462_P_906171823.adn.gif</t>
  </si>
  <si>
    <t>Steinberger, Gerhard, Bestattung • Neumarkt • Steiermark</t>
  </si>
  <si>
    <t>Bestattungsunternehmen • Steinberger, Gerhard, Freimoosstraße 16, Neumarkt • Kontakt über aktuelle Telefonnummern ☎ und Adressen ⚑ mit Karte, Routing, Öffnungszeiten, Homepage, E-Mail, vCard und Firmendaten.</t>
  </si>
  <si>
    <t>Freimoosstraße 16</t>
  </si>
  <si>
    <t>47.0694022</t>
  </si>
  <si>
    <t>14.4316407</t>
  </si>
  <si>
    <t>+436643536152</t>
  </si>
  <si>
    <t>steinberger.erich@a1.net</t>
  </si>
  <si>
    <t>https://bilder.dasschnelle.at/DasSchnelle/50/5000/9910/061462/G_061462_P_906171831.adn.gif</t>
  </si>
  <si>
    <t>Fleischmann &amp; Petschnig Dachdeckungs-GesmbH &amp; Co KG, Dachdeckereien • Neumarkt • Steiermark</t>
  </si>
  <si>
    <t>Dachdeckereien • Fleischmann &amp; Petschnig Dachdeckungs-GesmbH &amp; Co KG, Freimoosstraße 23, Neumarkt • Kontakt über aktuelle Telefonnummern ☎ und Adressen ⚑ mit Karte, Routing, Öffnungszeiten, Homepage, E-Mail, vCard und Firmendaten.</t>
  </si>
  <si>
    <t>Freimoosstraße 23</t>
  </si>
  <si>
    <t>47.0686095</t>
  </si>
  <si>
    <t>14.4308250</t>
  </si>
  <si>
    <t>+43358428200</t>
  </si>
  <si>
    <t>+433584282027</t>
  </si>
  <si>
    <t>neumarkt@fp-dach.at</t>
  </si>
  <si>
    <t>https://bilder.dasschnelle.at/DasSchnelle/50/5000/9910/061462/I_061462_P_906171835_L_0037511102_1.png</t>
  </si>
  <si>
    <t>https://bilder.dasschnelle.at/DasSchnelle/50/5000/9910/061462/I_061462_P_906171835_B_0037511102_1.gal.png?height=600&amp;width=450;https://bilder.dasschnelle.at/DasSchnelle/50/5000/9910/061462/I_061462_P_906171835_B_0037511102_2.gal.png?height=600&amp;width=450;https://bilder.dasschnelle.at/DasSchnelle/50/5000/9910/061462/I_061462_P_906171835_B_0037511102_3.gal.png?height=600&amp;width=450;https://bilder.dasschnelle.at/DasSchnelle/50/5000/9910/061462/I_061462_P_906171835_B_0037511102_4.gal.png?height=449&amp;width=600</t>
  </si>
  <si>
    <t>Maler Moser • Tamsweg • Salzburg</t>
  </si>
  <si>
    <t>Malereibetriebe, Raumausstatter • Maler Moser, Peter-Harperger-Straße 6, Tamsweg • Kontakt über aktuelle Telefonnummern ☎ und Adressen ⚑ mit Karte, Routing, Öffnungszeiten, Homepage, E-Mail, vCard und Firmendaten.</t>
  </si>
  <si>
    <t>Peter-Harperger-Straße 6</t>
  </si>
  <si>
    <t>47.12921</t>
  </si>
  <si>
    <t>13.80487</t>
  </si>
  <si>
    <t>+436644686005</t>
  </si>
  <si>
    <t>office@maler-moser.at</t>
  </si>
  <si>
    <t>https://bilder.dasschnelle.at/DasSchnelle/50/5000/9936/043804/G_043804_P_906173077.adn.gif</t>
  </si>
  <si>
    <t>Jud Fliesenleger GmbH &amp; Co KG • Sankt Margarethen im Lungau • Salzburg</t>
  </si>
  <si>
    <t>Fliesen u. Plattenverlegungen • Jud Fliesenleger GmbH &amp; Co KG, Pichlern 62, Sankt Margarethen im Lungau • Kontakt über aktuelle Telefonnummern ☎ und Adressen ⚑ mit Karte, Routing, Öffnungszeiten, Homepage, E-Mail, vCard und Firmendaten.</t>
  </si>
  <si>
    <t>Pichlern 62</t>
  </si>
  <si>
    <t>5581</t>
  </si>
  <si>
    <t>Sankt Margarethen im Lungau</t>
  </si>
  <si>
    <t>47.08628</t>
  </si>
  <si>
    <t>13.71847</t>
  </si>
  <si>
    <t>+436503143704</t>
  </si>
  <si>
    <t>office@fliesen-lungau.at</t>
  </si>
  <si>
    <t>https://bilder.dasschnelle.at/DasSchnelle/50/5000/9936/043802/G_043802_P_906171658.adn.gif</t>
  </si>
  <si>
    <t>Santner, Markus, Biomasse, Solar • Tamsweg • Salzburg</t>
  </si>
  <si>
    <t>Pensionen, Zimmervermietung • Santner, Markus, Zinsgasse 29, Tamsweg • Kontakt über aktuelle Telefonnummern ☎ und Adressen ⚑ mit Karte, Routing, Öffnungszeiten, Homepage, E-Mail, vCard und Firmendaten.</t>
  </si>
  <si>
    <t>Zinsgasse 29</t>
  </si>
  <si>
    <t>47.13381</t>
  </si>
  <si>
    <t>13.80182</t>
  </si>
  <si>
    <t>+4364747857</t>
  </si>
  <si>
    <t>office@santner-installateur.com</t>
  </si>
  <si>
    <t>https://bilder.dasschnelle.at/DasSchnelle/50/5000/9936/043804/G_043804_P_906173106.adn.gif</t>
  </si>
  <si>
    <t>Endmeier, Manfred, KFZ • Ort im Innkreis • Oberösterreich</t>
  </si>
  <si>
    <t>Autohandel • Endmeier, Manfred, Aichberg 21, Ort im Innkreis • Kontakt über aktuelle Telefonnummern ☎ und Adressen ⚑ mit Karte, Routing, Öffnungszeiten, Homepage, E-Mail, vCard und Firmendaten.</t>
  </si>
  <si>
    <t>Aichberg 21</t>
  </si>
  <si>
    <t>48.3224674</t>
  </si>
  <si>
    <t>13.4449753</t>
  </si>
  <si>
    <t>+4377516030;+436505122591</t>
  </si>
  <si>
    <t>mandiskfz@aon.at</t>
  </si>
  <si>
    <t>https://bilder.dasschnelle.at/DasSchnelle/50/5000/9922/042558/G_042558_P_906171714.adn.gif</t>
  </si>
  <si>
    <t>Zöch, Peter, Dr.med., FA f Augenheilkunde u Optometrie • Rottenmann • Steiermark</t>
  </si>
  <si>
    <t>Ärzte / Fachärzte f. Augenheilkunde u. Optometrie • Zöch, Peter, Dr.med., Technologiepark 4 -4A, Rottenmann • Kontakt über aktuelle Telefonnummern ☎ und Adressen ⚑ mit Karte, Routing, Öffnungszeiten, Homepage, E-Mail, vCard und Firmendaten.</t>
  </si>
  <si>
    <t>Technologiepark 4 -4A</t>
  </si>
  <si>
    <t>8786</t>
  </si>
  <si>
    <t>Rottenmann</t>
  </si>
  <si>
    <t>47.52571</t>
  </si>
  <si>
    <t>14.34234</t>
  </si>
  <si>
    <t>+4336142577</t>
  </si>
  <si>
    <t>+4336143932</t>
  </si>
  <si>
    <t>https://bilder.dasschnelle.at/DasSchnelle/50/5000/9905/061425/G_061425_P_906171720.adn.gif</t>
  </si>
  <si>
    <t>Hehn Horst GesmbH, Elektrotechnik • Schwechat • Niederösterreich</t>
  </si>
  <si>
    <t>Elektrotechnik • Hehn Horst GesmbH, Gewerbepark 2, Schwechat • Kontakt über aktuelle Telefonnummern ☎ und Adressen ⚑ mit Karte, Routing, Öffnungszeiten, Homepage, E-Mail, vCard und Firmendaten.</t>
  </si>
  <si>
    <t>48.08178</t>
  </si>
  <si>
    <t>16.53683</t>
  </si>
  <si>
    <t>+43223071466</t>
  </si>
  <si>
    <t>elektro@hehn.at</t>
  </si>
  <si>
    <t>https://bilder.dasschnelle.at/DasSchnelle/50/5000/9930/044518/G_044518_P_906173147.adn.gif</t>
  </si>
  <si>
    <t>Virag R GesmbH, Installationsunternehmen • Schwechat • Niederösterreich</t>
  </si>
  <si>
    <t>Installationsunternehmen • Virag R GesmbH, Himberger Straße 81-83 Stg 10, Schwechat • Kontakt über aktuelle Telefonnummern ☎ und Adressen ⚑ mit Karte, Routing, Öffnungszeiten, Homepage, E-Mail, vCard und Firmendaten.</t>
  </si>
  <si>
    <t>Himberger Straße 81-83 Stg 10</t>
  </si>
  <si>
    <t>48.1253891</t>
  </si>
  <si>
    <t>16.4726017</t>
  </si>
  <si>
    <t>+4317076453</t>
  </si>
  <si>
    <t>office@virag-thermenservice.at</t>
  </si>
  <si>
    <t>https://bilder.dasschnelle.at/DasSchnelle/50/5000/9930/506180/I_506180_P_906173150_L_0036250485_1.png</t>
  </si>
  <si>
    <t>https://bilder.dasschnelle.at/DasSchnelle/50/5000/9930/506180/I_506180_P_906173150_B_0036250485_1.gal.png?height=600&amp;width=450;https://bilder.dasschnelle.at/DasSchnelle/50/5000/9930/506180/I_506180_P_906173150_B_0036250485_2.gal.png?height=319&amp;width=600</t>
  </si>
  <si>
    <t>G. Braumann Gesellschaft m.b.H., Brunnenbau und Haustechnik • Andrichsfurt • Oberösterreich</t>
  </si>
  <si>
    <t>Brunnen u. Brunnenbau • G. Braumann Gesellschaft m.b.H., Furth 41, Andrichsfurt • Kontakt über aktuelle Telefonnummern ☎ und Adressen ⚑ mit Karte, Routing, Öffnungszeiten, Homepage, E-Mail, vCard und Firmendaten.</t>
  </si>
  <si>
    <t>Furth 41</t>
  </si>
  <si>
    <t>48.2537616</t>
  </si>
  <si>
    <t>13.5158002</t>
  </si>
  <si>
    <t>+43775220300</t>
  </si>
  <si>
    <t>schneglberger@braumann.co.at</t>
  </si>
  <si>
    <t>https://bilder.dasschnelle.at/DasSchnelle/50/5000/9922/042539/I_042539_P_906173206_L_0036239042_1.png</t>
  </si>
  <si>
    <t>https://bilder.dasschnelle.at/DasSchnelle/50/5000/9922/042539/I_042539_P_906173206_B_0036239042_1.gal.png?height=354&amp;width=550;https://bilder.dasschnelle.at/DasSchnelle/50/5000/9922/042539/I_042539_P_906173206_B_0036239042_2.gal.png?height=413&amp;width=550;https://bilder.dasschnelle.at/DasSchnelle/50/5000/9922/042539/I_042539_P_906173206_B_0036239042_3.gal.png?height=374&amp;width=550;https://bilder.dasschnelle.at/DasSchnelle/50/5000/9922/042539/I_042539_P_906173206_B_0036239042_4.gal.png?height=367&amp;width=550;https://bilder.dasschnelle.at/DasSchnelle/50/5000/9922/042539/G_042539_P_906173206.adn.gif</t>
  </si>
  <si>
    <t>Illitsch, Ingrid, Krankentransporte • Murau • Steiermark</t>
  </si>
  <si>
    <t>Krankentransporte / Krankenbeförderung, Taxi • Illitsch, Ingrid, Bahnhofviertel 10 A, Murau • Kontakt über aktuelle Telefonnummern ☎ und Adressen ⚑ mit Karte, Routing, Öffnungszeiten, Homepage, E-Mail, vCard und Firmendaten.</t>
  </si>
  <si>
    <t>Bahnhofviertel 10 A</t>
  </si>
  <si>
    <t>47.10841</t>
  </si>
  <si>
    <t>14.17712</t>
  </si>
  <si>
    <t>+436643957777</t>
  </si>
  <si>
    <t>office@taximurau.at</t>
  </si>
  <si>
    <t>https://bilder.dasschnelle.at/DasSchnelle/50/5000/9910/061401/G_061401_P_906173155.adn.gif</t>
  </si>
  <si>
    <t>Illitsch, Felix, KFM Reifen, Reifenhandel • Murau • Steiermark</t>
  </si>
  <si>
    <t>Reifenhandel • Illitsch, Felix, KFM Reifen, Bahnhofviertel 10 A, Murau • Kontakt über aktuelle Telefonnummern ☎ und Adressen ⚑ mit Karte, Routing, Öffnungszeiten, Homepage, E-Mail, vCard und Firmendaten.</t>
  </si>
  <si>
    <t>47.1084100</t>
  </si>
  <si>
    <t>14.1771200</t>
  </si>
  <si>
    <t>+436645555505</t>
  </si>
  <si>
    <t>kfm.reifen@gmx.at</t>
  </si>
  <si>
    <t>https://bilder.dasschnelle.at/DasSchnelle/50/5000/9910/061401/G_061401_P_906173157.adn.gif</t>
  </si>
  <si>
    <t>Haidenthaler, Stephanie, Frisurenstudio • Gurten • Oberösterreich</t>
  </si>
  <si>
    <t>Friseure • Haidenthaler, Stephanie, Hofmark 24, Gurten • Kontakt über aktuelle Telefonnummern ☎ und Adressen ⚑ mit Karte, Routing, Öffnungszeiten, Homepage, E-Mail, vCard und Firmendaten.</t>
  </si>
  <si>
    <t>Hofmark 24</t>
  </si>
  <si>
    <t>4942</t>
  </si>
  <si>
    <t>Gurten</t>
  </si>
  <si>
    <t>48.24185</t>
  </si>
  <si>
    <t>13.34264</t>
  </si>
  <si>
    <t>+43775720109</t>
  </si>
  <si>
    <t>stephanie.haidenthaler@gmx.net</t>
  </si>
  <si>
    <t>https://bilder.dasschnelle.at/DasSchnelle/50/5000/9922/042546/G_042546_P_906174217.adn.gif</t>
  </si>
  <si>
    <t>Egger, Georg, Mag., Tierarzt • Rosental an der Kainach • Steiermark</t>
  </si>
  <si>
    <t>Tierärzte • Egger, Georg, Mag., Hauptstraße 49, Rosental an der Kainach • Kontakt über aktuelle Telefonnummern ☎ und Adressen ⚑ mit Karte, Routing, Öffnungszeiten, Homepage, E-Mail, vCard und Firmendaten.</t>
  </si>
  <si>
    <t>Hauptstraße 49</t>
  </si>
  <si>
    <t>47.05318</t>
  </si>
  <si>
    <t>15.11774</t>
  </si>
  <si>
    <t>+43314225735;+43314227748</t>
  </si>
  <si>
    <t>office@animal-care-center.at</t>
  </si>
  <si>
    <t>https://bilder.dasschnelle.at/DasSchnelle/50/5000/9941/045368/G_045368_P_906174218.adn.gif</t>
  </si>
  <si>
    <t>Hendlkönig Stefan Wochinz GmbH • Mörtelsdorf • Salzburg</t>
  </si>
  <si>
    <t>Cafés, Imbiß • Hendlkönig Stefan Wochinz GmbH, Gewerbepark Litzelsdorf 238, Mörtelsdorf • Kontakt über aktuelle Telefonnummern ☎ und Adressen ⚑ mit Karte, Routing, Öffnungszeiten, Homepage, E-Mail, vCard und Firmendaten.</t>
  </si>
  <si>
    <t>Gewerbepark Litzelsdorf 238</t>
  </si>
  <si>
    <t>Mörtelsdorf</t>
  </si>
  <si>
    <t>47.13287</t>
  </si>
  <si>
    <t>13.7934</t>
  </si>
  <si>
    <t>+43647420107;+436641611089</t>
  </si>
  <si>
    <t>info@hendlkoenig.at</t>
  </si>
  <si>
    <t>https://bilder.dasschnelle.at/DasSchnelle/50/5000/9936/043804/G_043804_P_906175713.adn.gif</t>
  </si>
  <si>
    <t>Wieland, Herbert, Fliesen u Plattenverlegungen • Sankt Michael im Lungau • Salzburg</t>
  </si>
  <si>
    <t>Fliesen u. Plattenverlegungen • Wieland, Herbert, Poststraße 6, Sankt Michael im Lungau • Kontakt über aktuelle Telefonnummern ☎ und Adressen ⚑ mit Karte, Routing, Öffnungszeiten, Homepage, E-Mail, vCard und Firmendaten.</t>
  </si>
  <si>
    <t>Poststraße 6</t>
  </si>
  <si>
    <t>47.0975</t>
  </si>
  <si>
    <t>13.63713</t>
  </si>
  <si>
    <t>+4364778138</t>
  </si>
  <si>
    <t>info@ofen-fliesen-wieland.at</t>
  </si>
  <si>
    <t>https://bilder.dasschnelle.at/DasSchnelle/50/5000/9936/043803/G_043803_P_906175719.adn.gif</t>
  </si>
  <si>
    <t>Kiesenhofer, Herbert, Dr., Notare • Neufelden • Oberösterreich</t>
  </si>
  <si>
    <t>Notare • Kiesenhofer, Herbert, Dr., Markt 18, Neufelden • Kontakt über aktuelle Telefonnummern ☎ und Adressen ⚑ mit Karte, Routing, Öffnungszeiten, Homepage, E-Mail, vCard und Firmendaten.</t>
  </si>
  <si>
    <t>Markt 18</t>
  </si>
  <si>
    <t>48.48495</t>
  </si>
  <si>
    <t>14.0005</t>
  </si>
  <si>
    <t>+43728257310;+436642302143</t>
  </si>
  <si>
    <t>+437282573120</t>
  </si>
  <si>
    <t>kiesenhofer@notariat-neufelden.at</t>
  </si>
  <si>
    <t>https://bilder.dasschnelle.at/DasSchnelle/50/5000/9923/042280/I_042280_P_906175827_L_0036177661_1.png</t>
  </si>
  <si>
    <t>https://bilder.dasschnelle.at/DasSchnelle/50/5000/9923/042280/G_042280_P_906175827.adn.gif</t>
  </si>
  <si>
    <t>Maurer, Petra, Elektro • Rohr im Kremstal • Oberösterreich</t>
  </si>
  <si>
    <t>Elektro • Maurer, Petra, Bahnhofstraße 6 A, Rohr im Kremstal • Kontakt über aktuelle Telefonnummern ☎ und Adressen ⚑ mit Karte, Routing, Öffnungszeiten, Homepage, E-Mail, vCard und Firmendaten.</t>
  </si>
  <si>
    <t>Bahnhofstraße 6 A</t>
  </si>
  <si>
    <t>4532</t>
  </si>
  <si>
    <t>Rohr im Kremstal</t>
  </si>
  <si>
    <t>48.0693826</t>
  </si>
  <si>
    <t>14.1941134</t>
  </si>
  <si>
    <t>+4372587102;+436643015311</t>
  </si>
  <si>
    <t>petra.maurer@elektro-maurer.at</t>
  </si>
  <si>
    <t>https://bilder.dasschnelle.at/DasSchnelle/50/5000/9867/042818/G_042818_P_906175835.adn.gif</t>
  </si>
  <si>
    <t>Ofner, Elisabeth, s`Blumenhütt`l, Floristin • Wörschach • Steiermark</t>
  </si>
  <si>
    <t>Blumenhandel • Ofner, Elisabeth, s`Blumenhütt`l, Dorfstraße 347, Wörschach • Kontakt über aktuelle Telefonnummern ☎ und Adressen ⚑ mit Karte, Routing, Öffnungszeiten, Homepage, E-Mail, vCard und Firmendaten.</t>
  </si>
  <si>
    <t>Dorfstraße 347</t>
  </si>
  <si>
    <t>8942</t>
  </si>
  <si>
    <t>Wörschach</t>
  </si>
  <si>
    <t>47.554</t>
  </si>
  <si>
    <t>14.14979</t>
  </si>
  <si>
    <t>+4369911555355;+43368224500;+4369911555353</t>
  </si>
  <si>
    <t>blumenhuettl@a1.net</t>
  </si>
  <si>
    <t>https://bilder.dasschnelle.at/DasSchnelle/50/5000/9905/044884/G_044884_P_906175847.adn.gif</t>
  </si>
  <si>
    <t>Frisiersalon Rosemarie • Ried im Traunkreis • Oberösterreich</t>
  </si>
  <si>
    <t>Friseure • Frisiersalon Rosemarie, Sportstraße 30, Ried im Traunkreis • Kontakt über aktuelle Telefonnummern ☎ und Adressen ⚑ mit Karte, Routing, Öffnungszeiten, Homepage, E-Mail, vCard und Firmendaten.</t>
  </si>
  <si>
    <t>Sportstraße 30</t>
  </si>
  <si>
    <t>4551</t>
  </si>
  <si>
    <t>Ried im Traunkreis</t>
  </si>
  <si>
    <t>48.02411</t>
  </si>
  <si>
    <t>14.08316</t>
  </si>
  <si>
    <t>+4375886262</t>
  </si>
  <si>
    <t>haberfellnerrosemarie@aon.at</t>
  </si>
  <si>
    <t>https://bilder.dasschnelle.at/DasSchnelle/50/5000/9900/046090/G_046090_P_906176459.adn.gif</t>
  </si>
  <si>
    <t>Öhlinger, Walter, Dipl.-Ing., Ing-Kons f Vermessungswesen • Rohrbach • Oberösterreich</t>
  </si>
  <si>
    <t>Geometer • Öhlinger, Walter, Dipl.-Ing., Linzer Straße 5, Rohrbach • Kontakt über aktuelle Telefonnummern ☎ und Adressen ⚑ mit Karte, Routing, Öffnungszeiten, Homepage, E-Mail, vCard und Firmendaten.</t>
  </si>
  <si>
    <t>+43728987450</t>
  </si>
  <si>
    <t>office@geo-rohrbach.at</t>
  </si>
  <si>
    <t>https://bilder.dasschnelle.at/DasSchnelle/50/5000/9923/061480/G_061480_P_906176460.adn.gif</t>
  </si>
  <si>
    <t>Weinmaier, Friedrich, Baumeister • Ried im Traunkreis • Oberösterreich</t>
  </si>
  <si>
    <t>Baumeister • Weinmaier, Friedrich, Am Riedfeld 1, Ried im Traunkreis • Kontakt über aktuelle Telefonnummern ☎ und Adressen ⚑ mit Karte, Routing, Öffnungszeiten, Homepage, E-Mail, vCard und Firmendaten.</t>
  </si>
  <si>
    <t>Am Riedfeld 1</t>
  </si>
  <si>
    <t>48.02449</t>
  </si>
  <si>
    <t>14.07863</t>
  </si>
  <si>
    <t>+4375886253;+4366473068119;+4366473589563;+4366473589564</t>
  </si>
  <si>
    <t>weinmaierbau@gmail.com</t>
  </si>
  <si>
    <t>https://bilder.dasschnelle.at/DasSchnelle/50/5000/9900/046090/G_046090_P_906176469.adn.gif</t>
  </si>
  <si>
    <t>Luger, Wolfgang, Dr.med.univ., Ärzte / Fachärzte f Augenheilkunde u Optometrie • Rohrbach • Oberösterreich</t>
  </si>
  <si>
    <t>Ärzte / Fachärzte f. Augenheilkunde u. Optometrie • Luger, Wolfgang, Dr.med.univ., Stadtplatz 17, Rohrbach • Kontakt über aktuelle Telefonnummern ☎ und Adressen ⚑ mit Karte, Routing, Öffnungszeiten, Homepage, E-Mail, vCard und Firmendaten.</t>
  </si>
  <si>
    <t>+43728940030400</t>
  </si>
  <si>
    <t>kontaktlinsen.luger@mdz-Rohrbach.at</t>
  </si>
  <si>
    <t>https://bilder.dasschnelle.at/DasSchnelle/50/5000/9923/061480/G_061480_P_906176474.adn.gif</t>
  </si>
  <si>
    <t>LTS Lamprecht, KFZ Teile • Rottenmann • Steiermark</t>
  </si>
  <si>
    <t>Autoreparaturen • LTS Lamprecht, Boder Sonnenhang 38 a, Rottenmann • Kontakt über aktuelle Telefonnummern ☎ und Adressen ⚑ mit Karte, Routing, Öffnungszeiten, Homepage, E-Mail, vCard und Firmendaten.</t>
  </si>
  <si>
    <t>Boder Sonnenhang 38 a</t>
  </si>
  <si>
    <t>47.52808</t>
  </si>
  <si>
    <t>14.38212</t>
  </si>
  <si>
    <t>+436508141588</t>
  </si>
  <si>
    <t>lts-lamprecht@gmx.at</t>
  </si>
  <si>
    <t>https://bilder.dasschnelle.at/DasSchnelle/50/5000/9905/061425/G_061425_P_906177158.adn.gif</t>
  </si>
  <si>
    <t>Matlschweiger Franz &amp; Sohn KG, Glaserei • Trieben • Steiermark</t>
  </si>
  <si>
    <t>Glasereien, Malereibetriebe • Matlschweiger Franz &amp; Sohn KG, Gartengasse 8, Trieben • Kontakt über aktuelle Telefonnummern ☎ und Adressen ⚑ mit Karte, Routing, Öffnungszeiten, Homepage, E-Mail, vCard und Firmendaten.</t>
  </si>
  <si>
    <t>Gartengasse 8</t>
  </si>
  <si>
    <t>47.48621</t>
  </si>
  <si>
    <t>14.48414</t>
  </si>
  <si>
    <t>+43361523410</t>
  </si>
  <si>
    <t>matlschweiger@aon.at</t>
  </si>
  <si>
    <t>https://bilder.dasschnelle.at/DasSchnelle/50/5000/9905/044879/G_044879_P_906177162.adn.gif</t>
  </si>
  <si>
    <t>Molin, Diana, Friseur • Selzthal • Steiermark</t>
  </si>
  <si>
    <t>Friseure • Molin, Diana, Hauptstraße 64, Selzthal • Kontakt über aktuelle Telefonnummern ☎ und Adressen ⚑ mit Karte, Routing, Öffnungszeiten, Homepage, E-Mail, vCard und Firmendaten.</t>
  </si>
  <si>
    <t>Hauptstraße 64</t>
  </si>
  <si>
    <t>8900</t>
  </si>
  <si>
    <t>Selzthal</t>
  </si>
  <si>
    <t>47.55168</t>
  </si>
  <si>
    <t>14.3199</t>
  </si>
  <si>
    <t>+43361620058</t>
  </si>
  <si>
    <t>https://bilder.dasschnelle.at/DasSchnelle/50/5000/9905/044875/G_044875_P_906177165.adn.gif</t>
  </si>
  <si>
    <t>KW Kältetechnik GmbH • Söding-Sankt Johann • Steiermark</t>
  </si>
  <si>
    <t>Kältetechnik • KW Kältetechnik GmbH, Packerstraße 127, Söding-Sankt Johann • Kontakt über aktuelle Telefonnummern ☎ und Adressen ⚑ mit Karte, Routing, Öffnungszeiten, Homepage, E-Mail, vCard und Firmendaten.</t>
  </si>
  <si>
    <t>Packerstraße 127</t>
  </si>
  <si>
    <t>Söding-Sankt Johann</t>
  </si>
  <si>
    <t>47.00071</t>
  </si>
  <si>
    <t>15.28155</t>
  </si>
  <si>
    <t>+436644545100</t>
  </si>
  <si>
    <t>office@kaeltewest.at</t>
  </si>
  <si>
    <t>https://bilder.dasschnelle.at/DasSchnelle/50/5000/9941/061378/G_061378_P_906175935.adn.gif</t>
  </si>
  <si>
    <t>Hojas, Kathrin, Brennstoffe • Köflach • Steiermark</t>
  </si>
  <si>
    <t>Brennstoffhandel • Hojas, Kathrin, Grazerstraße 21, Köflach • Kontakt über aktuelle Telefonnummern ☎ und Adressen ⚑ mit Karte, Routing, Öffnungszeiten, Homepage, E-Mail, vCard und Firmendaten.</t>
  </si>
  <si>
    <t>Grazerstraße 21</t>
  </si>
  <si>
    <t>47.06346</t>
  </si>
  <si>
    <t>15.08861</t>
  </si>
  <si>
    <t>+4331443371</t>
  </si>
  <si>
    <t>hojas-kohle@gmx.at</t>
  </si>
  <si>
    <t>https://bilder.dasschnelle.at/DasSchnelle/50/5000/9941/061383/G_061383_P_906175937.adn.gif</t>
  </si>
  <si>
    <t>Gamisch Heizungsbau GesmbH&amp;Co KG, Heizungen • Obernberg am Inn • Oberösterreich</t>
  </si>
  <si>
    <t>Heizungen • Gamisch Heizungsbau GesmbH&amp;Co KG, Salzburgerstraße 21, Obernberg am Inn • Kontakt über aktuelle Telefonnummern ☎ und Adressen ⚑ mit Karte, Routing, Öffnungszeiten, Homepage, E-Mail, vCard und Firmendaten.</t>
  </si>
  <si>
    <t>Salzburgerstraße 21</t>
  </si>
  <si>
    <t>Obernberg am Inn</t>
  </si>
  <si>
    <t>48.31772</t>
  </si>
  <si>
    <t>13.32799</t>
  </si>
  <si>
    <t>+43775822400</t>
  </si>
  <si>
    <t>gamisch@outlook.com</t>
  </si>
  <si>
    <t>https://bilder.dasschnelle.at/DasSchnelle/50/5000/9922/042557/G_042557_P_906177179.adn.gif</t>
  </si>
  <si>
    <t>Der Eder GmbH, Installationsunternehmen • Eitzing • Oberösterreich</t>
  </si>
  <si>
    <t>Installationsunternehmen • Der Eder GmbH, Probenzing 40, Eitzing • Kontakt über aktuelle Telefonnummern ☎ und Adressen ⚑ mit Karte, Routing, Öffnungszeiten, Homepage, E-Mail, vCard und Firmendaten.</t>
  </si>
  <si>
    <t>Probenzing 40</t>
  </si>
  <si>
    <t>4970</t>
  </si>
  <si>
    <t>Eitzing</t>
  </si>
  <si>
    <t>48.2311471</t>
  </si>
  <si>
    <t>13.4321475</t>
  </si>
  <si>
    <t>+43775285566</t>
  </si>
  <si>
    <t>office@der-eder.at</t>
  </si>
  <si>
    <t>https://bilder.dasschnelle.at/DasSchnelle/50/5000/9922/042543/G_042543_P_906177181.adn.gif</t>
  </si>
  <si>
    <t>D &amp; W Dach West GmbH • Mooskirchen • Steiermark</t>
  </si>
  <si>
    <t>Dachdeckereien • D &amp; W Dach West GmbH, Kainachstraße 15 c, Mooskirchen • Kontakt über aktuelle Telefonnummern ☎ und Adressen ⚑ mit Karte, Routing, Öffnungszeiten, Homepage, E-Mail, vCard und Firmendaten.</t>
  </si>
  <si>
    <t>Kainachstraße 15 c</t>
  </si>
  <si>
    <t>8562</t>
  </si>
  <si>
    <t>Mooskirchen</t>
  </si>
  <si>
    <t>46.978069</t>
  </si>
  <si>
    <t>15.2873023</t>
  </si>
  <si>
    <t>+436763271477</t>
  </si>
  <si>
    <t>office@dachwest.at</t>
  </si>
  <si>
    <t>https://bilder.dasschnelle.at/DasSchnelle/50/5000/9941/045365/G_045365_P_906177185.adn.gif</t>
  </si>
  <si>
    <t>Wirt in der Edt, Landgasthaus Radner Elke u Erwin, Landgasthaus • Schart • Oberösterreich</t>
  </si>
  <si>
    <t>Gastgewerbe - Gasthöfe • Wirt in der Edt, Landgasthaus Radner Elke u Erwin, Schart • Kontakt über aktuelle Telefonnummern ☎ und Adressen ⚑ mit Karte, Routing, Öffnungszeiten, Homepage, E-Mail, vCard und Firmendaten.</t>
  </si>
  <si>
    <t>48.0238931</t>
  </si>
  <si>
    <t>13.9544490</t>
  </si>
  <si>
    <t>+4376146241;+4369917774655</t>
  </si>
  <si>
    <t>wirt.edt@gmail.com</t>
  </si>
  <si>
    <t>https://bilder.dasschnelle.at/DasSchnelle/50/5000/9943/041807/G_041807_P_906175741.adn.gif</t>
  </si>
  <si>
    <t>Hutterer, Harald, Elektroinstallationen • Vorchdorf • Oberösterreich</t>
  </si>
  <si>
    <t>Elektroinstallationen • Hutterer, Harald, Theuerwang 19, Vorchdorf • Kontakt über aktuelle Telefonnummern ☎ und Adressen ⚑ mit Karte, Routing, Öffnungszeiten, Homepage, E-Mail, vCard und Firmendaten.</t>
  </si>
  <si>
    <t>Theuerwang 19</t>
  </si>
  <si>
    <t>47.9922820</t>
  </si>
  <si>
    <t>13.9531450</t>
  </si>
  <si>
    <t>+4376146096;+436641358496</t>
  </si>
  <si>
    <t>buero@hutterer.biz</t>
  </si>
  <si>
    <t>https://bilder.dasschnelle.at/DasSchnelle/50/5000/9943/041807/G_041807_P_906175743.adn.gif</t>
  </si>
  <si>
    <t>Dong´s Cooking, Asia Restaurant • Steinhaus bei Wels • Oberösterreich</t>
  </si>
  <si>
    <t>Asia-Restaurants • Dong´s Cooking, Reitingerstraße 7, Steinhaus bei Wels • Kontakt über aktuelle Telefonnummern ☎ und Adressen ⚑ mit Karte, Routing, Öffnungszeiten, Homepage, E-Mail, vCard und Firmendaten.</t>
  </si>
  <si>
    <t>Reitingerstraße 7</t>
  </si>
  <si>
    <t>Steinhaus bei Wels</t>
  </si>
  <si>
    <t>48.10354</t>
  </si>
  <si>
    <t>14.0399</t>
  </si>
  <si>
    <t>+437242210081</t>
  </si>
  <si>
    <t>wenlingdong1@gmail.com</t>
  </si>
  <si>
    <t>https://bilder.dasschnelle.at/DasSchnelle/50/5000/9934/043583/G_043583_P_906175746.adn.gif</t>
  </si>
  <si>
    <t>Moser, Josef, Bau- und Möbeltischlerei • Steinerkirchen • Oberösterreich</t>
  </si>
  <si>
    <t>Tischlereien • Moser, Josef, Schnelling 19, Steinerkirchen • Kontakt über aktuelle Telefonnummern ☎ und Adressen ⚑ mit Karte, Routing, Öffnungszeiten, Homepage, E-Mail, vCard und Firmendaten.</t>
  </si>
  <si>
    <t>Schnelling 19</t>
  </si>
  <si>
    <t>48.0472734</t>
  </si>
  <si>
    <t>13.9569902</t>
  </si>
  <si>
    <t>+4372415038</t>
  </si>
  <si>
    <t>office@tischlereimoser.co.at</t>
  </si>
  <si>
    <t>https://bilder.dasschnelle.at/DasSchnelle/50/5000/9934/043582/G_043582_P_906175748.adn.gif</t>
  </si>
  <si>
    <t>Moser-Kleinbichler, Iris, Dr.med.dent., FA Zahn-Mund- u Kieferheilkunde • Murau • Steiermark</t>
  </si>
  <si>
    <t>Ärzte / Fachärzte f. Zahn-, Mund u. Kieferheilkunde • Moser-Kleinbichler, Iris, Dr.med.dent., Albert-Sacherer-Siedlung 17, Murau • Kontakt über aktuelle Telefonnummern ☎ und Adressen ⚑ mit Karte, Routing, Öffnungszeiten, Homepage, E-Mail, vCard und Firmendaten.</t>
  </si>
  <si>
    <t>Albert-Sacherer-Siedlung 17</t>
  </si>
  <si>
    <t>47.11807</t>
  </si>
  <si>
    <t>14.17282</t>
  </si>
  <si>
    <t>+43353244950</t>
  </si>
  <si>
    <t>office@moser-kleinbichler.at</t>
  </si>
  <si>
    <t>https://bilder.dasschnelle.at/DasSchnelle/50/5000/9910/061401/G_061401_P_906177130.adn.gif</t>
  </si>
  <si>
    <t>Martetschläger GesmbH, Hafnermeister • Vorchdorf • Oberösterreich</t>
  </si>
  <si>
    <t>Hafner • Martetschläger GesmbH, Dr. Mitterbauerstraße 5, Vorchdorf • Kontakt über aktuelle Telefonnummern ☎ und Adressen ⚑ mit Karte, Routing, Öffnungszeiten, Homepage, E-Mail, vCard und Firmendaten.</t>
  </si>
  <si>
    <t>Dr. Mitterbauerstraße 5</t>
  </si>
  <si>
    <t>48.0106700</t>
  </si>
  <si>
    <t>13.9160400</t>
  </si>
  <si>
    <t>+4376147089</t>
  </si>
  <si>
    <t>+437614708911</t>
  </si>
  <si>
    <t>fischer@martetschlaeger.net</t>
  </si>
  <si>
    <t>https://bilder.dasschnelle.at/DasSchnelle/50/5000/9943/041807/G_041807_P_906177209.adn.gif</t>
  </si>
  <si>
    <t>Neumair, Josef, Tischlerei • Hummelberg • Oberösterreich</t>
  </si>
  <si>
    <t>Tischlereien • Neumair, Josef, Hummelberg 9, Hummelberg • Kontakt über aktuelle Telefonnummern ☎ und Adressen ⚑ mit Karte, Routing, Öffnungszeiten, Homepage, E-Mail, vCard und Firmendaten.</t>
  </si>
  <si>
    <t>Hummelberg 9</t>
  </si>
  <si>
    <t>Hummelberg</t>
  </si>
  <si>
    <t>48.0672649</t>
  </si>
  <si>
    <t>13.9554003</t>
  </si>
  <si>
    <t>+43724153310</t>
  </si>
  <si>
    <t>office@tischlerei-neumair.at</t>
  </si>
  <si>
    <t>https://bilder.dasschnelle.at/DasSchnelle/50/5000/9934/043582/G_043582_P_906177212.adn.gif</t>
  </si>
  <si>
    <t>Stribl, Silvia, Logopädin • Rohrbach • Oberösterreich</t>
  </si>
  <si>
    <t>Logopädie • Stribl, Silvia, Stadtplatz 16, Rohrbach • Kontakt über aktuelle Telefonnummern ☎ und Adressen ⚑ mit Karte, Routing, Öffnungszeiten, Homepage, E-Mail, vCard und Firmendaten.</t>
  </si>
  <si>
    <t>+436507035130</t>
  </si>
  <si>
    <t>office@logopaedie-stribl.at</t>
  </si>
  <si>
    <t>https://bilder.dasschnelle.at/DasSchnelle/50/5000/9923/061480/G_061480_P_906177866.adn.gif</t>
  </si>
  <si>
    <t>Lichtenwagner -Stadler, Rechtsanwälte • Rohrbach • Oberösterreich</t>
  </si>
  <si>
    <t>Rechtsanwälte • Lichtenwagner -Stadler, Haslacher Str. 17, Rohrbach • Kontakt über aktuelle Telefonnummern ☎ und Adressen ⚑ mit Karte, Routing, Öffnungszeiten, Homepage, E-Mail, vCard und Firmendaten.</t>
  </si>
  <si>
    <t>Haslacher Str. 17</t>
  </si>
  <si>
    <t>48.5694013</t>
  </si>
  <si>
    <t>13.9963444</t>
  </si>
  <si>
    <t>+4372898803</t>
  </si>
  <si>
    <t>rechtsanwalt@lichtenwagner.at</t>
  </si>
  <si>
    <t>https://bilder.dasschnelle.at/DasSchnelle/50/5000/9923/061480/G_061480_P_906177872.adn.gif</t>
  </si>
  <si>
    <t>Rak, Gerhard, Dr.med.univ., Zahnarzt • Rohrbach • Oberösterreich</t>
  </si>
  <si>
    <t>Ärzte / Fachärzte f. Zahn-, Mund u. Kieferheilkunde • Rak, Gerhard, Dr.med.univ., Akademiestraße 8, Rohrbach • Kontakt über aktuelle Telefonnummern ☎ und Adressen ⚑ mit Karte, Routing, Öffnungszeiten, Homepage, E-Mail, vCard und Firmendaten.</t>
  </si>
  <si>
    <t>Akademiestraße 8</t>
  </si>
  <si>
    <t>48.5710628</t>
  </si>
  <si>
    <t>13.9888710</t>
  </si>
  <si>
    <t>+4372895330</t>
  </si>
  <si>
    <t>gerhard.rak@zahngesundheit.at</t>
  </si>
  <si>
    <t>https://bilder.dasschnelle.at/DasSchnelle/50/5000/9923/061480/G_061480_P_906178031.adn.gif</t>
  </si>
  <si>
    <t>Getzendorfer, Bernd, Dr.med., Zahnarzt • Peilstein im Mühlviertel • Oberösterreich</t>
  </si>
  <si>
    <t>Ärzte / Fachärzte f. Zahn-, Mund u. Kieferheilkunde, Ärzte / Zahnärzte • Getzendorfer, Bernd, Dr.med., Marktstraße 2, Peilstein im Mühlviertel • Kontakt über aktuelle Telefonnummern ☎ und Adressen ⚑ mit Karte, Routing, Öffnungszeiten, Homepage, E-Mail, vCard und Firmendaten.</t>
  </si>
  <si>
    <t>Marktstraße 2</t>
  </si>
  <si>
    <t>48.6178</t>
  </si>
  <si>
    <t>13.89484</t>
  </si>
  <si>
    <t>+43728720567</t>
  </si>
  <si>
    <t>office@getzendorfer.at</t>
  </si>
  <si>
    <t>https://bilder.dasschnelle.at/DasSchnelle/50/5000/9923/042285/G_042285_P_906179384.adn.gif</t>
  </si>
  <si>
    <t>ecc ECOCARE Wirtschaftsberatung GmbH, Wirtschaftsberatung • Rohrbach • Oberösterreich</t>
  </si>
  <si>
    <t>Unternehmensberatung, Versicherungsmakler • ecc ECOCARE Wirtschaftsberatung GmbH, Berggasse 2, Rohrbach • Kontakt über aktuelle Telefonnummern ☎ und Adressen ⚑ mit Karte, Routing, Öffnungszeiten, Homepage, E-Mail, vCard und Firmendaten.</t>
  </si>
  <si>
    <t>Berggasse 2</t>
  </si>
  <si>
    <t>48.5728169</t>
  </si>
  <si>
    <t>13.9921506</t>
  </si>
  <si>
    <t>+4372895364</t>
  </si>
  <si>
    <t>rohrbach@ecc.gmbh</t>
  </si>
  <si>
    <t>https://bilder.dasschnelle.at/DasSchnelle/50/5000/9923/061480/G_061480_P_906179389.adn.gif</t>
  </si>
  <si>
    <t>ehs Steuerberatungs GmbH, Steuerberatung • Rohrbach • Oberösterreich</t>
  </si>
  <si>
    <t>Unternehmensberatung, Versicherungsmakler • ehs Steuerberatungs GmbH, Berggasse 2, Rohrbach • Kontakt über aktuelle Telefonnummern ☎ und Adressen ⚑ mit Karte, Routing, Öffnungszeiten, Homepage, E-Mail, vCard und Firmendaten.</t>
  </si>
  <si>
    <t>+437289210330</t>
  </si>
  <si>
    <t>office@ehs.gmbh</t>
  </si>
  <si>
    <t>https://bilder.dasschnelle.at/DasSchnelle/50/5000/9923/061480/G_061480_P_906179394.adn.gif</t>
  </si>
  <si>
    <t>Buttinger, Erwin, Elektroinstallationsunternehmen • Gurten • Oberösterreich</t>
  </si>
  <si>
    <t>Elektroinstallationsunternehmen • Buttinger, Erwin, Am Unteren Anger 18, Gurten • Kontakt über aktuelle Telefonnummern ☎ und Adressen ⚑ mit Karte, Routing, Öffnungszeiten, Homepage, E-Mail, vCard und Firmendaten.</t>
  </si>
  <si>
    <t>Am Unteren Anger 18</t>
  </si>
  <si>
    <t>48.24206</t>
  </si>
  <si>
    <t>13.35046</t>
  </si>
  <si>
    <t>+436643821601</t>
  </si>
  <si>
    <t>office@elektro-net.at</t>
  </si>
  <si>
    <t>https://bilder.dasschnelle.at/DasSchnelle/50/5000/9922/042546/I_042546_P_906179405_L_0036738180_1.png</t>
  </si>
  <si>
    <t>https://bilder.dasschnelle.at/DasSchnelle/50/5000/9922/042546/I_042546_P_906179405_B_0036738180_1.gal.png?height=380&amp;width=570;https://bilder.dasschnelle.at/DasSchnelle/50/5000/9922/042546/I_042546_P_906179405_B_0036738180_2.gal.png?height=381&amp;width=570;https://bilder.dasschnelle.at/DasSchnelle/50/5000/9922/042546/I_042546_P_906179405_B_0036738180_3.gal.png?height=381&amp;width=570;https://bilder.dasschnelle.at/DasSchnelle/50/5000/9922/042546/I_042546_P_906179405_B_0036738180_4.gal.png?height=369&amp;width=555</t>
  </si>
  <si>
    <t>Steinmaurer, Karl, Schlosserei • Sattledt • Oberösterreich</t>
  </si>
  <si>
    <t>Schlossereien • Steinmaurer, Karl, Maidorf 4, Sattledt • Kontakt über aktuelle Telefonnummern ☎ und Adressen ⚑ mit Karte, Routing, Öffnungszeiten, Homepage, E-Mail, vCard und Firmendaten.</t>
  </si>
  <si>
    <t>Maidorf 4</t>
  </si>
  <si>
    <t>48.0604881</t>
  </si>
  <si>
    <t>14.0522264</t>
  </si>
  <si>
    <t>+43724484830;+436764546045</t>
  </si>
  <si>
    <t>info@steinmaurer-schlosserei.at</t>
  </si>
  <si>
    <t>https://bilder.dasschnelle.at/DasSchnelle/50/5000/9934/043578/I_043578_P_906177912_L_0036244057_1.png</t>
  </si>
  <si>
    <t>https://bilder.dasschnelle.at/DasSchnelle/50/5000/9934/043578/I_043578_P_906177912_B_0036244057_1.gal.png?height=350&amp;width=600;https://bilder.dasschnelle.at/DasSchnelle/50/5000/9934/043578/I_043578_P_906177912_B_0036244057_2.gal.png?height=387&amp;width=1000;https://bilder.dasschnelle.at/DasSchnelle/50/5000/9934/043578/I_043578_P_906177912_B_0036244057_3.gal.png?height=387&amp;width=1000;https://bilder.dasschnelle.at/DasSchnelle/50/5000/9934/043578/I_043578_P_906177912_B_0036244057_4.gal.png?height=620&amp;width=953</t>
  </si>
  <si>
    <t>Trummer &amp; Partnerinnen Steuerberatung GmbH • Irdning • Steiermark</t>
  </si>
  <si>
    <t>Steuerberater, Wirtschaftstreuhänder / Steuerberater • Trummer &amp; Partnerinnen Steuerberatung GmbH, Ahornerstraße 197, Irdning • Kontakt über aktuelle Telefonnummern ☎ und Adressen ⚑ mit Karte, Routing, Öffnungszeiten, Homepage, E-Mail, vCard und Firmendaten.</t>
  </si>
  <si>
    <t>Ahornerstraße 197</t>
  </si>
  <si>
    <t>8952</t>
  </si>
  <si>
    <t>Irdning</t>
  </si>
  <si>
    <t>47.50723</t>
  </si>
  <si>
    <t>14.10871</t>
  </si>
  <si>
    <t>+433682256601</t>
  </si>
  <si>
    <t>office@trummer-partnerinnen.at</t>
  </si>
  <si>
    <t>https://bilder.dasschnelle.at/DasSchnelle/50/5000/9905/061455/G_061455_P_906177914.adn.gif</t>
  </si>
  <si>
    <t>Hartig, Ruth, Dr., Ärzte / Fachärzte f Psychiatrie • Scheibbs • Niederösterreich</t>
  </si>
  <si>
    <t>Ärzte / Fachärzte f. Neurologie u. Psychiatrie • Hartig, Ruth, Dr., Hauptstraße 4, Scheibbs • Kontakt über aktuelle Telefonnummern ☎ und Adressen ⚑ mit Karte, Routing, Öffnungszeiten, Homepage, E-Mail, vCard und Firmendaten.</t>
  </si>
  <si>
    <t>15.16543</t>
  </si>
  <si>
    <t>+43748242671</t>
  </si>
  <si>
    <t>ordination.r.hartig@gmail.com</t>
  </si>
  <si>
    <t>https://bilder.dasschnelle.at/DasSchnelle/50/5000/9927/041934/G_041934_P_906177918.adn.gif</t>
  </si>
  <si>
    <t>Kraft, Michael, Dipl.TA., Tierarzt • Murau • Steiermark</t>
  </si>
  <si>
    <t>Tierärzte • Kraft, Michael, Dipl.TA., Goethestraße 13 B, Murau • Kontakt über aktuelle Telefonnummern ☎ und Adressen ⚑ mit Karte, Routing, Öffnungszeiten, Homepage, E-Mail, vCard und Firmendaten.</t>
  </si>
  <si>
    <t>Goethestraße 13 B</t>
  </si>
  <si>
    <t>47.11334</t>
  </si>
  <si>
    <t>14.1724</t>
  </si>
  <si>
    <t>+43353237500;+436641146704</t>
  </si>
  <si>
    <t>office@vetkraft.at</t>
  </si>
  <si>
    <t>https://bilder.dasschnelle.at/DasSchnelle/50/5000/9910/061401/G_061401_P_906177922.adn.gif</t>
  </si>
  <si>
    <t>Radner, Bernhard, Tischlereien • Vorchdorf • Oberösterreich</t>
  </si>
  <si>
    <t>Bestattungsunternehmen, Innenausbau, Tischlereien • Radner, Bernhard, Schulstraße 18, Vorchdorf • Kontakt über aktuelle Telefonnummern ☎ und Adressen ⚑ mit Karte, Routing, Öffnungszeiten, Homepage, E-Mail, vCard und Firmendaten.</t>
  </si>
  <si>
    <t>Schulstraße 18</t>
  </si>
  <si>
    <t>48.00719</t>
  </si>
  <si>
    <t>13.92494</t>
  </si>
  <si>
    <t>+4376146377</t>
  </si>
  <si>
    <t>+437614637714</t>
  </si>
  <si>
    <t>radner@bestattung-vorchdorf.at</t>
  </si>
  <si>
    <t>https://bilder.dasschnelle.at/DasSchnelle/50/5000/9943/041807/G_041807_P_906179185.adn.gif</t>
  </si>
  <si>
    <t>Scheuerer Gerald • Tamsweg • Salzburg</t>
  </si>
  <si>
    <t>Bauunternehmen • Scheuerer Gerald, Mörtelsdorf 27, Tamsweg • Kontakt über aktuelle Telefonnummern ☎ und Adressen ⚑ mit Karte, Routing, Öffnungszeiten, Homepage, E-Mail, vCard und Firmendaten.</t>
  </si>
  <si>
    <t>Mörtelsdorf 27</t>
  </si>
  <si>
    <t>47.1289800</t>
  </si>
  <si>
    <t>13.7886800</t>
  </si>
  <si>
    <t>+436644325292</t>
  </si>
  <si>
    <t>Gscheira@yohoo.de</t>
  </si>
  <si>
    <t>https://bilder.dasschnelle.at/DasSchnelle/50/5000/9936/043804/I_043804_P_906179188_L_0038849544_1.png</t>
  </si>
  <si>
    <t>https://bilder.dasschnelle.at/DasSchnelle/50/5000/9936/043804/I_043804_P_906179188_B_0038849544_1.gal.png?height=332&amp;width=720;https://bilder.dasschnelle.at/DasSchnelle/50/5000/9936/043804/I_043804_P_906179188_B_0038849544_2.gal.png?height=466&amp;width=700;https://bilder.dasschnelle.at/DasSchnelle/50/5000/9936/043804/I_043804_P_906179188_B_0038849544_3.gal.png?height=479&amp;width=720;https://bilder.dasschnelle.at/DasSchnelle/50/5000/9936/043804/I_043804_P_906179188_B_0038849544_4.gal.png?height=581&amp;width=720</t>
  </si>
  <si>
    <t>Schnitzer GesmbH, Auto • Trautenfels • Steiermark</t>
  </si>
  <si>
    <t>Autohandel, Autoreparaturen • Schnitzer GesmbH, Niederstuttern 67, Trautenfels • Kontakt über aktuelle Telefonnummern ☎ und Adressen ⚑ mit Karte, Routing, Öffnungszeiten, Homepage, E-Mail, vCard und Firmendaten.</t>
  </si>
  <si>
    <t>Niederstuttern 67</t>
  </si>
  <si>
    <t>8951</t>
  </si>
  <si>
    <t>Trautenfels</t>
  </si>
  <si>
    <t>47.50929</t>
  </si>
  <si>
    <t>14.0538</t>
  </si>
  <si>
    <t>+433682244880;+436641858383</t>
  </si>
  <si>
    <t>+433682244884</t>
  </si>
  <si>
    <t>office@auto-schnitzer.at</t>
  </si>
  <si>
    <t>https://bilder.dasschnelle.at/DasSchnelle/50/5000/9905/061458/G_061458_P_906177948.adn.gif</t>
  </si>
  <si>
    <t>Punkenhofer, Martina, Autohaus • Bad Mitterndorf • Steiermark</t>
  </si>
  <si>
    <t>Autohandel, Autoreparaturen • Punkenhofer, Martina, Obersdorf 98, Bad Mitterndorf • Kontakt über aktuelle Telefonnummern ☎ und Adressen ⚑ mit Karte, Routing, Öffnungszeiten, Homepage, E-Mail, vCard und Firmendaten.</t>
  </si>
  <si>
    <t>Obersdorf 98</t>
  </si>
  <si>
    <t>47.5673131</t>
  </si>
  <si>
    <t>13.8988719</t>
  </si>
  <si>
    <t>+4336232201</t>
  </si>
  <si>
    <t>punkenhofer@utanet.at</t>
  </si>
  <si>
    <t>https://bilder.dasschnelle.at/DasSchnelle/50/5000/9905/061452/G_061452_P_906178003.adn.gif</t>
  </si>
  <si>
    <t>Modl, Manfred, Ing., Tischlerei • Altenmarkt bei Sankt Gallen • Steiermark</t>
  </si>
  <si>
    <t>Tischlereien • Modl, Manfred, Ing., Altenmarkt bei Sankt Gallen 69, Altenmarkt bei Sankt Gallen • Kontakt über aktuelle Telefonnummern ☎ und Adressen ⚑ mit Karte, Routing, Öffnungszeiten, Homepage, E-Mail, vCard und Firmendaten.</t>
  </si>
  <si>
    <t>Altenmarkt bei Sankt Gallen 69</t>
  </si>
  <si>
    <t>8934</t>
  </si>
  <si>
    <t>Altenmarkt bei Sankt Gallen</t>
  </si>
  <si>
    <t>47.7248806</t>
  </si>
  <si>
    <t>14.6504538</t>
  </si>
  <si>
    <t>+4336322160</t>
  </si>
  <si>
    <t>office@tischlerei-modl.at</t>
  </si>
  <si>
    <t>https://bilder.dasschnelle.at/DasSchnelle/50/5000/9905/044349/G_044349_P_906178005.adn.gif</t>
  </si>
  <si>
    <t>Rumpf, Stefan, Bäckerei • Pichling bei Köflach • Steiermark</t>
  </si>
  <si>
    <t>Bäckereien • Rumpf, Stefan, Alois-Geißler-Straße 55, Pichling bei Köflach • Kontakt über aktuelle Telefonnummern ☎ und Adressen ⚑ mit Karte, Routing, Öffnungszeiten, Homepage, E-Mail, vCard und Firmendaten.</t>
  </si>
  <si>
    <t>Alois-Geißler-Straße 55</t>
  </si>
  <si>
    <t>Pichling bei Köflach</t>
  </si>
  <si>
    <t>47.04532</t>
  </si>
  <si>
    <t>15.0769</t>
  </si>
  <si>
    <t>+4331443493</t>
  </si>
  <si>
    <t>stefan.rumpf@koeflach-tv.at</t>
  </si>
  <si>
    <t>https://bilder.dasschnelle.at/DasSchnelle/50/5000/9941/061383/G_061383_P_906179307.adn.gif</t>
  </si>
  <si>
    <t>Autohaus Gspandl GesmbH • Köflach • Steiermark</t>
  </si>
  <si>
    <t>Autohandel • Autohaus Gspandl GesmbH, Hauptstraße 105, Köflach • Kontakt über aktuelle Telefonnummern ☎ und Adressen ⚑ mit Karte, Routing, Öffnungszeiten, Homepage, E-Mail, vCard und Firmendaten.</t>
  </si>
  <si>
    <t>Hauptstraße 105</t>
  </si>
  <si>
    <t>47.06324</t>
  </si>
  <si>
    <t>15.09971</t>
  </si>
  <si>
    <t>+4331442243</t>
  </si>
  <si>
    <t>office@auto-gspandl.at</t>
  </si>
  <si>
    <t>https://bilder.dasschnelle.at/DasSchnelle/50/5000/9941/061383/G_061383_P_906179309.adn.gif</t>
  </si>
  <si>
    <t>HAAR MONIE - Friseursalon, Friseur u Frisiersalon • Rosental an der Kainach • Steiermark</t>
  </si>
  <si>
    <t>Friseure • HAAR MONIE - Friseursalon, Hauptstraße 29, Rosental an der Kainach • Kontakt über aktuelle Telefonnummern ☎ und Adressen ⚑ mit Karte, Routing, Öffnungszeiten, Homepage, E-Mail, vCard und Firmendaten.</t>
  </si>
  <si>
    <t>47.05261</t>
  </si>
  <si>
    <t>15.12209</t>
  </si>
  <si>
    <t>+43314220400</t>
  </si>
  <si>
    <t>office@salon-hairmony.at</t>
  </si>
  <si>
    <t>https://bilder.dasschnelle.at/DasSchnelle/50/5000/9941/045368/G_045368_P_906179311.adn.gif</t>
  </si>
  <si>
    <t>Karl Schneeberger, Swimmbad- Montage-Technik e.U., Schwimmbad • Vorchdorf • Oberösterreich</t>
  </si>
  <si>
    <t>Schwimmbäder • Karl Schneeberger, Swimmbad- Montage-Technik e.U., Albenedt 12, Vorchdorf • Kontakt über aktuelle Telefonnummern ☎ und Adressen ⚑ mit Karte, Routing, Öffnungszeiten, Homepage, E-Mail, vCard und Firmendaten.</t>
  </si>
  <si>
    <t>Albenedt 12</t>
  </si>
  <si>
    <t>47.9973549</t>
  </si>
  <si>
    <t>13.9785936</t>
  </si>
  <si>
    <t>+4376146302</t>
  </si>
  <si>
    <t>office@schwimmbad1a.at</t>
  </si>
  <si>
    <t>https://bilder.dasschnelle.at/DasSchnelle/50/5000/9943/041807/I_041807_P_906179315_L_0036244032_1.png</t>
  </si>
  <si>
    <t>https://bilder.dasschnelle.at/DasSchnelle/50/5000/9943/041807/I_041807_P_906179315_B_0036244032_1.gal.png?height=216&amp;width=500;https://bilder.dasschnelle.at/DasSchnelle/50/5000/9943/041807/I_041807_P_906179315_B_0036244032_2.gal.png?height=166&amp;width=500;https://bilder.dasschnelle.at/DasSchnelle/50/5000/9943/041807/I_041807_P_906179315_B_0036244032_3.gal.png?height=315&amp;width=420;https://bilder.dasschnelle.at/DasSchnelle/50/5000/9943/041807/I_041807_P_906179315_B_0036244032_4.gal.png?height=164&amp;width=500</t>
  </si>
  <si>
    <t>Riesinger, Friedrich, Mag., Tierarzt • Ulrichsberg • Oberösterreich</t>
  </si>
  <si>
    <t>Tierärzte • Riesinger, Friedrich, Mag., Ledermühlweg 1, Ulrichsberg • Kontakt über aktuelle Telefonnummern ☎ und Adressen ⚑ mit Karte, Routing, Öffnungszeiten, Homepage, E-Mail, vCard und Firmendaten.</t>
  </si>
  <si>
    <t>Ledermühlweg 1</t>
  </si>
  <si>
    <t>48.67148</t>
  </si>
  <si>
    <t>13.91761</t>
  </si>
  <si>
    <t>+4366473711910</t>
  </si>
  <si>
    <t>fritz.riesinger@aon.at</t>
  </si>
  <si>
    <t>https://bilder.dasschnelle.at/DasSchnelle/50/5000/9923/042301/G_042301_P_906180077.adn.gif</t>
  </si>
  <si>
    <t>Blumen Edith • Aigen im Ennstal • Steiermark</t>
  </si>
  <si>
    <t>Blumenhandel • Blumen Edith, Aigen 121, Aigen im Ennstal • Kontakt über aktuelle Telefonnummern ☎ und Adressen ⚑ mit Karte, Routing, Öffnungszeiten, Homepage, E-Mail, vCard und Firmendaten.</t>
  </si>
  <si>
    <t>Aigen 121</t>
  </si>
  <si>
    <t>47.5205048</t>
  </si>
  <si>
    <t>14.1428632</t>
  </si>
  <si>
    <t>+43368224715</t>
  </si>
  <si>
    <t>https://bilder.dasschnelle.at/DasSchnelle/50/5000/9905/044347/G_044347_P_906180079.adn.gif</t>
  </si>
  <si>
    <t>Höfl, Manfred, Malerei • Krakaudorf • Steiermark</t>
  </si>
  <si>
    <t>Malereibetriebe • Höfl, Manfred, Krakaudorf 109, Krakaudorf • Kontakt über aktuelle Telefonnummern ☎ und Adressen ⚑ mit Karte, Routing, Öffnungszeiten, Homepage, E-Mail, vCard und Firmendaten.</t>
  </si>
  <si>
    <t>Krakaudorf 109</t>
  </si>
  <si>
    <t>Krakaudorf</t>
  </si>
  <si>
    <t>47.1817291</t>
  </si>
  <si>
    <t>14.0191956</t>
  </si>
  <si>
    <t>+43353520010;+436641836932</t>
  </si>
  <si>
    <t>+4335352001014</t>
  </si>
  <si>
    <t>info@hoeflmalerei.at</t>
  </si>
  <si>
    <t>https://bilder.dasschnelle.at/DasSchnelle/50/5000/9910/061477/I_061477_P_906180091_L_0036253803_1.png</t>
  </si>
  <si>
    <t>https://bilder.dasschnelle.at/DasSchnelle/50/5000/9910/061477/I_061477_P_906180091_B_0036253803_1.gal.png?height=358&amp;width=573;https://bilder.dasschnelle.at/DasSchnelle/50/5000/9910/061477/I_061477_P_906180091_B_0036253803_2.gal.png?height=352&amp;width=576;https://bilder.dasschnelle.at/DasSchnelle/50/5000/9910/061477/I_061477_P_906180091_B_0036253803_3.gal.png?height=358&amp;width=574;https://bilder.dasschnelle.at/DasSchnelle/50/5000/9910/061477/I_061477_P_906180091_B_0036253803_4.gal.png?height=350&amp;width=568</t>
  </si>
  <si>
    <t>Blumenhaus Reiter GmbH, Garten- u Landschaftsgestaltung • Eberschwang • Oberösterreich</t>
  </si>
  <si>
    <t>Garten- u. Landschaftsgestaltung • Blumenhaus Reiter GmbH, Königsberger Straße 38, Eberschwang • Kontakt über aktuelle Telefonnummern ☎ und Adressen ⚑ mit Karte, Routing, Öffnungszeiten, Homepage, E-Mail, vCard und Firmendaten.</t>
  </si>
  <si>
    <t>Königsberger Straße 38</t>
  </si>
  <si>
    <t>Eberschwang</t>
  </si>
  <si>
    <t>48.1639366</t>
  </si>
  <si>
    <t>13.5629726</t>
  </si>
  <si>
    <t>+4377532577</t>
  </si>
  <si>
    <t>josef-reiter@gmx.at</t>
  </si>
  <si>
    <t>https://bilder.dasschnelle.at/DasSchnelle/50/5000/9922/042542/G_042542_P_906180113.adn.gif</t>
  </si>
  <si>
    <t>Kalb, Leonhard, Ing., Gas-, Wasser- u Heizungsinstallation • Sankt Michael im Lungau • Salzburg</t>
  </si>
  <si>
    <t>Installationsunternehmen • Kalb, Leonhard, Ing., Gewerbestraße 359, Sankt Michael im Lungau • Kontakt über aktuelle Telefonnummern ☎ und Adressen ⚑ mit Karte, Routing, Öffnungszeiten, Homepage, E-Mail, vCard und Firmendaten.</t>
  </si>
  <si>
    <t>Gewerbestraße 359</t>
  </si>
  <si>
    <t>47.0959</t>
  </si>
  <si>
    <t>13.62924</t>
  </si>
  <si>
    <t>+43647782300</t>
  </si>
  <si>
    <t>office@kalb.co.at</t>
  </si>
  <si>
    <t>https://bilder.dasschnelle.at/DasSchnelle/50/5000/9936/043803/G_043803_P_906180115.adn.gif</t>
  </si>
  <si>
    <t>Reiter, Elisabeth, Bilanzbuchhalterin • St. Martin im Mühlkreis • Oberösterreich</t>
  </si>
  <si>
    <t>Buchhaltungs- u. Wirtschaftsbüros • Reiter, Elisabeth, Birnbergstr. 3/6, St. Martin im Mühlkreis • Kontakt über aktuelle Telefonnummern ☎ und Adressen ⚑ mit Karte, Routing, Öffnungszeiten, Homepage, E-Mail, vCard und Firmendaten.</t>
  </si>
  <si>
    <t>Birnbergstr. 3/6</t>
  </si>
  <si>
    <t>48.39887</t>
  </si>
  <si>
    <t>14.07545</t>
  </si>
  <si>
    <t>+43723238126</t>
  </si>
  <si>
    <t>reiter@reiter-buchhaltung.at</t>
  </si>
  <si>
    <t>https://bilder.dasschnelle.at/DasSchnelle/50/5000/9923/042291/G_042291_P_906181249.adn.gif</t>
  </si>
  <si>
    <t>Tierarztpraxis Putzleinsdorf, Thomas u. Andrea Nigl, Tierarzt • Putzleinsdorf • Oberösterreich</t>
  </si>
  <si>
    <t>Tierärzte • Tierarztpraxis Putzleinsdorf, Thomas u. Andrea Nigl, Fischerhäusl 1, Putzleinsdorf • Kontakt über aktuelle Telefonnummern ☎ und Adressen ⚑ mit Karte, Routing, Öffnungszeiten, Homepage, E-Mail, vCard und Firmendaten.</t>
  </si>
  <si>
    <t>https://bilder.dasschnelle.at/DasSchnelle/50/5000/9923/042287/I_042287_P_906181431_L_0036177388_1.png</t>
  </si>
  <si>
    <t>https://bilder.dasschnelle.at/DasSchnelle/50/5000/9923/042287/I_042287_P_906181431_B_0036177388_1.gal.png?height=523&amp;width=720;https://bilder.dasschnelle.at/DasSchnelle/50/5000/9923/042287/I_042287_P_906181431_B_0036177388_2.gal.png?height=593&amp;width=395;https://bilder.dasschnelle.at/DasSchnelle/50/5000/9923/042287/I_042287_P_906181431_B_0036177388_3.gal.png?height=477&amp;width=720;https://bilder.dasschnelle.at/DasSchnelle/50/5000/9923/042287/I_042287_P_906181431_B_0036177388_4.gal.png?height=479&amp;width=720;https://bilder.dasschnelle.at/DasSchnelle/50/5000/9923/042287/G_042287_P_906181431.adn.gif</t>
  </si>
  <si>
    <t>Strodl, Kerstin, Steinmetzbetrieb • Stainach • Steiermark</t>
  </si>
  <si>
    <t>Steinmetzbetriebe • Strodl, Kerstin, Gymnasiumgasse 149 A, Stainach • Kontakt über aktuelle Telefonnummern ☎ und Adressen ⚑ mit Karte, Routing, Öffnungszeiten, Homepage, E-Mail, vCard und Firmendaten.</t>
  </si>
  <si>
    <t>Gymnasiumgasse 149 A</t>
  </si>
  <si>
    <t>47.53089</t>
  </si>
  <si>
    <t>14.10754</t>
  </si>
  <si>
    <t>+43368222239</t>
  </si>
  <si>
    <t>strodl.stein@aon.at</t>
  </si>
  <si>
    <t>https://bilder.dasschnelle.at/DasSchnelle/50/5000/9905/061458/I_061458_P_906181440_L_0036237592_1.png</t>
  </si>
  <si>
    <t>https://bilder.dasschnelle.at/DasSchnelle/50/5000/9905/061458/I_061458_P_906181440_B_0036237592_1.gal.png?height=70&amp;width=94;https://bilder.dasschnelle.at/DasSchnelle/50/5000/9905/061458/I_061458_P_906181440_B_0036237592_2.gal.png?height=211&amp;width=194;https://bilder.dasschnelle.at/DasSchnelle/50/5000/9905/061458/I_061458_P_906181440_B_0036237592_3.gal.png?height=70&amp;width=94;https://bilder.dasschnelle.at/DasSchnelle/50/5000/9905/061458/I_061458_P_906181440_B_0036237592_4.gal.png?height=100&amp;width=75</t>
  </si>
  <si>
    <t>Autohaus Griessner GmbH • Mauterndorf • Salzburg</t>
  </si>
  <si>
    <t>Autohandel, Tankstellen • Autohaus Griessner GmbH, Markt 117, Mauterndorf • Kontakt über aktuelle Telefonnummern ☎ und Adressen ⚑ mit Karte, Routing, Öffnungszeiten, Homepage, E-Mail, vCard und Firmendaten.</t>
  </si>
  <si>
    <t>Markt 117</t>
  </si>
  <si>
    <t>47.13376</t>
  </si>
  <si>
    <t>13.68422</t>
  </si>
  <si>
    <t>+43647273180;+4364727754;+436644350529;+436509925276;+43647280000</t>
  </si>
  <si>
    <t>+43647273181</t>
  </si>
  <si>
    <t>peter.griessner@autohaus.at</t>
  </si>
  <si>
    <t>https://bilder.dasschnelle.at/DasSchnelle/50/5000/9936/043362/G_043362_P_906182687.adn.gif</t>
  </si>
  <si>
    <t>Wohleser, Gisela, Dr. med., Gemeindearzt • Helfenberg • Oberösterreich</t>
  </si>
  <si>
    <t>Ärzte / f Allgemeinmedizin • Wohleser, Gisela, Dr. med., Leonfeldner Straße 10, Stg 1, Helfenberg • Kontakt über aktuelle Telefonnummern ☎ und Adressen ⚑ mit Karte, Routing, Öffnungszeiten, Homepage, E-Mail, vCard und Firmendaten.</t>
  </si>
  <si>
    <t>Leonfeldner Straße 10, Stg 1</t>
  </si>
  <si>
    <t>Helfenberg</t>
  </si>
  <si>
    <t>48.5439383</t>
  </si>
  <si>
    <t>14.1435650</t>
  </si>
  <si>
    <t>+4372166254</t>
  </si>
  <si>
    <t>https://bilder.dasschnelle.at/DasSchnelle/50/5000/9923/042269/I_042269_P_906182525_B_0036233110_1.gal.png?height=265&amp;width=400</t>
  </si>
  <si>
    <t>Dr. Haider &amp; Dr. Weberndorfer, FÄ f Innere Medizin OG • Rohrbach • Oberösterreich</t>
  </si>
  <si>
    <t>Ärzte / Fachärzte f. Innere Medizin • Dr. Haider &amp; Dr. Weberndorfer, Stadtplatz 17, Rohrbach • Kontakt über aktuelle Telefonnummern ☎ und Adressen ⚑ mit Karte, Routing, Öffnungszeiten, Homepage, E-Mail, vCard und Firmendaten.</t>
  </si>
  <si>
    <t>+43728940030700</t>
  </si>
  <si>
    <t>innere.medizin@mdz-rohrbach.at</t>
  </si>
  <si>
    <t>https://bilder.dasschnelle.at/DasSchnelle/50/5000/9923/061480/G_061480_P_906182693.adn.gif</t>
  </si>
  <si>
    <t>Tierarztpraxis Amadeus • Ried im Innkreis • Oberösterreich</t>
  </si>
  <si>
    <t>Tierärzte • Tierarztpraxis Amadeus, Auleiten 79, Ried im Innkreis • Kontakt über aktuelle Telefonnummern ☎ und Adressen ⚑ mit Karte, Routing, Öffnungszeiten, Homepage, E-Mail, vCard und Firmendaten.</t>
  </si>
  <si>
    <t>Auleiten 79</t>
  </si>
  <si>
    <t>48.19275</t>
  </si>
  <si>
    <t>13.49925</t>
  </si>
  <si>
    <t>+436763299632</t>
  </si>
  <si>
    <t>zm.martina@gmail.com</t>
  </si>
  <si>
    <t>https://bilder.dasschnelle.at/DasSchnelle/50/5000/9922/042563/G_042563_P_906182702.adn.gif</t>
  </si>
  <si>
    <t>Scheidl Wilhelm GesmbH, Autohandel • Kremsmünster • Oberösterreich</t>
  </si>
  <si>
    <t>Autohandel, Autoreparaturen • Scheidl Wilhelm GesmbH, Heiligenkreuz 23, Kremsmünster • Kontakt über aktuelle Telefonnummern ☎ und Adressen ⚑ mit Karte, Routing, Öffnungszeiten, Homepage, E-Mail, vCard und Firmendaten.</t>
  </si>
  <si>
    <t>Heiligenkreuz 23</t>
  </si>
  <si>
    <t>48.0644</t>
  </si>
  <si>
    <t>14.10072</t>
  </si>
  <si>
    <t>+43758375640</t>
  </si>
  <si>
    <t>+43758375649</t>
  </si>
  <si>
    <t>office@peugeot-scheidl.at</t>
  </si>
  <si>
    <t>https://bilder.dasschnelle.at/DasSchnelle/50/5000/9900/046084/G_046084_P_906182712.adn.gif</t>
  </si>
  <si>
    <t>Muhr Alois Werkstätte u Nutzfahrzeughandel Inh Kurt Werner Wagner e.U. • Taiskirchen im Innkreis • Oberösterreich</t>
  </si>
  <si>
    <t>Landwirtschaftliche Maschinen u. Geräte • Muhr Alois Werkstätte u Nutzfahrzeughandel Inh Kurt Werner Wagner e.U., Kainzing 9, Taiskirchen im Innkreis • Kontakt über aktuelle Telefonnummern ☎ und Adressen ⚑ mit Karte, Routing, Öffnungszeiten, Homepage, E-Mail, vCard und Firmendaten.</t>
  </si>
  <si>
    <t>Kainzing 9</t>
  </si>
  <si>
    <t>4753</t>
  </si>
  <si>
    <t>Taiskirchen im Innkreis</t>
  </si>
  <si>
    <t>48.2636480</t>
  </si>
  <si>
    <t>13.5490813</t>
  </si>
  <si>
    <t>+4377503356</t>
  </si>
  <si>
    <t>lkwmuhr@aon.at</t>
  </si>
  <si>
    <t>https://bilder.dasschnelle.at/DasSchnelle/50/5000/9922/042569/G_042569_P_906181355.adn.gif</t>
  </si>
  <si>
    <t>Lasnik KG, Optiker • Rosental an der Kainach • Steiermark</t>
  </si>
  <si>
    <t>Optik • Lasnik KG, Hauptstraße 52, Rosental an der Kainach • Kontakt über aktuelle Telefonnummern ☎ und Adressen ⚑ mit Karte, Routing, Öffnungszeiten, Homepage, E-Mail, vCard und Firmendaten.</t>
  </si>
  <si>
    <t>47.05387</t>
  </si>
  <si>
    <t>15.11776</t>
  </si>
  <si>
    <t>+43314222990</t>
  </si>
  <si>
    <t>office@lasnik.at</t>
  </si>
  <si>
    <t>https://bilder.dasschnelle.at/DasSchnelle/50/5000/9941/045368/G_045368_P_906181357.adn.gif</t>
  </si>
  <si>
    <t>Versicherungsagentur  • Voitsberg • Steiermark</t>
  </si>
  <si>
    <t>Versicherungsagentur • Versicherungsagentur, Hauptplatz 49, Voitsberg • Kontakt über aktuelle Telefonnummern ☎ und Adressen ⚑ mit Karte, Routing, Öffnungszeiten, Homepage, E-Mail, vCard und Firmendaten.</t>
  </si>
  <si>
    <t>Hauptplatz 49</t>
  </si>
  <si>
    <t>47.0485000</t>
  </si>
  <si>
    <t>15.1515000</t>
  </si>
  <si>
    <t>+436641259477</t>
  </si>
  <si>
    <t>markus.macher@helvetia.at</t>
  </si>
  <si>
    <t>https://bilder.dasschnelle.at/DasSchnelle/50/5000/9941/045375/G_045375_P_906181456.adn.gif</t>
  </si>
  <si>
    <t>Autohaus Scherz GmbH • Kainach bei Voitsberg • Steiermark</t>
  </si>
  <si>
    <t>Autohandel, Gebrauchtwagen • Autohaus Scherz GmbH, Breitenbach 60, Kainach bei Voitsberg • Kontakt über aktuelle Telefonnummern ☎ und Adressen ⚑ mit Karte, Routing, Öffnungszeiten, Homepage, E-Mail, vCard und Firmendaten.</t>
  </si>
  <si>
    <t>Breitenbach 60</t>
  </si>
  <si>
    <t>8573</t>
  </si>
  <si>
    <t>Kainach bei Voitsberg</t>
  </si>
  <si>
    <t>47.1560799</t>
  </si>
  <si>
    <t>15.0615353</t>
  </si>
  <si>
    <t>+43314872060</t>
  </si>
  <si>
    <t>auto-scherz@aon.at</t>
  </si>
  <si>
    <t>https://bilder.dasschnelle.at/DasSchnelle/50/5000/9941/061387/G_061387_P_906181360.adn.gif</t>
  </si>
  <si>
    <t>Jammernegg KG, Frühstückshotel • Köflach • Steiermark</t>
  </si>
  <si>
    <t>Hotels • Jammernegg KG, Peter-Rosegger-Gasse 8, Köflach • Kontakt über aktuelle Telefonnummern ☎ und Adressen ⚑ mit Karte, Routing, Öffnungszeiten, Homepage, E-Mail, vCard und Firmendaten.</t>
  </si>
  <si>
    <t>Peter-Rosegger-Gasse 8</t>
  </si>
  <si>
    <t>47.06549</t>
  </si>
  <si>
    <t>15.08311</t>
  </si>
  <si>
    <t>+43314472720</t>
  </si>
  <si>
    <t>office@jammernegg.co.at</t>
  </si>
  <si>
    <t>https://bilder.dasschnelle.at/DasSchnelle/50/5000/9941/061383/G_061383_P_906181361.adn.gif</t>
  </si>
  <si>
    <t>Lindlbauer, Franz, Tischlereien • Ried im Innkreis • Oberösterreich</t>
  </si>
  <si>
    <t>Tischlereien • Lindlbauer, Franz, Pattigham 3, Ried im Innkreis • Kontakt über aktuelle Telefonnummern ☎ und Adressen ⚑ mit Karte, Routing, Öffnungszeiten, Homepage, E-Mail, vCard und Firmendaten.</t>
  </si>
  <si>
    <t>Pattigham 3</t>
  </si>
  <si>
    <t>48.1717920</t>
  </si>
  <si>
    <t>13.4666855</t>
  </si>
  <si>
    <t>+43775285048</t>
  </si>
  <si>
    <t>office@tischlerei-lindlbauer.at</t>
  </si>
  <si>
    <t>https://bilder.dasschnelle.at/DasSchnelle/50/5000/9922/042563/G_042563_P_906182752.adn.gif</t>
  </si>
  <si>
    <t>Raudner, Johann, Gartenbedarf u -geräte • Kainach bei Voitsberg • Steiermark</t>
  </si>
  <si>
    <t>Landwirtschaftliche Maschinen u. Geräte, Metallbau • Raudner, Johann, Hemmerberg 4 A, Kainach bei Voitsberg • Kontakt über aktuelle Telefonnummern ☎ und Adressen ⚑ mit Karte, Routing, Öffnungszeiten, Homepage, E-Mail, vCard und Firmendaten.</t>
  </si>
  <si>
    <t>Hemmerberg 4 A</t>
  </si>
  <si>
    <t>47.1326024</t>
  </si>
  <si>
    <t>15.0993680</t>
  </si>
  <si>
    <t>+4331482750;+436642141268</t>
  </si>
  <si>
    <t>office@raudner.eu</t>
  </si>
  <si>
    <t>https://bilder.dasschnelle.at/DasSchnelle/50/5000/9941/061387/G_061387_P_906181403.adn.gif</t>
  </si>
  <si>
    <t>Flatscher, Jutta, Dr.med.univ., Allgemeinmedizin • Sierning • Oberösterreich</t>
  </si>
  <si>
    <t>Ärzte / f Allgemeinmedizin • Flatscher, Jutta, Dr.med.univ., Kirchenplatz 2, Sierning • Kontakt über aktuelle Telefonnummern ☎ und Adressen ⚑ mit Karte, Routing, Öffnungszeiten, Homepage, E-Mail, vCard und Firmendaten.</t>
  </si>
  <si>
    <t>Kirchenplatz 2</t>
  </si>
  <si>
    <t>48.05035</t>
  </si>
  <si>
    <t>14.30938</t>
  </si>
  <si>
    <t>+436767249595</t>
  </si>
  <si>
    <t>juttaflatscher@aon.at</t>
  </si>
  <si>
    <t>https://bilder.dasschnelle.at/DasSchnelle/50/5000/9932/042821/G_042821_P_906181406.adn.gif</t>
  </si>
  <si>
    <t>Aigner Dach Ges.m.b.H • Sankt Michael im Lungau • Salzburg</t>
  </si>
  <si>
    <t>Dachdeckereien, Spenglereien • Aigner Dach Ges.m.b.H, Gewerbestraße 368, Sankt Michael im Lungau • Kontakt über aktuelle Telefonnummern ☎ und Adressen ⚑ mit Karte, Routing, Öffnungszeiten, Homepage, E-Mail, vCard und Firmendaten.</t>
  </si>
  <si>
    <t>Gewerbestraße 368</t>
  </si>
  <si>
    <t>47.09701</t>
  </si>
  <si>
    <t>13.6312</t>
  </si>
  <si>
    <t>+4364778481</t>
  </si>
  <si>
    <t>info@aignerdach.at</t>
  </si>
  <si>
    <t>https://bilder.dasschnelle.at/DasSchnelle/50/5000/9936/043803/G_043803_P_906181408.adn.gif</t>
  </si>
  <si>
    <t>Baudendistel, Stefan, Elektro • Köflach • Steiermark</t>
  </si>
  <si>
    <t>Elektrohandel • Baudendistel, Stefan, Grazerstraße 11, Köflach • Kontakt über aktuelle Telefonnummern ☎ und Adressen ⚑ mit Karte, Routing, Öffnungszeiten, Homepage, E-Mail, vCard und Firmendaten.</t>
  </si>
  <si>
    <t>Grazerstraße 11</t>
  </si>
  <si>
    <t>47.06429</t>
  </si>
  <si>
    <t>15.08741</t>
  </si>
  <si>
    <t>+4331443450</t>
  </si>
  <si>
    <t>verkauf@baudendistel.at</t>
  </si>
  <si>
    <t>https://bilder.dasschnelle.at/DasSchnelle/50/5000/9941/061383/G_061383_P_906182608.adn.gif</t>
  </si>
  <si>
    <t>LIEBL HOLWEG, Inh Fabian Günther, Glasereien • Köflach • Steiermark</t>
  </si>
  <si>
    <t>Glasereien • LIEBL HOLWEG, Inh Fabian Günther, Judenburgerstraße 29, Köflach • Kontakt über aktuelle Telefonnummern ☎ und Adressen ⚑ mit Karte, Routing, Öffnungszeiten, Homepage, E-Mail, vCard und Firmendaten.</t>
  </si>
  <si>
    <t>Judenburgerstraße 29</t>
  </si>
  <si>
    <t>47.06467</t>
  </si>
  <si>
    <t>15.07883</t>
  </si>
  <si>
    <t>+4331442229</t>
  </si>
  <si>
    <t>fabian@glaserei-lieblholweg.at</t>
  </si>
  <si>
    <t>https://bilder.dasschnelle.at/DasSchnelle/50/5000/9941/061383/G_061383_P_906182612.adn.gif</t>
  </si>
  <si>
    <t>Traussnigg H GesmbH, Wasser • Köflach • Steiermark</t>
  </si>
  <si>
    <t>Wasseraufbereitung u. -reinigung • Traussnigg H GesmbH, Judenburgerstraße 56, Köflach • Kontakt über aktuelle Telefonnummern ☎ und Adressen ⚑ mit Karte, Routing, Öffnungszeiten, Homepage, E-Mail, vCard und Firmendaten.</t>
  </si>
  <si>
    <t>Judenburgerstraße 56</t>
  </si>
  <si>
    <t>47.06509</t>
  </si>
  <si>
    <t>15.07728</t>
  </si>
  <si>
    <t>+43314433060</t>
  </si>
  <si>
    <t>+433144330633</t>
  </si>
  <si>
    <t>office@traussnigg.at</t>
  </si>
  <si>
    <t>https://bilder.dasschnelle.at/DasSchnelle/50/5000/9941/061383/G_061383_P_906182617.adn.gif</t>
  </si>
  <si>
    <t>Gasthaus Thöny • Maria Lankowitz • Steiermark</t>
  </si>
  <si>
    <t>Cafés, Gastgewerbe - Gasthöfe, Restaurants • Gasthaus Thöny, Hauptstraße 26, Maria Lankowitz • Kontakt über aktuelle Telefonnummern ☎ und Adressen ⚑ mit Karte, Routing, Öffnungszeiten, Homepage, E-Mail, vCard und Firmendaten.</t>
  </si>
  <si>
    <t>8591</t>
  </si>
  <si>
    <t>Maria Lankowitz</t>
  </si>
  <si>
    <t>47.06231</t>
  </si>
  <si>
    <t>15.06636</t>
  </si>
  <si>
    <t>+4331442251</t>
  </si>
  <si>
    <t>ghthoeny@gmx.at</t>
  </si>
  <si>
    <t>https://bilder.dasschnelle.at/DasSchnelle/50/5000/9941/061382/G_061382_P_906182620.adn.gif</t>
  </si>
  <si>
    <t>Steyrtalapotheke • Neuzeug • Oberösterreich</t>
  </si>
  <si>
    <t>Apotheken • Steyrtalapotheke, Josef-Teufel-Platz 1, Neuzeug • Kontakt über aktuelle Telefonnummern ☎ und Adressen ⚑ mit Karte, Routing, Öffnungszeiten, Homepage, E-Mail, vCard und Firmendaten.</t>
  </si>
  <si>
    <t>Josef-Teufel-Platz 1</t>
  </si>
  <si>
    <t>48.04826</t>
  </si>
  <si>
    <t>14.33574</t>
  </si>
  <si>
    <t>+4372595900</t>
  </si>
  <si>
    <t>apotheke@gesundheitsgreisslerei.at</t>
  </si>
  <si>
    <t>https://bilder.dasschnelle.at/DasSchnelle/50/5000/9932/042821/G_042821_P_906182727.adn.gif</t>
  </si>
  <si>
    <t>Physio Aktiv, Physiotherapie • Eberstalzell • Oberösterreich</t>
  </si>
  <si>
    <t>Physiotherapie • Physio Aktiv, Sonnleiten 2, Eberstalzell • Kontakt über aktuelle Telefonnummern ☎ und Adressen ⚑ mit Karte, Routing, Öffnungszeiten, Homepage, E-Mail, vCard und Firmendaten.</t>
  </si>
  <si>
    <t>Sonnleiten 2</t>
  </si>
  <si>
    <t>48.04624</t>
  </si>
  <si>
    <t>13.98033</t>
  </si>
  <si>
    <t>+437241555443</t>
  </si>
  <si>
    <t>physioaktiv.ed@a1.net</t>
  </si>
  <si>
    <t>https://bilder.dasschnelle.at/DasSchnelle/50/5000/9934/043566/G_043566_P_906182730.adn.gif</t>
  </si>
  <si>
    <t>Dan-Küchenstudio • Kremsmünster • Oberösterreich</t>
  </si>
  <si>
    <t>Elektrohandel, Küchenstudios • Dan-Küchenstudio, Hauptstraße 21, Kremsmünster • Kontakt über aktuelle Telefonnummern ☎ und Adressen ⚑ mit Karte, Routing, Öffnungszeiten, Homepage, E-Mail, vCard und Firmendaten.</t>
  </si>
  <si>
    <t>Hauptstraße 21</t>
  </si>
  <si>
    <t>48.0524</t>
  </si>
  <si>
    <t>14.12779</t>
  </si>
  <si>
    <t>+4375837944;+436642112585</t>
  </si>
  <si>
    <t>info@moeha.at</t>
  </si>
  <si>
    <t>https://bilder.dasschnelle.at/DasSchnelle/50/5000/9900/046084/G_046084_P_906183581.adn.gif</t>
  </si>
  <si>
    <t>Eiböck, Doris, Mag., Apotheken • Haslach an der Mühl • Oberösterreich</t>
  </si>
  <si>
    <t>Apotheken • Eiböck, Doris, Mag., Marktplatz 26, Haslach an der Mühl • Kontakt über aktuelle Telefonnummern ☎ und Adressen ⚑ mit Karte, Routing, Öffnungszeiten, Homepage, E-Mail, vCard und Firmendaten.</t>
  </si>
  <si>
    <t>Marktplatz 26</t>
  </si>
  <si>
    <t>48.57573</t>
  </si>
  <si>
    <t>14.03878</t>
  </si>
  <si>
    <t>+43728971223</t>
  </si>
  <si>
    <t>office@apotheke-haslach.at</t>
  </si>
  <si>
    <t>https://bilder.dasschnelle.at/DasSchnelle/50/5000/9923/042268/I_042268_P_906183677_L_0036233254_1.png</t>
  </si>
  <si>
    <t>https://bilder.dasschnelle.at/DasSchnelle/50/5000/9923/042268/I_042268_P_906183677_B_0036233254_1.gal.png?height=480&amp;width=720</t>
  </si>
  <si>
    <t>Kopf, Stefanie, Gasthaus • Kremsmünster • Oberösterreich</t>
  </si>
  <si>
    <t>Gastgewerbe - Gasthöfe • Kopf, Stefanie, Rathausplatz 2, Kremsmünster • Kontakt über aktuelle Telefonnummern ☎ und Adressen ⚑ mit Karte, Routing, Öffnungszeiten, Homepage, E-Mail, vCard und Firmendaten.</t>
  </si>
  <si>
    <t>Rathausplatz 2</t>
  </si>
  <si>
    <t>48.05297</t>
  </si>
  <si>
    <t>14.12906</t>
  </si>
  <si>
    <t>+436609404179</t>
  </si>
  <si>
    <t>gasthaus.huetmayr@gmail.com</t>
  </si>
  <si>
    <t>https://bilder.dasschnelle.at/DasSchnelle/50/5000/9900/046084/G_046084_P_906183584.adn.gif</t>
  </si>
  <si>
    <t>Ucar, Mehmet, Restaurant • Rottenmann • Steiermark</t>
  </si>
  <si>
    <t>Cafés, Gastgewerbe - Gasthöfe • Ucar, Mehmet, Hauptstraße 320, Rottenmann • Kontakt über aktuelle Telefonnummern ☎ und Adressen ⚑ mit Karte, Routing, Öffnungszeiten, Homepage, E-Mail, vCard und Firmendaten.</t>
  </si>
  <si>
    <t>Hauptstraße 320</t>
  </si>
  <si>
    <t>47.52428</t>
  </si>
  <si>
    <t>14.34439</t>
  </si>
  <si>
    <t>+43361420500</t>
  </si>
  <si>
    <t>mecks_mecks@hotmail.com</t>
  </si>
  <si>
    <t>https://bilder.dasschnelle.at/DasSchnelle/50/5000/9905/061425/G_061425_P_906183586.adn.gif</t>
  </si>
  <si>
    <t>Lehner, Alois, Glaserei • Bad Hall • Oberösterreich</t>
  </si>
  <si>
    <t>Glasereien • Lehner, Alois, Quellenstraße 2, Bad Hall • Kontakt über aktuelle Telefonnummern ☎ und Adressen ⚑ mit Karte, Routing, Öffnungszeiten, Homepage, E-Mail, vCard und Firmendaten.</t>
  </si>
  <si>
    <t>Quellenstraße 2</t>
  </si>
  <si>
    <t>48.0387200</t>
  </si>
  <si>
    <t>14.2000300</t>
  </si>
  <si>
    <t>+43725832820</t>
  </si>
  <si>
    <t>+437258328220</t>
  </si>
  <si>
    <t>office@glas-lehner.at</t>
  </si>
  <si>
    <t>https://bilder.dasschnelle.at/DasSchnelle/50/5000/9867/042808/G_042808_P_906183595.adn.gif</t>
  </si>
  <si>
    <t>Mörtenhuber, Manfred, Tischlerei • Kremsmünster • Oberösterreich</t>
  </si>
  <si>
    <t>Tischlereien • Mörtenhuber, Manfred, Welser Straße 13, Kremsmünster • Kontakt über aktuelle Telefonnummern ☎ und Adressen ⚑ mit Karte, Routing, Öffnungszeiten, Homepage, E-Mail, vCard und Firmendaten.</t>
  </si>
  <si>
    <t>Welser Straße 13</t>
  </si>
  <si>
    <t>48.05424</t>
  </si>
  <si>
    <t>14.13221</t>
  </si>
  <si>
    <t>+4375838438</t>
  </si>
  <si>
    <t>office@bestattung-moertenhuber.at</t>
  </si>
  <si>
    <t>https://bilder.dasschnelle.at/DasSchnelle/50/5000/9867/042808/G_042808_P_906183600.adn.gif</t>
  </si>
  <si>
    <t>Diermayr, Gerhard, KFZ • Mehrnbach • Oberösterreich</t>
  </si>
  <si>
    <t>Autohandel • Diermayr, Gerhard, Asenham 17, Mehrnbach • Kontakt über aktuelle Telefonnummern ☎ und Adressen ⚑ mit Karte, Routing, Öffnungszeiten, Homepage, E-Mail, vCard und Firmendaten.</t>
  </si>
  <si>
    <t>Asenham 17</t>
  </si>
  <si>
    <t>48.2166206</t>
  </si>
  <si>
    <t>13.4435609</t>
  </si>
  <si>
    <t>+43775281641</t>
  </si>
  <si>
    <t>gedi1@gmx.at</t>
  </si>
  <si>
    <t>https://bilder.dasschnelle.at/DasSchnelle/50/5000/9922/042552/G_042552_P_906183627.adn.gif</t>
  </si>
  <si>
    <t>Schöllhuber, Erwin, Autoreparaturen • Kremsmünster • Oberösterreich</t>
  </si>
  <si>
    <t>Autoreparaturen • Schöllhuber, Erwin, Kremsegger Straße 16, Kremsmünster • Kontakt über aktuelle Telefonnummern ☎ und Adressen ⚑ mit Karte, Routing, Öffnungszeiten, Homepage, E-Mail, vCard und Firmendaten.</t>
  </si>
  <si>
    <t>Kremsegger Straße 16</t>
  </si>
  <si>
    <t>48.05783</t>
  </si>
  <si>
    <t>14.13767</t>
  </si>
  <si>
    <t>+4375838432</t>
  </si>
  <si>
    <t>e.schollhuber@utanet.at</t>
  </si>
  <si>
    <t>https://bilder.dasschnelle.at/DasSchnelle/50/5000/9900/046084/G_046084_P_906184673.adn.gif</t>
  </si>
  <si>
    <t>Stift Kremsmünster, Gasthaus • Kremsmünster • Oberösterreich</t>
  </si>
  <si>
    <t>Gastgewerbe - Gasthöfe • Stift Kremsmünster, Stift 1, Kremsmünster • Kontakt über aktuelle Telefonnummern ☎ und Adressen ⚑ mit Karte, Routing, Öffnungszeiten, Homepage, E-Mail, vCard und Firmendaten.</t>
  </si>
  <si>
    <t>Stift 1</t>
  </si>
  <si>
    <t>48.05522</t>
  </si>
  <si>
    <t>14.12903</t>
  </si>
  <si>
    <t>+4375837555</t>
  </si>
  <si>
    <t>pettermann@stiftsschank.at</t>
  </si>
  <si>
    <t>https://bilder.dasschnelle.at/DasSchnelle/50/5000/9900/046084/G_046084_P_906184704.adn.gif</t>
  </si>
  <si>
    <t>Salon Erika, Friseur • Kremsmünster • Oberösterreich</t>
  </si>
  <si>
    <t>Friseure • Salon Erika, Franz-Hönig-Straße 12, Kremsmünster • Kontakt über aktuelle Telefonnummern ☎ und Adressen ⚑ mit Karte, Routing, Öffnungszeiten, Homepage, E-Mail, vCard und Firmendaten.</t>
  </si>
  <si>
    <t>Franz-Hönig-Straße 12</t>
  </si>
  <si>
    <t>48.05249</t>
  </si>
  <si>
    <t>14.12965</t>
  </si>
  <si>
    <t>+4375837765</t>
  </si>
  <si>
    <t>er.irnb@kt-net.at</t>
  </si>
  <si>
    <t>https://bilder.dasschnelle.at/DasSchnelle/50/5000/9900/046084/G_046084_P_906184706.adn.gif</t>
  </si>
  <si>
    <t>Jansch Metallbau, Schlosserei • Kremsmünster • Oberösterreich</t>
  </si>
  <si>
    <t>Metallbau • Jansch Metallbau, Gablonzer Straße 1 u 3, Kremsmünster • Kontakt über aktuelle Telefonnummern ☎ und Adressen ⚑ mit Karte, Routing, Öffnungszeiten, Homepage, E-Mail, vCard und Firmendaten.</t>
  </si>
  <si>
    <t>Gablonzer Straße 1 u 3</t>
  </si>
  <si>
    <t>48.05162</t>
  </si>
  <si>
    <t>14.12632</t>
  </si>
  <si>
    <t>+43758384050</t>
  </si>
  <si>
    <t>metall@jansch.at</t>
  </si>
  <si>
    <t>https://bilder.dasschnelle.at/DasSchnelle/50/5000/9900/046084/G_046084_P_906184710.adn.gif</t>
  </si>
  <si>
    <t>Tadic Goran GmbH, Dachdecker • Bad Aussee • Steiermark</t>
  </si>
  <si>
    <t>Dachdeckereien • Tadic Goran GmbH, Erich-Landgrebe-Weg 257, Bad Aussee • Kontakt über aktuelle Telefonnummern ☎ und Adressen ⚑ mit Karte, Routing, Öffnungszeiten, Homepage, E-Mail, vCard und Firmendaten.</t>
  </si>
  <si>
    <t>Erich-Landgrebe-Weg 257</t>
  </si>
  <si>
    <t>47.60547</t>
  </si>
  <si>
    <t>13.77857</t>
  </si>
  <si>
    <t>+43362254742;+436649930149</t>
  </si>
  <si>
    <t>dach@tadic.at</t>
  </si>
  <si>
    <t>https://bilder.dasschnelle.at/DasSchnelle/50/5000/9905/044351/I_044351_P_906184721_L_0036234884_1.png</t>
  </si>
  <si>
    <t>https://bilder.dasschnelle.at/DasSchnelle/50/5000/9905/044351/I_044351_P_906184721_B_0036234884_1.gal.png?height=250&amp;width=250;https://bilder.dasschnelle.at/DasSchnelle/50/5000/9905/044351/I_044351_P_906184721_B_0036234884_2.gal.png?height=250&amp;width=250;https://bilder.dasschnelle.at/DasSchnelle/50/5000/9905/044351/I_044351_P_906184721_B_0036234884_3.gal.png?height=250&amp;width=250;https://bilder.dasschnelle.at/DasSchnelle/50/5000/9905/044351/I_044351_P_906184721_B_0036234884_4.gal.png?height=250&amp;width=250</t>
  </si>
  <si>
    <t>Oberndorfer, Erwin, Steinbearbeitungsbedarf u -maschinen • Kremsmünster • Oberösterreich</t>
  </si>
  <si>
    <t>Steinbearbeitungsbedarf u. -maschinen, Steinmetzbetriebe • Oberndorfer, Erwin, Bad Haller Straße 23, Kremsmünster • Kontakt über aktuelle Telefonnummern ☎ und Adressen ⚑ mit Karte, Routing, Öffnungszeiten, Homepage, E-Mail, vCard und Firmendaten.</t>
  </si>
  <si>
    <t>Bad Haller Straße 23</t>
  </si>
  <si>
    <t>48.05601</t>
  </si>
  <si>
    <t>14.15039</t>
  </si>
  <si>
    <t>+4375837035</t>
  </si>
  <si>
    <t>+43758370354</t>
  </si>
  <si>
    <t>office@oberndorfer-steinbau.at</t>
  </si>
  <si>
    <t>https://bilder.dasschnelle.at/DasSchnelle/50/5000/9900/046084/G_046084_P_906184715.adn.gif</t>
  </si>
  <si>
    <t>Amatschek, Herwig, Renofix, Türen-Treppen-Fenster • Kremsmünster • Oberösterreich</t>
  </si>
  <si>
    <t>Fenster u. Türen • Amatschek, Herwig, Renofix, Neuhofstraße 19, Kremsmünster • Kontakt über aktuelle Telefonnummern ☎ und Adressen ⚑ mit Karte, Routing, Öffnungszeiten, Homepage, E-Mail, vCard und Firmendaten.</t>
  </si>
  <si>
    <t>Neuhofstraße 19</t>
  </si>
  <si>
    <t>48.05678</t>
  </si>
  <si>
    <t>14.1224</t>
  </si>
  <si>
    <t>+4375836021</t>
  </si>
  <si>
    <t>office@renofix-amatschek.at</t>
  </si>
  <si>
    <t>https://bilder.dasschnelle.at/DasSchnelle/50/5000/9900/046084/G_046084_P_906184724.adn.gif</t>
  </si>
  <si>
    <t>Schopper Bau GmbH, Bauunternehmen • Kremsmünster • Oberösterreich</t>
  </si>
  <si>
    <t>Bauunternehmen • Schopper Bau GmbH, Bahnhofstraße 10, Kremsmünster • Kontakt über aktuelle Telefonnummern ☎ und Adressen ⚑ mit Karte, Routing, Öffnungszeiten, Homepage, E-Mail, vCard und Firmendaten.</t>
  </si>
  <si>
    <t>Bahnhofstraße 10</t>
  </si>
  <si>
    <t>14.13464</t>
  </si>
  <si>
    <t>+4375836881</t>
  </si>
  <si>
    <t>office@schopper-bau.at</t>
  </si>
  <si>
    <t>https://bilder.dasschnelle.at/DasSchnelle/50/5000/9900/046084/I_046084_P_906184592_L_0037669869_1.png</t>
  </si>
  <si>
    <t>https://bilder.dasschnelle.at/DasSchnelle/50/5000/9900/046084/I_046084_P_906184592_B_0037669869_1.gal.png?height=382&amp;width=555;https://bilder.dasschnelle.at/DasSchnelle/50/5000/9900/046084/I_046084_P_906184592_B_0037669869_2.gal.png?height=382&amp;width=555;https://bilder.dasschnelle.at/DasSchnelle/50/5000/9900/046084/I_046084_P_906184592_B_0037669869_3.gal.png?height=416&amp;width=555;https://bilder.dasschnelle.at/DasSchnelle/50/5000/9900/046084/I_046084_P_906184592_B_0037669869_4.gal.png?height=371&amp;width=540</t>
  </si>
  <si>
    <t>Haarstudio Andrea • Lohnsburg • Oberösterreich</t>
  </si>
  <si>
    <t>Friseure • Haarstudio Andrea, Marktplatz 10, Lohnsburg • Kontakt über aktuelle Telefonnummern ☎ und Adressen ⚑ mit Karte, Routing, Öffnungszeiten, Homepage, E-Mail, vCard und Firmendaten.</t>
  </si>
  <si>
    <t>4923</t>
  </si>
  <si>
    <t>Lohnsburg</t>
  </si>
  <si>
    <t>48.1441427</t>
  </si>
  <si>
    <t>13.4050309</t>
  </si>
  <si>
    <t>+4377543110</t>
  </si>
  <si>
    <t>andrea-lechner@aon.at</t>
  </si>
  <si>
    <t>https://bilder.dasschnelle.at/DasSchnelle/50/5000/9922/042551/G_042551_P_906183513.adn.gif</t>
  </si>
  <si>
    <t>TOPFenster, Fenster • Ried im Innkreis • Oberösterreich</t>
  </si>
  <si>
    <t>Fenster u. Türen • TOPFenster, Oberbrunnerstraße 17 A, Ried im Innkreis • Kontakt über aktuelle Telefonnummern ☎ und Adressen ⚑ mit Karte, Routing, Öffnungszeiten, Homepage, E-Mail, vCard und Firmendaten.</t>
  </si>
  <si>
    <t>Oberbrunnerstraße 17 A</t>
  </si>
  <si>
    <t>48.1575700</t>
  </si>
  <si>
    <t>13.4870200</t>
  </si>
  <si>
    <t>+43775486460</t>
  </si>
  <si>
    <t>office@topfenster.co.at</t>
  </si>
  <si>
    <t>https://bilder.dasschnelle.at/DasSchnelle/50/5000/9922/042559/I_042559_P_906183686_L_0036237496_1.png</t>
  </si>
  <si>
    <t>https://bilder.dasschnelle.at/DasSchnelle/50/5000/9922/042559/I_042559_P_906183686_B_0036237496_1.gal.png?height=509&amp;width=720;https://bilder.dasschnelle.at/DasSchnelle/50/5000/9922/042559/I_042559_P_906183686_B_0036237496_2.gal.png?height=246&amp;width=350;https://bilder.dasschnelle.at/DasSchnelle/50/5000/9922/042559/I_042559_P_906183686_B_0036237496_3.gal.png?height=350&amp;width=500;https://bilder.dasschnelle.at/DasSchnelle/50/5000/9922/042559/I_042559_P_906183686_B_0036237496_4.gal.png?height=350&amp;width=500</t>
  </si>
  <si>
    <t>Aigner, Johannes, Raumausstattung • Vorchdorf • Oberösterreich</t>
  </si>
  <si>
    <t>Raumausstatter • Aigner, Johannes, Bahnhofstraße 17, Vorchdorf • Kontakt über aktuelle Telefonnummern ☎ und Adressen ⚑ mit Karte, Routing, Öffnungszeiten, Homepage, E-Mail, vCard und Firmendaten.</t>
  </si>
  <si>
    <t>Bahnhofstraße 17</t>
  </si>
  <si>
    <t>48.00017</t>
  </si>
  <si>
    <t>13.92158</t>
  </si>
  <si>
    <t>+4376146369</t>
  </si>
  <si>
    <t>office@aigner-raum.at</t>
  </si>
  <si>
    <t>https://bilder.dasschnelle.at/DasSchnelle/50/5000/9943/041807/G_041807_P_906183520.adn.gif</t>
  </si>
  <si>
    <t>Garten Werk, Gärtnerei • Vorchdorf • Oberösterreich</t>
  </si>
  <si>
    <t>Garten- u. Landschaftsgestaltung, Gärtnereien • Garten Werk, Streiningerstraße 27, Vorchdorf • Kontakt über aktuelle Telefonnummern ☎ und Adressen ⚑ mit Karte, Routing, Öffnungszeiten, Homepage, E-Mail, vCard und Firmendaten.</t>
  </si>
  <si>
    <t>Streiningerstraße 27</t>
  </si>
  <si>
    <t>48.01047</t>
  </si>
  <si>
    <t>13.93165</t>
  </si>
  <si>
    <t>+4369911323495</t>
  </si>
  <si>
    <t>zoran.37@hotmail.com</t>
  </si>
  <si>
    <t>https://bilder.dasschnelle.at/DasSchnelle/50/5000/9943/041807/G_041807_P_906183522.adn.gif</t>
  </si>
  <si>
    <t>Fellner design-Tischlerei, Tischlerei • Eberstalzell • Oberösterreich</t>
  </si>
  <si>
    <t>Tischlereien • Fellner design-Tischlerei, Panoramastraße 8, Eberstalzell • Kontakt über aktuelle Telefonnummern ☎ und Adressen ⚑ mit Karte, Routing, Öffnungszeiten, Homepage, E-Mail, vCard und Firmendaten.</t>
  </si>
  <si>
    <t>Panoramastraße 8</t>
  </si>
  <si>
    <t>48.04131</t>
  </si>
  <si>
    <t>+436645237172</t>
  </si>
  <si>
    <t>fellner.design@aon.at</t>
  </si>
  <si>
    <t>https://bilder.dasschnelle.at/DasSchnelle/50/5000/9934/043566/G_043566_P_906183524.adn.gif</t>
  </si>
  <si>
    <t>Sturm Installationen • Waldzell • Oberösterreich</t>
  </si>
  <si>
    <t>Installationsunternehmen • Sturm Installationen, Winterbahn 3 B, Waldzell • Kontakt über aktuelle Telefonnummern ☎ und Adressen ⚑ mit Karte, Routing, Öffnungszeiten, Homepage, E-Mail, vCard und Firmendaten.</t>
  </si>
  <si>
    <t>Winterbahn 3 B</t>
  </si>
  <si>
    <t>4924</t>
  </si>
  <si>
    <t>Waldzell</t>
  </si>
  <si>
    <t>48.136547</t>
  </si>
  <si>
    <t>13.4247678</t>
  </si>
  <si>
    <t>+43775437401</t>
  </si>
  <si>
    <t>office@sturm-installationen.at</t>
  </si>
  <si>
    <t>https://bilder.dasschnelle.at/DasSchnelle/50/5000/9922/042257/G_042257_P_906184619.adn.gif</t>
  </si>
  <si>
    <t>Raumausstatter Stempfer GmbH. • Waldzell • Oberösterreich</t>
  </si>
  <si>
    <t>Raumausstatter • Raumausstatter Stempfer GmbH., Steitzing 17, Waldzell • Kontakt über aktuelle Telefonnummern ☎ und Adressen ⚑ mit Karte, Routing, Öffnungszeiten, Homepage, E-Mail, vCard und Firmendaten.</t>
  </si>
  <si>
    <t>Steitzing 17</t>
  </si>
  <si>
    <t>48.13079</t>
  </si>
  <si>
    <t>13.42484</t>
  </si>
  <si>
    <t>+4377542435</t>
  </si>
  <si>
    <t>raumausstatter-stempfer@aon.at</t>
  </si>
  <si>
    <t>https://bilder.dasschnelle.at/DasSchnelle/50/5000/9922/042257/G_042257_P_906184621.adn.gif</t>
  </si>
  <si>
    <t>Bestattung Puttinger • Mehrnbach • Oberösterreich</t>
  </si>
  <si>
    <t>Bestattungsunternehmen • Bestattung Puttinger, Sieber 8, Mehrnbach • Kontakt über aktuelle Telefonnummern ☎ und Adressen ⚑ mit Karte, Routing, Öffnungszeiten, Homepage, E-Mail, vCard und Firmendaten.</t>
  </si>
  <si>
    <t>Sieber 8</t>
  </si>
  <si>
    <t>48.1904248</t>
  </si>
  <si>
    <t>13.4313885</t>
  </si>
  <si>
    <t>+43775271136</t>
  </si>
  <si>
    <t>office@bestattung-puttinger.at</t>
  </si>
  <si>
    <t>https://bilder.dasschnelle.at/DasSchnelle/50/5000/9922/042552/G_042552_P_906184622.adn.gif</t>
  </si>
  <si>
    <t>Glaserei Karl • Vorchdorf • Oberösterreich</t>
  </si>
  <si>
    <t>Glasereien • Glaserei Karl, Albenedt 19, Vorchdorf • Kontakt über aktuelle Telefonnummern ☎ und Adressen ⚑ mit Karte, Routing, Öffnungszeiten, Homepage, E-Mail, vCard und Firmendaten.</t>
  </si>
  <si>
    <t>47.9995300</t>
  </si>
  <si>
    <t>13.9771300</t>
  </si>
  <si>
    <t>+4369910618828</t>
  </si>
  <si>
    <t>office@glasereikarl.at</t>
  </si>
  <si>
    <t>https://bilder.dasschnelle.at/DasSchnelle/50/5000/9943/041807/G_041807_P_906184865.adn.gif</t>
  </si>
  <si>
    <t>Öffentlicher Notar Dr. Paul Neundlinger &amp; Partner • Rohrbach • Oberösterreich</t>
  </si>
  <si>
    <t>Notare • Öffentlicher Notar Dr. Paul Neundlinger &amp; Partner, Stifterstraße 12, Rohrbach • Kontakt über aktuelle Telefonnummern ☎ und Adressen ⚑ mit Karte, Routing, Öffnungszeiten, Homepage, E-Mail, vCard und Firmendaten.</t>
  </si>
  <si>
    <t>Stifterstraße 12</t>
  </si>
  <si>
    <t>48.5704412</t>
  </si>
  <si>
    <t>13.9959952</t>
  </si>
  <si>
    <t>+43728943520</t>
  </si>
  <si>
    <t>kanzlei@notariat-rohrbach.at</t>
  </si>
  <si>
    <t>https://bilder.dasschnelle.at/DasSchnelle/50/5000/9923/061480/I_061480_P_906183679_L_0036208488_1.png</t>
  </si>
  <si>
    <t>https://bilder.dasschnelle.at/DasSchnelle/50/5000/9923/061480/I_061480_P_906183679_B_0036208488_1.gal.png?height=400&amp;width=600;https://bilder.dasschnelle.at/DasSchnelle/50/5000/9923/061480/I_061480_P_906183679_B_0036208488_2.gal.png?height=400&amp;width=600;https://bilder.dasschnelle.at/DasSchnelle/50/5000/9923/061480/I_061480_P_906183679_B_0036208488_3.gal.png?height=193&amp;width=372;https://bilder.dasschnelle.at/DasSchnelle/50/5000/9923/061480/I_061480_P_906183679_B_0036208488_4.gal.png?height=400&amp;width=600</t>
  </si>
  <si>
    <t>Atzelhuber, Gerhard, Transport- u Autobusunternehmen Baumaschinenverleih • Waldneukirchen • Oberösterreich</t>
  </si>
  <si>
    <t>Transportunternehmen • Atzelhuber, Gerhard, Dorfplatz 7, Waldneukirchen • Kontakt über aktuelle Telefonnummern ☎ und Adressen ⚑ mit Karte, Routing, Öffnungszeiten, Homepage, E-Mail, vCard und Firmendaten.</t>
  </si>
  <si>
    <t>Dorfplatz 7</t>
  </si>
  <si>
    <t>47.99646</t>
  </si>
  <si>
    <t>14.26011</t>
  </si>
  <si>
    <t>+4372584331</t>
  </si>
  <si>
    <t>office@atzelhuber.at</t>
  </si>
  <si>
    <t>https://bilder.dasschnelle.at/DasSchnelle/50/5000/9867/042823/G_042823_P_906184889.adn.gif</t>
  </si>
  <si>
    <t>Rathmayr, Ursula, Dr., FA f Zahn-, Mund- u Kieferheilkunde • Ried im Innkreis • Oberösterreich</t>
  </si>
  <si>
    <t>Ärzte / Fachärzte f. Zahn-, Mund u. Kieferheilkunde • Rathmayr, Ursula, Dr., Bahnhofstraße 39, Ried im Innkreis • Kontakt über aktuelle Telefonnummern ☎ und Adressen ⚑ mit Karte, Routing, Öffnungszeiten, Homepage, E-Mail, vCard und Firmendaten.</t>
  </si>
  <si>
    <t>48.2041</t>
  </si>
  <si>
    <t>13.4899</t>
  </si>
  <si>
    <t>+43775270373</t>
  </si>
  <si>
    <t>https://bilder.dasschnelle.at/DasSchnelle/50/5000/9922/042563/G_042563_P_906186411.adn.gif</t>
  </si>
  <si>
    <t>Auer, Armin Heinz, Maler und Anstreicher • Hall • Steiermark</t>
  </si>
  <si>
    <t>Malereibetriebe • Auer, Armin Heinz, Hall • Kontakt über aktuelle Telefonnummern ☎ und Adressen ⚑ mit Karte, Routing, Öffnungszeiten, Homepage, E-Mail, vCard und Firmendaten.</t>
  </si>
  <si>
    <t>8911</t>
  </si>
  <si>
    <t>Hall</t>
  </si>
  <si>
    <t>47.6031934</t>
  </si>
  <si>
    <t>14.4588777</t>
  </si>
  <si>
    <t>+4336132237;+436502237111</t>
  </si>
  <si>
    <t>info@ihrmaler.at</t>
  </si>
  <si>
    <t>https://bilder.dasschnelle.at/DasSchnelle/50/5000/9905/061451/G_061451_P_906186418.adn.gif</t>
  </si>
  <si>
    <t>Ofner, Hermann, Pflasterei • Pichling bei Köflach • Steiermark</t>
  </si>
  <si>
    <t>Pflaster u. Pflasterungen • Ofner, Hermann, Moosgasse 1, Pichling bei Köflach • Kontakt über aktuelle Telefonnummern ☎ und Adressen ⚑ mit Karte, Routing, Öffnungszeiten, Homepage, E-Mail, vCard und Firmendaten.</t>
  </si>
  <si>
    <t>Moosgasse 1</t>
  </si>
  <si>
    <t>47.04572</t>
  </si>
  <si>
    <t>15.07476</t>
  </si>
  <si>
    <t>+43314471887;+436642037294</t>
  </si>
  <si>
    <t>pflasterei.ofner@aon.at</t>
  </si>
  <si>
    <t>https://bilder.dasschnelle.at/DasSchnelle/50/5000/9941/061383/G_061383_P_906186427.adn.gif</t>
  </si>
  <si>
    <t>Gruber Walter Bauelemente GesmbH, Sonnenschutzanlagen • Kremsmünster • Oberösterreich</t>
  </si>
  <si>
    <t>Sonnenschutzanlagen • Gruber Walter Bauelemente GesmbH, Wolfgangstein 7, Kremsmünster • Kontakt über aktuelle Telefonnummern ☎ und Adressen ⚑ mit Karte, Routing, Öffnungszeiten, Homepage, E-Mail, vCard und Firmendaten.</t>
  </si>
  <si>
    <t>Wolfgangstein 7</t>
  </si>
  <si>
    <t>48.07377</t>
  </si>
  <si>
    <t>14.16324</t>
  </si>
  <si>
    <t>+43758382520;+436649130737;+436643857655</t>
  </si>
  <si>
    <t>+43758382525</t>
  </si>
  <si>
    <t>firma@wgfenster.at</t>
  </si>
  <si>
    <t>https://bilder.dasschnelle.at/DasSchnelle/50/5000/9900/046084/G_046084_P_906186441.adn.gif</t>
  </si>
  <si>
    <t>Hauser, Bertold, Mag., Notar • Obernberg am Inn • Oberösterreich</t>
  </si>
  <si>
    <t>Notare • Hauser, Bertold, Mag., Marktplatz 10, Obernberg am Inn • Kontakt über aktuelle Telefonnummern ☎ und Adressen ⚑ mit Karte, Routing, Öffnungszeiten, Homepage, E-Mail, vCard und Firmendaten.</t>
  </si>
  <si>
    <t>48.32176</t>
  </si>
  <si>
    <t>13.33488</t>
  </si>
  <si>
    <t>+4377584002;+43775830155</t>
  </si>
  <si>
    <t>office@notar-obernberg.at</t>
  </si>
  <si>
    <t>https://bilder.dasschnelle.at/DasSchnelle/50/5000/9922/998101/G_998101_P_906187819.adn.gif</t>
  </si>
  <si>
    <t>PhysioReha Heinzl &amp; Team, Physiotherapeuten • Rohrbach • Oberösterreich</t>
  </si>
  <si>
    <t>Physiotherapie • PhysioReha Heinzl &amp; Team, Gerberweg 6, Rohrbach • Kontakt über aktuelle Telefonnummern ☎ und Adressen ⚑ mit Karte, Routing, Öffnungszeiten, Homepage, E-Mail, vCard und Firmendaten.</t>
  </si>
  <si>
    <t>Gerberweg 6</t>
  </si>
  <si>
    <t>48.5739620</t>
  </si>
  <si>
    <t>13.9919209</t>
  </si>
  <si>
    <t>+43728920717</t>
  </si>
  <si>
    <t>office@physioreha.at</t>
  </si>
  <si>
    <t>https://bilder.dasschnelle.at/DasSchnelle/50/5000/9923/061480/G_061480_P_906187957.adn.gif</t>
  </si>
  <si>
    <t>Gegenleitner &amp; Lang GmbH Seat-Autohaus, Autohaus • Bad Hall • Oberösterreich</t>
  </si>
  <si>
    <t>Autohandel • Gegenleitner &amp; Lang GmbH Seat-Autohaus, Steyrer Straße 35, Bad Hall • Kontakt über aktuelle Telefonnummern ☎ und Adressen ⚑ mit Karte, Routing, Öffnungszeiten, Homepage, E-Mail, vCard und Firmendaten.</t>
  </si>
  <si>
    <t>Steyrer Straße 35</t>
  </si>
  <si>
    <t>48.03046</t>
  </si>
  <si>
    <t>14.21674</t>
  </si>
  <si>
    <t>+43725829323</t>
  </si>
  <si>
    <t>+4372582932311</t>
  </si>
  <si>
    <t>angelika.gruen@gl.seat.co.at</t>
  </si>
  <si>
    <t>https://bilder.dasschnelle.at/DasSchnelle/50/5000/9867/042808/G_042808_P_906187961.adn.gif</t>
  </si>
  <si>
    <t>Tierarztpraxis Schmelz, Tierarzt • Schönegg • Oberösterreich</t>
  </si>
  <si>
    <t>Tierärzte • Tierarztpraxis Schmelz, Schönegg • Kontakt über aktuelle Telefonnummern ☎ und Adressen ⚑ mit Karte, Routing, Öffnungszeiten, Homepage, E-Mail, vCard und Firmendaten.</t>
  </si>
  <si>
    <t>Schönegg</t>
  </si>
  <si>
    <t>48.5909000</t>
  </si>
  <si>
    <t>14.1951535</t>
  </si>
  <si>
    <t>+436642334227</t>
  </si>
  <si>
    <t>vet.schmelz@gmail.com</t>
  </si>
  <si>
    <t>https://bilder.dasschnelle.at/DasSchnelle/50/5000/9923/042299/I_042299_P_906187964_L_0036234728_1.png</t>
  </si>
  <si>
    <t>https://bilder.dasschnelle.at/DasSchnelle/50/5000/9923/042299/G_042299_P_906187964.adn.gif</t>
  </si>
  <si>
    <t>Elektro Kremsmair GmbH • Ried im Traunkreis • Oberösterreich</t>
  </si>
  <si>
    <t>Elektroinstallationsunternehmen • Elektro Kremsmair GmbH, Großendorf 69, Ried im Traunkreis • Kontakt über aktuelle Telefonnummern ☎ und Adressen ⚑ mit Karte, Routing, Öffnungszeiten, Homepage, E-Mail, vCard und Firmendaten.</t>
  </si>
  <si>
    <t>Großendorf 69</t>
  </si>
  <si>
    <t>48.03899</t>
  </si>
  <si>
    <t>14.0395</t>
  </si>
  <si>
    <t>+4375887009</t>
  </si>
  <si>
    <t>+437588700918</t>
  </si>
  <si>
    <t>office@elektro-kremsmair.at</t>
  </si>
  <si>
    <t>https://bilder.dasschnelle.at/DasSchnelle/50/5000/9900/046090/G_046090_P_906187968.adn.gif</t>
  </si>
  <si>
    <t>Tilger, Gottfried, Fliesentechnik • Niederwölz • Steiermark</t>
  </si>
  <si>
    <t>Fliesenfachhandel • Tilger, Gottfried, Bahnhofstraße 174, Niederwölz • Kontakt über aktuelle Telefonnummern ☎ und Adressen ⚑ mit Karte, Routing, Öffnungszeiten, Homepage, E-Mail, vCard und Firmendaten.</t>
  </si>
  <si>
    <t>Bahnhofstraße 174</t>
  </si>
  <si>
    <t>47.1466779</t>
  </si>
  <si>
    <t>14.3742101</t>
  </si>
  <si>
    <t>+436645454919</t>
  </si>
  <si>
    <t>info@ft-tilger.at</t>
  </si>
  <si>
    <t>https://bilder.dasschnelle.at/DasSchnelle/50/5000/9910/045116/G_045116_P_906187972.adn.gif</t>
  </si>
  <si>
    <t>Lintner, Elisabeth, Dr.med., Ärztin f Allgemeinmedizin • Bad Schallerbach • Oberösterreich</t>
  </si>
  <si>
    <t>Ärzte / f Allgemeinmedizin • Lintner, Elisabeth, Dr.med., Welser Straße 2, Bad Schallerbach • Kontakt über aktuelle Telefonnummern ☎ und Adressen ⚑ mit Karte, Routing, Öffnungszeiten, Homepage, E-Mail, vCard und Firmendaten.</t>
  </si>
  <si>
    <t>4701</t>
  </si>
  <si>
    <t>Bad Schallerbach</t>
  </si>
  <si>
    <t>48.22738</t>
  </si>
  <si>
    <t>13.92523</t>
  </si>
  <si>
    <t>+43724948225</t>
  </si>
  <si>
    <t>https://bilder.dasschnelle.at/DasSchnelle/50/5000/9869/041809/G_041809_P_906189304.adn.gif</t>
  </si>
  <si>
    <t>Würtz, Peter, Dr., FA f Lungenkrankenheiten • Grieskirchen • Oberösterreich</t>
  </si>
  <si>
    <t>Ärzte / Fachärzte f. Lungenkrankheiten • Würtz, Peter, Dr., Uferstraße 4, Grieskirchen • Kontakt über aktuelle Telefonnummern ☎ und Adressen ⚑ mit Karte, Routing, Öffnungszeiten, Homepage, E-Mail, vCard und Firmendaten.</t>
  </si>
  <si>
    <t>Uferstraße 4</t>
  </si>
  <si>
    <t>48.23373</t>
  </si>
  <si>
    <t>13.83004</t>
  </si>
  <si>
    <t>+43724864740</t>
  </si>
  <si>
    <t>dr.wuertz.lunge@aon.at</t>
  </si>
  <si>
    <t>https://bilder.dasschnelle.at/DasSchnelle/50/5000/9887/043571/G_043571_P_906189306.adn.gif</t>
  </si>
  <si>
    <t>Rührlinger, Josef, Toranlagen • Kremsmünster • Oberösterreich</t>
  </si>
  <si>
    <t>Tore • Rührlinger, Josef, Hehenberg 29, Kremsmünster • Kontakt über aktuelle Telefonnummern ☎ und Adressen ⚑ mit Karte, Routing, Öffnungszeiten, Homepage, E-Mail, vCard und Firmendaten.</t>
  </si>
  <si>
    <t>Hehenberg 29</t>
  </si>
  <si>
    <t>48.0499562</t>
  </si>
  <si>
    <t>14.2009035</t>
  </si>
  <si>
    <t>+4372586279</t>
  </si>
  <si>
    <t>office@rstore.at</t>
  </si>
  <si>
    <t>https://bilder.dasschnelle.at/DasSchnelle/50/5000/9900/046084/G_046084_P_906189308.adn.gif</t>
  </si>
  <si>
    <t>Wiesinger-Treuhand Wirtschaftstreuhand GmbH • Bad Schallerbach • Oberösterreich</t>
  </si>
  <si>
    <t>Treuhand- u. Vermögensgesellschaften • Wiesinger-Treuhand Wirtschaftstreuhand GmbH, Linzer Straße 8, Bad Schallerbach • Kontakt über aktuelle Telefonnummern ☎ und Adressen ⚑ mit Karte, Routing, Öffnungszeiten, Homepage, E-Mail, vCard und Firmendaten.</t>
  </si>
  <si>
    <t>Linzer Straße 8</t>
  </si>
  <si>
    <t>48.23024</t>
  </si>
  <si>
    <t>13.92218</t>
  </si>
  <si>
    <t>+437249480400</t>
  </si>
  <si>
    <t>office@wiesinger-treuhand.at</t>
  </si>
  <si>
    <t>https://bilder.dasschnelle.at/DasSchnelle/50/5000/9869/041809/G_041809_P_906189309.adn.gif</t>
  </si>
  <si>
    <t>Öller, Isabella, Taxi • Bad Hall • Oberösterreich</t>
  </si>
  <si>
    <t>Taxi • Öller, Isabella, Pfarrkirchnerstraße 5, Bad Hall • Kontakt über aktuelle Telefonnummern ☎ und Adressen ⚑ mit Karte, Routing, Öffnungszeiten, Homepage, E-Mail, vCard und Firmendaten.</t>
  </si>
  <si>
    <t>Pfarrkirchnerstraße 5</t>
  </si>
  <si>
    <t>48.0295</t>
  </si>
  <si>
    <t>14.19881</t>
  </si>
  <si>
    <t>+436767278782</t>
  </si>
  <si>
    <t>allebasi@aon.at</t>
  </si>
  <si>
    <t>https://bilder.dasschnelle.at/DasSchnelle/50/5000/9867/042816/G_042816_P_906189311.adn.gif</t>
  </si>
  <si>
    <t>Schumm, Eva, Dr., Ärzte / Fachärzte f Frauenheilkunde u Geburtshilfe • Grieskirchen • Oberösterreich</t>
  </si>
  <si>
    <t>Ärzte / Fachärzte f. Frauenheilkunde u. Geburtshilfe • Schumm, Eva, Dr., Oberer Stadtplatz 7, Grieskirchen • Kontakt über aktuelle Telefonnummern ☎ und Adressen ⚑ mit Karte, Routing, Öffnungszeiten, Homepage, E-Mail, vCard und Firmendaten.</t>
  </si>
  <si>
    <t>Oberer Stadtplatz 7</t>
  </si>
  <si>
    <t>48.23542</t>
  </si>
  <si>
    <t>13.82656</t>
  </si>
  <si>
    <t>+43724862756</t>
  </si>
  <si>
    <t>https://bilder.dasschnelle.at/DasSchnelle/50/5000/9887/041815/G_041815_P_906189313.adn.gif</t>
  </si>
  <si>
    <t>Öztürk, Nülüfer, Pizzeria • Bad Hall • Oberösterreich</t>
  </si>
  <si>
    <t>Pizzerias • Öztürk, Nülüfer, Kirchenstraße 13, Bad Hall • Kontakt über aktuelle Telefonnummern ☎ und Adressen ⚑ mit Karte, Routing, Öffnungszeiten, Homepage, E-Mail, vCard und Firmendaten.</t>
  </si>
  <si>
    <t>Kirchenstraße 13</t>
  </si>
  <si>
    <t>48.03548</t>
  </si>
  <si>
    <t>14.20748</t>
  </si>
  <si>
    <t>+4372587720</t>
  </si>
  <si>
    <t>basharhusam@icloud.at</t>
  </si>
  <si>
    <t>https://bilder.dasschnelle.at/DasSchnelle/50/5000/9867/042808/G_042808_P_906189315.adn.gif</t>
  </si>
  <si>
    <t>Santer, Margarita, Dr., FA für Anästhesie und Intensivmed. • Grieskirchen • Oberösterreich</t>
  </si>
  <si>
    <t>Ärzte / Fachärzte f. Anästhesiologie u. Intensivmedizin • Santer, Margarita, Dr., Zauneggerstraße 14, Grieskirchen • Kontakt über aktuelle Telefonnummern ☎ und Adressen ⚑ mit Karte, Routing, Öffnungszeiten, Homepage, E-Mail, vCard und Firmendaten.</t>
  </si>
  <si>
    <t>Zauneggerstraße 14</t>
  </si>
  <si>
    <t>48.2338264</t>
  </si>
  <si>
    <t>13.8328585</t>
  </si>
  <si>
    <t>+436644427082</t>
  </si>
  <si>
    <t>praxis@dr-santer.at</t>
  </si>
  <si>
    <t>https://bilder.dasschnelle.at/DasSchnelle/50/5000/9887/998123/I_998123_P_906189317_L_0036234802_1.png</t>
  </si>
  <si>
    <t>Platzer, Josef, Landtechnik • Sattledt • Oberösterreich</t>
  </si>
  <si>
    <t>Landmaschinen • Platzer, Josef, Giering 14, Sattledt • Kontakt über aktuelle Telefonnummern ☎ und Adressen ⚑ mit Karte, Routing, Öffnungszeiten, Homepage, E-Mail, vCard und Firmendaten.</t>
  </si>
  <si>
    <t>Giering 14</t>
  </si>
  <si>
    <t>48.0838133</t>
  </si>
  <si>
    <t>14.0846690</t>
  </si>
  <si>
    <t>+4372448512</t>
  </si>
  <si>
    <t>platzer-kfz@aon.at</t>
  </si>
  <si>
    <t>https://bilder.dasschnelle.at/DasSchnelle/50/5000/9934/043578/G_043578_P_906187721.adn.gif</t>
  </si>
  <si>
    <t>Gundendorfer GesmbH, KFZ • Vorchdorf • Oberösterreich</t>
  </si>
  <si>
    <t>Autohandel • Gundendorfer GesmbH, Hummelbrunn 20, Vorchdorf • Kontakt über aktuelle Telefonnummern ☎ und Adressen ⚑ mit Karte, Routing, Öffnungszeiten, Homepage, E-Mail, vCard und Firmendaten.</t>
  </si>
  <si>
    <t>Hummelbrunn 20</t>
  </si>
  <si>
    <t>48.01837</t>
  </si>
  <si>
    <t>13.93865</t>
  </si>
  <si>
    <t>+4376146429</t>
  </si>
  <si>
    <t>auto-gundendorfer@aon.at</t>
  </si>
  <si>
    <t>https://bilder.dasschnelle.at/DasSchnelle/50/5000/9943/041807/G_041807_P_906187723.adn.gif</t>
  </si>
  <si>
    <t>Müller, Florian, Dr., Zahnarzt • Kristein • Oberösterreich</t>
  </si>
  <si>
    <t>Ärzte / Zahnärzte • Müller, Florian, Dr., Astner Straße 31, Kristein • Kontakt über aktuelle Telefonnummern ☎ und Adressen ⚑ mit Karte, Routing, Öffnungszeiten, Homepage, E-Mail, vCard und Firmendaten.</t>
  </si>
  <si>
    <t>Astner Straße 31</t>
  </si>
  <si>
    <t>Kristein</t>
  </si>
  <si>
    <t>48.21625</t>
  </si>
  <si>
    <t>14.44116</t>
  </si>
  <si>
    <t>+43722380402</t>
  </si>
  <si>
    <t>info@zahnarzt-drmueller.at</t>
  </si>
  <si>
    <t>https://bilder.dasschnelle.at/DasSchnelle/50/5000/9877/046105/G_046105_P_906187930.adn.gif</t>
  </si>
  <si>
    <t>Haslmaier Robert, Bestattung, Bestattung • Sarleinsbach • Oberösterreich</t>
  </si>
  <si>
    <t>Bestattungsunternehmen • Haslmaier Robert, Bestattung, Innerödt 14, Sarleinsbach • Kontakt über aktuelle Telefonnummern ☎ und Adressen ⚑ mit Karte, Routing, Öffnungszeiten, Homepage, E-Mail, vCard und Firmendaten.</t>
  </si>
  <si>
    <t>Innerödt 14</t>
  </si>
  <si>
    <t>48.5865670</t>
  </si>
  <si>
    <t>13.8657359</t>
  </si>
  <si>
    <t>+436648538252</t>
  </si>
  <si>
    <t>robert.haslmaier@gmail.com</t>
  </si>
  <si>
    <t>https://bilder.dasschnelle.at/DasSchnelle/50/5000/9923/042297/G_042297_P_906187932.adn.gif</t>
  </si>
  <si>
    <t>Resch Martin, Autoreparaturen • Kollerschlag • Oberösterreich</t>
  </si>
  <si>
    <t>Autohandel • Resch Martin, Haselbach 1, Kollerschlag • Kontakt über aktuelle Telefonnummern ☎ und Adressen ⚑ mit Karte, Routing, Öffnungszeiten, Homepage, E-Mail, vCard und Firmendaten.</t>
  </si>
  <si>
    <t>Haselbach 1</t>
  </si>
  <si>
    <t>48.58664</t>
  </si>
  <si>
    <t>13.98762</t>
  </si>
  <si>
    <t>+43728720089</t>
  </si>
  <si>
    <t>kfzresch@aon.at</t>
  </si>
  <si>
    <t>https://bilder.dasschnelle.at/DasSchnelle/50/5000/9923/061480/G_061480_P_906187934.adn.gif</t>
  </si>
  <si>
    <t>Mühllechner, Agnes, DDr., Zahnärztin • Enns • Oberösterreich</t>
  </si>
  <si>
    <t>Zahnärzte • Mühllechner, Agnes, DDr., Kathrein-Straße 19, Enns • Kontakt über aktuelle Telefonnummern ☎ und Adressen ⚑ mit Karte, Routing, Öffnungszeiten, Homepage, E-Mail, vCard und Firmendaten.</t>
  </si>
  <si>
    <t>Kathrein-Straße 19</t>
  </si>
  <si>
    <t>48.22068</t>
  </si>
  <si>
    <t>14.47279</t>
  </si>
  <si>
    <t>+43722381231</t>
  </si>
  <si>
    <t>kontakt@zahnarzt-ghzenns.at</t>
  </si>
  <si>
    <t>https://bilder.dasschnelle.at/DasSchnelle/50/5000/9877/046105/G_046105_P_906189173.adn.gif</t>
  </si>
  <si>
    <t>Wollendorfer, Andreas, Baggerungen • Niederkappel • Oberösterreich</t>
  </si>
  <si>
    <t>Baggerungen u. Transporte • Wollendorfer, Andreas, Haar 9, Niederkappel • Kontakt über aktuelle Telefonnummern ☎ und Adressen ⚑ mit Karte, Routing, Öffnungszeiten, Homepage, E-Mail, vCard und Firmendaten.</t>
  </si>
  <si>
    <t>Haar 9</t>
  </si>
  <si>
    <t>48.4665587</t>
  </si>
  <si>
    <t>13.9022800</t>
  </si>
  <si>
    <t>+436644355746</t>
  </si>
  <si>
    <t>office@wollendorfer.com</t>
  </si>
  <si>
    <t>https://bilder.dasschnelle.at/DasSchnelle/50/5000/9923/042281/G_042281_P_906189351.adn.gif</t>
  </si>
  <si>
    <t>ISG, Vermögens- u Anlageberatung • Ried im Innkreis • Oberösterreich</t>
  </si>
  <si>
    <t>Vermögens- u. Anlagenberatung, Wohnbaugesellschaften • ISG, Riedauer Straße 28, Ried im Innkreis • Kontakt über aktuelle Telefonnummern ☎ und Adressen ⚑ mit Karte, Routing, Öffnungszeiten, Homepage, E-Mail, vCard und Firmendaten.</t>
  </si>
  <si>
    <t>Riedauer Straße 28</t>
  </si>
  <si>
    <t>48.21622</t>
  </si>
  <si>
    <t>13.4946</t>
  </si>
  <si>
    <t>+437752858280</t>
  </si>
  <si>
    <t>+43775285828300</t>
  </si>
  <si>
    <t>info@isg-wohnen.at</t>
  </si>
  <si>
    <t>https://bilder.dasschnelle.at/DasSchnelle/50/5000/9922/042563/G_042563_P_906187866.adn.gif</t>
  </si>
  <si>
    <t>Grünseis Gebäudetechnik e.U. • Hohenzell • Oberösterreich</t>
  </si>
  <si>
    <t>Gebäudetechnik • Grünseis Gebäudetechnik e.U., Lindenweg 12, Hohenzell • Kontakt über aktuelle Telefonnummern ☎ und Adressen ⚑ mit Karte, Routing, Öffnungszeiten, Homepage, E-Mail, vCard und Firmendaten.</t>
  </si>
  <si>
    <t>Lindenweg 12</t>
  </si>
  <si>
    <t>4921</t>
  </si>
  <si>
    <t>Hohenzell</t>
  </si>
  <si>
    <t>48.19311</t>
  </si>
  <si>
    <t>13.50711</t>
  </si>
  <si>
    <t>+43775283458</t>
  </si>
  <si>
    <t>office@gruenseis.at</t>
  </si>
  <si>
    <t>https://bilder.dasschnelle.at/DasSchnelle/50/5000/9922/042547/G_042547_P_906187869.adn.gif</t>
  </si>
  <si>
    <t>Gföller, Horst Dieter, Glaserei • Bärnbach • Steiermark</t>
  </si>
  <si>
    <t>Glasereien • Gföller, Horst Dieter, Oberdorfer Straße 29, Bärnbach • Kontakt über aktuelle Telefonnummern ☎ und Adressen ⚑ mit Karte, Routing, Öffnungszeiten, Homepage, E-Mail, vCard und Firmendaten.</t>
  </si>
  <si>
    <t>Oberdorfer Straße 29</t>
  </si>
  <si>
    <t>47.0596991</t>
  </si>
  <si>
    <t>15.1346705</t>
  </si>
  <si>
    <t>+436641440505</t>
  </si>
  <si>
    <t>mail@glaserei-gfoeller.at</t>
  </si>
  <si>
    <t>https://bilder.dasschnelle.at/DasSchnelle/50/5000/9941/061376/G_061376_P_906187871.adn.gif</t>
  </si>
  <si>
    <t>Schriebl, Christian, Malereibetrieb • Maria Lankowitz • Steiermark</t>
  </si>
  <si>
    <t>Malereibetriebe • Schriebl, Christian, Pendlstraße 80, Maria Lankowitz • Kontakt über aktuelle Telefonnummern ☎ und Adressen ⚑ mit Karte, Routing, Öffnungszeiten, Homepage, E-Mail, vCard und Firmendaten.</t>
  </si>
  <si>
    <t>Pendlstraße 80</t>
  </si>
  <si>
    <t>47.059</t>
  </si>
  <si>
    <t>15.06421</t>
  </si>
  <si>
    <t>+436766453606</t>
  </si>
  <si>
    <t>schriebl.c@koeflach-tv.at</t>
  </si>
  <si>
    <t>https://bilder.dasschnelle.at/DasSchnelle/50/5000/9941/061382/G_061382_P_906187872.adn.gif</t>
  </si>
  <si>
    <t>Car Trade Gebrauchtwagen GmbH  • Söding • Steiermark</t>
  </si>
  <si>
    <t>Gebrauchtwagen • Car Trade Gebrauchtwagen GmbH, Packerstraße 147, Söding • Kontakt über aktuelle Telefonnummern ☎ und Adressen ⚑ mit Karte, Routing, Öffnungszeiten, Homepage, E-Mail, vCard und Firmendaten.</t>
  </si>
  <si>
    <t>Packerstraße 147</t>
  </si>
  <si>
    <t>Söding</t>
  </si>
  <si>
    <t>47.0021684</t>
  </si>
  <si>
    <t>15.2729593</t>
  </si>
  <si>
    <t>+436649642102</t>
  </si>
  <si>
    <t>office@car-trade.at</t>
  </si>
  <si>
    <t>https://bilder.dasschnelle.at/DasSchnelle/50/5000/9941/061378/G_061378_P_906188051.adn.gif</t>
  </si>
  <si>
    <t>Pinter, Verena, Friseur • Ried im Innkreis • Oberösterreich</t>
  </si>
  <si>
    <t>Friseure • Pinter, Verena, Kirchenplatz 5, Ried im Innkreis • Kontakt über aktuelle Telefonnummern ☎ und Adressen ⚑ mit Karte, Routing, Öffnungszeiten, Homepage, E-Mail, vCard und Firmendaten.</t>
  </si>
  <si>
    <t>48.20953</t>
  </si>
  <si>
    <t>13.48903</t>
  </si>
  <si>
    <t>+43775282075</t>
  </si>
  <si>
    <t>office@haarmonie.co.at</t>
  </si>
  <si>
    <t>https://bilder.dasschnelle.at/DasSchnelle/50/5000/9922/042563/G_042563_P_906189342.adn.gif</t>
  </si>
  <si>
    <t>Gittmaier, Josef, Haustechnik • Pilgersham • Oberösterreich</t>
  </si>
  <si>
    <t>Haustechnik • Gittmaier, Josef, Pilgersham 1, Pilgersham • Kontakt über aktuelle Telefonnummern ☎ und Adressen ⚑ mit Karte, Routing, Öffnungszeiten, Homepage, E-Mail, vCard und Firmendaten.</t>
  </si>
  <si>
    <t>Pilgersham 1</t>
  </si>
  <si>
    <t>4926</t>
  </si>
  <si>
    <t>Pilgersham</t>
  </si>
  <si>
    <t>48.1766425</t>
  </si>
  <si>
    <t>13.5845632</t>
  </si>
  <si>
    <t>+4377532092;+4369914082465;+4369914082466</t>
  </si>
  <si>
    <t>gittmaier.j@aon.at</t>
  </si>
  <si>
    <t>https://bilder.dasschnelle.at/DasSchnelle/50/5000/9922/042565/G_042565_P_906189348.adn.gif</t>
  </si>
  <si>
    <t>Dorfwirt Fischlham, Gastgewerbe • Fischlham • Oberösterreich</t>
  </si>
  <si>
    <t>Gastgewerbe - Gasthöfe • Dorfwirt Fischlham, Thalheimerstrasse 5, Fischlham • Kontakt über aktuelle Telefonnummern ☎ und Adressen ⚑ mit Karte, Routing, Öffnungszeiten, Homepage, E-Mail, vCard und Firmendaten.</t>
  </si>
  <si>
    <t>Thalheimerstrasse 5</t>
  </si>
  <si>
    <t>Fischlham</t>
  </si>
  <si>
    <t>48.0788700</t>
  </si>
  <si>
    <t>13.9573100</t>
  </si>
  <si>
    <t>+43724128340</t>
  </si>
  <si>
    <t>office@dorfwirt-fischlham.at</t>
  </si>
  <si>
    <t>https://bilder.dasschnelle.at/DasSchnelle/50/5000/9934/043568/G_043568_P_906189402.adn.gif</t>
  </si>
  <si>
    <t>Schaubmayr, Martin, Dr.med.dent, MSc., FA f. Zahn-, Mund- u. Kieferheilkunde • Altenfelden • Oberösterreich</t>
  </si>
  <si>
    <t>Ärzte / Fachärzte f. Zahn-, Mund u. Kieferheilkunde • Schaubmayr, Martin, Dr.med.dent, MSc., Veldenstr. 29, Altenfelden • Kontakt über aktuelle Telefonnummern ☎ und Adressen ⚑ mit Karte, Routing, Öffnungszeiten, Homepage, E-Mail, vCard und Firmendaten.</t>
  </si>
  <si>
    <t>Veldenstr. 29</t>
  </si>
  <si>
    <t>48.48385</t>
  </si>
  <si>
    <t>13.97192</t>
  </si>
  <si>
    <t>+4372825381</t>
  </si>
  <si>
    <t>praxis-schaubmayr@a1.net</t>
  </si>
  <si>
    <t>https://bilder.dasschnelle.at/DasSchnelle/50/5000/9923/998108/I_998108_P_906190366_B_0036177367_2.gal.png?height=300&amp;width=450;https://bilder.dasschnelle.at/DasSchnelle/50/5000/9923/998108/I_998108_P_906190366_B_0036177367_3.gal.png?height=5000&amp;width=5000;https://bilder.dasschnelle.at/DasSchnelle/50/5000/9923/998108/I_998108_P_906190366_B_0036177367_4.gal.png?height=2917&amp;width=3922</t>
  </si>
  <si>
    <t>Glaser, Stefan, Dr., Rechtsanwalt • Ried im Innkreis • Oberösterreich</t>
  </si>
  <si>
    <t>Rechtsanwälte • Glaser, Stefan, Dr., Friedrich-Thurner-Straße 14, Ried im Innkreis • Kontakt über aktuelle Telefonnummern ☎ und Adressen ⚑ mit Karte, Routing, Öffnungszeiten, Homepage, E-Mail, vCard und Firmendaten.</t>
  </si>
  <si>
    <t>Friedrich-Thurner-Straße 14</t>
  </si>
  <si>
    <t>48.21179</t>
  </si>
  <si>
    <t>13.48498</t>
  </si>
  <si>
    <t>+437752700700</t>
  </si>
  <si>
    <t>office@ra-glaser.at</t>
  </si>
  <si>
    <t>https://bilder.dasschnelle.at/DasSchnelle/50/5000/9922/042563/I_042563_P_906190374_L_0036177536_1.png</t>
  </si>
  <si>
    <t>https://bilder.dasschnelle.at/DasSchnelle/50/5000/9922/042563/I_042563_P_906190374_B_0036177536_1.gal.png?height=416&amp;width=555;https://bilder.dasschnelle.at/DasSchnelle/50/5000/9922/042563/I_042563_P_906190374_B_0036177536_2.gal.png?height=335&amp;width=600;https://bilder.dasschnelle.at/DasSchnelle/50/5000/9922/042563/I_042563_P_906190374_B_0036177536_3.gal.png?height=337&amp;width=600</t>
  </si>
  <si>
    <t>Hornof, Roland, Dr.med., FA f Chirurgie u Gefäßchirugie • Ried im Innkreis • Oberösterreich</t>
  </si>
  <si>
    <t>Ärzte / Fachärzte f. Chirurgie • Hornof, Roland, Dr.med., Josef-Kränzl-Straße 11, Ried im Innkreis • Kontakt über aktuelle Telefonnummern ☎ und Adressen ⚑ mit Karte, Routing, Öffnungszeiten, Homepage, E-Mail, vCard und Firmendaten.</t>
  </si>
  <si>
    <t>Josef-Kränzl-Straße 11</t>
  </si>
  <si>
    <t>48.20308</t>
  </si>
  <si>
    <t>13.48551</t>
  </si>
  <si>
    <t>+43775282280</t>
  </si>
  <si>
    <t>info@hornof-chirurg.at</t>
  </si>
  <si>
    <t>https://bilder.dasschnelle.at/DasSchnelle/50/5000/9922/042563/G_042563_P_906190501.adn.gif</t>
  </si>
  <si>
    <t>Kerbl, Carmen, Friseur • Waldneukirchen • Oberösterreich</t>
  </si>
  <si>
    <t>Friseure • Kerbl, Carmen, Bad Haller Straße 6, Waldneukirchen • Kontakt über aktuelle Telefonnummern ☎ und Adressen ⚑ mit Karte, Routing, Öffnungszeiten, Homepage, E-Mail, vCard und Firmendaten.</t>
  </si>
  <si>
    <t>Bad Haller Straße 6</t>
  </si>
  <si>
    <t>47.9979</t>
  </si>
  <si>
    <t>14.26105</t>
  </si>
  <si>
    <t>+43725850701;+4369919929693</t>
  </si>
  <si>
    <t>carmen.kerbl@gmail.com</t>
  </si>
  <si>
    <t>https://bilder.dasschnelle.at/DasSchnelle/50/5000/9867/042823/G_042823_P_906190504.adn.gif</t>
  </si>
  <si>
    <t>EP: Exklusiv Elektrohandel und Service GmbH • Bad Hall • Oberösterreich</t>
  </si>
  <si>
    <t>Elektrohandel • EP: Exklusiv Elektrohandel und Service GmbH, Adlwanger Straße 2 A, Bad Hall • Kontakt über aktuelle Telefonnummern ☎ und Adressen ⚑ mit Karte, Routing, Öffnungszeiten, Homepage, E-Mail, vCard und Firmendaten.</t>
  </si>
  <si>
    <t>Adlwanger Straße 2 A</t>
  </si>
  <si>
    <t>48.03005</t>
  </si>
  <si>
    <t>14.21555</t>
  </si>
  <si>
    <t>+437258212170</t>
  </si>
  <si>
    <t>office@expert-exklusiv.at</t>
  </si>
  <si>
    <t>https://bilder.dasschnelle.at/DasSchnelle/50/5000/9867/042808/G_042808_P_906190510.adn.gif</t>
  </si>
  <si>
    <t>Dedic, Redzo, Trockenbau • Weißenbach bei Liezen • Steiermark</t>
  </si>
  <si>
    <t>Trockenausbau • Dedic, Redzo, Hauptstraße 356, Weißenbach bei Liezen • Kontakt über aktuelle Telefonnummern ☎ und Adressen ⚑ mit Karte, Routing, Öffnungszeiten, Homepage, E-Mail, vCard und Firmendaten.</t>
  </si>
  <si>
    <t>Hauptstraße 356</t>
  </si>
  <si>
    <t>Weißenbach bei Liezen</t>
  </si>
  <si>
    <t>47.56856</t>
  </si>
  <si>
    <t>14.20785</t>
  </si>
  <si>
    <t>+43361225852;+436642309524;+436643993281;+436645218871</t>
  </si>
  <si>
    <t>info@trockenbau-dedic.at</t>
  </si>
  <si>
    <t>https://bilder.dasschnelle.at/DasSchnelle/50/5000/9905/061443/I_061443_P_906190519_L_0036003206_1.png</t>
  </si>
  <si>
    <t>https://bilder.dasschnelle.at/DasSchnelle/50/5000/9905/061443/I_061443_P_906190519_B_0036003206_1.gal.png?height=480&amp;width=480;https://bilder.dasschnelle.at/DasSchnelle/50/5000/9905/061443/I_061443_P_906190519_B_0036003206_2.gal.png?height=480&amp;width=480;https://bilder.dasschnelle.at/DasSchnelle/50/5000/9905/061443/I_061443_P_906190519_B_0036003206_3.gal.png?height=480&amp;width=480;https://bilder.dasschnelle.at/DasSchnelle/50/5000/9905/061443/I_061443_P_906190519_B_0036003206_4.gal.png?height=480&amp;width=480</t>
  </si>
  <si>
    <t>Weisl Kfz GmbH, Kfz-Werkstätte • Donnersbach • Steiermark</t>
  </si>
  <si>
    <t>Kfz-Werkstätte • Weisl Kfz GmbH, Donnersbach • Kontakt über aktuelle Telefonnummern ☎ und Adressen ⚑ mit Karte, Routing, Öffnungszeiten, Homepage, E-Mail, vCard und Firmendaten.</t>
  </si>
  <si>
    <t>Donnersbach</t>
  </si>
  <si>
    <t>47.4665483</t>
  </si>
  <si>
    <t>14.1275280</t>
  </si>
  <si>
    <t>+43368331150</t>
  </si>
  <si>
    <t>office@kfz-weisl.at</t>
  </si>
  <si>
    <t>https://bilder.dasschnelle.at/DasSchnelle/50/5000/9905/061455/G_061455_P_906190524.adn.gif</t>
  </si>
  <si>
    <t>Peer, Martina, Logopädie • Ried im Innkreis • Oberösterreich</t>
  </si>
  <si>
    <t>Logopädie • Peer, Martina, Haydnstraße 6 10, Ried im Innkreis • Kontakt über aktuelle Telefonnummern ☎ und Adressen ⚑ mit Karte, Routing, Öffnungszeiten, Homepage, E-Mail, vCard und Firmendaten.</t>
  </si>
  <si>
    <t>Haydnstraße 6 10</t>
  </si>
  <si>
    <t>48.2165500</t>
  </si>
  <si>
    <t>13.4846500</t>
  </si>
  <si>
    <t>+436767612746</t>
  </si>
  <si>
    <t>logo.peer@inext.at</t>
  </si>
  <si>
    <t>https://bilder.dasschnelle.at/DasSchnelle/50/5000/9922/042563/G_042563_P_906191762.adn.gif</t>
  </si>
  <si>
    <t>Veit, Wolfgang, DDr., Ärzte / Fachärzte f Zahn-, Mund-u Kieferheilkunde • Schlüßlberg • Oberösterreich</t>
  </si>
  <si>
    <t>Ärzte / Fachärzte f. Zahn-, Mund u. Kieferheilkunde • Veit, Wolfgang, DDr., Marktplatz 4, Schlüßlberg • Kontakt über aktuelle Telefonnummern ☎ und Adressen ⚑ mit Karte, Routing, Öffnungszeiten, Homepage, E-Mail, vCard und Firmendaten.</t>
  </si>
  <si>
    <t>48.22268</t>
  </si>
  <si>
    <t>13.86693</t>
  </si>
  <si>
    <t>+43724861690</t>
  </si>
  <si>
    <t>https://bilder.dasschnelle.at/DasSchnelle/50/5000/9887/041973/G_041973_P_906191774.adn.gif</t>
  </si>
  <si>
    <t>Gruber, Michael, Steinmetzmeisterbetrieb • Kremsmünster • Oberösterreich</t>
  </si>
  <si>
    <t>Steinmetzbetriebe • Gruber, Michael, Subiacostraße 2, Kremsmünster • Kontakt über aktuelle Telefonnummern ☎ und Adressen ⚑ mit Karte, Routing, Öffnungszeiten, Homepage, E-Mail, vCard und Firmendaten.</t>
  </si>
  <si>
    <t>Subiacostraße 2</t>
  </si>
  <si>
    <t>48.05227</t>
  </si>
  <si>
    <t>14.12357</t>
  </si>
  <si>
    <t>+43758353590;+4369918060499;+4369919135537</t>
  </si>
  <si>
    <t>office@gruber-stein.at</t>
  </si>
  <si>
    <t>https://bilder.dasschnelle.at/DasSchnelle/50/5000/9900/046084/G_046084_P_906191918.adn.gif</t>
  </si>
  <si>
    <t>Hilbel, Wolfgang, Malermeister • Bad Mitterndorf • Steiermark</t>
  </si>
  <si>
    <t>Malereibetriebe • Hilbel, Wolfgang, Bad Mitterndorf • Kontakt über aktuelle Telefonnummern ☎ und Adressen ⚑ mit Karte, Routing, Öffnungszeiten, Homepage, E-Mail, vCard und Firmendaten.</t>
  </si>
  <si>
    <t>47.5562770</t>
  </si>
  <si>
    <t>13.9361732</t>
  </si>
  <si>
    <t>+4336233421;+436642729128</t>
  </si>
  <si>
    <t>malermeister@hilbel.at</t>
  </si>
  <si>
    <t>https://bilder.dasschnelle.at/DasSchnelle/50/5000/9905/061452/G_061452_P_906191956.adn.gif</t>
  </si>
  <si>
    <t>Holzbau &amp; Abbundzentrum Reinhard Hansmann GmbH, Holzbau • Oberwölz • Steiermark</t>
  </si>
  <si>
    <t>Holzbau • Holzbau &amp; Abbundzentrum Reinhard Hansmann GmbH, Vorstadt 89, Oberwölz • Kontakt über aktuelle Telefonnummern ☎ und Adressen ⚑ mit Karte, Routing, Öffnungszeiten, Homepage, E-Mail, vCard und Firmendaten.</t>
  </si>
  <si>
    <t>Vorstadt 89</t>
  </si>
  <si>
    <t>Oberwölz</t>
  </si>
  <si>
    <t>47.1994094</t>
  </si>
  <si>
    <t>14.2832497</t>
  </si>
  <si>
    <t>+43358171101;+436641527136</t>
  </si>
  <si>
    <t>office@holzbau-hansmann.com</t>
  </si>
  <si>
    <t>https://bilder.dasschnelle.at/DasSchnelle/50/5000/9910/061437/G_061437_P_906191962.adn.gif</t>
  </si>
  <si>
    <t>Huemer GmbH, Energietechnik • Eberstalzell • Oberösterreich</t>
  </si>
  <si>
    <t>Energietechnik • Huemer GmbH, Wipfing 40, Eberstalzell • Kontakt über aktuelle Telefonnummern ☎ und Adressen ⚑ mit Karte, Routing, Öffnungszeiten, Homepage, E-Mail, vCard und Firmendaten.</t>
  </si>
  <si>
    <t>Wipfing 40</t>
  </si>
  <si>
    <t>48.0397242</t>
  </si>
  <si>
    <t>14.0000111</t>
  </si>
  <si>
    <t>+43724128600;+436645497390;+436648519374;+4366488434547;+4369913208581;+4369913208591;+4369913209551;+4369918144477</t>
  </si>
  <si>
    <t>office@huemer-energietechnik.at</t>
  </si>
  <si>
    <t>https://bilder.dasschnelle.at/DasSchnelle/50/5000/9934/043566/I_043566_P_906191889_L_0036244034_1.png</t>
  </si>
  <si>
    <t>https://bilder.dasschnelle.at/DasSchnelle/50/5000/9934/043566/I_043566_P_906191889_B_0036244034_1.gal.png?height=2592&amp;width=3872;https://bilder.dasschnelle.at/DasSchnelle/50/5000/9934/043566/I_043566_P_906191889_B_0036244034_2.gal.png?height=4000&amp;width=6000;https://bilder.dasschnelle.at/DasSchnelle/50/5000/9934/043566/I_043566_P_906191889_B_0036244034_3.gal.png?height=2848&amp;width=4272;https://bilder.dasschnelle.at/DasSchnelle/50/5000/9934/043566/I_043566_P_906191889_B_0036244034_4.gal.png?height=3324&amp;width=4868</t>
  </si>
  <si>
    <t>murtax Steuerberatungs GmbH • Murau • Steiermark</t>
  </si>
  <si>
    <t>Steuerberater • murtax Steuerberatungs GmbH, Bundesstraße 13 B, Murau • Kontakt über aktuelle Telefonnummern ☎ und Adressen ⚑ mit Karte, Routing, Öffnungszeiten, Homepage, E-Mail, vCard und Firmendaten.</t>
  </si>
  <si>
    <t>Bundesstraße 13 B</t>
  </si>
  <si>
    <t>47.11291</t>
  </si>
  <si>
    <t>14.17693</t>
  </si>
  <si>
    <t>+43353237060</t>
  </si>
  <si>
    <t>winkler@murtax.at</t>
  </si>
  <si>
    <t>https://bilder.dasschnelle.at/DasSchnelle/50/5000/9910/061401/I_061401_P_906191898_L_0036234800_1.png</t>
  </si>
  <si>
    <t>Krankenbeförderung - Gramberger • Tumeltsham • Oberösterreich</t>
  </si>
  <si>
    <t>Krankentransporte / Krankenbeförderung • Krankenbeförderung - Gramberger, Innviertlerstraße 23, Tumeltsham • Kontakt über aktuelle Telefonnummern ☎ und Adressen ⚑ mit Karte, Routing, Öffnungszeiten, Homepage, E-Mail, vCard und Firmendaten.</t>
  </si>
  <si>
    <t>Innviertlerstraße 23</t>
  </si>
  <si>
    <t>4911</t>
  </si>
  <si>
    <t>Tumeltsham</t>
  </si>
  <si>
    <t>48.22645</t>
  </si>
  <si>
    <t>13.4958</t>
  </si>
  <si>
    <t>+436643222000</t>
  </si>
  <si>
    <t>office@gramberger.eu</t>
  </si>
  <si>
    <t>https://bilder.dasschnelle.at/DasSchnelle/50/5000/9922/042570/G_042570_P_906190438.adn.gif</t>
  </si>
  <si>
    <t>EHS Einfinger GmbH, Heizung - Sanitär • Tumeltsham • Oberösterreich</t>
  </si>
  <si>
    <t>Installationsunternehmen • EHS Einfinger GmbH, Holzhäuseln 4, Tumeltsham • Kontakt über aktuelle Telefonnummern ☎ und Adressen ⚑ mit Karte, Routing, Öffnungszeiten, Homepage, E-Mail, vCard und Firmendaten.</t>
  </si>
  <si>
    <t>Holzhäuseln 4</t>
  </si>
  <si>
    <t>48.2378727</t>
  </si>
  <si>
    <t>13.5143638</t>
  </si>
  <si>
    <t>+4377503602</t>
  </si>
  <si>
    <t>office@einfinger.at</t>
  </si>
  <si>
    <t>https://bilder.dasschnelle.at/DasSchnelle/50/5000/9922/042570/I_042570_P_906190440_L_0036244180_1.png</t>
  </si>
  <si>
    <t>https://bilder.dasschnelle.at/DasSchnelle/50/5000/9922/042570/I_042570_P_906190440_B_0036244180_1.gal.png?height=333&amp;width=500;https://bilder.dasschnelle.at/DasSchnelle/50/5000/9922/042570/I_042570_P_906190440_B_0036244180_2.gal.png?height=333&amp;width=500;https://bilder.dasschnelle.at/DasSchnelle/50/5000/9922/042570/I_042570_P_906190440_B_0036244180_3.gal.png?height=333&amp;width=500;https://bilder.dasschnelle.at/DasSchnelle/50/5000/9922/042570/I_042570_P_906190440_B_0036244180_4.gal.png?height=333&amp;width=500</t>
  </si>
  <si>
    <t>Studio Heidi Med. Fusspflege • Ligist • Steiermark</t>
  </si>
  <si>
    <t>Fußpflege • Studio Heidi Med. Fusspflege, Ligist 57, Ligist • Kontakt über aktuelle Telefonnummern ☎ und Adressen ⚑ mit Karte, Routing, Öffnungszeiten, Homepage, E-Mail, vCard und Firmendaten.</t>
  </si>
  <si>
    <t>Ligist 57</t>
  </si>
  <si>
    <t>Ligist</t>
  </si>
  <si>
    <t>46.9960907</t>
  </si>
  <si>
    <t>15.2058251</t>
  </si>
  <si>
    <t>+436644513333</t>
  </si>
  <si>
    <t>studio.heidi1@gmail.com</t>
  </si>
  <si>
    <t>https://bilder.dasschnelle.at/DasSchnelle/50/5000/9941/045362/G_045362_P_906190442.adn.gif</t>
  </si>
  <si>
    <t>Elektrotechnik Wagnest e.U. • Ligist Markt • Steiermark</t>
  </si>
  <si>
    <t>Elektrotechnik • Elektrotechnik Wagnest e.U., Ligist 41, Ligist Markt • Kontakt über aktuelle Telefonnummern ☎ und Adressen ⚑ mit Karte, Routing, Öffnungszeiten, Homepage, E-Mail, vCard und Firmendaten.</t>
  </si>
  <si>
    <t>Ligist 41</t>
  </si>
  <si>
    <t>46.9937447</t>
  </si>
  <si>
    <t>15.2066351</t>
  </si>
  <si>
    <t>+43314320011</t>
  </si>
  <si>
    <t>ligist.etwa@gmx.at</t>
  </si>
  <si>
    <t>https://bilder.dasschnelle.at/DasSchnelle/50/5000/9941/045362/G_045362_P_906190444.adn.gif</t>
  </si>
  <si>
    <t>Taxi Blitz • Bärnbach • Steiermark</t>
  </si>
  <si>
    <t>Taxi • Taxi Blitz, Kleegasse 9 /2, Bärnbach • Kontakt über aktuelle Telefonnummern ☎ und Adressen ⚑ mit Karte, Routing, Öffnungszeiten, Homepage, E-Mail, vCard und Firmendaten.</t>
  </si>
  <si>
    <t>Kleegasse 9 /2</t>
  </si>
  <si>
    <t>47.07549</t>
  </si>
  <si>
    <t>15.12412</t>
  </si>
  <si>
    <t>+436643382648</t>
  </si>
  <si>
    <t>office@taxiblitz.at</t>
  </si>
  <si>
    <t>https://bilder.dasschnelle.at/DasSchnelle/50/5000/9941/061376/G_061376_P_906190601.adn.gif</t>
  </si>
  <si>
    <t>BEST Pizzeria - Kebaphaus  • Voitsberg • Steiermark</t>
  </si>
  <si>
    <t>Kebap u. Pizza • BEST Pizzeria - Kebaphaus, Hauptplatz 40, Voitsberg • Kontakt über aktuelle Telefonnummern ☎ und Adressen ⚑ mit Karte, Routing, Öffnungszeiten, Homepage, E-Mail, vCard und Firmendaten.</t>
  </si>
  <si>
    <t>47.0492500</t>
  </si>
  <si>
    <t>15.1515400</t>
  </si>
  <si>
    <t>+436606324233</t>
  </si>
  <si>
    <t>parlak1993@gmx.at</t>
  </si>
  <si>
    <t>https://bilder.dasschnelle.at/DasSchnelle/50/5000/9941/045375/G_045375_P_906190602.adn.gif</t>
  </si>
  <si>
    <t>Anabith Gebäudetechnik GmbH, Sanitär • Stallhofen • Steiermark</t>
  </si>
  <si>
    <t>Gebäudetechnik • Anabith Gebäudetechnik GmbH, Södingberg 7, Stallhofen • Kontakt über aktuelle Telefonnummern ☎ und Adressen ⚑ mit Karte, Routing, Öffnungszeiten, Homepage, E-Mail, vCard und Firmendaten.</t>
  </si>
  <si>
    <t>Södingberg 7</t>
  </si>
  <si>
    <t>8152</t>
  </si>
  <si>
    <t>Stallhofen</t>
  </si>
  <si>
    <t>47.0738800</t>
  </si>
  <si>
    <t>15.2033400</t>
  </si>
  <si>
    <t>+43314260964</t>
  </si>
  <si>
    <t>office@anabith-gwh.at</t>
  </si>
  <si>
    <t>https://bilder.dasschnelle.at/DasSchnelle/50/5000/9941/061386/G_061386_P_906190446.adn.gif</t>
  </si>
  <si>
    <t>Pichler, Markus, Bau und Landmaschinentechnik • Bärnbach • Steiermark</t>
  </si>
  <si>
    <t>Landmaschinen • Pichler, Markus, Bau und Landmaschinentechnik, Bergstraße 61, Bärnbach • Kontakt über aktuelle Telefonnummern ☎ und Adressen ⚑ mit Karte, Routing, Öffnungszeiten, Homepage, E-Mail, vCard und Firmendaten.</t>
  </si>
  <si>
    <t>Bergstraße 61</t>
  </si>
  <si>
    <t>47.1030600</t>
  </si>
  <si>
    <t>15.1399600</t>
  </si>
  <si>
    <t>+436641627820</t>
  </si>
  <si>
    <t>info@technik-pichler.at</t>
  </si>
  <si>
    <t>https://bilder.dasschnelle.at/DasSchnelle/50/5000/9941/061376/G_061376_P_906190448.adn.gif</t>
  </si>
  <si>
    <t>Spenglerei Mitterbucher GmbH &amp; Co KG • Neuhofen im Innkreis • Oberösterreich</t>
  </si>
  <si>
    <t>Spenglereien • Spenglerei Mitterbucher GmbH &amp; Co KG, Hauptstraße 26, Neuhofen im Innkreis • Kontakt über aktuelle Telefonnummern ☎ und Adressen ⚑ mit Karte, Routing, Öffnungszeiten, Homepage, E-Mail, vCard und Firmendaten.</t>
  </si>
  <si>
    <t>48.19172</t>
  </si>
  <si>
    <t>13.47193</t>
  </si>
  <si>
    <t>+43775221849</t>
  </si>
  <si>
    <t>office@spenglerei-mitterbucher.at</t>
  </si>
  <si>
    <t>https://bilder.dasschnelle.at/DasSchnelle/50/5000/9922/042556/G_042556_P_906191855.adn.gif</t>
  </si>
  <si>
    <t>Tippler Energie Bau GmbH., Holzbau • Stallhofen • Steiermark</t>
  </si>
  <si>
    <t>Holzbau • Tippler Energie Bau GmbH., Gewerbepark 2, Stallhofen • Kontakt über aktuelle Telefonnummern ☎ und Adressen ⚑ mit Karte, Routing, Öffnungszeiten, Homepage, E-Mail, vCard und Firmendaten.</t>
  </si>
  <si>
    <t>47.04355</t>
  </si>
  <si>
    <t>15.23278</t>
  </si>
  <si>
    <t>+43314226502</t>
  </si>
  <si>
    <t>office@tippler.at</t>
  </si>
  <si>
    <t>https://bilder.dasschnelle.at/DasSchnelle/50/5000/9941/045374/G_045374_P_906191866.adn.gif</t>
  </si>
  <si>
    <t>Terschan, Michael, Steinmetzbetriebe • Bärnbach • Steiermark</t>
  </si>
  <si>
    <t>Steinmetzbetriebe • Terschan, Michael, Piberstraße 33, Bärnbach • Kontakt über aktuelle Telefonnummern ☎ und Adressen ⚑ mit Karte, Routing, Öffnungszeiten, Homepage, E-Mail, vCard und Firmendaten.</t>
  </si>
  <si>
    <t>Piberstraße 33</t>
  </si>
  <si>
    <t>47.07008</t>
  </si>
  <si>
    <t>15.12165</t>
  </si>
  <si>
    <t>+43314261992;+43314262163;+436645011676</t>
  </si>
  <si>
    <t>+433142619924</t>
  </si>
  <si>
    <t>michael.terschan@aon.at</t>
  </si>
  <si>
    <t>https://bilder.dasschnelle.at/DasSchnelle/50/5000/9941/061376/G_061376_P_906191874.adn.gif</t>
  </si>
  <si>
    <t>Pansi Fit KG, Fitnesscenter • Söding • Steiermark</t>
  </si>
  <si>
    <t>Fitnesscenter, Massagen • Pansi Fit KG, Packerstraße 28, Söding • Kontakt über aktuelle Telefonnummern ☎ und Adressen ⚑ mit Karte, Routing, Öffnungszeiten, Homepage, E-Mail, vCard und Firmendaten.</t>
  </si>
  <si>
    <t>Packerstraße 28</t>
  </si>
  <si>
    <t>46.9971846</t>
  </si>
  <si>
    <t>15.2959748</t>
  </si>
  <si>
    <t>+436644576554</t>
  </si>
  <si>
    <t>msp@gmx.at</t>
  </si>
  <si>
    <t>Optik Löffler OG • Lieboch • Steiermark</t>
  </si>
  <si>
    <t>Optik • Optik Löffler OG, Packerstraße 125, Lieboch • Kontakt über aktuelle Telefonnummern ☎ und Adressen ⚑ mit Karte, Routing, Öffnungszeiten, Homepage, E-Mail, vCard und Firmendaten.</t>
  </si>
  <si>
    <t>Packerstraße 125</t>
  </si>
  <si>
    <t>46.9747600</t>
  </si>
  <si>
    <t>15.3328000</t>
  </si>
  <si>
    <t>+436641456772</t>
  </si>
  <si>
    <t>office@optik-loeffler.at</t>
  </si>
  <si>
    <t>https://bilder.dasschnelle.at/DasSchnelle/50/5000/9941/042338/G_042338_P_906192973.adn.gif</t>
  </si>
  <si>
    <t>Da Moarhof, Psychotherapie • St. Marienkirchen am Hausruck • Oberösterreich</t>
  </si>
  <si>
    <t>Psychotherapie • Da Moarhof, Hatting 1, St. Marienkirchen am Hausruck • Kontakt über aktuelle Telefonnummern ☎ und Adressen ⚑ mit Karte, Routing, Öffnungszeiten, Homepage, E-Mail, vCard und Firmendaten.</t>
  </si>
  <si>
    <t>Hatting 1</t>
  </si>
  <si>
    <t>St. Marienkirchen am Hausruck</t>
  </si>
  <si>
    <t>48.1847836</t>
  </si>
  <si>
    <t>13.5907838</t>
  </si>
  <si>
    <t>+4377533094</t>
  </si>
  <si>
    <t>office@damoarhof.at</t>
  </si>
  <si>
    <t>https://bilder.dasschnelle.at/DasSchnelle/50/5000/9922/042565/G_042565_P_906192983.adn.gif</t>
  </si>
  <si>
    <t>Mitter, Markus, Öfen u Herde • Liezen • Steiermark</t>
  </si>
  <si>
    <t>Öfen u. Herde • Mitter, Markus, Bahnhofstraße 4, Liezen • Kontakt über aktuelle Telefonnummern ☎ und Adressen ⚑ mit Karte, Routing, Öffnungszeiten, Homepage, E-Mail, vCard und Firmendaten.</t>
  </si>
  <si>
    <t>47.56277</t>
  </si>
  <si>
    <t>14.24218</t>
  </si>
  <si>
    <t>+43361224696</t>
  </si>
  <si>
    <t>mitter.markus@ofenstudio.co.at</t>
  </si>
  <si>
    <t>https://bilder.dasschnelle.at/DasSchnelle/50/5000/9905/061443/G_061443_P_906192985.adn.gif</t>
  </si>
  <si>
    <t>Gattermaier GmbH, Tore-Fenster-Türe-Rolladen • Dobl • Oberösterreich</t>
  </si>
  <si>
    <t>Fenster u. Türen, Tore, Türen • Gattermaier GmbH, Dobl 12, Dobl • Kontakt über aktuelle Telefonnummern ☎ und Adressen ⚑ mit Karte, Routing, Öffnungszeiten, Homepage, E-Mail, vCard und Firmendaten.</t>
  </si>
  <si>
    <t>Dobl 12</t>
  </si>
  <si>
    <t>4973</t>
  </si>
  <si>
    <t>Dobl</t>
  </si>
  <si>
    <t>48.2549472</t>
  </si>
  <si>
    <t>13.4115000</t>
  </si>
  <si>
    <t>+4377517564;+436641511772</t>
  </si>
  <si>
    <t>office@gattermaier.at</t>
  </si>
  <si>
    <t>https://bilder.dasschnelle.at/DasSchnelle/50/5000/9922/042568/I_042568_P_906192989_L_0036177315_1.png</t>
  </si>
  <si>
    <t>https://bilder.dasschnelle.at/DasSchnelle/50/5000/9922/042568/I_042568_P_906192989_B_0036177315_1.gal.png?height=450&amp;width=600;https://bilder.dasschnelle.at/DasSchnelle/50/5000/9922/042568/I_042568_P_906192989_B_0036177315_2.gal.png?height=600&amp;width=450;https://bilder.dasschnelle.at/DasSchnelle/50/5000/9922/042568/I_042568_P_906192989_B_0036177315_3.gal.png?height=400&amp;width=600;https://bilder.dasschnelle.at/DasSchnelle/50/5000/9922/042568/I_042568_P_906192989_B_0036177315_4.gal.png?height=400&amp;width=600</t>
  </si>
  <si>
    <t>Malerei Schaubmaier, Malereibetrieb • St.Johann am Wimberg • Oberösterreich</t>
  </si>
  <si>
    <t>Malereibetriebe • Malerei Schaubmaier, Pesenbachstrasse 5, St.Johann am Wimberg • Kontakt über aktuelle Telefonnummern ☎ und Adressen ⚑ mit Karte, Routing, Öffnungszeiten, Homepage, E-Mail, vCard und Firmendaten.</t>
  </si>
  <si>
    <t>Pesenbachstrasse 5</t>
  </si>
  <si>
    <t>St.Johann am Wimberg</t>
  </si>
  <si>
    <t>48.49384</t>
  </si>
  <si>
    <t>14.12277</t>
  </si>
  <si>
    <t>+4372177078</t>
  </si>
  <si>
    <t>office@malerei-schaubmaier.at</t>
  </si>
  <si>
    <t>https://bilder.dasschnelle.at/DasSchnelle/50/5000/9923/042290/G_042290_P_906193029.adn.gif</t>
  </si>
  <si>
    <t>Hauzenberger Installationstechnik e.U., Installationstechnik • Sankt Peter • Oberösterreich</t>
  </si>
  <si>
    <t>Installationstechnik • Hauzenberger Installationstechnik e.U., Sonnweg 2, Sankt Peter • Kontakt über aktuelle Telefonnummern ☎ und Adressen ⚑ mit Karte, Routing, Öffnungszeiten, Homepage, E-Mail, vCard und Firmendaten.</t>
  </si>
  <si>
    <t>Sonnweg 2</t>
  </si>
  <si>
    <t>48.5026146</t>
  </si>
  <si>
    <t>14.0891848</t>
  </si>
  <si>
    <t>+43728281160</t>
  </si>
  <si>
    <t>office@hauzenberger.co.at</t>
  </si>
  <si>
    <t>https://bilder.dasschnelle.at/DasSchnelle/50/5000/9923/042293/G_042293_P_906194723.adn.gif</t>
  </si>
  <si>
    <t>Edlinger-Knöchl, Gudrun, Dr., Kinderarzt • Schlüßlberg • Oberösterreich</t>
  </si>
  <si>
    <t>Ärzte / Fachärzte f. Kinder u. Jugendheilkunde • Edlinger-Knöchl, Gudrun, Dr., Alte Rosenau 22 A, Schlüßlberg • Kontakt über aktuelle Telefonnummern ☎ und Adressen ⚑ mit Karte, Routing, Öffnungszeiten, Homepage, E-Mail, vCard und Firmendaten.</t>
  </si>
  <si>
    <t>Alte Rosenau 22 A</t>
  </si>
  <si>
    <t>48.2254328</t>
  </si>
  <si>
    <t>13.8552064</t>
  </si>
  <si>
    <t>+43724863650</t>
  </si>
  <si>
    <t>ordination@kinderarzt-edlinger.at</t>
  </si>
  <si>
    <t>https://bilder.dasschnelle.at/DasSchnelle/50/5000/9887/041973/G_041973_P_906194856.adn.gif</t>
  </si>
  <si>
    <t>Pferdepraxis HorseMed, Tierärzte • Schwechat • Niederösterreich</t>
  </si>
  <si>
    <t>Tierkliniken • Pferdepraxis HorseMed, Weglgasse 1 /4, Schwechat • Kontakt über aktuelle Telefonnummern ☎ und Adressen ⚑ mit Karte, Routing, Öffnungszeiten, Homepage, E-Mail, vCard und Firmendaten.</t>
  </si>
  <si>
    <t>Weglgasse 1 /4</t>
  </si>
  <si>
    <t>48.1423</t>
  </si>
  <si>
    <t>16.47838</t>
  </si>
  <si>
    <t>+436645621777</t>
  </si>
  <si>
    <t>tierarzt@horsemed.at</t>
  </si>
  <si>
    <t>https://bilder.dasschnelle.at/DasSchnelle/50/5000/9930/998133/G_998133_P_906194861.adn.gif</t>
  </si>
  <si>
    <t>Winter Spenglerei - Dachdeckerei GesmbH • Waldneukirchen • Oberösterreich</t>
  </si>
  <si>
    <t>Dachdeckereien, Spenglereien • Winter Spenglerei - Dachdeckerei GesmbH, Grünburger Straße 39, Waldneukirchen • Kontakt über aktuelle Telefonnummern ☎ und Adressen ⚑ mit Karte, Routing, Öffnungszeiten, Homepage, E-Mail, vCard und Firmendaten.</t>
  </si>
  <si>
    <t>Grünburger Straße 39</t>
  </si>
  <si>
    <t>47.99237</t>
  </si>
  <si>
    <t>14.27439</t>
  </si>
  <si>
    <t>+4372578409</t>
  </si>
  <si>
    <t>office@spenglerei-winter.at</t>
  </si>
  <si>
    <t>https://bilder.dasschnelle.at/DasSchnelle/50/5000/9867/042823/G_042823_P_906194872.adn.gif</t>
  </si>
  <si>
    <t>Spenglerei Dachdeckerei Winter, Dachdecker • Waldneukirchen • Oberösterreich</t>
  </si>
  <si>
    <t>Dachdeckereien, Spenglereien • Spenglerei Dachdeckerei Winter, Grünburger Straße 39, Waldneukirchen • Kontakt über aktuelle Telefonnummern ☎ und Adressen ⚑ mit Karte, Routing, Öffnungszeiten, Homepage, E-Mail, vCard und Firmendaten.</t>
  </si>
  <si>
    <t>https://bilder.dasschnelle.at/DasSchnelle/50/5000/9867/042823/I_042823_P_906194874_L_0036242729_1.png</t>
  </si>
  <si>
    <t>https://bilder.dasschnelle.at/DasSchnelle/50/5000/9867/042823/I_042823_P_906194874_B_0036242729_1.gal.png?height=400&amp;width=600;https://bilder.dasschnelle.at/DasSchnelle/50/5000/9867/042823/I_042823_P_906194874_B_0036242729_2.gal.png?height=400&amp;width=600;https://bilder.dasschnelle.at/DasSchnelle/50/5000/9867/042823/I_042823_P_906194874_B_0036242729_3.gal.png?height=400&amp;width=600;https://bilder.dasschnelle.at/DasSchnelle/50/5000/9867/042823/I_042823_P_906194874_B_0036242729_4.gal.png?height=400&amp;width=600</t>
  </si>
  <si>
    <t>ELEKTROHAUS Gabriel GesmbH, Elektrofachhandel • Ulrichsberg • Oberösterreich</t>
  </si>
  <si>
    <t>Elektrogeräte u. -bedarf, Elektrohandel, Elektrotechnik, Elektrowaren, Telekommunikation • ELEKTROHAUS Gabriel GesmbH, Markt 18, Ulrichsberg • Kontakt über aktuelle Telefonnummern ☎ und Adressen ⚑ mit Karte, Routing, Öffnungszeiten, Homepage, E-Mail, vCard und Firmendaten.</t>
  </si>
  <si>
    <t>48.67516</t>
  </si>
  <si>
    <t>13.91243</t>
  </si>
  <si>
    <t>+43728870100;+43728827700</t>
  </si>
  <si>
    <t>office@redzac-gabriel.at</t>
  </si>
  <si>
    <t>https://bilder.dasschnelle.at/DasSchnelle/50/5000/9923/042301/G_042301_P_906195422.adn.gif</t>
  </si>
  <si>
    <t>Leodolter, Adolf, Dr.med., FA für Frauenheilkunde und Geburtshilfe • Peuerbach • Oberösterreich</t>
  </si>
  <si>
    <t>Ärzte / Fachärzte f. Frauenheilkunde u. Geburtshilfe • Leodolter, Adolf, Dr.med., Hauptstraße 14, Peuerbach • Kontakt über aktuelle Telefonnummern ☎ und Adressen ⚑ mit Karte, Routing, Öffnungszeiten, Homepage, E-Mail, vCard und Firmendaten.</t>
  </si>
  <si>
    <t>48.3445432</t>
  </si>
  <si>
    <t>13.7723189</t>
  </si>
  <si>
    <t>+43727629255</t>
  </si>
  <si>
    <t>office@frauenarzt-leodolter.at</t>
  </si>
  <si>
    <t>https://bilder.dasschnelle.at/DasSchnelle/50/5000/9887/998123/G_998123_P_906196338.adn.gif</t>
  </si>
  <si>
    <t>Bertlwieser, Andreas, Erdbewegungen • Sankt Oswald bei Haslach • Oberösterreich</t>
  </si>
  <si>
    <t>Erdbewegungen • Bertlwieser, Andreas, St.Oswald 35, Sankt Oswald bei Haslach • Kontakt über aktuelle Telefonnummern ☎ und Adressen ⚑ mit Karte, Routing, Öffnungszeiten, Homepage, E-Mail, vCard und Firmendaten.</t>
  </si>
  <si>
    <t>St.Oswald 35</t>
  </si>
  <si>
    <t>Sankt Oswald bei Haslach</t>
  </si>
  <si>
    <t>48.6202976</t>
  </si>
  <si>
    <t>14.0317727</t>
  </si>
  <si>
    <t>+43728971964</t>
  </si>
  <si>
    <t>bertlwieser.andi@aon.at</t>
  </si>
  <si>
    <t>https://bilder.dasschnelle.at/DasSchnelle/50/5000/9923/042292/G_042292_P_906196341.adn.gif</t>
  </si>
  <si>
    <t>Költringer, Michaela, Dipl., Psychotherapeutin • Ried im Innkreis • Oberösterreich</t>
  </si>
  <si>
    <t>Psychotherapie • Költringer, Michaela, Dipl., Dietmarstraße 7, Ried im Innkreis • Kontakt über aktuelle Telefonnummern ☎ und Adressen ⚑ mit Karte, Routing, Öffnungszeiten, Homepage, E-Mail, vCard und Firmendaten.</t>
  </si>
  <si>
    <t>Dietmarstraße 7</t>
  </si>
  <si>
    <t>48.20366</t>
  </si>
  <si>
    <t>13.49078</t>
  </si>
  <si>
    <t>+436644580219</t>
  </si>
  <si>
    <t>office@michaela-koeltringer.at</t>
  </si>
  <si>
    <t>https://bilder.dasschnelle.at/DasSchnelle/50/5000/9922/042563/G_042563_P_906196343.adn.gif</t>
  </si>
  <si>
    <t>Madlmayr GmbH &amp; CoKG, Autohandel • St.Oswald bei Haslach • Oberösterreich</t>
  </si>
  <si>
    <t>Autohandel • Madlmayr GmbH &amp; CoKG, St.Oswald bei Haslach • Kontakt über aktuelle Telefonnummern ☎ und Adressen ⚑ mit Karte, Routing, Öffnungszeiten, Homepage, E-Mail, vCard und Firmendaten.</t>
  </si>
  <si>
    <t>St.Oswald bei Haslach</t>
  </si>
  <si>
    <t>48.6074601</t>
  </si>
  <si>
    <t>14.0278963</t>
  </si>
  <si>
    <t>+437289715080</t>
  </si>
  <si>
    <t>office@auto-madlmayr.at</t>
  </si>
  <si>
    <t>https://bilder.dasschnelle.at/DasSchnelle/50/5000/9923/061480/G_061480_P_906196344.adn.gif</t>
  </si>
  <si>
    <t>Singer, Christoph, Dr. med., FA f Orthopädie • Ried im Innkreis • Oberösterreich</t>
  </si>
  <si>
    <t>Ärzte / Fachärzte f. Orthopädie u. Orthopädische Chirurgie • Singer, Christoph, Dr. med., Josef-Kränzl-Straße 11, Ried im Innkreis • Kontakt über aktuelle Telefonnummern ☎ und Adressen ⚑ mit Karte, Routing, Öffnungszeiten, Homepage, E-Mail, vCard und Firmendaten.</t>
  </si>
  <si>
    <t>+436805515541</t>
  </si>
  <si>
    <t>https://bilder.dasschnelle.at/DasSchnelle/50/5000/9922/998099/G_998099_P_906196350.adn.gif</t>
  </si>
  <si>
    <t>Barteder, Ewald, Versicherungsagent • Waldneukirchen • Oberösterreich</t>
  </si>
  <si>
    <t>Versicherungsunternehmen • Barteder, Ewald, Hametstraße 2, Waldneukirchen • Kontakt über aktuelle Telefonnummern ☎ und Adressen ⚑ mit Karte, Routing, Öffnungszeiten, Homepage, E-Mail, vCard und Firmendaten.</t>
  </si>
  <si>
    <t>Hametstraße 2</t>
  </si>
  <si>
    <t>48.0149700</t>
  </si>
  <si>
    <t>14.2762000</t>
  </si>
  <si>
    <t>+4372583027;+436642255335</t>
  </si>
  <si>
    <t>barteder@steinbacher-versicherung.at</t>
  </si>
  <si>
    <t>https://bilder.dasschnelle.at/DasSchnelle/50/5000/9867/042823/G_042823_P_906196382.adn.gif</t>
  </si>
  <si>
    <t>PLASS Bernhard GesmbH, Baggerungen u Transporte • Bad Hall • Oberösterreich</t>
  </si>
  <si>
    <t>Baggerungen u. Transporte • PLASS Bernhard GesmbH, Mühlgruberstraße 27, Bad Hall • Kontakt über aktuelle Telefonnummern ☎ und Adressen ⚑ mit Karte, Routing, Öffnungszeiten, Homepage, E-Mail, vCard und Firmendaten.</t>
  </si>
  <si>
    <t>Mühlgruberstraße 27</t>
  </si>
  <si>
    <t>48.02691</t>
  </si>
  <si>
    <t>14.20328</t>
  </si>
  <si>
    <t>+4372582620</t>
  </si>
  <si>
    <t>transporte-plass@24speed.at</t>
  </si>
  <si>
    <t>https://bilder.dasschnelle.at/DasSchnelle/50/5000/9867/042816/G_042816_P_906196385.adn.gif</t>
  </si>
  <si>
    <t>PILZ WÖRSCHACH Betonwerk-Baustoffhandel-Bau-GesmbH • Maitschern • Steiermark</t>
  </si>
  <si>
    <t>Bauunternehmen • PILZ WÖRSCHACH Betonwerk-Baustoffhandel-Bau-GesmbH, Am Lungengraben 67, Maitschern • Kontakt über aktuelle Telefonnummern ☎ und Adressen ⚑ mit Karte, Routing, Öffnungszeiten, Homepage, E-Mail, vCard und Firmendaten.</t>
  </si>
  <si>
    <t>Am Lungengraben 67</t>
  </si>
  <si>
    <t>Maitschern</t>
  </si>
  <si>
    <t>47.54905</t>
  </si>
  <si>
    <t>14.13426</t>
  </si>
  <si>
    <t>+433682223650</t>
  </si>
  <si>
    <t>baustoffe@pilz-woerschach.at</t>
  </si>
  <si>
    <t>https://bilder.dasschnelle.at/DasSchnelle/50/5000/9905/044884/I_044884_P_906194810_L_0036237645_1.png</t>
  </si>
  <si>
    <t>https://bilder.dasschnelle.at/DasSchnelle/50/5000/9905/044884/I_044884_P_906194810_B_0036237645_1.gal.png?height=384&amp;width=512;https://bilder.dasschnelle.at/DasSchnelle/50/5000/9905/044884/I_044884_P_906194810_B_0036237645_2.gal.png?height=251&amp;width=334;https://bilder.dasschnelle.at/DasSchnelle/50/5000/9905/044884/I_044884_P_906194810_B_0036237645_3.gal.png?height=251&amp;width=334;https://bilder.dasschnelle.at/DasSchnelle/50/5000/9905/044884/I_044884_P_906194810_B_0036237645_4.gal.png?height=506&amp;width=677</t>
  </si>
  <si>
    <t>APOTHEKE AKTIVAPOTHEKE • Maria-Lanzendorf • Niederösterreich</t>
  </si>
  <si>
    <t>Apotheken • APOTHEKE AKTIVAPOTHEKE, Hauptstraße 28, Maria-Lanzendorf • Kontakt über aktuelle Telefonnummern ☎ und Adressen ⚑ mit Karte, Routing, Öffnungszeiten, Homepage, E-Mail, vCard und Firmendaten.</t>
  </si>
  <si>
    <t>48.09943</t>
  </si>
  <si>
    <t>16.41969</t>
  </si>
  <si>
    <t>+43223540931</t>
  </si>
  <si>
    <t>service@aktivapotheke.at</t>
  </si>
  <si>
    <t>https://bilder.dasschnelle.at/DasSchnelle/50/5000/9930/044514/G_044514_P_906194815.adn.gif</t>
  </si>
  <si>
    <t>Apotheke St. Georgs Magpharm Ernst Meixner KG • Himberg • Niederösterreich</t>
  </si>
  <si>
    <t>Apotheken • Apotheke St. Georgs Magpharm Ernst Meixner KG, Hauptplatz 9, Himberg • Kontakt über aktuelle Telefonnummern ☎ und Adressen ⚑ mit Karte, Routing, Öffnungszeiten, Homepage, E-Mail, vCard und Firmendaten.</t>
  </si>
  <si>
    <t>48.08239</t>
  </si>
  <si>
    <t>16.43918</t>
  </si>
  <si>
    <t>+43223586628</t>
  </si>
  <si>
    <t>+4322358662814</t>
  </si>
  <si>
    <t>info@apotheke-himberg.at</t>
  </si>
  <si>
    <t>https://bilder.dasschnelle.at/DasSchnelle/50/5000/9930/044509/G_044509_P_906194819.adn.gif</t>
  </si>
  <si>
    <t>Mühlbacher, Sascha, KFZ-Handel • Neundling • Oberösterreich</t>
  </si>
  <si>
    <t>Autohandel • Mühlbacher, Sascha, Neundling 2, Neundling • Kontakt über aktuelle Telefonnummern ☎ und Adressen ⚑ mit Karte, Routing, Öffnungszeiten, Homepage, E-Mail, vCard und Firmendaten.</t>
  </si>
  <si>
    <t>Neundling 2</t>
  </si>
  <si>
    <t>4931</t>
  </si>
  <si>
    <t>Neundling</t>
  </si>
  <si>
    <t>48.1857188</t>
  </si>
  <si>
    <t>13.3678887</t>
  </si>
  <si>
    <t>+43775520768</t>
  </si>
  <si>
    <t>sascha.muehlbacher@aon.at</t>
  </si>
  <si>
    <t>https://bilder.dasschnelle.at/DasSchnelle/50/5000/9922/042553/G_042553_P_906194825.adn.gif</t>
  </si>
  <si>
    <t>Autohaus Mühlbacher e.U. • Mettmach • Oberösterreich</t>
  </si>
  <si>
    <t>Autohandel, Autoreparaturen • Autohaus Mühlbacher e.U., Rieder Straße 20, Mettmach • Kontakt über aktuelle Telefonnummern ☎ und Adressen ⚑ mit Karte, Routing, Öffnungszeiten, Homepage, E-Mail, vCard und Firmendaten.</t>
  </si>
  <si>
    <t>Rieder Straße 20</t>
  </si>
  <si>
    <t>Mettmach</t>
  </si>
  <si>
    <t>48.1692200</t>
  </si>
  <si>
    <t>13.3484400</t>
  </si>
  <si>
    <t>+43775560500</t>
  </si>
  <si>
    <t>office@autohaus-muehlbacher.at</t>
  </si>
  <si>
    <t>https://bilder.dasschnelle.at/DasSchnelle/50/5000/9922/042553/G_042553_P_906194929.adn.gif</t>
  </si>
  <si>
    <t>Murauer, Andreas, Tischlerei • Neuhofen im Innkreis • Oberösterreich</t>
  </si>
  <si>
    <t>Tischlereien • Murauer, Andreas, Kohlhof 13, Neuhofen im Innkreis • Kontakt über aktuelle Telefonnummern ☎ und Adressen ⚑ mit Karte, Routing, Öffnungszeiten, Homepage, E-Mail, vCard und Firmendaten.</t>
  </si>
  <si>
    <t>Kohlhof 13</t>
  </si>
  <si>
    <t>48.1795573</t>
  </si>
  <si>
    <t>13.4440745</t>
  </si>
  <si>
    <t>+43775285243;+43775281796</t>
  </si>
  <si>
    <t>office@tischler-murauer.at</t>
  </si>
  <si>
    <t>https://bilder.dasschnelle.at/DasSchnelle/50/5000/9922/042556/G_042556_P_906196270.adn.gif</t>
  </si>
  <si>
    <t>Haselgruber GmbH, Erdbau • Waldzell • Oberösterreich</t>
  </si>
  <si>
    <t>Erdbau • Haselgruber GmbH, Wirmling 4, Waldzell • Kontakt über aktuelle Telefonnummern ☎ und Adressen ⚑ mit Karte, Routing, Öffnungszeiten, Homepage, E-Mail, vCard und Firmendaten.</t>
  </si>
  <si>
    <t>Wirmling 4</t>
  </si>
  <si>
    <t>48.1056500</t>
  </si>
  <si>
    <t>13.3913900</t>
  </si>
  <si>
    <t>+436642207484</t>
  </si>
  <si>
    <t>andreas.haselgruber@gmx.at</t>
  </si>
  <si>
    <t>https://bilder.dasschnelle.at/DasSchnelle/50/5000/9922/042257/I_042257_P_906196274_L_0038479555_1.png</t>
  </si>
  <si>
    <t>https://bilder.dasschnelle.at/DasSchnelle/50/5000/9922/042257/I_042257_P_906196274_B_0038479555_1.gal.png?height=129&amp;width=389;https://bilder.dasschnelle.at/DasSchnelle/50/5000/9922/042257/I_042257_P_906196274_B_0038479555_2.gal.png?height=183&amp;width=275;https://bilder.dasschnelle.at/DasSchnelle/50/5000/9922/042257/I_042257_P_906196274_B_0038479555_3.gal.png?height=183&amp;width=275;https://bilder.dasschnelle.at/DasSchnelle/50/5000/9922/042257/I_042257_P_906196274_B_0038479555_4.gal.png?height=183&amp;width=275</t>
  </si>
  <si>
    <t>Seyrlehner GmbH, Hafnerei • Enns • Oberösterreich</t>
  </si>
  <si>
    <t>Hafner • Seyrlehner GmbH, Astner Straße 31, Enns • Kontakt über aktuelle Telefonnummern ☎ und Adressen ⚑ mit Karte, Routing, Öffnungszeiten, Homepage, E-Mail, vCard und Firmendaten.</t>
  </si>
  <si>
    <t>+43722385211</t>
  </si>
  <si>
    <t>office@seyrlehner.at</t>
  </si>
  <si>
    <t>https://bilder.dasschnelle.at/DasSchnelle/50/5000/9877/046105/G_046105_P_906196275.adn.gif</t>
  </si>
  <si>
    <t>Huber Hermann GesmbH, Steinmetzbetrieb • Enns • Oberösterreich</t>
  </si>
  <si>
    <t>Steinmetzbetriebe • Huber Hermann GesmbH, Basilikastraße 17, Enns • Kontakt über aktuelle Telefonnummern ☎ und Adressen ⚑ mit Karte, Routing, Öffnungszeiten, Homepage, E-Mail, vCard und Firmendaten.</t>
  </si>
  <si>
    <t>Basilikastraße 17</t>
  </si>
  <si>
    <t>48.21771</t>
  </si>
  <si>
    <t>14.46501</t>
  </si>
  <si>
    <t>+43722382688</t>
  </si>
  <si>
    <t>+437223826884</t>
  </si>
  <si>
    <t>office@steinmetz-enns.at</t>
  </si>
  <si>
    <t>https://bilder.dasschnelle.at/DasSchnelle/50/5000/9877/046105/G_046105_P_906196404.adn.gif</t>
  </si>
  <si>
    <t>Rundholz Bau GmbH, Zimmereien • Edelschrott • Steiermark</t>
  </si>
  <si>
    <t>Zimmereien • Rundholz Bau GmbH, Packer Straße 59, Edelschrott • Kontakt über aktuelle Telefonnummern ☎ und Adressen ⚑ mit Karte, Routing, Öffnungszeiten, Homepage, E-Mail, vCard und Firmendaten.</t>
  </si>
  <si>
    <t>Packer Straße 59</t>
  </si>
  <si>
    <t>8583</t>
  </si>
  <si>
    <t>Edelschrott</t>
  </si>
  <si>
    <t>47.02531</t>
  </si>
  <si>
    <t>15.05894</t>
  </si>
  <si>
    <t>+4331458140</t>
  </si>
  <si>
    <t>office@rundholz-bau.at</t>
  </si>
  <si>
    <t>https://bilder.dasschnelle.at/DasSchnelle/50/5000/9941/061381/G_061381_P_906194646.adn.gif</t>
  </si>
  <si>
    <t>Rößl, Patrick, Tischler • Großwöllmiß • Steiermark</t>
  </si>
  <si>
    <t>Tischlereien • Rößl, Patrick, Großwöllmiß • Kontakt über aktuelle Telefonnummern ☎ und Adressen ⚑ mit Karte, Routing, Öffnungszeiten, Homepage, E-Mail, vCard und Firmendaten.</t>
  </si>
  <si>
    <t>Großwöllmiß</t>
  </si>
  <si>
    <t>47.0007988</t>
  </si>
  <si>
    <t>15.1203140</t>
  </si>
  <si>
    <t>+436767282861</t>
  </si>
  <si>
    <t>office@roessl-tischlerei.at</t>
  </si>
  <si>
    <t>https://bilder.dasschnelle.at/DasSchnelle/50/5000/9941/045371/G_045371_P_906194648.adn.gif</t>
  </si>
  <si>
    <t>Sommer, Christiana, Wirtschaftstreuhänder / Steuerberater • Bad Hall • Oberösterreich</t>
  </si>
  <si>
    <t>Wirtschaftstreuhänder / Steuerberater • Sommer, Christiana, Grünburger Straße 4, Bad Hall • Kontakt über aktuelle Telefonnummern ☎ und Adressen ⚑ mit Karte, Routing, Öffnungszeiten, Homepage, E-Mail, vCard und Firmendaten.</t>
  </si>
  <si>
    <t>Grünburger Straße 4</t>
  </si>
  <si>
    <t>48.02956</t>
  </si>
  <si>
    <t>14.21655</t>
  </si>
  <si>
    <t>+4372582224</t>
  </si>
  <si>
    <t>office@wt-sommer.at</t>
  </si>
  <si>
    <t>https://bilder.dasschnelle.at/DasSchnelle/50/5000/9867/042808/G_042808_P_906194880.adn.gif</t>
  </si>
  <si>
    <t>Almesberger, Regina, Matratzen &amp; Zubehör • Rohrbach • Oberösterreich</t>
  </si>
  <si>
    <t>Matratzen • Almesberger, Regina, Schulstraße 2, Rohrbach • Kontakt über aktuelle Telefonnummern ☎ und Adressen ⚑ mit Karte, Routing, Öffnungszeiten, Homepage, E-Mail, vCard und Firmendaten.</t>
  </si>
  <si>
    <t>48.5707914</t>
  </si>
  <si>
    <t>13.9942915</t>
  </si>
  <si>
    <t>+43728922440</t>
  </si>
  <si>
    <t>allround@gmx.biz</t>
  </si>
  <si>
    <t>https://bilder.dasschnelle.at/DasSchnelle/50/5000/9923/061480/G_061480_P_906194893.adn.gif</t>
  </si>
  <si>
    <t>Käferböck, Daniel, Versicherungen • St.Peter am Wimberg • Oberösterreich</t>
  </si>
  <si>
    <t>Versicherungsagentur • Käferböck, Daniel, Markt 8, St.Peter am Wimberg • Kontakt über aktuelle Telefonnummern ☎ und Adressen ⚑ mit Karte, Routing, Öffnungszeiten, Homepage, E-Mail, vCard und Firmendaten.</t>
  </si>
  <si>
    <t>Markt 8</t>
  </si>
  <si>
    <t>St.Peter am Wimberg</t>
  </si>
  <si>
    <t>48.5021873</t>
  </si>
  <si>
    <t>14.0824408</t>
  </si>
  <si>
    <t>+43728279050</t>
  </si>
  <si>
    <t>agentur.kaeferboeck@allianz.at</t>
  </si>
  <si>
    <t>https://bilder.dasschnelle.at/DasSchnelle/50/5000/9923/042293/G_042293_P_906194895.adn.gif</t>
  </si>
  <si>
    <t>Medweschek-Traby, Romana, u. Heribert Dr., Dr., FÄ f. Zahn- Mund- u. Kieferheilkunde • Kremsmünster • Oberösterreich</t>
  </si>
  <si>
    <t>Ärzte / Fachärzte f. Zahn-, Mund u. Kieferheilkunde • Medweschek-Traby, Romana, u. Heribert Dr., Dr., Spitalgasse 3, Kremsmünster • Kontakt über aktuelle Telefonnummern ☎ und Adressen ⚑ mit Karte, Routing, Öffnungszeiten, Homepage, E-Mail, vCard und Firmendaten.</t>
  </si>
  <si>
    <t>Spitalgasse 3</t>
  </si>
  <si>
    <t>48.05194</t>
  </si>
  <si>
    <t>14.13109</t>
  </si>
  <si>
    <t>+4375835375</t>
  </si>
  <si>
    <t>medweschek@a1.net</t>
  </si>
  <si>
    <t>https://bilder.dasschnelle.at/DasSchnelle/50/5000/9900/046084/G_046084_P_906196146.adn.gif</t>
  </si>
  <si>
    <t>Moser, Walter, Dr.med.univ., FA f Frauenheilkunde u Geburtshilfe • Enns • Oberösterreich</t>
  </si>
  <si>
    <t>Ärzte / Fachärzte f. Frauenheilkunde u. Geburtshilfe • Moser, Walter, Dr.med.univ., Mauthausner Straße 9, Enns • Kontakt über aktuelle Telefonnummern ☎ und Adressen ⚑ mit Karte, Routing, Öffnungszeiten, Homepage, E-Mail, vCard und Firmendaten.</t>
  </si>
  <si>
    <t>Mauthausner Straße 9</t>
  </si>
  <si>
    <t>48.21556</t>
  </si>
  <si>
    <t>14.47978</t>
  </si>
  <si>
    <t>+437223849060</t>
  </si>
  <si>
    <t>+4372238490674</t>
  </si>
  <si>
    <t>ordination@dr-moser.at</t>
  </si>
  <si>
    <t>https://bilder.dasschnelle.at/DasSchnelle/50/5000/9877/046105/G_046105_P_906196150.adn.gif</t>
  </si>
  <si>
    <t>Höfler, Herbert, Bauunternehmen • Oepping • Oberösterreich</t>
  </si>
  <si>
    <t>Baumeister, Bauunternehmen • Höfler, Herbert, Starling 10, Oepping • Kontakt über aktuelle Telefonnummern ☎ und Adressen ⚑ mit Karte, Routing, Öffnungszeiten, Homepage, E-Mail, vCard und Firmendaten.</t>
  </si>
  <si>
    <t>Starling 10</t>
  </si>
  <si>
    <t>48.59981</t>
  </si>
  <si>
    <t>13.94116</t>
  </si>
  <si>
    <t>+43728940044</t>
  </si>
  <si>
    <t>+43728940034</t>
  </si>
  <si>
    <t>office@bhb-hoefler.at</t>
  </si>
  <si>
    <t>https://bilder.dasschnelle.at/DasSchnelle/50/5000/9923/042284/G_042284_P_906196352.adn.gif</t>
  </si>
  <si>
    <t>Forstservice Böhmerwald GmbH, Forstservice • Klaffer am Hochficht • Oberösterreich</t>
  </si>
  <si>
    <t>Forstservice • Forstservice Böhmerwald GmbH, Pfaffenschlag 49, Klaffer am Hochficht • Kontakt über aktuelle Telefonnummern ☎ und Adressen ⚑ mit Karte, Routing, Öffnungszeiten, Homepage, E-Mail, vCard und Firmendaten.</t>
  </si>
  <si>
    <t>Pfaffenschlag 49</t>
  </si>
  <si>
    <t>4163</t>
  </si>
  <si>
    <t>Klaffer am Hochficht</t>
  </si>
  <si>
    <t>48.7133612</t>
  </si>
  <si>
    <t>13.9011808</t>
  </si>
  <si>
    <t>+436643440724</t>
  </si>
  <si>
    <t>office@forstservice-boehmerwald.at</t>
  </si>
  <si>
    <t>https://bilder.dasschnelle.at/DasSchnelle/50/5000/9923/042274/G_042274_P_906196356.adn.gif</t>
  </si>
  <si>
    <t>Lanz, Hubert, Mag.med.vet., Tierarzt • Peuerbach • Oberösterreich</t>
  </si>
  <si>
    <t>Tierärzte • Lanz, Hubert, Mag.med.vet., Sonnenhang 7, Peuerbach • Kontakt über aktuelle Telefonnummern ☎ und Adressen ⚑ mit Karte, Routing, Öffnungszeiten, Homepage, E-Mail, vCard und Firmendaten.</t>
  </si>
  <si>
    <t>Sonnenhang 7</t>
  </si>
  <si>
    <t>48.3498</t>
  </si>
  <si>
    <t>13.77106</t>
  </si>
  <si>
    <t>+4372763879;+436645117913</t>
  </si>
  <si>
    <t>hubert.lanz@a1business.at</t>
  </si>
  <si>
    <t>https://bilder.dasschnelle.at/DasSchnelle/50/5000/9887/041965/G_041965_P_906197232.adn.gif</t>
  </si>
  <si>
    <t>Mayr, Ernst, Dr.med., FA f Zahn- Mund u Kieferheilkunde • Natternbach • Oberösterreich</t>
  </si>
  <si>
    <t>Ärzte / Fachärzte f. Zahn-, Mund u. Kieferheilkunde • Mayr, Ernst, Dr.med., Kirchenplatz 15, Natternbach • Kontakt über aktuelle Telefonnummern ☎ und Adressen ⚑ mit Karte, Routing, Öffnungszeiten, Homepage, E-Mail, vCard und Firmendaten.</t>
  </si>
  <si>
    <t>Kirchenplatz 15</t>
  </si>
  <si>
    <t>48.39696</t>
  </si>
  <si>
    <t>13.75001</t>
  </si>
  <si>
    <t>+4372788100</t>
  </si>
  <si>
    <t>https://bilder.dasschnelle.at/DasSchnelle/50/5000/9887/041962/G_041962_P_906197235.adn.gif</t>
  </si>
  <si>
    <t>Pangerl, Claudia, Friseure • Bad Hall • Oberösterreich</t>
  </si>
  <si>
    <t>Friseure • Pangerl, Claudia, Hauptplatz 6, Bad Hall • Kontakt über aktuelle Telefonnummern ☎ und Adressen ⚑ mit Karte, Routing, Öffnungszeiten, Homepage, E-Mail, vCard und Firmendaten.</t>
  </si>
  <si>
    <t>48.03489</t>
  </si>
  <si>
    <t>14.20836</t>
  </si>
  <si>
    <t>+4372582567</t>
  </si>
  <si>
    <t>claudia1809@drei.at</t>
  </si>
  <si>
    <t>https://bilder.dasschnelle.at/DasSchnelle/50/5000/9867/042808/G_042808_P_906197247.adn.gif</t>
  </si>
  <si>
    <t>Bestattung Schachner GmbH, Bestattung • Wörschach • Steiermark</t>
  </si>
  <si>
    <t>Bestattungsunternehmen • Bestattung Schachner GmbH, Torfwerk 312, Wörschach • Kontakt über aktuelle Telefonnummern ☎ und Adressen ⚑ mit Karte, Routing, Öffnungszeiten, Homepage, E-Mail, vCard und Firmendaten.</t>
  </si>
  <si>
    <t>Torfwerk 312</t>
  </si>
  <si>
    <t>47.5550900</t>
  </si>
  <si>
    <t>14.1605900</t>
  </si>
  <si>
    <t>+433682223840;+436645307280;+436605031403</t>
  </si>
  <si>
    <t>+4336822238417</t>
  </si>
  <si>
    <t>bestattung.schachner@aon.at</t>
  </si>
  <si>
    <t>https://bilder.dasschnelle.at/DasSchnelle/50/5000/9905/044884/G_044884_P_906197357.adn.gif</t>
  </si>
  <si>
    <t>Stelzhammer, Christine, Atelier • Bad Hall • Oberösterreich</t>
  </si>
  <si>
    <t>Ateliers • Stelzhammer, Christine, Guntherstraße 10, Bad Hall • Kontakt über aktuelle Telefonnummern ☎ und Adressen ⚑ mit Karte, Routing, Öffnungszeiten, Homepage, E-Mail, vCard und Firmendaten.</t>
  </si>
  <si>
    <t>Guntherstraße 10</t>
  </si>
  <si>
    <t>48.03636</t>
  </si>
  <si>
    <t>14.21414</t>
  </si>
  <si>
    <t>+4372585106</t>
  </si>
  <si>
    <t>office@ihr-beschrifter.at</t>
  </si>
  <si>
    <t>https://bilder.dasschnelle.at/DasSchnelle/50/5000/9867/042808/G_042808_P_906197249.adn.gif</t>
  </si>
  <si>
    <t>Penzinger, Monika, Dr., FA f Frauenheilkunde • Grieskirchen • Oberösterreich</t>
  </si>
  <si>
    <t>Ärzte / Fachärzte f. Frauenheilkunde u. Geburtshilfe • Penzinger, Monika, Dr., Oberer Stadtplatz 22, Grieskirchen • Kontakt über aktuelle Telefonnummern ☎ und Adressen ⚑ mit Karte, Routing, Öffnungszeiten, Homepage, E-Mail, vCard und Firmendaten.</t>
  </si>
  <si>
    <t>Oberer Stadtplatz 22</t>
  </si>
  <si>
    <t>48.23606</t>
  </si>
  <si>
    <t>13.82557</t>
  </si>
  <si>
    <t>+43724861288</t>
  </si>
  <si>
    <t>https://bilder.dasschnelle.at/DasSchnelle/50/5000/9887/041815/I_041815_P_906198263_L_0036234694_1.png</t>
  </si>
  <si>
    <t>https://bilder.dasschnelle.at/DasSchnelle/50/5000/9887/041815/G_041815_P_906198263.adn.gif</t>
  </si>
  <si>
    <t>Schnürzler, Johann, Dr., FA f Augenheilkunde u Optometrie • Grieskirchen • Oberösterreich</t>
  </si>
  <si>
    <t>Ärzte / Fachärzte f. Augenheilkunde u. Optometrie • Schnürzler, Johann, Dr., Oberer Stadtplatz 24, Grieskirchen • Kontakt über aktuelle Telefonnummern ☎ und Adressen ⚑ mit Karte, Routing, Öffnungszeiten, Homepage, E-Mail, vCard und Firmendaten.</t>
  </si>
  <si>
    <t>Oberer Stadtplatz 24</t>
  </si>
  <si>
    <t>48.23616</t>
  </si>
  <si>
    <t>13.8254</t>
  </si>
  <si>
    <t>+437248644270</t>
  </si>
  <si>
    <t>office@schnürzler.at</t>
  </si>
  <si>
    <t>https://bilder.dasschnelle.at/DasSchnelle/50/5000/9887/041815/G_041815_P_906198265.adn.gif</t>
  </si>
  <si>
    <t>Jettmar, Philipp, Dipl-Tierarzt, Tierarzt • Schwechat • Niederösterreich</t>
  </si>
  <si>
    <t>Tierärzte • Jettmar, Philipp, Dipl-Tierarzt, Sendnergasse 11, Schwechat • Kontakt über aktuelle Telefonnummern ☎ und Adressen ⚑ mit Karte, Routing, Öffnungszeiten, Homepage, E-Mail, vCard und Firmendaten.</t>
  </si>
  <si>
    <t>Sendnergasse 11</t>
  </si>
  <si>
    <t>48.14216</t>
  </si>
  <si>
    <t>16.47715</t>
  </si>
  <si>
    <t>+4317078336</t>
  </si>
  <si>
    <t>jettmar@drei.at</t>
  </si>
  <si>
    <t>https://bilder.dasschnelle.at/DasSchnelle/50/5000/9930/506180/G_506180_P_906198273.adn.gif</t>
  </si>
  <si>
    <t>Schweiger, Johann, Kunstschmiede • Donnersbach • Steiermark</t>
  </si>
  <si>
    <t>Schmieden • Schweiger, Johann, Donnersbach • Kontakt über aktuelle Telefonnummern ☎ und Adressen ⚑ mit Karte, Routing, Öffnungszeiten, Homepage, E-Mail, vCard und Firmendaten.</t>
  </si>
  <si>
    <t>47.4629809</t>
  </si>
  <si>
    <t>14.1266780</t>
  </si>
  <si>
    <t>+4336832510</t>
  </si>
  <si>
    <t>schmiede-schweiger@ennstal.at</t>
  </si>
  <si>
    <t>https://bilder.dasschnelle.at/DasSchnelle/50/5000/9905/061455/G_061455_P_906198417.adn.gif</t>
  </si>
  <si>
    <t>Bachl, Stefan, Säge- u. Hobelwerk • Adlwang • Oberösterreich</t>
  </si>
  <si>
    <t>Säge- u. Hobelwerke • Bachl, Stefan, Pöglmühlestraße 4, Adlwang • Kontakt über aktuelle Telefonnummern ☎ und Adressen ⚑ mit Karte, Routing, Öffnungszeiten, Homepage, E-Mail, vCard und Firmendaten.</t>
  </si>
  <si>
    <t>Pöglmühlestraße 4</t>
  </si>
  <si>
    <t>4541</t>
  </si>
  <si>
    <t>Adlwang</t>
  </si>
  <si>
    <t>47.9920500</t>
  </si>
  <si>
    <t>14.2176300</t>
  </si>
  <si>
    <t>+4372584059</t>
  </si>
  <si>
    <t>office@bachl-saege.at</t>
  </si>
  <si>
    <t>https://bilder.dasschnelle.at/DasSchnelle/50/5000/9867/042806/G_042806_P_906198419.adn.gif</t>
  </si>
  <si>
    <t>Krumphuber GesmbH, Kfz-Werkstätte • Steinerkirchen an der Traun • Oberösterreich</t>
  </si>
  <si>
    <t>Autoreparaturen, Kfz-Werkstätte • Krumphuber GesmbH, Kirchenberg 3, Steinerkirchen an der Traun • Kontakt über aktuelle Telefonnummern ☎ und Adressen ⚑ mit Karte, Routing, Öffnungszeiten, Homepage, E-Mail, vCard und Firmendaten.</t>
  </si>
  <si>
    <t>Kirchenberg 3</t>
  </si>
  <si>
    <t>48.08892</t>
  </si>
  <si>
    <t>13.95988</t>
  </si>
  <si>
    <t>+4372415434</t>
  </si>
  <si>
    <t>office@auto-krumphuber.at</t>
  </si>
  <si>
    <t>https://bilder.dasschnelle.at/DasSchnelle/50/5000/9934/043568/G_043568_P_906197154.adn.gif</t>
  </si>
  <si>
    <t>my Versicherungsmakler • Rohrbach • Oberösterreich</t>
  </si>
  <si>
    <t>Versicherungsmakler • my Versicherungsmakler, Kindergartenstraße 6, Rohrbach • Kontakt über aktuelle Telefonnummern ☎ und Adressen ⚑ mit Karte, Routing, Öffnungszeiten, Homepage, E-Mail, vCard und Firmendaten.</t>
  </si>
  <si>
    <t>Kindergartenstraße 6</t>
  </si>
  <si>
    <t>48.5740695</t>
  </si>
  <si>
    <t>13.9880944</t>
  </si>
  <si>
    <t>+4372895072</t>
  </si>
  <si>
    <t>j.hoeglinger@myvm.at</t>
  </si>
  <si>
    <t>https://bilder.dasschnelle.at/DasSchnelle/50/5000/9923/061480/G_061480_P_906197155.adn.gif</t>
  </si>
  <si>
    <t>Eilmannsberger GmbH, Fenster • Rohrbach • Oberösterreich</t>
  </si>
  <si>
    <t>Fenster u. Türen • Eilmannsberger GmbH, Scheiblberg 50, Rohrbach • Kontakt über aktuelle Telefonnummern ☎ und Adressen ⚑ mit Karte, Routing, Öffnungszeiten, Homepage, E-Mail, vCard und Firmendaten.</t>
  </si>
  <si>
    <t>Scheiblberg 50</t>
  </si>
  <si>
    <t>48.5589272</t>
  </si>
  <si>
    <t>13.9892501</t>
  </si>
  <si>
    <t>+43728940083;+436644241030</t>
  </si>
  <si>
    <t>office@eilmannsberger.at</t>
  </si>
  <si>
    <t>https://bilder.dasschnelle.at/DasSchnelle/50/5000/9923/061480/G_061480_P_906197160.adn.gif</t>
  </si>
  <si>
    <t>Leitner-Höglinger OG, Gärtnereien • Rohrbach • Oberösterreich</t>
  </si>
  <si>
    <t>Gärtnereien • Leitner-Höglinger OG, Stifterstraße 16, Rohrbach • Kontakt über aktuelle Telefonnummern ☎ und Adressen ⚑ mit Karte, Routing, Öffnungszeiten, Homepage, E-Mail, vCard und Firmendaten.</t>
  </si>
  <si>
    <t>Stifterstraße 16</t>
  </si>
  <si>
    <t>48.5702418</t>
  </si>
  <si>
    <t>13.9964424</t>
  </si>
  <si>
    <t>+4372894239</t>
  </si>
  <si>
    <t>office@blumenexclusiv.com</t>
  </si>
  <si>
    <t>https://bilder.dasschnelle.at/DasSchnelle/50/5000/9923/061480/G_061480_P_906197163.adn.gif</t>
  </si>
  <si>
    <t>ProWin SteuerberatungsgesmbH • Stadl an der Mur • Steiermark</t>
  </si>
  <si>
    <t>Steuerberater, Wirtschaftstreuhänder / Steuerberater • ProWin SteuerberatungsgesmbH, Paal 6, Stadl an der Mur • Kontakt über aktuelle Telefonnummern ☎ und Adressen ⚑ mit Karte, Routing, Öffnungszeiten, Homepage, E-Mail, vCard und Firmendaten.</t>
  </si>
  <si>
    <t>Paal 6</t>
  </si>
  <si>
    <t>47.0752280</t>
  </si>
  <si>
    <t>13.9829202</t>
  </si>
  <si>
    <t>+43353420175;+436642663202</t>
  </si>
  <si>
    <t>office@pro-win.at</t>
  </si>
  <si>
    <t>https://bilder.dasschnelle.at/DasSchnelle/50/5000/9910/061438/G_061438_P_906198298.adn.gif</t>
  </si>
  <si>
    <t>Bestattung Thaller, Bestattungunternehmen • Hofkirchen im Mühlkreis • Oberösterreich</t>
  </si>
  <si>
    <t>Bestattungsunternehmen • Bestattung Thaller, Markt 21, Hofkirchen im Mühlkreis • Kontakt über aktuelle Telefonnummern ☎ und Adressen ⚑ mit Karte, Routing, Öffnungszeiten, Homepage, E-Mail, vCard und Firmendaten.</t>
  </si>
  <si>
    <t>Markt 21</t>
  </si>
  <si>
    <t>48.48292</t>
  </si>
  <si>
    <t>13.81016</t>
  </si>
  <si>
    <t>+4372852280</t>
  </si>
  <si>
    <t>bestattung@thaller.at</t>
  </si>
  <si>
    <t>https://bilder.dasschnelle.at/DasSchnelle/50/5000/9923/042271/G_042271_P_906198300.adn.gif</t>
  </si>
  <si>
    <t>Autohaus Katzlberger GmbH • Hannesgrub • Oberösterreich</t>
  </si>
  <si>
    <t>Autohandel • Autohaus Katzlberger GmbH, Hannesgrub Nord 7, Hannesgrub • Kontakt über aktuelle Telefonnummern ☎ und Adressen ⚑ mit Karte, Routing, Öffnungszeiten, Homepage, E-Mail, vCard und Firmendaten.</t>
  </si>
  <si>
    <t>Hannesgrub Nord 7</t>
  </si>
  <si>
    <t>Hannesgrub</t>
  </si>
  <si>
    <t>48.2193890</t>
  </si>
  <si>
    <t>13.4962406</t>
  </si>
  <si>
    <t>+43775287555</t>
  </si>
  <si>
    <t>office@autohaus-katzlberger.at</t>
  </si>
  <si>
    <t>https://bilder.dasschnelle.at/DasSchnelle/50/5000/9922/042570/G_042570_P_906197290.adn.gif</t>
  </si>
  <si>
    <t>Mair, Karlheinz, Planungsbüro • Enns • Oberösterreich</t>
  </si>
  <si>
    <t>Baumeister • Mair, Karlheinz, Lehnerweg 2, Enns • Kontakt über aktuelle Telefonnummern ☎ und Adressen ⚑ mit Karte, Routing, Öffnungszeiten, Homepage, E-Mail, vCard und Firmendaten.</t>
  </si>
  <si>
    <t>Lehnerweg 2</t>
  </si>
  <si>
    <t>48.2182</t>
  </si>
  <si>
    <t>14.48234</t>
  </si>
  <si>
    <t>+43722382084</t>
  </si>
  <si>
    <t>office@maier-mbstr.at</t>
  </si>
  <si>
    <t>https://bilder.dasschnelle.at/DasSchnelle/50/5000/9877/046105/I_046105_P_906197294_L_0036234899_1.png</t>
  </si>
  <si>
    <t>https://bilder.dasschnelle.at/DasSchnelle/50/5000/9877/046105/I_046105_P_906197294_B_0036234899_1.gal.png?height=449&amp;width=600;https://bilder.dasschnelle.at/DasSchnelle/50/5000/9877/046105/I_046105_P_906197294_B_0036234899_2.gal.png?height=449&amp;width=600;https://bilder.dasschnelle.at/DasSchnelle/50/5000/9877/046105/I_046105_P_906197294_B_0036234899_3.gal.png?height=449&amp;width=600;https://bilder.dasschnelle.at/DasSchnelle/50/5000/9877/046105/I_046105_P_906197294_B_0036234899_4.gal.png?height=449&amp;width=600</t>
  </si>
  <si>
    <t>Top Gym, Fitnesscenter • Enns • Oberösterreich</t>
  </si>
  <si>
    <t>Fitnesscenter • Top Gym, Oberhauserstraße 7, Enns • Kontakt über aktuelle Telefonnummern ☎ und Adressen ⚑ mit Karte, Routing, Öffnungszeiten, Homepage, E-Mail, vCard und Firmendaten.</t>
  </si>
  <si>
    <t>Oberhauserstraße 7</t>
  </si>
  <si>
    <t>48.21755</t>
  </si>
  <si>
    <t>14.45757</t>
  </si>
  <si>
    <t>+43722384821</t>
  </si>
  <si>
    <t>office@topgym-fitness.at</t>
  </si>
  <si>
    <t>https://bilder.dasschnelle.at/DasSchnelle/50/5000/9877/046105/I_046105_P_906197296_L_0036234916_1.png</t>
  </si>
  <si>
    <t>https://bilder.dasschnelle.at/DasSchnelle/50/5000/9877/046105/I_046105_P_906197296_B_0036234916_1.gal.png?height=219&amp;width=600;https://bilder.dasschnelle.at/DasSchnelle/50/5000/9877/046105/I_046105_P_906197296_B_0036234916_2.gal.png?height=210&amp;width=600;https://bilder.dasschnelle.at/DasSchnelle/50/5000/9877/046105/I_046105_P_906197296_B_0036234916_3.gal.png?height=206&amp;width=600;https://bilder.dasschnelle.at/DasSchnelle/50/5000/9877/046105/I_046105_P_906197296_B_0036234916_4.gal.png?height=239&amp;width=600;https://bilder.dasschnelle.at/DasSchnelle/50/5000/9877/046105/G_046105_P_906197296.adn.gif</t>
  </si>
  <si>
    <t>Fähnrich Installations GmbH • Bärnbach • Steiermark</t>
  </si>
  <si>
    <t>Installationsunternehmen • Fähnrich Installations GmbH, Piberstraße 5, Bärnbach • Kontakt über aktuelle Telefonnummern ☎ und Adressen ⚑ mit Karte, Routing, Öffnungszeiten, Homepage, E-Mail, vCard und Firmendaten.</t>
  </si>
  <si>
    <t>Piberstraße 5</t>
  </si>
  <si>
    <t>47.07002</t>
  </si>
  <si>
    <t>15.12758</t>
  </si>
  <si>
    <t>+43314220640</t>
  </si>
  <si>
    <t>office@faehnrich-heizung.at</t>
  </si>
  <si>
    <t>https://bilder.dasschnelle.at/DasSchnelle/50/5000/9941/061376/G_061376_P_906197378.adn.gif</t>
  </si>
  <si>
    <t>Holzbau Kichleitner Büro • Köflach • Steiermark</t>
  </si>
  <si>
    <t>Holzbau • Holzbau Kichleitner Büro, Keilgasse 12, Köflach • Kontakt über aktuelle Telefonnummern ☎ und Adressen ⚑ mit Karte, Routing, Öffnungszeiten, Homepage, E-Mail, vCard und Firmendaten.</t>
  </si>
  <si>
    <t>Keilgasse 12</t>
  </si>
  <si>
    <t>47.05083</t>
  </si>
  <si>
    <t>15.06233</t>
  </si>
  <si>
    <t>+436641318031</t>
  </si>
  <si>
    <t>office@kirchleitner.com</t>
  </si>
  <si>
    <t>https://bilder.dasschnelle.at/DasSchnelle/50/5000/9941/061383/G_061383_P_906197381.adn.gif</t>
  </si>
  <si>
    <t>Wall Karl Gas-, Wasser- u Zentralheizungsinstallationen GesmbH, Installationsunternehmen • Enns • Oberösterreich</t>
  </si>
  <si>
    <t>Installationsunternehmen • Wall Karl Gas-, Wasser- u Zentralheizungsinstallationen GesmbH, Mauthausner Straße 11, Enns • Kontakt über aktuelle Telefonnummern ☎ und Adressen ⚑ mit Karte, Routing, Öffnungszeiten, Homepage, E-Mail, vCard und Firmendaten.</t>
  </si>
  <si>
    <t>Mauthausner Straße 11</t>
  </si>
  <si>
    <t>48.21586</t>
  </si>
  <si>
    <t>14.48004</t>
  </si>
  <si>
    <t>+43722382532</t>
  </si>
  <si>
    <t>office@karlwall.at</t>
  </si>
  <si>
    <t>https://bilder.dasschnelle.at/DasSchnelle/50/5000/9877/046105/I_046105_P_906198343_L_0036239088_1.png</t>
  </si>
  <si>
    <t>https://bilder.dasschnelle.at/DasSchnelle/50/5000/9877/046105/I_046105_P_906198343_B_0036239088_1.gal.png?height=427&amp;width=640;https://bilder.dasschnelle.at/DasSchnelle/50/5000/9877/046105/I_046105_P_906198343_B_0036239088_2.gal.png?height=427&amp;width=640</t>
  </si>
  <si>
    <t>Wintersberger  • Braunau • Oberösterreich</t>
  </si>
  <si>
    <t>Rechtsanwälte • Wintersberger, Industriezeile 54 Top 19, Braunau • Kontakt über aktuelle Telefonnummern ☎ und Adressen ⚑ mit Karte, Routing, Öffnungszeiten, Homepage, E-Mail, vCard und Firmendaten.</t>
  </si>
  <si>
    <t>Industriezeile 54 Top 19</t>
  </si>
  <si>
    <t>48.2109800</t>
  </si>
  <si>
    <t>13.4848100</t>
  </si>
  <si>
    <t>+437752673508240</t>
  </si>
  <si>
    <t>office@wrsw.at</t>
  </si>
  <si>
    <t>https://bilder.dasschnelle.at/DasSchnelle/50/5000/9922/042563/G_042563_P_906197469.adn.gif</t>
  </si>
  <si>
    <t>Felbermair, Krystyna, Dr., Zahnärztin • Peuerbach • Oberösterreich</t>
  </si>
  <si>
    <t>Zahnärzte • Felbermair, Krystyna, Dr., Rathausplatz 3, Peuerbach • Kontakt über aktuelle Telefonnummern ☎ und Adressen ⚑ mit Karte, Routing, Öffnungszeiten, Homepage, E-Mail, vCard und Firmendaten.</t>
  </si>
  <si>
    <t>48.3438400</t>
  </si>
  <si>
    <t>13.7713677</t>
  </si>
  <si>
    <t>+43727635197</t>
  </si>
  <si>
    <t>praxis@zafelbermair.at</t>
  </si>
  <si>
    <t>https://bilder.dasschnelle.at/DasSchnelle/50/5000/9887/998123/G_998123_P_906199069.adn.gif</t>
  </si>
  <si>
    <t>F. Spitzlinger, Tore-Türen-Antriebe • Utzenaich • Oberösterreich</t>
  </si>
  <si>
    <t>Türen • F. Spitzlinger, Dulmadnig 20, Utzenaich • Kontakt über aktuelle Telefonnummern ☎ und Adressen ⚑ mit Karte, Routing, Öffnungszeiten, Homepage, E-Mail, vCard und Firmendaten.</t>
  </si>
  <si>
    <t>Dulmadnig 20</t>
  </si>
  <si>
    <t>48.2584595</t>
  </si>
  <si>
    <t>13.4618383</t>
  </si>
  <si>
    <t>+43775226829</t>
  </si>
  <si>
    <t>office@spitzlinger.co.at</t>
  </si>
  <si>
    <t>https://bilder.dasschnelle.at/DasSchnelle/50/5000/9922/042256/G_042256_P_906199071.adn.gif</t>
  </si>
  <si>
    <t>Donninger, Hans Jürgen, Bodenleger • Utzenaich • Oberösterreich</t>
  </si>
  <si>
    <t>Bodenverlegung • Donninger, Hans Jürgen, Sonnenweg 2 A, Utzenaich • Kontakt über aktuelle Telefonnummern ☎ und Adressen ⚑ mit Karte, Routing, Öffnungszeiten, Homepage, E-Mail, vCard und Firmendaten.</t>
  </si>
  <si>
    <t>Sonnenweg 2 A</t>
  </si>
  <si>
    <t>48.2719</t>
  </si>
  <si>
    <t>13.46039</t>
  </si>
  <si>
    <t>+436643026601</t>
  </si>
  <si>
    <t>boden@donninger.at</t>
  </si>
  <si>
    <t>https://bilder.dasschnelle.at/DasSchnelle/50/5000/9922/042256/G_042256_P_906199073.adn.gif</t>
  </si>
  <si>
    <t>KFZ Steirer Werner • Bärnbacg • Steiermark</t>
  </si>
  <si>
    <t>Autoreparaturen • KFZ Steirer Werner, Georgifeldstrasse 1, Bärnbacg • Kontakt über aktuelle Telefonnummern ☎ und Adressen ⚑ mit Karte, Routing, Öffnungszeiten, Homepage, E-Mail, vCard und Firmendaten.</t>
  </si>
  <si>
    <t>Georgifeldstrasse 1</t>
  </si>
  <si>
    <t>Bärnbacg</t>
  </si>
  <si>
    <t>47.0546019</t>
  </si>
  <si>
    <t>15.1298197</t>
  </si>
  <si>
    <t>+43314221603</t>
  </si>
  <si>
    <t>office@kfzsteirer.at</t>
  </si>
  <si>
    <t>https://bilder.dasschnelle.at/DasSchnelle/50/5000/9941/061376/G_061376_P_906199074.adn.gif</t>
  </si>
  <si>
    <t>Lindmayr-Bauer-Secklehner Rechtsanwalts OG • Liezen • Oberösterreich</t>
  </si>
  <si>
    <t>Rechtsanwälte • Lindmayr-Bauer-Secklehner Rechtsanwalts OG, Pyhrnstraße 1, Liezen • Kontakt über aktuelle Telefonnummern ☎ und Adressen ⚑ mit Karte, Routing, Öffnungszeiten, Homepage, E-Mail, vCard und Firmendaten.</t>
  </si>
  <si>
    <t>Pyhrnstraße 1</t>
  </si>
  <si>
    <t>Grabherr, Isabella, Dr.med., FA f Zahn-, Mund-u Kieferheilkunde • Neuzeug • Oberösterreich</t>
  </si>
  <si>
    <t>Ärzte / Fachärzte f. Zahn-, Mund u. Kieferheilkunde • Grabherr, Isabella, Dr.med., Steyrtalstraße 15, Neuzeug • Kontakt über aktuelle Telefonnummern ☎ und Adressen ⚑ mit Karte, Routing, Öffnungszeiten, Homepage, E-Mail, vCard und Firmendaten.</t>
  </si>
  <si>
    <t>Steyrtalstraße 15</t>
  </si>
  <si>
    <t>48.04598</t>
  </si>
  <si>
    <t>14.33259</t>
  </si>
  <si>
    <t>+4372595718</t>
  </si>
  <si>
    <t>https://bilder.dasschnelle.at/DasSchnelle/50/5000/9932/042821/G_042821_P_906200530.adn.gif</t>
  </si>
  <si>
    <t>Schneider Haustechnik GmbH • Murau • Steiermark</t>
  </si>
  <si>
    <t>Haustechnik, Wasseraufbereitung u. -reinigung • Schneider Haustechnik GmbH, Römersiedlung 64, Murau • Kontakt über aktuelle Telefonnummern ☎ und Adressen ⚑ mit Karte, Routing, Öffnungszeiten, Homepage, E-Mail, vCard und Firmendaten.</t>
  </si>
  <si>
    <t>Römersiedlung 64</t>
  </si>
  <si>
    <t>47.11153</t>
  </si>
  <si>
    <t>14.18504</t>
  </si>
  <si>
    <t>+43353221550</t>
  </si>
  <si>
    <t>office@schneider-haustechnik.at</t>
  </si>
  <si>
    <t>https://bilder.dasschnelle.at/DasSchnelle/50/5000/9910/061401/G_061401_P_906200535.adn.gif</t>
  </si>
  <si>
    <t>Sieder, Wulf, Mag., RA • Enns • Oberösterreich</t>
  </si>
  <si>
    <t>Rechtsanwälte • Sieder, Wulf, Mag., Stadlgasse 5, Enns • Kontakt über aktuelle Telefonnummern ☎ und Adressen ⚑ mit Karte, Routing, Öffnungszeiten, Homepage, E-Mail, vCard und Firmendaten.</t>
  </si>
  <si>
    <t>Stadlgasse 5</t>
  </si>
  <si>
    <t>48.21682</t>
  </si>
  <si>
    <t>14.47972</t>
  </si>
  <si>
    <t>+43722381560</t>
  </si>
  <si>
    <t>+4372238156040</t>
  </si>
  <si>
    <t>office@ra-sieder.at</t>
  </si>
  <si>
    <t>https://bilder.dasschnelle.at/DasSchnelle/50/5000/9877/046105/G_046105_P_906200539.adn.gif</t>
  </si>
  <si>
    <t>Alber, Bernd, Dr., Notare • Enns • Oberösterreich</t>
  </si>
  <si>
    <t>Notare • Alber, Bernd, Dr., Schloßgasse 4, Enns • Kontakt über aktuelle Telefonnummern ☎ und Adressen ⚑ mit Karte, Routing, Öffnungszeiten, Homepage, E-Mail, vCard und Firmendaten.</t>
  </si>
  <si>
    <t>Schloßgasse 4</t>
  </si>
  <si>
    <t>48.21583</t>
  </si>
  <si>
    <t>14.48094</t>
  </si>
  <si>
    <t>+43722382357</t>
  </si>
  <si>
    <t>kanzlei@notar-alber.at</t>
  </si>
  <si>
    <t>https://bilder.dasschnelle.at/DasSchnelle/50/5000/9877/046105/G_046105_P_906201726.adn.gif</t>
  </si>
  <si>
    <t>Mlynek, Grazyna, Dr., Zahnarzt • Neukirchen am Walde • Oberösterreich</t>
  </si>
  <si>
    <t>Ärzte / Fachärzte f. Zahn-, Mund u. Kieferheilkunde, Ärzte / Zahnärzte • Mlynek, Grazyna, Dr., Pühretstraße 19, Neukirchen am Walde • Kontakt über aktuelle Telefonnummern ☎ und Adressen ⚑ mit Karte, Routing, Öffnungszeiten, Homepage, E-Mail, vCard und Firmendaten.</t>
  </si>
  <si>
    <t>Pühretstraße 19</t>
  </si>
  <si>
    <t>48.40754</t>
  </si>
  <si>
    <t>13.78026</t>
  </si>
  <si>
    <t>+43727832310</t>
  </si>
  <si>
    <t>grazyna.mlynek@aon.at</t>
  </si>
  <si>
    <t>https://bilder.dasschnelle.at/DasSchnelle/50/5000/9887/041963/G_041963_P_906200355.adn.gif</t>
  </si>
  <si>
    <t>Peer + Perr Produktions- u Dienstleistungs GmbH, Maschinenbau • Pfarrkirchen im Mühlkreis • Oberösterreich</t>
  </si>
  <si>
    <t>Maschinenbau • Peer + Perr Produktions- u Dienstleistungs GmbH, Pfarrkirchen im Mühlkreis 79, Pfarrkirchen im Mühlkreis • Kontakt über aktuelle Telefonnummern ☎ und Adressen ⚑ mit Karte, Routing, Öffnungszeiten, Homepage, E-Mail, vCard und Firmendaten.</t>
  </si>
  <si>
    <t>Pfarrkirchen im Mühlkreis 79</t>
  </si>
  <si>
    <t>4141</t>
  </si>
  <si>
    <t>Pfarrkirchen im Mühlkreis</t>
  </si>
  <si>
    <t>48.4995203</t>
  </si>
  <si>
    <t>13.8273633</t>
  </si>
  <si>
    <t>+43728560235</t>
  </si>
  <si>
    <t>anfragen@peer-perr.com</t>
  </si>
  <si>
    <t>https://bilder.dasschnelle.at/DasSchnelle/50/5000/9923/042286/G_042286_P_906200356.adn.gif</t>
  </si>
  <si>
    <t>Notariat Waizenkirchen, Dr. Gabriele Petric • Waizenkirchen • Oberösterreich</t>
  </si>
  <si>
    <t>Notare • Notariat Waizenkirchen, Dr. Gabriele Petric, Marktplatz 3, Waizenkirchen • Kontakt über aktuelle Telefonnummern ☎ und Adressen ⚑ mit Karte, Routing, Öffnungszeiten, Homepage, E-Mail, vCard und Firmendaten.</t>
  </si>
  <si>
    <t>48.32941</t>
  </si>
  <si>
    <t>13.85704</t>
  </si>
  <si>
    <t>+43727722630</t>
  </si>
  <si>
    <t>notariat.wzk@aon.at</t>
  </si>
  <si>
    <t>https://bilder.dasschnelle.at/DasSchnelle/50/5000/9887/041977/G_041977_P_906200364.adn.gif</t>
  </si>
  <si>
    <t>Schneeweiß, Gerhard, Maler • Bad Hall • Oberösterreich</t>
  </si>
  <si>
    <t>Malereibetriebe • Schneeweiß, Gerhard, Linzer Straße 2 A, Bad Hall • Kontakt über aktuelle Telefonnummern ☎ und Adressen ⚑ mit Karte, Routing, Öffnungszeiten, Homepage, E-Mail, vCard und Firmendaten.</t>
  </si>
  <si>
    <t>Linzer Straße 2 A</t>
  </si>
  <si>
    <t>48.03637</t>
  </si>
  <si>
    <t>14.20558</t>
  </si>
  <si>
    <t>+4372582249</t>
  </si>
  <si>
    <t>gerhard.schneeweiss@aon.at</t>
  </si>
  <si>
    <t>https://bilder.dasschnelle.at/DasSchnelle/50/5000/9867/042808/G_042808_P_906200366.adn.gif</t>
  </si>
  <si>
    <t>Leitner &amp; Reiter Optik GmbH • Bad Hall • Oberösterreich</t>
  </si>
  <si>
    <t>Hörgeräte, Optik • Leitner &amp; Reiter Optik GmbH, Hauptplatz 20, Bad Hall • Kontakt über aktuelle Telefonnummern ☎ und Adressen ⚑ mit Karte, Routing, Öffnungszeiten, Homepage, E-Mail, vCard und Firmendaten.</t>
  </si>
  <si>
    <t>48.03414</t>
  </si>
  <si>
    <t>14.20984</t>
  </si>
  <si>
    <t>+4372582508</t>
  </si>
  <si>
    <t>office@optik-appl.at</t>
  </si>
  <si>
    <t>https://bilder.dasschnelle.at/DasSchnelle/50/5000/9867/042808/G_042808_P_906200371.adn.gif</t>
  </si>
  <si>
    <t>Kohlhofer, Tamara, Mag., Psychotherapeutin • Ried im Innkreis • Oberösterreich</t>
  </si>
  <si>
    <t>Psychotherapie • Kohlhofer, Tamara, Mag., Bahnhofstraße 41, Ried im Innkreis • Kontakt über aktuelle Telefonnummern ☎ und Adressen ⚑ mit Karte, Routing, Öffnungszeiten, Homepage, E-Mail, vCard und Firmendaten.</t>
  </si>
  <si>
    <t>+436649139056</t>
  </si>
  <si>
    <t>kohlhofer2@aon.at</t>
  </si>
  <si>
    <t>https://bilder.dasschnelle.at/DasSchnelle/50/5000/9922/042563/I_042563_P_906201661_L_0036032601_1.png</t>
  </si>
  <si>
    <t>https://bilder.dasschnelle.at/DasSchnelle/50/5000/9922/042563/I_042563_P_906201661_B_0036032601_1.gal.png?height=251&amp;width=600;https://bilder.dasschnelle.at/DasSchnelle/50/5000/9922/042563/I_042563_P_906201661_B_0036032601_2.gal.png?height=600&amp;width=600;https://bilder.dasschnelle.at/DasSchnelle/50/5000/9922/042563/I_042563_P_906201661_B_0036032601_3.gal.png?height=600&amp;width=400</t>
  </si>
  <si>
    <t>Mag. Dr. Sonja Prasser, Psychotherapeutin • Grieskirchen • Oberösterreich</t>
  </si>
  <si>
    <t>Psychotherapie • Mag. Dr. Sonja Prasser, Sportplatzstraße 14 Top 41, Grieskirchen • Kontakt über aktuelle Telefonnummern ☎ und Adressen ⚑ mit Karte, Routing, Öffnungszeiten, Homepage, E-Mail, vCard und Firmendaten.</t>
  </si>
  <si>
    <t>Sportplatzstraße 14 Top 41</t>
  </si>
  <si>
    <t>48.16354</t>
  </si>
  <si>
    <t>14.00778</t>
  </si>
  <si>
    <t>+436649202312</t>
  </si>
  <si>
    <t>sonja.prasser@icloud.com</t>
  </si>
  <si>
    <t>https://bilder.dasschnelle.at/DasSchnelle/50/5000/9887/041815/I_041815_P_906201755_L_0037553681_1.png</t>
  </si>
  <si>
    <t>https://bilder.dasschnelle.at/DasSchnelle/50/5000/9887/041815/I_041815_P_906201755_B_0037553681_1.gal.png?height=520&amp;width=425;https://bilder.dasschnelle.at/DasSchnelle/50/5000/9887/041815/I_041815_P_906201755_B_0037553681_2.gal.png?height=417&amp;width=600</t>
  </si>
  <si>
    <t>Grabner, Wilhelm, Dr.med., FA f. Orthopädie u. Orthopäd. Chirurgie • Ried im Innkreis • Oberösterreich</t>
  </si>
  <si>
    <t>Ärzte / Fachärzte f. Orthopädie u. Orthopädische Chirurgie • Grabner, Wilhelm, Dr.med., Dietmarstraße 7, Ried im Innkreis • Kontakt über aktuelle Telefonnummern ☎ und Adressen ⚑ mit Karte, Routing, Öffnungszeiten, Homepage, E-Mail, vCard und Firmendaten.</t>
  </si>
  <si>
    <t>+4369911719675</t>
  </si>
  <si>
    <t>grabner4@gmx.at</t>
  </si>
  <si>
    <t>https://bilder.dasschnelle.at/DasSchnelle/50/5000/9922/998099/G_998099_P_906201760.adn.gif</t>
  </si>
  <si>
    <t>Ordination für Dermatologie und Veneologie OG, FA f Dermatologie • Grieskirchen • Oberösterreich</t>
  </si>
  <si>
    <t>Ärzte / Fachärzte f. Haut u. Geschlechtskrankheiten, Pharmazeutische Präparate • Ordination für Dermatologie und Veneologie OG, Uferstraße 4, Grieskirchen • Kontakt über aktuelle Telefonnummern ☎ und Adressen ⚑ mit Karte, Routing, Öffnungszeiten, Homepage, E-Mail, vCard und Firmendaten.</t>
  </si>
  <si>
    <t>+43724862880</t>
  </si>
  <si>
    <t>charwat-pessler@med.at</t>
  </si>
  <si>
    <t>https://bilder.dasschnelle.at/DasSchnelle/50/5000/9887/041815/G_041815_P_906201766.adn.gif</t>
  </si>
  <si>
    <t>Söllradl, Friedrich, Schuh-Service • Kremsmünster • Oberösterreich</t>
  </si>
  <si>
    <t>Naturkost, Schuhreparaturen • Söllradl, Friedrich, Marktplatz 30, Kremsmünster • Kontakt über aktuelle Telefonnummern ☎ und Adressen ⚑ mit Karte, Routing, Öffnungszeiten, Homepage, E-Mail, vCard und Firmendaten.</t>
  </si>
  <si>
    <t>Marktplatz 30</t>
  </si>
  <si>
    <t>48.0531700</t>
  </si>
  <si>
    <t>14.1314000</t>
  </si>
  <si>
    <t>+4375835228;+436643974372</t>
  </si>
  <si>
    <t>info@bio-soellradl.at</t>
  </si>
  <si>
    <t>https://bilder.dasschnelle.at/DasSchnelle/50/5000/9900/046084/G_046084_P_906201774.adn.gif</t>
  </si>
  <si>
    <t>Danglmaier Florian GmbH, Taxi - Krankentransporte • Lantschern • Steiermark</t>
  </si>
  <si>
    <t>Baumaschinenverleih, Erdarbeiten, Transportunternehmen • Danglmaier Florian GmbH, Lantschern • Kontakt über aktuelle Telefonnummern ☎ und Adressen ⚑ mit Karte, Routing, Öffnungszeiten, Homepage, E-Mail, vCard und Firmendaten.</t>
  </si>
  <si>
    <t>Lantschern</t>
  </si>
  <si>
    <t>47.5107047</t>
  </si>
  <si>
    <t>14.1350876</t>
  </si>
  <si>
    <t>+43368222591</t>
  </si>
  <si>
    <t>office@shuttle-car.at</t>
  </si>
  <si>
    <t>https://bilder.dasschnelle.at/DasSchnelle/50/5000/9905/044347/I_044347_P_906200462_L_0036237532_1.png</t>
  </si>
  <si>
    <t>https://bilder.dasschnelle.at/DasSchnelle/50/5000/9905/044347/I_044347_P_906200462_B_0036237532_1.gal.png?height=432&amp;width=576;https://bilder.dasschnelle.at/DasSchnelle/50/5000/9905/044347/I_044347_P_906200462_B_0036237532_2.gal.png?height=553&amp;width=820;https://bilder.dasschnelle.at/DasSchnelle/50/5000/9905/044347/I_044347_P_906200462_B_0036237532_3.gal.png?height=532&amp;width=801;https://bilder.dasschnelle.at/DasSchnelle/50/5000/9905/044347/I_044347_P_906200462_B_0036237532_4.gal.png?height=553&amp;width=820</t>
  </si>
  <si>
    <t>Drechsler Gertrude GesmbH, Dachdeckerei u. Spenglerei • Schwechat • Niederösterreich</t>
  </si>
  <si>
    <t>Dachdeckerei u. Spenglerei • Drechsler Gertrude GesmbH, Schöffelgasse 23, Schwechat • Kontakt über aktuelle Telefonnummern ☎ und Adressen ⚑ mit Karte, Routing, Öffnungszeiten, Homepage, E-Mail, vCard und Firmendaten.</t>
  </si>
  <si>
    <t>Schöffelgasse 23</t>
  </si>
  <si>
    <t>48.14908</t>
  </si>
  <si>
    <t>16.47918</t>
  </si>
  <si>
    <t>+4317078387</t>
  </si>
  <si>
    <t>dachdecker@drechsler.cc</t>
  </si>
  <si>
    <t>https://bilder.dasschnelle.at/DasSchnelle/50/5000/9930/506180/I_506180_P_906200464_L_0036250554_1.png</t>
  </si>
  <si>
    <t>https://bilder.dasschnelle.at/DasSchnelle/50/5000/9930/506180/I_506180_P_906200464_B_0036250554_1.gal.png?height=394&amp;width=600;https://bilder.dasschnelle.at/DasSchnelle/50/5000/9930/506180/I_506180_P_906200464_B_0036250554_2.gal.png?height=401&amp;width=600;https://bilder.dasschnelle.at/DasSchnelle/50/5000/9930/506180/I_506180_P_906200464_B_0036250554_3.gal.png?height=402&amp;width=600;https://bilder.dasschnelle.at/DasSchnelle/50/5000/9930/506180/I_506180_P_906200464_B_0036250554_4.gal.png?height=398&amp;width=600</t>
  </si>
  <si>
    <t>Schwillinsky Helmut GesmbH, Reinigung und Schneeräumung • Schwechat • Niederösterreich</t>
  </si>
  <si>
    <t>Bauspenglereien • Schwillinsky Helmut GesmbH, Römerstraße 45, Schwechat • Kontakt über aktuelle Telefonnummern ☎ und Adressen ⚑ mit Karte, Routing, Öffnungszeiten, Homepage, E-Mail, vCard und Firmendaten.</t>
  </si>
  <si>
    <t>Römerstraße 45</t>
  </si>
  <si>
    <t>48.14725</t>
  </si>
  <si>
    <t>16.51305</t>
  </si>
  <si>
    <t>+4317073868</t>
  </si>
  <si>
    <t>office@saubermax.com</t>
  </si>
  <si>
    <t>https://bilder.dasschnelle.at/DasSchnelle/50/5000/9930/506180/I_506180_P_906200466_L_0036244154_1.png</t>
  </si>
  <si>
    <t>https://bilder.dasschnelle.at/DasSchnelle/50/5000/9930/506180/I_506180_P_906200466_B_0036244154_1.gal.png?height=416&amp;width=600;https://bilder.dasschnelle.at/DasSchnelle/50/5000/9930/506180/I_506180_P_906200466_B_0036244154_2.gal.png?height=416&amp;width=600;https://bilder.dasschnelle.at/DasSchnelle/50/5000/9930/506180/I_506180_P_906200466_B_0036244154_3.gal.png?height=416&amp;width=600;https://bilder.dasschnelle.at/DasSchnelle/50/5000/9930/506180/I_506180_P_906200466_B_0036244154_4.gal.png?height=416&amp;width=600</t>
  </si>
  <si>
    <t>Mersudin &amp; Ensudin, Spenglerei • Köflach • Steiermark</t>
  </si>
  <si>
    <t>Spenglereien • Mersudin &amp; Ensudin, Kleinwöllmiß 39, Köflach • Kontakt über aktuelle Telefonnummern ☎ und Adressen ⚑ mit Karte, Routing, Öffnungszeiten, Homepage, E-Mail, vCard und Firmendaten.</t>
  </si>
  <si>
    <t>Kleinwöllmiß 39</t>
  </si>
  <si>
    <t>47.0285866</t>
  </si>
  <si>
    <t>15.1309662</t>
  </si>
  <si>
    <t>+436642037479</t>
  </si>
  <si>
    <t>spenglerei-poparic@gmx.at</t>
  </si>
  <si>
    <t>https://bilder.dasschnelle.at/DasSchnelle/50/5000/9941/061383/G_061383_P_906200470.adn.gif</t>
  </si>
  <si>
    <t>K7 Bau GmbH • Saxen • Oberösterreich</t>
  </si>
  <si>
    <t>Bauunternehmen • K7 Bau GmbH, Hofkirchen 21, Saxen • Kontakt über aktuelle Telefonnummern ☎ und Adressen ⚑ mit Karte, Routing, Öffnungszeiten, Homepage, E-Mail, vCard und Firmendaten.</t>
  </si>
  <si>
    <t>Hofkirchen 21</t>
  </si>
  <si>
    <t>48.2042519</t>
  </si>
  <si>
    <t>14.7983836</t>
  </si>
  <si>
    <t>+4369914164200;+4369914164100</t>
  </si>
  <si>
    <t>office.tdhausbau@gmail.com</t>
  </si>
  <si>
    <t>https://bilder.dasschnelle.at/DasSchnelle/50/5000/9877/042523/G_042523_P_906201724.adn.gif</t>
  </si>
  <si>
    <t>LAKY Putz e.U. • Asten • Oberösterreich</t>
  </si>
  <si>
    <t>Putzereien • LAKY Putz e.U., Raffelstettner Straße 15 /1, Asten • Kontakt über aktuelle Telefonnummern ☎ und Adressen ⚑ mit Karte, Routing, Öffnungszeiten, Homepage, E-Mail, vCard und Firmendaten.</t>
  </si>
  <si>
    <t>Raffelstettner Straße 15 /1</t>
  </si>
  <si>
    <t>48.2381581</t>
  </si>
  <si>
    <t>14.4040721</t>
  </si>
  <si>
    <t>+436763357884</t>
  </si>
  <si>
    <t>info@lakyputz.com</t>
  </si>
  <si>
    <t>https://bilder.dasschnelle.at/DasSchnelle/50/5000/9877/046103/I_046103_P_906201778_L_0038558897_1.png</t>
  </si>
  <si>
    <t>https://bilder.dasschnelle.at/DasSchnelle/50/5000/9877/046103/I_046103_P_906201778_B_0038558897_1.gal.png?height=165&amp;width=600;https://bilder.dasschnelle.at/DasSchnelle/50/5000/9877/046103/I_046103_P_906201778_B_0038558897_2.gal.png?height=165&amp;width=600;https://bilder.dasschnelle.at/DasSchnelle/50/5000/9877/046103/I_046103_P_906201778_B_0038558897_3.gal.png?height=193&amp;width=700;https://bilder.dasschnelle.at/DasSchnelle/50/5000/9877/046103/I_046103_P_906201778_B_0038558897_4.gal.png?height=193&amp;width=700</t>
  </si>
  <si>
    <t>Scharinger GesmbH, Bauunternehmen • Sarleinsbach • Oberösterreich</t>
  </si>
  <si>
    <t>Baustoffhandel, Bauunternehmen, Dachdeckereien • Scharinger GesmbH, Altendorf 1, Sarleinsbach • Kontakt über aktuelle Telefonnummern ☎ und Adressen ⚑ mit Karte, Routing, Öffnungszeiten, Homepage, E-Mail, vCard und Firmendaten.</t>
  </si>
  <si>
    <t>Altendorf 1</t>
  </si>
  <si>
    <t>48.5419979</t>
  </si>
  <si>
    <t>13.9041363</t>
  </si>
  <si>
    <t>+43728382160;+43728381171</t>
  </si>
  <si>
    <t>office@scharingerbau.at</t>
  </si>
  <si>
    <t>https://bilder.dasschnelle.at/DasSchnelle/50/5000/9923/042297/G_042297_P_906203281.adn.gif</t>
  </si>
  <si>
    <t>Jauker Gmbh &amp; Co KG Spar-Markt, Lebensmittel • Aigen-Schlägl • Oberösterreich</t>
  </si>
  <si>
    <t>Lebensmittel • Jauker Gmbh &amp; Co KG Spar-Markt, Schlägler-Hauptstraße 14, Aigen-Schlägl • Kontakt über aktuelle Telefonnummern ☎ und Adressen ⚑ mit Karte, Routing, Öffnungszeiten, Homepage, E-Mail, vCard und Firmendaten.</t>
  </si>
  <si>
    <t>+4372816297</t>
  </si>
  <si>
    <t>office@jauker.at</t>
  </si>
  <si>
    <t>https://bilder.dasschnelle.at/DasSchnelle/50/5000/9923/061481/G_061481_P_906203283.adn.gif</t>
  </si>
  <si>
    <t>Schinagl, Michael, Transportunternehmen • Rohrbach-Berg • Oberösterreich</t>
  </si>
  <si>
    <t>Transportunternehmen • Schinagl, Michael, Bahnhofstrasse 31, Rohrbach-Berg • Kontakt über aktuelle Telefonnummern ☎ und Adressen ⚑ mit Karte, Routing, Öffnungszeiten, Homepage, E-Mail, vCard und Firmendaten.</t>
  </si>
  <si>
    <t>Bahnhofstrasse 31</t>
  </si>
  <si>
    <t>48.5789737</t>
  </si>
  <si>
    <t>13.9895474</t>
  </si>
  <si>
    <t>+436641414678</t>
  </si>
  <si>
    <t>office@michael-schinagl.at</t>
  </si>
  <si>
    <t>https://bilder.dasschnelle.at/DasSchnelle/50/5000/9923/061480/G_061480_P_906203285.adn.gif</t>
  </si>
  <si>
    <t>Weinbauer, Christian, Dr., Ärzte / Fachärzte f Kinder-u Jugendheilkunde • Grieskirchen • Oberösterreich</t>
  </si>
  <si>
    <t>Ärzte / Fachärzte f. Kinder u. Jugendheilkunde • Weinbauer, Christian, Dr., Wagnleithnerstraße 6, Grieskirchen • Kontakt über aktuelle Telefonnummern ☎ und Adressen ⚑ mit Karte, Routing, Öffnungszeiten, Homepage, E-Mail, vCard und Firmendaten.</t>
  </si>
  <si>
    <t>Wagnleithnerstraße 6</t>
  </si>
  <si>
    <t>48.23666</t>
  </si>
  <si>
    <t>13.82333</t>
  </si>
  <si>
    <t>+43724868115</t>
  </si>
  <si>
    <t>gpweinbauer.scheuba@gmail.com</t>
  </si>
  <si>
    <t>https://bilder.dasschnelle.at/DasSchnelle/50/5000/9887/041815/G_041815_P_906202653.adn.gif</t>
  </si>
  <si>
    <t>Szerva Steuerberatung GmbH &amp; Co KG, Steuerberater • Ried im Innkreis • Oberösterreich</t>
  </si>
  <si>
    <t>Steuerberater • Szerva Steuerberatung GmbH &amp; Co KG, Wildfellnerstraße 28, Ried im Innkreis • Kontakt über aktuelle Telefonnummern ☎ und Adressen ⚑ mit Karte, Routing, Öffnungszeiten, Homepage, E-Mail, vCard und Firmendaten.</t>
  </si>
  <si>
    <t>Wildfellnerstraße 28</t>
  </si>
  <si>
    <t>48.21134</t>
  </si>
  <si>
    <t>13.48438</t>
  </si>
  <si>
    <t>+437752846120</t>
  </si>
  <si>
    <t>office@szerva-beratung.at</t>
  </si>
  <si>
    <t>https://bilder.dasschnelle.at/DasSchnelle/50/5000/9922/042563/I_042563_P_906202661_L_0036177694_1.png</t>
  </si>
  <si>
    <t>https://bilder.dasschnelle.at/DasSchnelle/50/5000/9922/042563/I_042563_P_906202661_B_0036177694_1.gal.png?height=429&amp;width=600;https://bilder.dasschnelle.at/DasSchnelle/50/5000/9922/042563/I_042563_P_906202661_B_0036177694_2.gal.png?height=389&amp;width=600;https://bilder.dasschnelle.at/DasSchnelle/50/5000/9922/042563/I_042563_P_906202661_B_0036177694_3.gal.png?height=383&amp;width=600</t>
  </si>
  <si>
    <t>Pensold GmbH, Fenster u. Türen • Liezen • Steiermark</t>
  </si>
  <si>
    <t>Fenster u. Türen • Pensold GmbH, Salzburger Straße 30, Liezen • Kontakt über aktuelle Telefonnummern ☎ und Adressen ⚑ mit Karte, Routing, Öffnungszeiten, Homepage, E-Mail, vCard und Firmendaten.</t>
  </si>
  <si>
    <t>Salzburger Straße 30</t>
  </si>
  <si>
    <t>47.56824</t>
  </si>
  <si>
    <t>14.22989</t>
  </si>
  <si>
    <t>+433612247520</t>
  </si>
  <si>
    <t>+4336122475215</t>
  </si>
  <si>
    <t>liezen@pensold-fenster.at</t>
  </si>
  <si>
    <t>https://bilder.dasschnelle.at/DasSchnelle/50/5000/9905/061443/I_061443_P_906202674_L_0035971186_1.png</t>
  </si>
  <si>
    <t>https://bilder.dasschnelle.at/DasSchnelle/50/5000/9905/061443/I_061443_P_906202674_B_0035971186_1.gal.png?height=750&amp;width=1000;https://bilder.dasschnelle.at/DasSchnelle/50/5000/9905/061443/I_061443_P_906202674_B_0035971186_2.gal.png?height=750&amp;width=1000;https://bilder.dasschnelle.at/DasSchnelle/50/5000/9905/061443/I_061443_P_906202674_B_0035971186_3.gal.png?height=750&amp;width=1000;https://bilder.dasschnelle.at/DasSchnelle/50/5000/9905/061443/I_061443_P_906202674_B_0035971186_4.gal.png?height=750&amp;width=1000</t>
  </si>
  <si>
    <t>Schlossapotheke Ebergassing Mag.pharm. Norbert Meixner e.U. • Ebergassing • Niederösterreich</t>
  </si>
  <si>
    <t>Apotheken • Schlossapotheke Ebergassing Mag.pharm. Norbert Meixner e.U., Himberger Straße 2 A, Ebergassing • Kontakt über aktuelle Telefonnummern ☎ und Adressen ⚑ mit Karte, Routing, Öffnungszeiten, Homepage, E-Mail, vCard und Firmendaten.</t>
  </si>
  <si>
    <t>Himberger Straße 2 A</t>
  </si>
  <si>
    <t>48.04599</t>
  </si>
  <si>
    <t>16.51876</t>
  </si>
  <si>
    <t>+43223472655</t>
  </si>
  <si>
    <t>service@apotheke-ebergassing.at</t>
  </si>
  <si>
    <t>https://bilder.dasschnelle.at/DasSchnelle/50/5000/9930/044504/G_044504_P_906202677.adn.gif</t>
  </si>
  <si>
    <t>Geigl, Thomas, Dr.med., FA f Zahn-, Mund- und Kieferheilkunde • Ried im Innkreis • Oberösterreich</t>
  </si>
  <si>
    <t>Ärzte / Fachärzte f. Zahn-, Mund u. Kieferheilkunde • Geigl, Thomas, Dr.med., Schärdinger Straße 18, Ried im Innkreis • Kontakt über aktuelle Telefonnummern ☎ und Adressen ⚑ mit Karte, Routing, Öffnungszeiten, Homepage, E-Mail, vCard und Firmendaten.</t>
  </si>
  <si>
    <t>Schärdinger Straße 18</t>
  </si>
  <si>
    <t>48.21329</t>
  </si>
  <si>
    <t>13.48434</t>
  </si>
  <si>
    <t>+43775271720</t>
  </si>
  <si>
    <t>office@geigl.at</t>
  </si>
  <si>
    <t>https://bilder.dasschnelle.at/DasSchnelle/50/5000/9922/042563/G_042563_P_906203476.adn.gif</t>
  </si>
  <si>
    <t>VPS Pauzenberger GmbH, Versicherungsbüro • Bad Hall • Oberösterreich</t>
  </si>
  <si>
    <t>Versicherungsunternehmen • VPS Pauzenberger GmbH, Hauptplatz 2 b, Bad Hall • Kontakt über aktuelle Telefonnummern ☎ und Adressen ⚑ mit Karte, Routing, Öffnungszeiten, Homepage, E-Mail, vCard und Firmendaten.</t>
  </si>
  <si>
    <t>Hauptplatz 2 b</t>
  </si>
  <si>
    <t>48.0351</t>
  </si>
  <si>
    <t>14.208</t>
  </si>
  <si>
    <t>+43725843740</t>
  </si>
  <si>
    <t>vps.pauzenberger@servers.at</t>
  </si>
  <si>
    <t>https://bilder.dasschnelle.at/DasSchnelle/50/5000/9867/042808/I_042808_P_906203478_L_0037669862_1.png</t>
  </si>
  <si>
    <t>https://bilder.dasschnelle.at/DasSchnelle/50/5000/9867/042808/I_042808_P_906203478_B_0037669862_1.gal.png?height=546&amp;width=935;https://bilder.dasschnelle.at/DasSchnelle/50/5000/9867/042808/I_042808_P_906203478_B_0037669862_2.gal.png?height=349&amp;width=387;https://bilder.dasschnelle.at/DasSchnelle/50/5000/9867/042808/I_042808_P_906203478_B_0037669862_3.gal.png?height=349&amp;width=387;https://bilder.dasschnelle.at/DasSchnelle/50/5000/9867/042808/I_042808_P_906203478_B_0037669862_4.gal.png?height=349&amp;width=387</t>
  </si>
  <si>
    <t>Dr.med.dent. Alwin Bleckenwegner, Zahnarzt • Aspach • Oberösterreich</t>
  </si>
  <si>
    <t>Ärzte / Fachärzte f. Zahn-, Mund u. Kieferheilkunde • Dr.med.dent. Alwin Bleckenwegner, Mettmacher Str. 13, Aspach • Kontakt über aktuelle Telefonnummern ☎ und Adressen ⚑ mit Karte, Routing, Öffnungszeiten, Homepage, E-Mail, vCard und Firmendaten.</t>
  </si>
  <si>
    <t>Mettmacher Str. 13</t>
  </si>
  <si>
    <t>48.1838100</t>
  </si>
  <si>
    <t>13.3086400</t>
  </si>
  <si>
    <t>+43775566160</t>
  </si>
  <si>
    <t>w.bleckenwegner@aon.at</t>
  </si>
  <si>
    <t>https://bilder.dasschnelle.at/DasSchnelle/50/5000/9922/044549/I_044549_P_906203479_L_0039099924_1.png</t>
  </si>
  <si>
    <t>https://bilder.dasschnelle.at/DasSchnelle/50/5000/9922/044549/I_044549_P_906203479_B_0039099924_1.gal.png?height=443&amp;width=424;https://bilder.dasschnelle.at/DasSchnelle/50/5000/9922/044549/I_044549_P_906203479_B_0039099924_2.gal.png?height=3744&amp;width=5616;https://bilder.dasschnelle.at/DasSchnelle/50/5000/9922/044549/I_044549_P_906203479_B_0039099924_3.gal.png?height=3744&amp;width=5616;https://bilder.dasschnelle.at/DasSchnelle/50/5000/9922/044549/G_044549_P_906203479.adn.gif</t>
  </si>
  <si>
    <t xml:space="preserve"> Zangrando, Mario, Dr., Fachärzte für Innere Medizin • Schwechat • Niederösterreich</t>
  </si>
  <si>
    <t>Ärzte / Fachärzte f. Innere Medizin • Zangrando, Mario, Dr., Hauptplatz 18 /11, Schwechat • Kontakt über aktuelle Telefonnummern ☎ und Adressen ⚑ mit Karte, Routing, Öffnungszeiten, Homepage, E-Mail, vCard und Firmendaten.</t>
  </si>
  <si>
    <t>Hauptplatz 18 /11</t>
  </si>
  <si>
    <t>48.13986</t>
  </si>
  <si>
    <t>16.47695</t>
  </si>
  <si>
    <t>+4317072747</t>
  </si>
  <si>
    <t>ordination@internist-schwechat.at</t>
  </si>
  <si>
    <t>https://bilder.dasschnelle.at/DasSchnelle/50/5000/9930/506180/G_998132_P_906203482.adn.gif</t>
  </si>
  <si>
    <t>Müller, Günther, Dachdeckerei-Spenglerei • Julbach • Oberösterreich</t>
  </si>
  <si>
    <t>Spenglereien • Müller, Günther, Mühltalstraße 46, Julbach • Kontakt über aktuelle Telefonnummern ☎ und Adressen ⚑ mit Karte, Routing, Öffnungszeiten, Homepage, E-Mail, vCard und Firmendaten.</t>
  </si>
  <si>
    <t>Mühltalstraße 46</t>
  </si>
  <si>
    <t>4162</t>
  </si>
  <si>
    <t>Julbach</t>
  </si>
  <si>
    <t>48.6490868</t>
  </si>
  <si>
    <t>13.8715319</t>
  </si>
  <si>
    <t>+436643368209;+4372882402</t>
  </si>
  <si>
    <t>spenglerei-mueller@hotmail.com</t>
  </si>
  <si>
    <t>https://bilder.dasschnelle.at/DasSchnelle/50/5000/9923/042272/G_042272_P_906202618.adn.gif</t>
  </si>
  <si>
    <t>Hotel Gasthof KÖNIG • Kremsmünster • Oberösterreich</t>
  </si>
  <si>
    <t>Gastgewerbe - Gasthöfe • Hotel Gasthof KÖNIG, Bahnhofstraße 48, Kremsmünster • Kontakt über aktuelle Telefonnummern ☎ und Adressen ⚑ mit Karte, Routing, Öffnungszeiten, Homepage, E-Mail, vCard und Firmendaten.</t>
  </si>
  <si>
    <t>Bahnhofstraße 48</t>
  </si>
  <si>
    <t>48.05341</t>
  </si>
  <si>
    <t>14.1402</t>
  </si>
  <si>
    <t>+4375835217</t>
  </si>
  <si>
    <t>reservierung@gasthof-koenig.at</t>
  </si>
  <si>
    <t>https://bilder.dasschnelle.at/DasSchnelle/50/5000/9900/046084/G_046084_P_906202705.adn.gif</t>
  </si>
  <si>
    <t>Anton Matlas GmbH, Dachdeckerei • Rauchegg • Steiermark</t>
  </si>
  <si>
    <t>Dachdeckerei u. Spenglerei • Anton Matlas GmbH, Gersdorf 3, Rauchegg • Kontakt über aktuelle Telefonnummern ☎ und Adressen ⚑ mit Karte, Routing, Öffnungszeiten, Homepage, E-Mail, vCard und Firmendaten.</t>
  </si>
  <si>
    <t>Gersdorf 3</t>
  </si>
  <si>
    <t>Rauchegg</t>
  </si>
  <si>
    <t>46.96898</t>
  </si>
  <si>
    <t>15.25314</t>
  </si>
  <si>
    <t>+436649190481</t>
  </si>
  <si>
    <t>buero@antonmatlas.at</t>
  </si>
  <si>
    <t>https://bilder.dasschnelle.at/DasSchnelle/50/5000/9941/045365/G_045365_P_906203544.adn.gif</t>
  </si>
  <si>
    <t>ImmoSigl, Immobilienmakler • Haslach an der Mühl • Oberösterreich</t>
  </si>
  <si>
    <t>Immobilienmakler • ImmoSigl, Holstein 48, Haslach an der Mühl • Kontakt über aktuelle Telefonnummern ☎ und Adressen ⚑ mit Karte, Routing, Öffnungszeiten, Homepage, E-Mail, vCard und Firmendaten.</t>
  </si>
  <si>
    <t>Holstein 48</t>
  </si>
  <si>
    <t>48.5739600</t>
  </si>
  <si>
    <t>14.0515200</t>
  </si>
  <si>
    <t>+436504446787</t>
  </si>
  <si>
    <t>renate@immosigl.at</t>
  </si>
  <si>
    <t>https://bilder.dasschnelle.at/DasSchnelle/50/5000/9923/042268/I_042268_P_906205122_L_0038479312_1.png</t>
  </si>
  <si>
    <t>https://bilder.dasschnelle.at/DasSchnelle/50/5000/9923/042268/I_042268_P_906205122_B_0038479312_1.gal.png?height=192&amp;width=262;https://bilder.dasschnelle.at/DasSchnelle/50/5000/9923/042268/I_042268_P_906205122_B_0038479312_2.gal.png?height=192&amp;width=262;https://bilder.dasschnelle.at/DasSchnelle/50/5000/9923/042268/I_042268_P_906205122_B_0038479312_3.gal.png?height=192&amp;width=262;https://bilder.dasschnelle.at/DasSchnelle/50/5000/9923/042268/I_042268_P_906205122_B_0038479312_4.gal.png?height=192&amp;width=262</t>
  </si>
  <si>
    <t>Institut Zeileis GesmbH &amp; Co KG, Gesundheitszentrum • Gallspach • Oberösterreich</t>
  </si>
  <si>
    <t>Ambulatorien • Institut Zeileis GesmbH &amp; Co KG, Valentin Zeileis-Straße 33, Gallspach • Kontakt über aktuelle Telefonnummern ☎ und Adressen ⚑ mit Karte, Routing, Öffnungszeiten, Homepage, E-Mail, vCard und Firmendaten.</t>
  </si>
  <si>
    <t>Valentin Zeileis-Straße 33</t>
  </si>
  <si>
    <t>48.20669</t>
  </si>
  <si>
    <t>13.81023</t>
  </si>
  <si>
    <t>+437248623510</t>
  </si>
  <si>
    <t>institut@zeileis.at</t>
  </si>
  <si>
    <t>https://bilder.dasschnelle.at/DasSchnelle/50/5000/9887/041812/G_041812_P_906205427.adn.gif</t>
  </si>
  <si>
    <t>Schwarz, Roland, Dr., FA f Innere Medizin u Kardiologie • Ried im Innkreis • Oberösterreich</t>
  </si>
  <si>
    <t>Ärzte / Fachärzte f. Innere Medizin • Schwarz, Roland, Dr., Wildfellnerstraße 29, Ried im Innkreis • Kontakt über aktuelle Telefonnummern ☎ und Adressen ⚑ mit Karte, Routing, Öffnungszeiten, Homepage, E-Mail, vCard und Firmendaten.</t>
  </si>
  <si>
    <t>Wildfellnerstraße 29</t>
  </si>
  <si>
    <t>48.21147</t>
  </si>
  <si>
    <t>13.48371</t>
  </si>
  <si>
    <t>+43775282210</t>
  </si>
  <si>
    <t>praxis@roland-schwarz.at</t>
  </si>
  <si>
    <t>https://bilder.dasschnelle.at/DasSchnelle/50/5000/9922/042563/G_042563_P_906205429.adn.gif</t>
  </si>
  <si>
    <t>Putscher, Christian, Mag., Ernährungswissenschafter • Tumeltsham • Oberösterreich</t>
  </si>
  <si>
    <t>Ernährungsberatung • Putscher, Christian, Mag., Höhenweg 14, Tumeltsham • Kontakt über aktuelle Telefonnummern ☎ und Adressen ⚑ mit Karte, Routing, Öffnungszeiten, Homepage, E-Mail, vCard und Firmendaten.</t>
  </si>
  <si>
    <t>Höhenweg 14</t>
  </si>
  <si>
    <t>48.2316</t>
  </si>
  <si>
    <t>13.50031</t>
  </si>
  <si>
    <t>+436765606801</t>
  </si>
  <si>
    <t>info@christianputscher.at</t>
  </si>
  <si>
    <t>https://bilder.dasschnelle.at/DasSchnelle/50/5000/9922/042570/G_042570_P_906205435.adn.gif</t>
  </si>
  <si>
    <t>Tanzmeister, Walter, Installationsunternehmen • Bad Aussee • Steiermark</t>
  </si>
  <si>
    <t>Fliesenfachhandel, Installationsunternehmen • Tanzmeister, Walter, Bahnhofstraße 54, Bad Aussee • Kontakt über aktuelle Telefonnummern ☎ und Adressen ⚑ mit Karte, Routing, Öffnungszeiten, Homepage, E-Mail, vCard und Firmendaten.</t>
  </si>
  <si>
    <t>47.60113</t>
  </si>
  <si>
    <t>13.78281</t>
  </si>
  <si>
    <t>+43362253193</t>
  </si>
  <si>
    <t>+433622531934</t>
  </si>
  <si>
    <t>fliesen@tanzmeister.at</t>
  </si>
  <si>
    <t>https://bilder.dasschnelle.at/DasSchnelle/50/5000/9905/044351/I_044351_P_906205450_L_0036242903_1.png</t>
  </si>
  <si>
    <t>https://bilder.dasschnelle.at/DasSchnelle/50/5000/9905/044351/I_044351_P_906205450_B_0036242903_1.gal.png?height=589&amp;width=1024;https://bilder.dasschnelle.at/DasSchnelle/50/5000/9905/044351/I_044351_P_906205450_B_0036242903_2.gal.png?height=589&amp;width=1024;https://bilder.dasschnelle.at/DasSchnelle/50/5000/9905/044351/I_044351_P_906205450_B_0036242903_3.gal.png?height=589&amp;width=1024;https://bilder.dasschnelle.at/DasSchnelle/50/5000/9905/044351/I_044351_P_906205450_B_0036242903_4.gal.png?height=414&amp;width=720</t>
  </si>
  <si>
    <t>Pühringer, Gerhard, Steinmetzmeister • Neuzeug • Oberösterreich</t>
  </si>
  <si>
    <t>Steinmetzbetriebe • Pühringer, Gerhard, Steyrtalstraße 38, Neuzeug • Kontakt über aktuelle Telefonnummern ☎ und Adressen ⚑ mit Karte, Routing, Öffnungszeiten, Homepage, E-Mail, vCard und Firmendaten.</t>
  </si>
  <si>
    <t>Steyrtalstraße 38</t>
  </si>
  <si>
    <t>48.04544</t>
  </si>
  <si>
    <t>14.33205</t>
  </si>
  <si>
    <t>+43725932493;+436609995950;+436643365950</t>
  </si>
  <si>
    <t>puehringer.stein@aon.at</t>
  </si>
  <si>
    <t>https://bilder.dasschnelle.at/DasSchnelle/50/5000/9932/042821/G_042821_P_906205444.adn.gif</t>
  </si>
  <si>
    <t>Moser, Hannes, Malermeister • Krakaudorf • Steiermark</t>
  </si>
  <si>
    <t>Malereibetriebe • Moser, Hannes, Krakaudorf • Kontakt über aktuelle Telefonnummern ☎ und Adressen ⚑ mit Karte, Routing, Öffnungszeiten, Homepage, E-Mail, vCard und Firmendaten.</t>
  </si>
  <si>
    <t>47.1858647</t>
  </si>
  <si>
    <t>14.0162721</t>
  </si>
  <si>
    <t>+43353570082;+436641219489</t>
  </si>
  <si>
    <t>moser.hannes@gmx.at</t>
  </si>
  <si>
    <t>https://bilder.dasschnelle.at/DasSchnelle/50/5000/9910/061477/I_061477_P_906205480_L_0036253724_1.png</t>
  </si>
  <si>
    <t>https://bilder.dasschnelle.at/DasSchnelle/50/5000/9910/061477/I_061477_P_906205480_B_0036253724_1.gal.png?height=420&amp;width=560;https://bilder.dasschnelle.at/DasSchnelle/50/5000/9910/061477/I_061477_P_906205480_B_0036253724_2.gal.png?height=400&amp;width=600;https://bilder.dasschnelle.at/DasSchnelle/50/5000/9910/061477/I_061477_P_906205480_B_0036253724_3.gal.png?height=420&amp;width=560;https://bilder.dasschnelle.at/DasSchnelle/50/5000/9910/061477/I_061477_P_906205480_B_0036253724_4.gal.png?height=420&amp;width=560</t>
  </si>
  <si>
    <t>Bögl Zimmerei • St. Marienkirchen am Hausruck • Oberösterreich</t>
  </si>
  <si>
    <t>Zimmereien • Bögl Zimmerei, Kleinbach 5, St. Marienkirchen am Hausruck • Kontakt über aktuelle Telefonnummern ☎ und Adressen ⚑ mit Karte, Routing, Öffnungszeiten, Homepage, E-Mail, vCard und Firmendaten.</t>
  </si>
  <si>
    <t>Kleinbach 5</t>
  </si>
  <si>
    <t>48.1786501</t>
  </si>
  <si>
    <t>13.5779085</t>
  </si>
  <si>
    <t>+4369911456926</t>
  </si>
  <si>
    <t>+43775335162</t>
  </si>
  <si>
    <t>office@boegl-bau.at</t>
  </si>
  <si>
    <t>https://bilder.dasschnelle.at/DasSchnelle/50/5000/9922/042565/G_042565_P_906205485.adn.gif</t>
  </si>
  <si>
    <t>Bürkl, Franz, Hafnermeister • Ort im Innkreis • Oberösterreich</t>
  </si>
  <si>
    <t>Fliesen u. Plattenverlegungen, Hafner • Bürkl, Franz, Osternach 14, Ort im Innkreis • Kontakt über aktuelle Telefonnummern ☎ und Adressen ⚑ mit Karte, Routing, Öffnungszeiten, Homepage, E-Mail, vCard und Firmendaten.</t>
  </si>
  <si>
    <t>Osternach 14</t>
  </si>
  <si>
    <t>48.3087885</t>
  </si>
  <si>
    <t>13.4478326</t>
  </si>
  <si>
    <t>+4377518310</t>
  </si>
  <si>
    <t>office@ofenbau-buerkl.at</t>
  </si>
  <si>
    <t>https://bilder.dasschnelle.at/DasSchnelle/50/5000/9922/042558/G_042558_P_906205487.adn.gif</t>
  </si>
  <si>
    <t>Schmidbauer, Heinrich, Sanierungen • Pötting • Oberösterreich</t>
  </si>
  <si>
    <t>Sanierungen • Schmidbauer, Heinrich, Pötting • Kontakt über aktuelle Telefonnummern ☎ und Adressen ⚑ mit Karte, Routing, Öffnungszeiten, Homepage, E-Mail, vCard und Firmendaten.</t>
  </si>
  <si>
    <t>Pötting</t>
  </si>
  <si>
    <t>48.2682574</t>
  </si>
  <si>
    <t>13.5224161</t>
  </si>
  <si>
    <t>+43775038278;+436644647942</t>
  </si>
  <si>
    <t>office@bauen-sanieren.com</t>
  </si>
  <si>
    <t>https://bilder.dasschnelle.at/DasSchnelle/50/5000/9922/042539/I_042539_P_906205411_L_0036032499_1.png</t>
  </si>
  <si>
    <t>https://bilder.dasschnelle.at/DasSchnelle/50/5000/9922/042539/I_042539_P_906205411_B_0036032499_1.gal.png?height=450&amp;width=600;https://bilder.dasschnelle.at/DasSchnelle/50/5000/9922/042539/I_042539_P_906205411_B_0036032499_2.gal.png?height=450&amp;width=600;https://bilder.dasschnelle.at/DasSchnelle/50/5000/9922/042539/I_042539_P_906205411_B_0036032499_3.gal.png?height=450&amp;width=600;https://bilder.dasschnelle.at/DasSchnelle/50/5000/9922/042539/I_042539_P_906205411_B_0036032499_4.gal.png?height=492&amp;width=720</t>
  </si>
  <si>
    <t>Weibold Putz GmbH, Fertigputz • Aurolzmünster • Oberösterreich</t>
  </si>
  <si>
    <t>Innen- u. Aussenputze • Weibold Putz GmbH, Edenbach 4, Aurolzmünster • Kontakt über aktuelle Telefonnummern ☎ und Adressen ⚑ mit Karte, Routing, Öffnungszeiten, Homepage, E-Mail, vCard und Firmendaten.</t>
  </si>
  <si>
    <t>Edenbach 4</t>
  </si>
  <si>
    <t>48.2519980</t>
  </si>
  <si>
    <t>13.4394112</t>
  </si>
  <si>
    <t>karl.weibold@inext.at</t>
  </si>
  <si>
    <t>https://bilder.dasschnelle.at/DasSchnelle/50/5000/9922/042541/I_042541_P_906205414_L_0036237510_1.png</t>
  </si>
  <si>
    <t>https://bilder.dasschnelle.at/DasSchnelle/50/5000/9922/042541/I_042541_P_906205414_B_0036237510_1.gal.png?height=234&amp;width=350;https://bilder.dasschnelle.at/DasSchnelle/50/5000/9922/042541/I_042541_P_906205414_B_0036237510_2.gal.png?height=234&amp;width=350;https://bilder.dasschnelle.at/DasSchnelle/50/5000/9922/042541/I_042541_P_906205414_B_0036237510_3.gal.png?height=408&amp;width=612;https://bilder.dasschnelle.at/DasSchnelle/50/5000/9922/042541/I_042541_P_906205414_B_0036237510_4.gal.png?height=480&amp;width=720;https://bilder.dasschnelle.at/DasSchnelle/50/5000/9922/042541/G_042541_P_906205414.adn.gif</t>
  </si>
  <si>
    <t>Frauscher, Mathias, Erdbau • Gurten • Oberösterreich</t>
  </si>
  <si>
    <t>Erdbau • Frauscher, Mathias, Wippenham 15, Gurten • Kontakt über aktuelle Telefonnummern ☎ und Adressen ⚑ mit Karte, Routing, Öffnungszeiten, Homepage, E-Mail, vCard und Firmendaten.</t>
  </si>
  <si>
    <t>Wippenham 15</t>
  </si>
  <si>
    <t>48.2202400</t>
  </si>
  <si>
    <t>13.3846300</t>
  </si>
  <si>
    <t>+436766051488</t>
  </si>
  <si>
    <t>office@erdbau-frauscher.at</t>
  </si>
  <si>
    <t>https://bilder.dasschnelle.at/DasSchnelle/50/5000/9922/042259/G_042259_P_906205415.adn.gif</t>
  </si>
  <si>
    <t>Trauner, Maria, Dr.med., Fachärztin für HNO-Krankheiten • Ried im Innkreis • Oberösterreich</t>
  </si>
  <si>
    <t>Ärzte / Fachärzte f. Hals-, Nasen u. Ohrenkrankheiten • Trauner, Maria, Dr.med., Wohlmayergasse 4 Top 2, Ried im Innkreis • Kontakt über aktuelle Telefonnummern ☎ und Adressen ⚑ mit Karte, Routing, Öffnungszeiten, Homepage, E-Mail, vCard und Firmendaten.</t>
  </si>
  <si>
    <t>Wohlmayergasse 4 Top 2</t>
  </si>
  <si>
    <t>48.2077</t>
  </si>
  <si>
    <t>13.48796</t>
  </si>
  <si>
    <t>+43775222612</t>
  </si>
  <si>
    <t>praxis@hno-trauner.at</t>
  </si>
  <si>
    <t>https://bilder.dasschnelle.at/DasSchnelle/50/5000/9922/042563/G_998099_P_906206510.adn.gif</t>
  </si>
  <si>
    <t>Eichinger, Ingrid, Versicherungsmaklerin • Sierning • Oberösterreich</t>
  </si>
  <si>
    <t>Versicherungsmakler, Versicherungsunternehmen • Eichinger, Ingrid, Neustraße 22, Sierning • Kontakt über aktuelle Telefonnummern ☎ und Adressen ⚑ mit Karte, Routing, Öffnungszeiten, Homepage, E-Mail, vCard und Firmendaten.</t>
  </si>
  <si>
    <t>Neustraße 22</t>
  </si>
  <si>
    <t>48.04211</t>
  </si>
  <si>
    <t>14.30685</t>
  </si>
  <si>
    <t>+43725932260;+436642331737</t>
  </si>
  <si>
    <t>+43725932274</t>
  </si>
  <si>
    <t>info@versicherung-sierning.at</t>
  </si>
  <si>
    <t>https://bilder.dasschnelle.at/DasSchnelle/50/5000/9932/042821/G_042821_P_906206516.adn.gif</t>
  </si>
  <si>
    <t>Winter, Thomas, Dr., FA f. Innere Medizin/Kardiologie • Hohenzell • Oberösterreich</t>
  </si>
  <si>
    <t>Ärzte / Fachärzte f. Innere Medizin • Winter, Thomas, Dr., Südhang 21, Hohenzell • Kontakt über aktuelle Telefonnummern ☎ und Adressen ⚑ mit Karte, Routing, Öffnungszeiten, Homepage, E-Mail, vCard und Firmendaten.</t>
  </si>
  <si>
    <t>Südhang 21</t>
  </si>
  <si>
    <t>48.20059</t>
  </si>
  <si>
    <t>13.50482</t>
  </si>
  <si>
    <t>+436641722372</t>
  </si>
  <si>
    <t>ordination@kardiologie-winter.at</t>
  </si>
  <si>
    <t>https://bilder.dasschnelle.at/DasSchnelle/50/5000/9922/998099/I_998099_P_906206520_L_0036032488_1.png</t>
  </si>
  <si>
    <t>https://bilder.dasschnelle.at/DasSchnelle/50/5000/9922/998099/I_998099_P_906206520_B_0036032488_1.gal.png?height=479&amp;width=720;https://bilder.dasschnelle.at/DasSchnelle/50/5000/9922/998099/I_998099_P_906206520_B_0036032488_2.gal.png?height=479&amp;width=720;https://bilder.dasschnelle.at/DasSchnelle/50/5000/9922/998099/I_998099_P_906206520_B_0036032488_3.gal.png?height=479&amp;width=720;https://bilder.dasschnelle.at/DasSchnelle/50/5000/9922/998099/I_998099_P_906206520_B_0036032488_4.gal.png?height=479&amp;width=720;https://bilder.dasschnelle.at/DasSchnelle/50/5000/9922/998099/G_998099_P_906206520.adn.gif</t>
  </si>
  <si>
    <t>Da-her-Shop, Friseur • Sierning • Oberösterreich</t>
  </si>
  <si>
    <t>Friseure • Da-her-Shop, Neustraße 27, Sierning • Kontakt über aktuelle Telefonnummern ☎ und Adressen ⚑ mit Karte, Routing, Öffnungszeiten, Homepage, E-Mail, vCard und Firmendaten.</t>
  </si>
  <si>
    <t>Neustraße 27</t>
  </si>
  <si>
    <t>48.04108</t>
  </si>
  <si>
    <t>14.30661</t>
  </si>
  <si>
    <t>+4372594911</t>
  </si>
  <si>
    <t>r.althuber@aon.at</t>
  </si>
  <si>
    <t>https://bilder.dasschnelle.at/DasSchnelle/50/5000/9932/042821/G_042821_P_906206522.adn.gif</t>
  </si>
  <si>
    <t>Frisuren Anja, Friseur • Sierning • Oberösterreich</t>
  </si>
  <si>
    <t>Friseure • Frisuren Anja, Neustraße 27, Sierning • Kontakt über aktuelle Telefonnummern ☎ und Adressen ⚑ mit Karte, Routing, Öffnungszeiten, Homepage, E-Mail, vCard und Firmendaten.</t>
  </si>
  <si>
    <t>salon.anja@a1.net</t>
  </si>
  <si>
    <t>https://bilder.dasschnelle.at/DasSchnelle/50/5000/9932/042821/G_042821_P_906206524.adn.gif</t>
  </si>
  <si>
    <t>Hörmanseder Meisterbetrieb Kachelofen u. Fliesen • Zell an der Pram • Oberösterreich</t>
  </si>
  <si>
    <t>Fliesenfachhandel, Kachelöfen • Hörmanseder Meisterbetrieb Kachelofen u. Fliesen, Kranzlweg 5, Zell an der Pram • Kontakt über aktuelle Telefonnummern ☎ und Adressen ⚑ mit Karte, Routing, Öffnungszeiten, Homepage, E-Mail, vCard und Firmendaten.</t>
  </si>
  <si>
    <t>https://bilder.dasschnelle.at/DasSchnelle/50/5000/9922/042563/G_042563_P_906206626.adn.gif</t>
  </si>
  <si>
    <t>Mayerböck, Johannes, Erdbau • Polling im Innkreis • Oberösterreich</t>
  </si>
  <si>
    <t>Erdbau • Mayerböck, Johannes, Hauptstraße 46, Polling im Innkreis • Kontakt über aktuelle Telefonnummern ☎ und Adressen ⚑ mit Karte, Routing, Öffnungszeiten, Homepage, E-Mail, vCard und Firmendaten.</t>
  </si>
  <si>
    <t>+4377236209</t>
  </si>
  <si>
    <t>https://bilder.dasschnelle.at/DasSchnelle/50/5000/9922/044789/G_044789_P_906206630.adn.gif</t>
  </si>
  <si>
    <t>Pointner Manfred GmbH, Gas-Wasser-Heizung • Katzenberg • Oberösterreich</t>
  </si>
  <si>
    <t>Installationsunternehmen • Pointner Manfred GmbH, Katzenberg 55, Katzenberg • Kontakt über aktuelle Telefonnummern ☎ und Adressen ⚑ mit Karte, Routing, Öffnungszeiten, Homepage, E-Mail, vCard und Firmendaten.</t>
  </si>
  <si>
    <t>Katzenberg 55</t>
  </si>
  <si>
    <t>48.2896817</t>
  </si>
  <si>
    <t>13.2953561</t>
  </si>
  <si>
    <t>+4377582963</t>
  </si>
  <si>
    <t>office@pointner-installateur.at</t>
  </si>
  <si>
    <t>https://bilder.dasschnelle.at/DasSchnelle/50/5000/9922/042548/G_042548_P_906206632.adn.gif</t>
  </si>
  <si>
    <t>Bes, Thomas, Dr.med, FA f Urologie • Rohrbach • Oberösterreich</t>
  </si>
  <si>
    <t>Ärzte / Fachärzte f. Urologie • Bes, Thomas, Dr.med, Stadtplatz 17, Rohrbach • Kontakt über aktuelle Telefonnummern ☎ und Adressen ⚑ mit Karte, Routing, Öffnungszeiten, Homepage, E-Mail, vCard und Firmendaten.</t>
  </si>
  <si>
    <t>+43728940030200</t>
  </si>
  <si>
    <t>+43728940030219</t>
  </si>
  <si>
    <t>urologie@mdz-rohrbach.at</t>
  </si>
  <si>
    <t>https://bilder.dasschnelle.at/DasSchnelle/50/5000/9923/061480/G_061480_P_906207415.adn.gif</t>
  </si>
  <si>
    <t>Mayer, Christoph, Dr.med., FA für Frauenheilkunde u. Geburtshilfe • Rohrbach • Oberösterreich</t>
  </si>
  <si>
    <t>Ärzte / Fachärzte f. Frauenheilkunde u. Geburtshilfe • Mayer, Christoph, Dr.med., Stadtplatz 17, Rohrbach • Kontakt über aktuelle Telefonnummern ☎ und Adressen ⚑ mit Karte, Routing, Öffnungszeiten, Homepage, E-Mail, vCard und Firmendaten.</t>
  </si>
  <si>
    <t>+43728940030600</t>
  </si>
  <si>
    <t>frauenarzt@mdz-rohrbach.at</t>
  </si>
  <si>
    <t>https://bilder.dasschnelle.at/DasSchnelle/50/5000/9923/998108/G_998108_P_906207418.adn.gif</t>
  </si>
  <si>
    <t>Kiener, Franz, Wirtschaftstreuhänder / Steuerberater • Haag am Hausruck • Oberösterreich</t>
  </si>
  <si>
    <t>Steuerberater • Kiener, Franz, Marktplatz 8, Haag am Hausruck • Kontakt über aktuelle Telefonnummern ☎ und Adressen ⚑ mit Karte, Routing, Öffnungszeiten, Homepage, E-Mail, vCard und Firmendaten.</t>
  </si>
  <si>
    <t>48.18274</t>
  </si>
  <si>
    <t>13.63554</t>
  </si>
  <si>
    <t>+4377324201</t>
  </si>
  <si>
    <t>franz.kiener.wt@aon.at</t>
  </si>
  <si>
    <t>https://bilder.dasschnelle.at/DasSchnelle/50/5000/9887/041816/G_041816_P_906207424.adn.gif</t>
  </si>
  <si>
    <t>OBIMÖBEL e.U., Tischlereien • Neuzeug • Oberösterreich</t>
  </si>
  <si>
    <t>Tischlereien • OBIMÖBEL e.U., Pachschallernstraße 3, Neuzeug • Kontakt über aktuelle Telefonnummern ☎ und Adressen ⚑ mit Karte, Routing, Öffnungszeiten, Homepage, E-Mail, vCard und Firmendaten.</t>
  </si>
  <si>
    <t>Pachschallernstraße 3</t>
  </si>
  <si>
    <t>48.0550781</t>
  </si>
  <si>
    <t>14.3287769</t>
  </si>
  <si>
    <t>+4372594062;+436642245278</t>
  </si>
  <si>
    <t>buero@obimoebel.at</t>
  </si>
  <si>
    <t>https://bilder.dasschnelle.at/DasSchnelle/50/5000/9932/042821/I_042821_P_906207680_L_0036244118_1.png</t>
  </si>
  <si>
    <t>https://bilder.dasschnelle.at/DasSchnelle/50/5000/9932/042821/I_042821_P_906207680_B_0036244118_1.gal.png?height=337&amp;width=600;https://bilder.dasschnelle.at/DasSchnelle/50/5000/9932/042821/I_042821_P_906207680_B_0036244118_2.gal.png?height=400&amp;width=600;https://bilder.dasschnelle.at/DasSchnelle/50/5000/9932/042821/I_042821_P_906207680_B_0036244118_3.gal.png?height=300&amp;width=300;https://bilder.dasschnelle.at/DasSchnelle/50/5000/9932/042821/I_042821_P_906207680_B_0036244118_4.gal.png?height=720&amp;width=538;https://bilder.dasschnelle.at/DasSchnelle/50/5000/9932/042821/G_042821_P_906207680.adn.gif</t>
  </si>
  <si>
    <t>Ploberger, Erwin, Dr., FA f Chirurgie • Enns • Oberösterreich</t>
  </si>
  <si>
    <t>Ärzte / Fachärzte f. Chirurgie • Ploberger, Erwin, Dr., Schloßgasse 4, Enns • Kontakt über aktuelle Telefonnummern ☎ und Adressen ⚑ mit Karte, Routing, Öffnungszeiten, Homepage, E-Mail, vCard und Firmendaten.</t>
  </si>
  <si>
    <t>+43722387830;+436644450942</t>
  </si>
  <si>
    <t>dr@erwin-ploberger.at</t>
  </si>
  <si>
    <t>https://bilder.dasschnelle.at/DasSchnelle/50/5000/9877/046105/G_046105_P_906207443.adn.gif</t>
  </si>
  <si>
    <t>Rotter, Friedrich, Baustoffservice • St. Peter am Wimberg • Oberösterreich</t>
  </si>
  <si>
    <t>Baustoffhandel • Rotter, Friedrich, Dorf 21, St. Peter am Wimberg • Kontakt über aktuelle Telefonnummern ☎ und Adressen ⚑ mit Karte, Routing, Öffnungszeiten, Homepage, E-Mail, vCard und Firmendaten.</t>
  </si>
  <si>
    <t>Dorf 21</t>
  </si>
  <si>
    <t>St. Peter am Wimberg</t>
  </si>
  <si>
    <t>48.5025181</t>
  </si>
  <si>
    <t>14.1024168</t>
  </si>
  <si>
    <t>+436643374036;+436643374036</t>
  </si>
  <si>
    <t>office@rotter-baustoffservice.at</t>
  </si>
  <si>
    <t>https://bilder.dasschnelle.at/DasSchnelle/50/5000/9923/042293/G_042293_P_906207448.adn.gif</t>
  </si>
  <si>
    <t>Ferienhotel Inn4tel GmbH Gasthof Kirchenwirt • Kirchheim im Innkreis • Oberösterreich</t>
  </si>
  <si>
    <t>Holzfachmärkte, Pensionen • Ferienhotel Inn4tel GmbH Gasthof Kirchenwirt, Kirchengasse 3, Kirchheim im Innkreis • Kontakt über aktuelle Telefonnummern ☎ und Adressen ⚑ mit Karte, Routing, Öffnungszeiten, Homepage, E-Mail, vCard und Firmendaten.</t>
  </si>
  <si>
    <t>4932</t>
  </si>
  <si>
    <t>Kirchheim im Innkreis</t>
  </si>
  <si>
    <t>48.20932</t>
  </si>
  <si>
    <t>13.36062</t>
  </si>
  <si>
    <t>+4377556404</t>
  </si>
  <si>
    <t>info@ferienpension.at</t>
  </si>
  <si>
    <t>https://bilder.dasschnelle.at/DasSchnelle/50/5000/9922/042549/G_042549_P_906206530.adn.gif</t>
  </si>
  <si>
    <t>Rögl Wirt • Pattigham • Oberösterreich</t>
  </si>
  <si>
    <t>Gastgewerbe - Gasthöfe, Gastronomiebetriebe • Rögl Wirt, Hauptstraße 42, Pattigham • Kontakt über aktuelle Telefonnummern ☎ und Adressen ⚑ mit Karte, Routing, Öffnungszeiten, Homepage, E-Mail, vCard und Firmendaten.</t>
  </si>
  <si>
    <t>Pattigham</t>
  </si>
  <si>
    <t>48.15441</t>
  </si>
  <si>
    <t>13.48412</t>
  </si>
  <si>
    <t>+4377548421</t>
  </si>
  <si>
    <t>office@roegl-wirt.at</t>
  </si>
  <si>
    <t>https://bilder.dasschnelle.at/DasSchnelle/50/5000/9922/042559/G_042559_P_906206532.adn.gif</t>
  </si>
  <si>
    <t>Jaucker, Erhard, Vinotheke • Aigen-Schlägl • Oberösterreich</t>
  </si>
  <si>
    <t>Bauunternehmen • Jaucker, Erhard, Höhenstraße 5, Aigen-Schlägl • Kontakt über aktuelle Telefonnummern ☎ und Adressen ⚑ mit Karte, Routing, Öffnungszeiten, Homepage, E-Mail, vCard und Firmendaten.</t>
  </si>
  <si>
    <t>Höhenstraße 5</t>
  </si>
  <si>
    <t>48.6512133</t>
  </si>
  <si>
    <t>13.9735074</t>
  </si>
  <si>
    <t>+436645168138</t>
  </si>
  <si>
    <t>jauker_erhard@gmx.at</t>
  </si>
  <si>
    <t>https://bilder.dasschnelle.at/DasSchnelle/50/5000/9923/061481/G_061481_P_906206536.adn.gif</t>
  </si>
  <si>
    <t>Sun Energy Kobler KG, Elektroinstallation • Peilstein • Oberösterreich</t>
  </si>
  <si>
    <t>Energieanlagen • Sun Energy Kobler KG, Kirchbach 45, Peilstein • Kontakt über aktuelle Telefonnummern ☎ und Adressen ⚑ mit Karte, Routing, Öffnungszeiten, Homepage, E-Mail, vCard und Firmendaten.</t>
  </si>
  <si>
    <t>Kirchbach 45</t>
  </si>
  <si>
    <t>Peilstein</t>
  </si>
  <si>
    <t>48.6320796</t>
  </si>
  <si>
    <t>13.9276298</t>
  </si>
  <si>
    <t>+436764309468</t>
  </si>
  <si>
    <t>office@sunenery-kobler.at</t>
  </si>
  <si>
    <t>https://bilder.dasschnelle.at/DasSchnelle/50/5000/9923/042285/G_042285_P_906206539.adn.gif</t>
  </si>
  <si>
    <t>Mairhofer Spenglerei GmbH • Lohnsburg • Oberösterreich</t>
  </si>
  <si>
    <t>Spenglereien • Mairhofer Spenglerei GmbH, Kobernaußerstraße 43, Lohnsburg • Kontakt über aktuelle Telefonnummern ☎ und Adressen ⚑ mit Karte, Routing, Öffnungszeiten, Homepage, E-Mail, vCard und Firmendaten.</t>
  </si>
  <si>
    <t>Kobernaußerstraße 43</t>
  </si>
  <si>
    <t>48.1259132</t>
  </si>
  <si>
    <t>13.3808565</t>
  </si>
  <si>
    <t>+43775433820</t>
  </si>
  <si>
    <t>m-mairhofer@hotmail.com</t>
  </si>
  <si>
    <t>https://bilder.dasschnelle.at/DasSchnelle/50/5000/9922/042551/G_042551_P_906207569.adn.gif</t>
  </si>
  <si>
    <t>Enghuber Möbelwerkstätte GmbH, Tischlereien • Gunzing • Oberösterreich</t>
  </si>
  <si>
    <t>Möbelwerkstätte • Enghuber Möbelwerkstätte GmbH, Gunzing 37, Gunzing • Kontakt über aktuelle Telefonnummern ☎ und Adressen ⚑ mit Karte, Routing, Öffnungszeiten, Homepage, E-Mail, vCard und Firmendaten.</t>
  </si>
  <si>
    <t>Gunzing 37</t>
  </si>
  <si>
    <t>Gunzing</t>
  </si>
  <si>
    <t>48.1727775</t>
  </si>
  <si>
    <t>13.4012453</t>
  </si>
  <si>
    <t>+4377542176</t>
  </si>
  <si>
    <t>office@enghuber.at</t>
  </si>
  <si>
    <t>https://bilder.dasschnelle.at/DasSchnelle/50/5000/9922/042551/G_042551_P_906207709.adn.gif</t>
  </si>
  <si>
    <t>Pilz, Roman, Elektrotechnik • Lorch • Oberösterreich</t>
  </si>
  <si>
    <t>Elektrotechnik • Pilz, Roman, Mühlenstraße 13, Lorch • Kontakt über aktuelle Telefonnummern ☎ und Adressen ⚑ mit Karte, Routing, Öffnungszeiten, Homepage, E-Mail, vCard und Firmendaten.</t>
  </si>
  <si>
    <t>Mühlenstraße 13</t>
  </si>
  <si>
    <t>Lorch</t>
  </si>
  <si>
    <t>48.2232700</t>
  </si>
  <si>
    <t>14.4677600</t>
  </si>
  <si>
    <t>+43722381201;+436644522659;+436649133073</t>
  </si>
  <si>
    <t>roman@rpilz.at</t>
  </si>
  <si>
    <t>https://bilder.dasschnelle.at/DasSchnelle/50/5000/9877/046105/G_046105_P_906207575.adn.gif</t>
  </si>
  <si>
    <t>Dr.med.dent Teszner Thomas, FA f. Zahn-, Mund- und Kieferheilhunde • Schwechat • Niederösterreich</t>
  </si>
  <si>
    <t>Ärzte / Fachärzte f. Zahn-, Mund u. Kieferheilkunde • Dr.med.dent Teszner Thomas, Office Park 1, Schwechat • Kontakt über aktuelle Telefonnummern ☎ und Adressen ⚑ mit Karte, Routing, Öffnungszeiten, Homepage, E-Mail, vCard und Firmendaten.</t>
  </si>
  <si>
    <t>Office Park 1</t>
  </si>
  <si>
    <t>1300</t>
  </si>
  <si>
    <t>48.12264</t>
  </si>
  <si>
    <t>16.56455</t>
  </si>
  <si>
    <t>+431700734510</t>
  </si>
  <si>
    <t>office@zahnarzt-schwechat.at</t>
  </si>
  <si>
    <t>https://bilder.dasschnelle.at/DasSchnelle/50/5000/9930/506180/I_998132_P_906206680_L_0038826584_1.png</t>
  </si>
  <si>
    <t>Schneider A u R GesmbH, Zimmerei u Dachdeckerei • Mannswörth • Niederösterreich</t>
  </si>
  <si>
    <t>Zimmereien • Schneider A u R GesmbH, Mannswörther Straße 188, Mannswörth • Kontakt über aktuelle Telefonnummern ☎ und Adressen ⚑ mit Karte, Routing, Öffnungszeiten, Homepage, E-Mail, vCard und Firmendaten.</t>
  </si>
  <si>
    <t>Mannswörther Straße 188</t>
  </si>
  <si>
    <t>Mannswörth</t>
  </si>
  <si>
    <t>48.14123</t>
  </si>
  <si>
    <t>16.52592</t>
  </si>
  <si>
    <t>+4317072130</t>
  </si>
  <si>
    <t>office@aur-schneider.at</t>
  </si>
  <si>
    <t>https://bilder.dasschnelle.at/DasSchnelle/50/5000/9930/506180/I_506180_P_906208310_L_0036253850_1.png</t>
  </si>
  <si>
    <t>https://bilder.dasschnelle.at/DasSchnelle/50/5000/9930/506180/I_506180_P_906208310_B_0036253850_1.gal.png?height=474&amp;width=720;https://bilder.dasschnelle.at/DasSchnelle/50/5000/9930/506180/I_506180_P_906208310_B_0036253850_2.gal.png?height=481&amp;width=720;https://bilder.dasschnelle.at/DasSchnelle/50/5000/9930/506180/I_506180_P_906208310_B_0036253850_3.gal.png?height=483&amp;width=720;https://bilder.dasschnelle.at/DasSchnelle/50/5000/9930/506180/I_506180_P_906208310_B_0036253850_4.gal.png?height=480&amp;width=720</t>
  </si>
  <si>
    <t>Kettl, Alois, Ing., Installationen • Neuratting • Oberösterreich</t>
  </si>
  <si>
    <t>Installationsunternehmen • Kettl, Alois, Ing., Neuratting 30, Neuratting • Kontakt über aktuelle Telefonnummern ☎ und Adressen ⚑ mit Karte, Routing, Öffnungszeiten, Homepage, E-Mail, vCard und Firmendaten.</t>
  </si>
  <si>
    <t>Neuratting 30</t>
  </si>
  <si>
    <t>Neuratting</t>
  </si>
  <si>
    <t>48.2254764</t>
  </si>
  <si>
    <t>13.3700491</t>
  </si>
  <si>
    <t>+43775761960</t>
  </si>
  <si>
    <t>office@installateur-kettl.at</t>
  </si>
  <si>
    <t>https://bilder.dasschnelle.at/DasSchnelle/50/5000/9922/042259/G_042259_P_906208391.adn.gif</t>
  </si>
  <si>
    <t>Spenglerei Krautgartner GmbH • Kramling • Oberösterreich</t>
  </si>
  <si>
    <t>Fassadenbau, Spenglereien • Spenglerei Krautgartner GmbH, Kramling 5, Kramling • Kontakt über aktuelle Telefonnummern ☎ und Adressen ⚑ mit Karte, Routing, Öffnungszeiten, Homepage, E-Mail, vCard und Firmendaten.</t>
  </si>
  <si>
    <t>Kramling 5</t>
  </si>
  <si>
    <t>Kramling</t>
  </si>
  <si>
    <t>48.1474766</t>
  </si>
  <si>
    <t>13.4119293</t>
  </si>
  <si>
    <t>+43775436190</t>
  </si>
  <si>
    <t>j.krautgartner@gmx.at</t>
  </si>
  <si>
    <t>https://bilder.dasschnelle.at/DasSchnelle/50/5000/9922/042551/G_042551_P_906208394.adn.gif</t>
  </si>
  <si>
    <t>Elektro Gressenberger GmbH, Elektrotechnik • Bärnbach • Steiermark</t>
  </si>
  <si>
    <t>Elektrogeräte u. -bedarf • Elektro Gressenberger GmbH, Blumenstraße 20, Bärnbach • Kontakt über aktuelle Telefonnummern ☎ und Adressen ⚑ mit Karte, Routing, Öffnungszeiten, Homepage, E-Mail, vCard und Firmendaten.</t>
  </si>
  <si>
    <t>Blumenstraße 20</t>
  </si>
  <si>
    <t>47.0717</t>
  </si>
  <si>
    <t>15.12177</t>
  </si>
  <si>
    <t>+436641883893</t>
  </si>
  <si>
    <t>elektro@gressenberger.com</t>
  </si>
  <si>
    <t>https://bilder.dasschnelle.at/DasSchnelle/50/5000/9941/061383/G_061383_P_906208401.adn.gif</t>
  </si>
  <si>
    <t>Pfeifer, Christian, Pfeiferhaus, Naturwohnbau aus Holz • Voitsberg • Steiermark</t>
  </si>
  <si>
    <t>Zimmereien • Pfeifer, Christian, Pfeiferhaus, Grazer Vorstadt 160, Voitsberg • Kontakt über aktuelle Telefonnummern ☎ und Adressen ⚑ mit Karte, Routing, Öffnungszeiten, Homepage, E-Mail, vCard und Firmendaten.</t>
  </si>
  <si>
    <t>Grazer Vorstadt 160</t>
  </si>
  <si>
    <t>47.0394887</t>
  </si>
  <si>
    <t>15.2209787</t>
  </si>
  <si>
    <t>+436764326193</t>
  </si>
  <si>
    <t>christian@pfeiferhaus.at</t>
  </si>
  <si>
    <t>https://bilder.dasschnelle.at/DasSchnelle/50/5000/9941/045375/G_045375_P_906208403.adn.gif</t>
  </si>
  <si>
    <t>Pichler, Harald, Elektrounternehmen • Sierning • Oberösterreich</t>
  </si>
  <si>
    <t>Elektrounternehmen • Pichler, Harald, Mühlberg 14, Sierning • Kontakt über aktuelle Telefonnummern ☎ und Adressen ⚑ mit Karte, Routing, Öffnungszeiten, Homepage, E-Mail, vCard und Firmendaten.</t>
  </si>
  <si>
    <t>Mühlberg 14</t>
  </si>
  <si>
    <t>48.04604</t>
  </si>
  <si>
    <t>14.31032</t>
  </si>
  <si>
    <t>+43725925030;+436763138519</t>
  </si>
  <si>
    <t>regina.pichler@elektropichler.at</t>
  </si>
  <si>
    <t>https://bilder.dasschnelle.at/DasSchnelle/50/5000/9932/042821/I_042821_P_906208409_L_0036244175_1.png</t>
  </si>
  <si>
    <t>https://bilder.dasschnelle.at/DasSchnelle/50/5000/9932/042821/I_042821_P_906208409_B_0036244175_1.gal.png?height=200&amp;width=200;https://bilder.dasschnelle.at/DasSchnelle/50/5000/9932/042821/I_042821_P_906208409_B_0036244175_2.gal.png?height=200&amp;width=200;https://bilder.dasschnelle.at/DasSchnelle/50/5000/9932/042821/I_042821_P_906208409_B_0036244175_3.gal.png?height=200&amp;width=200;https://bilder.dasschnelle.at/DasSchnelle/50/5000/9932/042821/I_042821_P_906208409_B_0036244175_4.gal.png?height=200&amp;width=200</t>
  </si>
  <si>
    <t>Bauer, Ernst, Heilmasseur u. Energetiker • Köflach • Steiermark</t>
  </si>
  <si>
    <t>Dienstleistungen • Bauer, Ernst, Albert-Zach-Siedlung 3, Köflach • Kontakt über aktuelle Telefonnummern ☎ und Adressen ⚑ mit Karte, Routing, Öffnungszeiten, Homepage, E-Mail, vCard und Firmendaten.</t>
  </si>
  <si>
    <t>Albert-Zach-Siedlung 3</t>
  </si>
  <si>
    <t>47.03688</t>
  </si>
  <si>
    <t>15.08138</t>
  </si>
  <si>
    <t>+436644352224</t>
  </si>
  <si>
    <t>office@ernst-bauer.at</t>
  </si>
  <si>
    <t>https://bilder.dasschnelle.at/DasSchnelle/50/5000/9941/061383/G_061383_P_906209541.adn.gif</t>
  </si>
  <si>
    <t>Butter KG, Bestattungsunternehmen • Trieben • Steiermark</t>
  </si>
  <si>
    <t>Bestattungsunternehmen • Butter KG, Alte Tauernstraße 7, Trieben • Kontakt über aktuelle Telefonnummern ☎ und Adressen ⚑ mit Karte, Routing, Öffnungszeiten, Homepage, E-Mail, vCard und Firmendaten.</t>
  </si>
  <si>
    <t>Alte Tauernstraße 7</t>
  </si>
  <si>
    <t>47.48811</t>
  </si>
  <si>
    <t>14.48592</t>
  </si>
  <si>
    <t>+43361528044</t>
  </si>
  <si>
    <t>+43361528085</t>
  </si>
  <si>
    <t>bestattungbutter@aon.at</t>
  </si>
  <si>
    <t>https://bilder.dasschnelle.at/DasSchnelle/50/5000/9905/044879/G_044879_P_906209550.adn.gif</t>
  </si>
  <si>
    <t>Nemetschek Peter Installations GesmbH, Installtionen • Sierning • Oberösterreich</t>
  </si>
  <si>
    <t>Installationsunternehmen, Wärmepumpen • Nemetschek Peter Installations GesmbH, Bahnhofstraße 3, Sierning • Kontakt über aktuelle Telefonnummern ☎ und Adressen ⚑ mit Karte, Routing, Öffnungszeiten, Homepage, E-Mail, vCard und Firmendaten.</t>
  </si>
  <si>
    <t>48.04362</t>
  </si>
  <si>
    <t>14.31006</t>
  </si>
  <si>
    <t>+4372592382</t>
  </si>
  <si>
    <t>firma.nemetschek@aon.at</t>
  </si>
  <si>
    <t>https://bilder.dasschnelle.at/DasSchnelle/50/5000/9932/042821/G_042821_P_906209727.adn.gif</t>
  </si>
  <si>
    <t>Bestattung Josef Mayrhofer • Schildorn • Oberösterreich</t>
  </si>
  <si>
    <t>Bestattungsunternehmen • Bestattung Josef Mayrhofer, Dorfplatz 4, Schildorn • Kontakt über aktuelle Telefonnummern ☎ und Adressen ⚑ mit Karte, Routing, Öffnungszeiten, Homepage, E-Mail, vCard und Firmendaten.</t>
  </si>
  <si>
    <t>4920</t>
  </si>
  <si>
    <t>Schildorn</t>
  </si>
  <si>
    <t>48.1466200</t>
  </si>
  <si>
    <t>13.4662000</t>
  </si>
  <si>
    <t>+4377548010</t>
  </si>
  <si>
    <t>ratundhilfe@bestattung-mayrhofer.at</t>
  </si>
  <si>
    <t>https://bilder.dasschnelle.at/DasSchnelle/50/5000/9922/042539/G_042539_P_906209730.adn.gif</t>
  </si>
  <si>
    <t>Grünes Türl, Hotels • Bad Schallerbach • Oberösterreich</t>
  </si>
  <si>
    <t>Hotels • Grünes Türl, Gebersdorf 1, Bad Schallerbach • Kontakt über aktuelle Telefonnummern ☎ und Adressen ⚑ mit Karte, Routing, Öffnungszeiten, Homepage, E-Mail, vCard und Firmendaten.</t>
  </si>
  <si>
    <t>Gebersdorf 1</t>
  </si>
  <si>
    <t>48.2304702</t>
  </si>
  <si>
    <t>13.9018876</t>
  </si>
  <si>
    <t>+437249481630</t>
  </si>
  <si>
    <t>+43724942932</t>
  </si>
  <si>
    <t>hotel@gruenes-tuerl.at</t>
  </si>
  <si>
    <t>https://bilder.dasschnelle.at/DasSchnelle/50/5000/9887/041809/G_041809_P_906210708.adn.gif</t>
  </si>
  <si>
    <t>Kößl, Eva Simone, Dr.med., Ärzte / Fachärzte f Zahn-, Mund-u Kieferheilkunde • Ried im Innkreis • Oberösterreich</t>
  </si>
  <si>
    <t>Ärzte / Fachärzte f. Zahn-, Mund u. Kieferheilkunde • Kößl, Eva Simone, Dr.med., Josef-Kränzl-Straße 7, Ried im Innkreis • Kontakt über aktuelle Telefonnummern ☎ und Adressen ⚑ mit Karte, Routing, Öffnungszeiten, Homepage, E-Mail, vCard und Firmendaten.</t>
  </si>
  <si>
    <t>Josef-Kränzl-Straße 7</t>
  </si>
  <si>
    <t>48.20309</t>
  </si>
  <si>
    <t>13.48687</t>
  </si>
  <si>
    <t>+43775282101</t>
  </si>
  <si>
    <t>evakoessl@gmx.at</t>
  </si>
  <si>
    <t>https://bilder.dasschnelle.at/DasSchnelle/50/5000/9922/042563/I_042563_P_906210711_B_0036177414_1.gal.png?height=400&amp;width=600;https://bilder.dasschnelle.at/DasSchnelle/50/5000/9922/042563/G_042563_P_906210711.adn.gif</t>
  </si>
  <si>
    <t>Fraungruber &amp; Leitner GmbH &amp; Co KG, Installation f Wasser, Heizung, Gas u Luft • Bad Schallerbach • Oberösterreich</t>
  </si>
  <si>
    <t>Installationsunternehmen • Fraungruber &amp; Leitner GmbH &amp; Co KG, Grieskirchner Straße 15, Bad Schallerbach • Kontakt über aktuelle Telefonnummern ☎ und Adressen ⚑ mit Karte, Routing, Öffnungszeiten, Homepage, E-Mail, vCard und Firmendaten.</t>
  </si>
  <si>
    <t>48.23087</t>
  </si>
  <si>
    <t>13.91728</t>
  </si>
  <si>
    <t>+437249480070</t>
  </si>
  <si>
    <t>office@ful.at</t>
  </si>
  <si>
    <t>https://bilder.dasschnelle.at/DasSchnelle/50/5000/9869/041809/I_041809_P_906210713_L_0036239045_1.png</t>
  </si>
  <si>
    <t>https://bilder.dasschnelle.at/DasSchnelle/50/5000/9869/041809/I_041809_P_906210713_B_0036239045_1.gal.png?height=247&amp;width=364;https://bilder.dasschnelle.at/DasSchnelle/50/5000/9869/041809/I_041809_P_906210713_B_0036239045_2.gal.png?height=246&amp;width=365;https://bilder.dasschnelle.at/DasSchnelle/50/5000/9869/041809/I_041809_P_906210713_B_0036239045_3.gal.png?height=247&amp;width=366</t>
  </si>
  <si>
    <t>Pachinger, Christian, Mag., RA • Bad Schallerbach • Oberösterreich</t>
  </si>
  <si>
    <t>Rechtsanwälte • Pachinger, Christian, Mag., Grieskirchner Straße 10 /2, Bad Schallerbach • Kontakt über aktuelle Telefonnummern ☎ und Adressen ⚑ mit Karte, Routing, Öffnungszeiten, Homepage, E-Mail, vCard und Firmendaten.</t>
  </si>
  <si>
    <t>Grieskirchner Straße 10 /2</t>
  </si>
  <si>
    <t>48.2310680</t>
  </si>
  <si>
    <t>13.9165766</t>
  </si>
  <si>
    <t>+436644586828</t>
  </si>
  <si>
    <t>schallerbach@kpmr.at</t>
  </si>
  <si>
    <t>https://bilder.dasschnelle.at/DasSchnelle/50/5000/9869/041809/G_041809_P_906210715.adn.gif</t>
  </si>
  <si>
    <t>Greinecker, Franz, Tischlereien • Schönau • Oberösterreich</t>
  </si>
  <si>
    <t>Tischlereien • Greinecker, Franz, Gstocket 4, Schönau • Kontakt über aktuelle Telefonnummern ☎ und Adressen ⚑ mit Karte, Routing, Öffnungszeiten, Homepage, E-Mail, vCard und Firmendaten.</t>
  </si>
  <si>
    <t>Gstocket 4</t>
  </si>
  <si>
    <t>Schönau</t>
  </si>
  <si>
    <t>48.24897</t>
  </si>
  <si>
    <t>13.8899</t>
  </si>
  <si>
    <t>+437249483680;+4372494836813</t>
  </si>
  <si>
    <t>+4372494836850</t>
  </si>
  <si>
    <t>office@tischlerei-greinecker.at</t>
  </si>
  <si>
    <t>https://bilder.dasschnelle.at/DasSchnelle/50/5000/9869/041809/I_041809_P_906210724_L_0036239044_1.png</t>
  </si>
  <si>
    <t>https://bilder.dasschnelle.at/DasSchnelle/50/5000/9869/041809/I_041809_P_906210724_B_0036239044_1.gal.png?height=450&amp;width=337;https://bilder.dasschnelle.at/DasSchnelle/50/5000/9869/041809/I_041809_P_906210724_B_0036239044_2.gal.png?height=337&amp;width=450;https://bilder.dasschnelle.at/DasSchnelle/50/5000/9869/041809/I_041809_P_906210724_B_0036239044_3.gal.png?height=337&amp;width=450;https://bilder.dasschnelle.at/DasSchnelle/50/5000/9869/041809/I_041809_P_906210724_B_0036239044_4.gal.png?height=550&amp;width=720</t>
  </si>
  <si>
    <t>Falk, Hubert, Möbeltischlerei • Bad Schallerbach • Oberösterreich</t>
  </si>
  <si>
    <t>Bestattungsunternehmen • Falk, Hubert, Schönauer Straße 51, Bad Schallerbach • Kontakt über aktuelle Telefonnummern ☎ und Adressen ⚑ mit Karte, Routing, Öffnungszeiten, Homepage, E-Mail, vCard und Firmendaten.</t>
  </si>
  <si>
    <t>Schönauer Straße 51</t>
  </si>
  <si>
    <t>48.23915</t>
  </si>
  <si>
    <t>13.91205</t>
  </si>
  <si>
    <t>+437249481460;+436645438002</t>
  </si>
  <si>
    <t>+4372494814615</t>
  </si>
  <si>
    <t>hubert.falk@aon.at</t>
  </si>
  <si>
    <t>https://bilder.dasschnelle.at/DasSchnelle/50/5000/9869/041809/G_041809_P_906210932.adn.gif</t>
  </si>
  <si>
    <t>Hubert Enzlmüller • Untermauer • Oberösterreich</t>
  </si>
  <si>
    <t>Brennstoffhandel • Hubert Enzlmüller, Untermauer 10, Untermauer • Kontakt über aktuelle Telefonnummern ☎ und Adressen ⚑ mit Karte, Routing, Öffnungszeiten, Homepage, E-Mail, vCard und Firmendaten.</t>
  </si>
  <si>
    <t>Untermauer 10</t>
  </si>
  <si>
    <t>4743</t>
  </si>
  <si>
    <t>Untermauer</t>
  </si>
  <si>
    <t>48.2354756</t>
  </si>
  <si>
    <t>13.5562665</t>
  </si>
  <si>
    <t>+4377503407</t>
  </si>
  <si>
    <t>https://bilder.dasschnelle.at/DasSchnelle/50/5000/9922/042560/G_042560_P_906210935.adn.gif</t>
  </si>
  <si>
    <t>Strasser, Claudia, Taxi • Neuzeug • Oberösterreich</t>
  </si>
  <si>
    <t>Taxi • Strasser, Claudia, Sierninghofenstraße 129, Neuzeug • Kontakt über aktuelle Telefonnummern ☎ und Adressen ⚑ mit Karte, Routing, Öffnungszeiten, Homepage, E-Mail, vCard und Firmendaten.</t>
  </si>
  <si>
    <t>Sierninghofenstraße 129</t>
  </si>
  <si>
    <t>48.0504</t>
  </si>
  <si>
    <t>14.33422</t>
  </si>
  <si>
    <t>+436641313899</t>
  </si>
  <si>
    <t>taxistrasser@aon.at</t>
  </si>
  <si>
    <t>https://bilder.dasschnelle.at/DasSchnelle/50/5000/9932/042821/G_042821_P_906210943.adn.gif</t>
  </si>
  <si>
    <t>Brandner, Heribert, Psychotherapeut • Adlwang • Oberösterreich</t>
  </si>
  <si>
    <t>Psychotherapie • Brandner, Heribert, Fernbachweg 7, Adlwang • Kontakt über aktuelle Telefonnummern ☎ und Adressen ⚑ mit Karte, Routing, Öffnungszeiten, Homepage, E-Mail, vCard und Firmendaten.</t>
  </si>
  <si>
    <t>Fernbachweg 7</t>
  </si>
  <si>
    <t>48.01709</t>
  </si>
  <si>
    <t>14.23739</t>
  </si>
  <si>
    <t>+436765359129</t>
  </si>
  <si>
    <t>heribert.brandner@gmx.at</t>
  </si>
  <si>
    <t>https://bilder.dasschnelle.at/DasSchnelle/50/5000/9867/042806/G_042806_P_906209442.adn.gif</t>
  </si>
  <si>
    <t>Maier, Klaus, Mag.iur., ö Notar • Murau • Steiermark</t>
  </si>
  <si>
    <t>Notare • Maier, Klaus, Mag.iur., Schillerplatz 1, Murau • Kontakt über aktuelle Telefonnummern ☎ und Adressen ⚑ mit Karte, Routing, Öffnungszeiten, Homepage, E-Mail, vCard und Firmendaten.</t>
  </si>
  <si>
    <t>Schillerplatz 1</t>
  </si>
  <si>
    <t>47.11049</t>
  </si>
  <si>
    <t>14.1709</t>
  </si>
  <si>
    <t>+43353222620</t>
  </si>
  <si>
    <t>office@notar-maier.at</t>
  </si>
  <si>
    <t>https://bilder.dasschnelle.at/DasSchnelle/50/5000/9910/061401/I_061401_P_906209444_L_0036239055_1.png</t>
  </si>
  <si>
    <t>https://bilder.dasschnelle.at/DasSchnelle/50/5000/9910/061401/I_061401_P_906209444_B_0036239055_1.gal.png?height=370&amp;width=555;https://bilder.dasschnelle.at/DasSchnelle/50/5000/9910/061401/I_061401_P_906209444_B_0036239055_2.gal.png?height=400&amp;width=600</t>
  </si>
  <si>
    <t>Wakolbinger, Josef jun., Baggerunternehmen • Pfarrkirchen • Oberösterreich</t>
  </si>
  <si>
    <t>Baggerungen u. Transporte • Wakolbinger, Josef jun., Wehrbach 19, Pfarrkirchen • Kontakt über aktuelle Telefonnummern ☎ und Adressen ⚑ mit Karte, Routing, Öffnungszeiten, Homepage, E-Mail, vCard und Firmendaten.</t>
  </si>
  <si>
    <t>Wehrbach 19</t>
  </si>
  <si>
    <t>Pfarrkirchen</t>
  </si>
  <si>
    <t>48.5047262</t>
  </si>
  <si>
    <t>13.8030569</t>
  </si>
  <si>
    <t>+4372856482</t>
  </si>
  <si>
    <t>office@baggerjoe.at</t>
  </si>
  <si>
    <t>https://bilder.dasschnelle.at/DasSchnelle/50/5000/9923/042286/G_042286_P_906209450.adn.gif</t>
  </si>
  <si>
    <t>Landtechnik Alois Krenn GmbH, Landmaschinen • Kollerschlag • Oberösterreich</t>
  </si>
  <si>
    <t>Landmaschinen • Landtechnik Alois Krenn GmbH, Mollmannsreith 66, Kollerschlag • Kontakt über aktuelle Telefonnummern ☎ und Adressen ⚑ mit Karte, Routing, Öffnungszeiten, Homepage, E-Mail, vCard und Firmendaten.</t>
  </si>
  <si>
    <t>Mollmannsreith 66</t>
  </si>
  <si>
    <t>48.5779402</t>
  </si>
  <si>
    <t>13.8310524</t>
  </si>
  <si>
    <t>+436642421922</t>
  </si>
  <si>
    <t>office@landmaschinen-krenn.com</t>
  </si>
  <si>
    <t>https://bilder.dasschnelle.at/DasSchnelle/50/5000/9923/042276/G_042276_P_906210617.adn.gif</t>
  </si>
  <si>
    <t>Keuschnigg, Andreas, Uhren • Bad Schallerbach • Oberösterreich</t>
  </si>
  <si>
    <t>Uhren u. Schmuck • Keuschnigg, Andreas, Rathausplatz 4, Bad Schallerbach • Kontakt über aktuelle Telefonnummern ☎ und Adressen ⚑ mit Karte, Routing, Öffnungszeiten, Homepage, E-Mail, vCard und Firmendaten.</t>
  </si>
  <si>
    <t>Rathausplatz 4</t>
  </si>
  <si>
    <t>48.23152</t>
  </si>
  <si>
    <t>13.91938</t>
  </si>
  <si>
    <t>+43724948054</t>
  </si>
  <si>
    <t>werkstatt@goldschmiede-keuschnigg.at</t>
  </si>
  <si>
    <t>https://bilder.dasschnelle.at/DasSchnelle/50/5000/9869/041809/G_041809_P_906210890.adn.gif</t>
  </si>
  <si>
    <t>Roithmeier, Iris, Fußpflege • Bad Schallerbach • Oberösterreich</t>
  </si>
  <si>
    <t>Fußpflege, Massagen • Roithmeier, Iris, Schönauer Straße 26, Bad Schallerbach • Kontakt über aktuelle Telefonnummern ☎ und Adressen ⚑ mit Karte, Routing, Öffnungszeiten, Homepage, E-Mail, vCard und Firmendaten.</t>
  </si>
  <si>
    <t>Schönauer Straße 26</t>
  </si>
  <si>
    <t>48.22935</t>
  </si>
  <si>
    <t>13.92124</t>
  </si>
  <si>
    <t>+436505000006</t>
  </si>
  <si>
    <t>info@beautymoment.at</t>
  </si>
  <si>
    <t>Baublck Gebäude-und Anlagentechnik • Ried im Innkreis • Oberösterreich</t>
  </si>
  <si>
    <t>Installationsunternehmen • Baublck Gebäude-und Anlagentechnik, Voglweg 2, Ried im Innkreis • Kontakt über aktuelle Telefonnummern ☎ und Adressen ⚑ mit Karte, Routing, Öffnungszeiten, Homepage, E-Mail, vCard und Firmendaten.</t>
  </si>
  <si>
    <t>Voglweg 2</t>
  </si>
  <si>
    <t>48.2137599</t>
  </si>
  <si>
    <t>13.4894218</t>
  </si>
  <si>
    <t>office@bauboeck-gat.at</t>
  </si>
  <si>
    <t>https://bilder.dasschnelle.at/DasSchnelle/50/5000/9922/042563/G_042563_P_906209597.adn.gif</t>
  </si>
  <si>
    <t>Autohaus Priewasser GmbH • Ried im Innkreis</t>
  </si>
  <si>
    <t>Autohandel • Autohaus Priewasser GmbH, Salzburger Straße 26, Ried im Innkreis • Kontakt über aktuelle Telefonnummern ☎ und Adressen ⚑ mit Karte, Routing, Öffnungszeiten, Homepage, E-Mail, vCard und Firmendaten.</t>
  </si>
  <si>
    <t>Salzburger Straße 26</t>
  </si>
  <si>
    <t>48.20243</t>
  </si>
  <si>
    <t>13.47745</t>
  </si>
  <si>
    <t>+4377526660</t>
  </si>
  <si>
    <t>info@priewasserzentrum.at</t>
  </si>
  <si>
    <t>https://bilder.dasschnelle.at/DasSchnelle/50/5000/9922/042563/G_042563_P_906209599.adn.gif</t>
  </si>
  <si>
    <t>Innocente GmbH • Vorchdorf • Oberösterreich</t>
  </si>
  <si>
    <t>Dachdeckereien, Spenglereien • Innocente GmbH, Danzlauer Straße 23, Vorchdorf • Kontakt über aktuelle Telefonnummern ☎ und Adressen ⚑ mit Karte, Routing, Öffnungszeiten, Homepage, E-Mail, vCard und Firmendaten.</t>
  </si>
  <si>
    <t>Danzlauer Straße 23</t>
  </si>
  <si>
    <t>47.97976</t>
  </si>
  <si>
    <t>13.92439</t>
  </si>
  <si>
    <t>+43761474330</t>
  </si>
  <si>
    <t>dach@innocente.at</t>
  </si>
  <si>
    <t>https://bilder.dasschnelle.at/DasSchnelle/50/5000/9943/041807/G_041807_P_906209776.adn.gif</t>
  </si>
  <si>
    <t>Amering, Gerhard, Elektrotechnik • Steinerkirchen an der Traun • Oberösterreich</t>
  </si>
  <si>
    <t>Elektrotechnik • Amering, Gerhard, Gartenstraße 15, Steinerkirchen an der Traun • Kontakt über aktuelle Telefonnummern ☎ und Adressen ⚑ mit Karte, Routing, Öffnungszeiten, Homepage, E-Mail, vCard und Firmendaten.</t>
  </si>
  <si>
    <t>Gartenstraße 15</t>
  </si>
  <si>
    <t>48.07609</t>
  </si>
  <si>
    <t>13.9551</t>
  </si>
  <si>
    <t>+4372412469</t>
  </si>
  <si>
    <t>office@elektro-amering.at</t>
  </si>
  <si>
    <t>https://bilder.dasschnelle.at/DasSchnelle/50/5000/9934/043582/G_043582_P_906209760.adn.gif</t>
  </si>
  <si>
    <t>Zapfl, Peter, Ing., Steinmetzmeister • Voitsberg • Steiermark</t>
  </si>
  <si>
    <t>Steinmetzbetriebe • Zapfl, Peter, Ing., Oberdorferstraße 12, Voitsberg • Kontakt über aktuelle Telefonnummern ☎ und Adressen ⚑ mit Karte, Routing, Öffnungszeiten, Homepage, E-Mail, vCard und Firmendaten.</t>
  </si>
  <si>
    <t>Oberdorferstraße 12</t>
  </si>
  <si>
    <t>47.05931</t>
  </si>
  <si>
    <t>15.13687</t>
  </si>
  <si>
    <t>+43314222794;+436763048264;+436763048264</t>
  </si>
  <si>
    <t>steinmetz.zapfl@aon.at</t>
  </si>
  <si>
    <t>https://bilder.dasschnelle.at/DasSchnelle/50/5000/9941/045375/G_045375_P_906210906.adn.gif</t>
  </si>
  <si>
    <t>Austaller, Helmut, Alles rund ums Haus • Vorchdorf • Oberösterreich</t>
  </si>
  <si>
    <t>Fenster u. Türen • Austaller, Helmut, Pettenbacherstraße 68, Vorchdorf • Kontakt über aktuelle Telefonnummern ☎ und Adressen ⚑ mit Karte, Routing, Öffnungszeiten, Homepage, E-Mail, vCard und Firmendaten.</t>
  </si>
  <si>
    <t>Pettenbacherstraße 68</t>
  </si>
  <si>
    <t>47.99711</t>
  </si>
  <si>
    <t>13.9387</t>
  </si>
  <si>
    <t>+4369919881999</t>
  </si>
  <si>
    <t>office@h-aus.at</t>
  </si>
  <si>
    <t>https://bilder.dasschnelle.at/DasSchnelle/50/5000/9943/041807/I_041807_P_906210910_L_0036253819_1.png</t>
  </si>
  <si>
    <t>https://bilder.dasschnelle.at/DasSchnelle/50/5000/9943/041807/I_041807_P_906210910_B_0036253819_1.gal.png?height=600&amp;width=297;https://bilder.dasschnelle.at/DasSchnelle/50/5000/9943/041807/I_041807_P_906210910_B_0036253819_2.gal.png?height=600&amp;width=297;https://bilder.dasschnelle.at/DasSchnelle/50/5000/9943/041807/I_041807_P_906210910_B_0036253819_3.gal.png?height=600&amp;width=433;https://bilder.dasschnelle.at/DasSchnelle/50/5000/9943/041807/I_041807_P_906210910_B_0036253819_4.gal.png?height=600&amp;width=313</t>
  </si>
  <si>
    <t>Wolfsmaier GmbH, Dachdeckereien • Wallern an der Trattnach • Oberösterreich</t>
  </si>
  <si>
    <t>Dachdeckereien • Wolfsmaier GmbH, Höhenstraße 7, Wallern an der Trattnach • Kontakt über aktuelle Telefonnummern ☎ und Adressen ⚑ mit Karte, Routing, Öffnungszeiten, Homepage, E-Mail, vCard und Firmendaten.</t>
  </si>
  <si>
    <t>Höhenstraße 7</t>
  </si>
  <si>
    <t>4702</t>
  </si>
  <si>
    <t>Wallern an der Trattnach</t>
  </si>
  <si>
    <t>48.23183</t>
  </si>
  <si>
    <t>13.94207</t>
  </si>
  <si>
    <t>+43724942817;+436642431817</t>
  </si>
  <si>
    <t>+43724949232</t>
  </si>
  <si>
    <t>office@wolfsmaier.at</t>
  </si>
  <si>
    <t>https://bilder.dasschnelle.at/DasSchnelle/50/5000/9869/041978/I_041978_P_906211696_L_0036239092_1.png</t>
  </si>
  <si>
    <t>https://bilder.dasschnelle.at/DasSchnelle/50/5000/9869/041978/I_041978_P_906211696_B_0036239092_1.gal.png?height=167&amp;width=250;https://bilder.dasschnelle.at/DasSchnelle/50/5000/9869/041978/I_041978_P_906211696_B_0036239092_2.gal.png?height=167&amp;width=250;https://bilder.dasschnelle.at/DasSchnelle/50/5000/9869/041978/I_041978_P_906211696_B_0036239092_3.gal.png?height=188&amp;width=250;https://bilder.dasschnelle.at/DasSchnelle/50/5000/9869/041978/I_041978_P_906211696_B_0036239092_4.gal.png?height=167&amp;width=250</t>
  </si>
  <si>
    <t>Textilpflege Wächter GmbH • Bad Hall • Oberösterreich</t>
  </si>
  <si>
    <t>Textilreinigung • Textilpflege Wächter GmbH, Kirchenstraße 13, Bad Hall • Kontakt über aktuelle Telefonnummern ☎ und Adressen ⚑ mit Karte, Routing, Öffnungszeiten, Homepage, E-Mail, vCard und Firmendaten.</t>
  </si>
  <si>
    <t>+436604101011</t>
  </si>
  <si>
    <t>https://bilder.dasschnelle.at/DasSchnelle/50/5000/9867/042808/I_042808_P_906211837_L_0035970836_1.png</t>
  </si>
  <si>
    <t>https://bilder.dasschnelle.at/DasSchnelle/50/5000/9867/042808/I_042808_P_906211837_B_0035970836_1.gal.png?height=183&amp;width=275;https://bilder.dasschnelle.at/DasSchnelle/50/5000/9867/042808/I_042808_P_906211837_B_0035970836_2.gal.png?height=225&amp;width=225;https://bilder.dasschnelle.at/DasSchnelle/50/5000/9867/042808/I_042808_P_906211837_B_0035970836_3.gal.png?height=378&amp;width=555;https://bilder.dasschnelle.at/DasSchnelle/50/5000/9867/042808/I_042808_P_906211837_B_0035970836_4.gal.png?height=490&amp;width=720</t>
  </si>
  <si>
    <t>Textilpflege Wächter GmbH • Sierning • Oberösterreich</t>
  </si>
  <si>
    <t>Textilreinigung • Textilpflege Wächter GmbH, Kirchplatz 5, Sierning • Kontakt über aktuelle Telefonnummern ☎ und Adressen ⚑ mit Karte, Routing, Öffnungszeiten, Homepage, E-Mail, vCard und Firmendaten.</t>
  </si>
  <si>
    <t>Kirchplatz 5</t>
  </si>
  <si>
    <t>+4372592037;+4372592037;+436644110614;+4369914207317;+4369914250527;+4369914250541;+4369914250544;+4369914298756;+4369914298758</t>
  </si>
  <si>
    <t>https://bilder.dasschnelle.at/DasSchnelle/50/5000/9932/042821/I_042821_P_906211954_L_0035970836_1.png</t>
  </si>
  <si>
    <t>https://bilder.dasschnelle.at/DasSchnelle/50/5000/9932/042821/I_042821_P_906211954_B_0035970836_1.gal.png?height=183&amp;width=275;https://bilder.dasschnelle.at/DasSchnelle/50/5000/9932/042821/I_042821_P_906211954_B_0035970836_2.gal.png?height=225&amp;width=225;https://bilder.dasschnelle.at/DasSchnelle/50/5000/9932/042821/I_042821_P_906211954_B_0035970836_3.gal.png?height=378&amp;width=555;https://bilder.dasschnelle.at/DasSchnelle/50/5000/9932/042821/I_042821_P_906211954_B_0035970836_4.gal.png?height=490&amp;width=720</t>
  </si>
  <si>
    <t>Dr.med. Peter Lippitz, FA f. Radiologie • Voitsberg • Steiermark</t>
  </si>
  <si>
    <t>Ärzte / Fachärzte f. Radiologie • Dr.med. Peter Lippitz, Hauptplatz 43, Voitsberg • Kontakt über aktuelle Telefonnummern ☎ und Adressen ⚑ mit Karte, Routing, Öffnungszeiten, Homepage, E-Mail, vCard und Firmendaten.</t>
  </si>
  <si>
    <t>Hauptplatz 43</t>
  </si>
  <si>
    <t>47.04925</t>
  </si>
  <si>
    <t>15.152</t>
  </si>
  <si>
    <t>+433142222780</t>
  </si>
  <si>
    <t>https://bilder.dasschnelle.at/DasSchnelle/50/5000/9941/045375/G_045375_P_906212809.adn.gif</t>
  </si>
  <si>
    <t>Schmidt, Klaus, Dr., Steuerberater • Rosental an der Kainach • Steiermark</t>
  </si>
  <si>
    <t>Steuerberater, Agrarhandel • Schmidt, Klaus, Dr., Hauptstraße 27, Rosental an der Kainach • Kontakt über aktuelle Telefonnummern ☎ und Adressen ⚑ mit Karte, Routing, Öffnungszeiten, Homepage, E-Mail, vCard und Firmendaten.</t>
  </si>
  <si>
    <t>Hauptstraße 27</t>
  </si>
  <si>
    <t>47.0524900</t>
  </si>
  <si>
    <t>15.1241492</t>
  </si>
  <si>
    <t>+433142273500;+436763186062</t>
  </si>
  <si>
    <t>office@drschmidt.at</t>
  </si>
  <si>
    <t>https://bilder.dasschnelle.at/DasSchnelle/50/5000/9941/045368/G_045368_P_906212720.adn.gif</t>
  </si>
  <si>
    <t>Zmugg, Rainer, Dr., FA f Zahn-, Mund-u Kieferheilkunde • Voitsberg • Steiermark</t>
  </si>
  <si>
    <t>Ärzte / Fachärzte f. Zahn-, Mund u. Kieferheilkunde • Zmugg, Rainer, Dr., Hauptplatz 43, Voitsberg • Kontakt über aktuelle Telefonnummern ☎ und Adressen ⚑ mit Karte, Routing, Öffnungszeiten, Homepage, E-Mail, vCard und Firmendaten.</t>
  </si>
  <si>
    <t>+43314223355</t>
  </si>
  <si>
    <t>zmugg@aon.at</t>
  </si>
  <si>
    <t>https://bilder.dasschnelle.at/DasSchnelle/50/5000/9941/045375/G_045375_P_906212725.adn.gif</t>
  </si>
  <si>
    <t>Lindinger, Anita, Taxi • Edlgassen • Oberösterreich</t>
  </si>
  <si>
    <t>Taxi • Lindinger, Anita, Edlgassen • Kontakt über aktuelle Telefonnummern ☎ und Adressen ⚑ mit Karte, Routing, Öffnungszeiten, Homepage, E-Mail, vCard und Firmendaten.</t>
  </si>
  <si>
    <t>Edlgassen</t>
  </si>
  <si>
    <t>48.2196343</t>
  </si>
  <si>
    <t>13.9592089</t>
  </si>
  <si>
    <t>+436502330677;+4369981661323;+43724946872</t>
  </si>
  <si>
    <t>anitalindinger@hotmail.com</t>
  </si>
  <si>
    <t>https://bilder.dasschnelle.at/DasSchnelle/50/5000/9869/041978/G_041978_P_906212857.adn.gif</t>
  </si>
  <si>
    <t>Nguyen, Tri Quang, Gasthaus • Neuzeug • Oberösterreich</t>
  </si>
  <si>
    <t>Gastgewerbe - Gasthöfe, Restaurants • Nguyen, Tri Quang, Steyrtalstraße 83, Neuzeug • Kontakt über aktuelle Telefonnummern ☎ und Adressen ⚑ mit Karte, Routing, Öffnungszeiten, Homepage, E-Mail, vCard und Firmendaten.</t>
  </si>
  <si>
    <t>Steyrtalstraße 83</t>
  </si>
  <si>
    <t>48.04413</t>
  </si>
  <si>
    <t>14.33051</t>
  </si>
  <si>
    <t>+43725932130;+436764303994</t>
  </si>
  <si>
    <t>https://bilder.dasschnelle.at/DasSchnelle/50/5000/9932/042821/G_042821_P_906212865.adn.gif</t>
  </si>
  <si>
    <t>Studio Cupak, Friseur • Haslach an der Mühl • Oberösterreich</t>
  </si>
  <si>
    <t>Friseure • Studio Cupak, Marktplatz 45, Haslach an der Mühl • Kontakt über aktuelle Telefonnummern ☎ und Adressen ⚑ mit Karte, Routing, Öffnungszeiten, Homepage, E-Mail, vCard und Firmendaten.</t>
  </si>
  <si>
    <t>Marktplatz 45</t>
  </si>
  <si>
    <t>+43728971366</t>
  </si>
  <si>
    <t>https://bilder.dasschnelle.at/DasSchnelle/50/5000/9923/042268/G_042268_P_906211641.adn.gif</t>
  </si>
  <si>
    <t>Lindinger, Alfred, Steinreinigung • Wallern an der Trattnach • Oberösterreich</t>
  </si>
  <si>
    <t>Gebäudereinigung, Steinreinigung • Lindinger, Alfred, Gewerbepark Winkeln 3, Wallern an der Trattnach • Kontakt über aktuelle Telefonnummern ☎ und Adressen ⚑ mit Karte, Routing, Öffnungszeiten, Homepage, E-Mail, vCard und Firmendaten.</t>
  </si>
  <si>
    <t>Gewerbepark Winkeln 3</t>
  </si>
  <si>
    <t>48.2402209</t>
  </si>
  <si>
    <t>13.9129611</t>
  </si>
  <si>
    <t>+43724949222</t>
  </si>
  <si>
    <t>office@stonesafe.at</t>
  </si>
  <si>
    <t>https://bilder.dasschnelle.at/DasSchnelle/50/5000/9869/041978/I_041978_P_906212011_L_0036032602_1.png</t>
  </si>
  <si>
    <t>https://bilder.dasschnelle.at/DasSchnelle/50/5000/9869/041978/I_041978_P_906212011_B_0036032602_1.gal.png?height=700&amp;width=250;https://bilder.dasschnelle.at/DasSchnelle/50/5000/9869/041978/I_041978_P_906212011_B_0036032602_2.gal.png?height=700&amp;width=250;https://bilder.dasschnelle.at/DasSchnelle/50/5000/9869/041978/I_041978_P_906212011_B_0036032602_3.gal.png?height=700&amp;width=250;https://bilder.dasschnelle.at/DasSchnelle/50/5000/9869/041978/I_041978_P_906212011_B_0036032602_4.gal.png?height=700&amp;width=250</t>
  </si>
  <si>
    <t>Mustafa, Ismet, Bauunternehmen • Bad Schallerbach • Oberösterreich</t>
  </si>
  <si>
    <t>Bauunternehmen • Mustafa, Ismet, Welser Straße 15, Bad Schallerbach • Kontakt über aktuelle Telefonnummern ☎ und Adressen ⚑ mit Karte, Routing, Öffnungszeiten, Homepage, E-Mail, vCard und Firmendaten.</t>
  </si>
  <si>
    <t>Welser Straße 15</t>
  </si>
  <si>
    <t>48.2261900</t>
  </si>
  <si>
    <t>13.9270600</t>
  </si>
  <si>
    <t>+436641266302</t>
  </si>
  <si>
    <t>ismet_mustafa@live.at</t>
  </si>
  <si>
    <t>https://bilder.dasschnelle.at/DasSchnelle/50/5000/9869/041809/G_041809_P_906212012.adn.gif</t>
  </si>
  <si>
    <t>Haarchitekt Josef Murauer, Friseur • Kager • Oberösterreich</t>
  </si>
  <si>
    <t>Friseure • Haarchitekt Josef Murauer, Kager 2A, Kager • Kontakt über aktuelle Telefonnummern ☎ und Adressen ⚑ mit Karte, Routing, Öffnungszeiten, Homepage, E-Mail, vCard und Firmendaten.</t>
  </si>
  <si>
    <t>Kager 2A</t>
  </si>
  <si>
    <t>Kager</t>
  </si>
  <si>
    <t>48.2087678</t>
  </si>
  <si>
    <t>13.5517116</t>
  </si>
  <si>
    <t>+436641837233</t>
  </si>
  <si>
    <t>haarchitekt@inext.at</t>
  </si>
  <si>
    <t>https://bilder.dasschnelle.at/DasSchnelle/50/5000/9922/042547/G_042547_P_906212733.adn.gif</t>
  </si>
  <si>
    <t>Bestattungen Gabriele Brixner e.U. • Enns • Oberösterreich</t>
  </si>
  <si>
    <t>Bestattungsunternehmen • Bestattungen Gabriele Brixner e.U., Lauriacumstraße 3, Enns • Kontakt über aktuelle Telefonnummern ☎ und Adressen ⚑ mit Karte, Routing, Öffnungszeiten, Homepage, E-Mail, vCard und Firmendaten.</t>
  </si>
  <si>
    <t>Lauriacumstraße 3</t>
  </si>
  <si>
    <t>48.21649</t>
  </si>
  <si>
    <t>14.46706</t>
  </si>
  <si>
    <t>+43722384667;+436642525300</t>
  </si>
  <si>
    <t>brixner@aon.at</t>
  </si>
  <si>
    <t>https://bilder.dasschnelle.at/DasSchnelle/50/5000/9877/046105/I_046105_P_906212737_L_0036242988_1.png</t>
  </si>
  <si>
    <t>https://bilder.dasschnelle.at/DasSchnelle/50/5000/9877/046105/I_046105_P_906212737_B_0036242988_1.gal.png?height=411&amp;width=600;https://bilder.dasschnelle.at/DasSchnelle/50/5000/9877/046105/I_046105_P_906212737_B_0036242988_2.gal.png?height=365&amp;width=600;https://bilder.dasschnelle.at/DasSchnelle/50/5000/9877/046105/I_046105_P_906212737_B_0036242988_3.gal.png?height=160&amp;width=160;https://bilder.dasschnelle.at/DasSchnelle/50/5000/9877/046105/I_046105_P_906212737_B_0036242988_4.gal.png?height=160&amp;width=160</t>
  </si>
  <si>
    <t>Huterer Manuel, Networkmarketing • Graz • Steiermark</t>
  </si>
  <si>
    <t>Fotostudio • Huterer Manuel, Neubaugasse 24, Graz • Kontakt über aktuelle Telefonnummern ☎ und Adressen ⚑ mit Karte, Routing, Öffnungszeiten, Homepage, E-Mail, vCard und Firmendaten.</t>
  </si>
  <si>
    <t>Neubaugasse 24</t>
  </si>
  <si>
    <t>47.0773900</t>
  </si>
  <si>
    <t>15.4310500</t>
  </si>
  <si>
    <t>+4369911048133</t>
  </si>
  <si>
    <t>manuelh.business@gmail.com</t>
  </si>
  <si>
    <t>https://bilder.dasschnelle.at/DasSchnelle/50/5000/9941/061359/G_061359_P_906212739.adn.gif</t>
  </si>
  <si>
    <t>Baier, Erwin, Metallverarbeitung • Kirchheim im Innkreis • Oberösterreich</t>
  </si>
  <si>
    <t>Metallbe- u. -verarbeitung • Baier, Erwin, Alleenweg 1, Kirchheim im Innkreis • Kontakt über aktuelle Telefonnummern ☎ und Adressen ⚑ mit Karte, Routing, Öffnungszeiten, Homepage, E-Mail, vCard und Firmendaten.</t>
  </si>
  <si>
    <t>Alleenweg 1</t>
  </si>
  <si>
    <t>48.20975</t>
  </si>
  <si>
    <t>13.35428</t>
  </si>
  <si>
    <t>+43775520199;+436642526935</t>
  </si>
  <si>
    <t>erwin.baier@a1.net</t>
  </si>
  <si>
    <t>https://bilder.dasschnelle.at/DasSchnelle/50/5000/9922/042549/I_042549_P_906211736_L_0036208476_1.png</t>
  </si>
  <si>
    <t>https://bilder.dasschnelle.at/DasSchnelle/50/5000/9922/042549/I_042549_P_906211736_B_0036208476_1.gal.png?height=624&amp;width=831;https://bilder.dasschnelle.at/DasSchnelle/50/5000/9922/042549/I_042549_P_906211736_B_0036208476_2.gal.png?height=624&amp;width=831;https://bilder.dasschnelle.at/DasSchnelle/50/5000/9922/042549/I_042549_P_906211736_B_0036208476_3.gal.png?height=624&amp;width=831;https://bilder.dasschnelle.at/DasSchnelle/50/5000/9922/042549/I_042549_P_906211736_B_0036208476_4.gal.png?height=624&amp;width=831</t>
  </si>
  <si>
    <t>Altenburger GmbH • Voitsberg • Steiermark</t>
  </si>
  <si>
    <t>Dachdeckereien • Altenburger GmbH, Am Vorum 6, Voitsberg • Kontakt über aktuelle Telefonnummern ☎ und Adressen ⚑ mit Karte, Routing, Öffnungszeiten, Homepage, E-Mail, vCard und Firmendaten.</t>
  </si>
  <si>
    <t>Am Vorum 6</t>
  </si>
  <si>
    <t>47.0506137</t>
  </si>
  <si>
    <t>15.1339443</t>
  </si>
  <si>
    <t>+43314222225</t>
  </si>
  <si>
    <t>+433142222254</t>
  </si>
  <si>
    <t>office@altenburger-voitsberg.at</t>
  </si>
  <si>
    <t>Autohaus Seifried • Gitthof • Oberösterreich</t>
  </si>
  <si>
    <t>Autohandel, Autoreparaturen • Autohaus Seifried, Gitthof 17, Gitthof • Kontakt über aktuelle Telefonnummern ☎ und Adressen ⚑ mit Karte, Routing, Öffnungszeiten, Homepage, E-Mail, vCard und Firmendaten.</t>
  </si>
  <si>
    <t>Gitthof 17</t>
  </si>
  <si>
    <t>Gitthof</t>
  </si>
  <si>
    <t>48.1279310</t>
  </si>
  <si>
    <t>13.4187210</t>
  </si>
  <si>
    <t>+4377543091</t>
  </si>
  <si>
    <t>office@autohaus-seifried.at</t>
  </si>
  <si>
    <t>https://bilder.dasschnelle.at/DasSchnelle/50/5000/9922/042257/G_042257_P_906212808.adn.gif</t>
  </si>
  <si>
    <t>Planner, Gerald, Mag., RA • Voitsberg • Steiermark</t>
  </si>
  <si>
    <t>Rechtsanwälte • Planner, Gerald, Mag., Hauptplatz 57, Voitsberg • Kontakt über aktuelle Telefonnummern ☎ und Adressen ⚑ mit Karte, Routing, Öffnungszeiten, Homepage, E-Mail, vCard und Firmendaten.</t>
  </si>
  <si>
    <t>Hauptplatz 57</t>
  </si>
  <si>
    <t>47.04902</t>
  </si>
  <si>
    <t>15.15027</t>
  </si>
  <si>
    <t>+43314226842</t>
  </si>
  <si>
    <t>+4331422684220</t>
  </si>
  <si>
    <t>office@ra-planner.at</t>
  </si>
  <si>
    <t>https://bilder.dasschnelle.at/DasSchnelle/50/5000/9941/045375/I_045375_P_906213580_L_0036253249_1.png</t>
  </si>
  <si>
    <t>https://bilder.dasschnelle.at/DasSchnelle/50/5000/9941/045375/I_045375_P_906213580_B_0036253249_1.gal.png?height=180&amp;width=240;https://bilder.dasschnelle.at/DasSchnelle/50/5000/9941/045375/I_045375_P_906213580_B_0036253249_2.gal.png?height=180&amp;width=240;https://bilder.dasschnelle.at/DasSchnelle/50/5000/9941/045375/I_045375_P_906213580_B_0036253249_3.gal.png?height=180&amp;width=250;https://bilder.dasschnelle.at/DasSchnelle/50/5000/9941/045375/G_045375_P_906213580.adn.gif</t>
  </si>
  <si>
    <t>Krempl, Barbara, DDr., FA f Zahn-, Mund- u Kieferheilkunde • Köflach • Steiermark</t>
  </si>
  <si>
    <t>Ärzte / Fachärzte f. Zahn-, Mund u. Kieferheilkunde • Krempl, Barbara, DDr., Judenburgerstraße 52, Köflach • Kontakt über aktuelle Telefonnummern ☎ und Adressen ⚑ mit Karte, Routing, Öffnungszeiten, Homepage, E-Mail, vCard und Firmendaten.</t>
  </si>
  <si>
    <t>Judenburgerstraße 52</t>
  </si>
  <si>
    <t>47.06518</t>
  </si>
  <si>
    <t>15.07765</t>
  </si>
  <si>
    <t>+43314472074</t>
  </si>
  <si>
    <t>https://bilder.dasschnelle.at/DasSchnelle/50/5000/9941/061383/G_061383_P_906214510.adn.gif</t>
  </si>
  <si>
    <t>Erlbeck, Günther, Dr., FA f Zahn- Mund- u Kieferheilkunde • Voitsberg • Steiermark</t>
  </si>
  <si>
    <t>Ärzte / Fachärzte f. Mund-, Kiefer- u. Gesichtschirurgie, Ärzte / Fachärzte f. Zahn-, Mund u. Kieferheilkunde • Erlbeck, Günther, Dr., Hauptplatz 18, Voitsberg • Kontakt über aktuelle Telefonnummern ☎ und Adressen ⚑ mit Karte, Routing, Öffnungszeiten, Homepage, E-Mail, vCard und Firmendaten.</t>
  </si>
  <si>
    <t>47.0504</t>
  </si>
  <si>
    <t>15.1479</t>
  </si>
  <si>
    <t>+43314225848</t>
  </si>
  <si>
    <t>erlbeck@dental-zentrum.at</t>
  </si>
  <si>
    <t>https://bilder.dasschnelle.at/DasSchnelle/50/5000/9941/045375/G_045375_P_906214512.adn.gif</t>
  </si>
  <si>
    <t>Kaliauer, Roland, Fliesenleger • Grub • Oberösterreich</t>
  </si>
  <si>
    <t>Fliesen u. Plattenverlegungen, Hafner • Kaliauer, Roland, Grub • Kontakt über aktuelle Telefonnummern ☎ und Adressen ⚑ mit Karte, Routing, Öffnungszeiten, Homepage, E-Mail, vCard und Firmendaten.</t>
  </si>
  <si>
    <t>Grub</t>
  </si>
  <si>
    <t>48.2391277</t>
  </si>
  <si>
    <t>13.9579950</t>
  </si>
  <si>
    <t>+43724943811;+436765178168</t>
  </si>
  <si>
    <t>roland.kaliauer@aon.at</t>
  </si>
  <si>
    <t>https://bilder.dasschnelle.at/DasSchnelle/50/5000/9869/041978/G_041978_P_906214516.adn.gif</t>
  </si>
  <si>
    <t>Roland Nimmervoll, Kachelstudio • Wallern • Oberösterreich</t>
  </si>
  <si>
    <t>Elektrohandel, Fliesen u. Plattenverlegungen, Hafner, Kachelöfen • Roland Nimmervoll, Eferdinger Strasse 85, Wallern • Kontakt über aktuelle Telefonnummern ☎ und Adressen ⚑ mit Karte, Routing, Öffnungszeiten, Homepage, E-Mail, vCard und Firmendaten.</t>
  </si>
  <si>
    <t>Eferdinger Strasse 85</t>
  </si>
  <si>
    <t>Wallern</t>
  </si>
  <si>
    <t>48.23869</t>
  </si>
  <si>
    <t>13.95752</t>
  </si>
  <si>
    <t>+436644328265</t>
  </si>
  <si>
    <t>r.nimmervoll@gmx.at</t>
  </si>
  <si>
    <t>https://bilder.dasschnelle.at/DasSchnelle/50/5000/9869/041978/G_041978_P_906214578.adn.gif</t>
  </si>
  <si>
    <t>Kornhuber Erich Spenglerei u Dachdeckerei GmbH &amp; Co KG • Grieskirchen • Oberösterreich</t>
  </si>
  <si>
    <t>Dachdeckereien, Spenglereien • Kornhuber Erich Spenglerei u Dachdeckerei GmbH &amp; Co KG, Industriestraße 37, Grieskirchen • Kontakt über aktuelle Telefonnummern ☎ und Adressen ⚑ mit Karte, Routing, Öffnungszeiten, Homepage, E-Mail, vCard und Firmendaten.</t>
  </si>
  <si>
    <t>Industriestraße 37</t>
  </si>
  <si>
    <t>13.84675</t>
  </si>
  <si>
    <t>+437248624980</t>
  </si>
  <si>
    <t>+4372486249812</t>
  </si>
  <si>
    <t>kornhuber@kornhuber.at</t>
  </si>
  <si>
    <t>https://bilder.dasschnelle.at/DasSchnelle/50/5000/9887/041815/I_041815_P_906214583_L_0036234846_1.png</t>
  </si>
  <si>
    <t>https://bilder.dasschnelle.at/DasSchnelle/50/5000/9887/041815/I_041815_P_906214583_B_0036234846_1.gal.png?height=245&amp;width=450;https://bilder.dasschnelle.at/DasSchnelle/50/5000/9887/041815/I_041815_P_906214583_B_0036234846_2.gal.png?height=251&amp;width=450;https://bilder.dasschnelle.at/DasSchnelle/50/5000/9887/041815/I_041815_P_906214583_B_0036234846_3.gal.png?height=309&amp;width=450;https://bilder.dasschnelle.at/DasSchnelle/50/5000/9887/041815/I_041815_P_906214583_B_0036234846_4.gal.png?height=331&amp;width=450</t>
  </si>
  <si>
    <t>Salber, Michael • Trieben • Steiermark</t>
  </si>
  <si>
    <t>Installationsunternehmen • Salber, Michael, Kleingartenstraße 1, Trieben • Kontakt über aktuelle Telefonnummern ☎ und Adressen ⚑ mit Karte, Routing, Öffnungszeiten, Homepage, E-Mail, vCard und Firmendaten.</t>
  </si>
  <si>
    <t>Kleingartenstraße 1</t>
  </si>
  <si>
    <t>47.4895200</t>
  </si>
  <si>
    <t>14.4799300</t>
  </si>
  <si>
    <t>+43361520172;+436644213616</t>
  </si>
  <si>
    <t>office@salber-haustechnik.at</t>
  </si>
  <si>
    <t>https://bilder.dasschnelle.at/DasSchnelle/50/5000/9905/044879/I_044879_P_906214590_L_0036250689_1.png</t>
  </si>
  <si>
    <t>https://bilder.dasschnelle.at/DasSchnelle/50/5000/9905/044879/I_044879_P_906214590_B_0036250689_1.gal.png?height=315&amp;width=300;https://bilder.dasschnelle.at/DasSchnelle/50/5000/9905/044879/I_044879_P_906214590_B_0036250689_2.gal.png?height=211&amp;width=320;https://bilder.dasschnelle.at/DasSchnelle/50/5000/9905/044879/I_044879_P_906214590_B_0036250689_3.gal.png?height=197&amp;width=300;https://bilder.dasschnelle.at/DasSchnelle/50/5000/9905/044879/I_044879_P_906214590_B_0036250689_4.gal.png?height=183&amp;width=275</t>
  </si>
  <si>
    <t>Bäckerei Vasold Cafe Konditorei Hildegard • Liezen • Steiermark</t>
  </si>
  <si>
    <t>Cafés • Bäckerei Vasold Cafe Konditorei Hildegard, Ausseer Straße 6, Liezen • Kontakt über aktuelle Telefonnummern ☎ und Adressen ⚑ mit Karte, Routing, Öffnungszeiten, Homepage, E-Mail, vCard und Firmendaten.</t>
  </si>
  <si>
    <t>Ausseer Straße 6</t>
  </si>
  <si>
    <t>47.56916</t>
  </si>
  <si>
    <t>14.24272</t>
  </si>
  <si>
    <t>+43361222315</t>
  </si>
  <si>
    <t>+433612223154</t>
  </si>
  <si>
    <t>baecker-vasold@a1.net</t>
  </si>
  <si>
    <t>https://bilder.dasschnelle.at/DasSchnelle/50/5000/9905/061443/I_061443_P_906214595_B_0036237648_1.gal.png?height=300&amp;width=400;https://bilder.dasschnelle.at/DasSchnelle/50/5000/9905/061443/I_061443_P_906214595_B_0036237648_2.gal.png?height=343&amp;width=400;https://bilder.dasschnelle.at/DasSchnelle/50/5000/9905/061443/I_061443_P_906214595_B_0036237648_3.gal.png?height=75&amp;width=400;https://bilder.dasschnelle.at/DasSchnelle/50/5000/9905/061443/I_061443_P_906214595_B_0036237648_4.gal.png?height=300&amp;width=400;https://bilder.dasschnelle.at/DasSchnelle/50/5000/9905/061443/G_061443_P_906214595.adn.gif</t>
  </si>
  <si>
    <t>Marchesini, Barbara, Dr., FA f. Frauenheilkunde u Geburtshilfe • Köflach • Steiermark</t>
  </si>
  <si>
    <t>Ärzte / Fachärzte f. Frauenheilkunde u. Geburtshilfe • Marchesini, Barbara, Dr., Mühlgasse 17, Köflach • Kontakt über aktuelle Telefonnummern ☎ und Adressen ⚑ mit Karte, Routing, Öffnungszeiten, Homepage, E-Mail, vCard und Firmendaten.</t>
  </si>
  <si>
    <t>Mühlgasse 17</t>
  </si>
  <si>
    <t>15.0934</t>
  </si>
  <si>
    <t>+43314471222</t>
  </si>
  <si>
    <t>https://bilder.dasschnelle.at/DasSchnelle/50/5000/9941/061383/G_061383_P_906215651.adn.gif</t>
  </si>
  <si>
    <t>Notariat Köflach Dr. Elisabeth Winkelbauer-Hohenberger &amp; Partner • Köflach • Steiermark</t>
  </si>
  <si>
    <t>Notare • Notariat Köflach Dr. Elisabeth Winkelbauer-Hohenberger &amp; Partner, Rathausplatz 2-4 Pasage, Köflach • Kontakt über aktuelle Telefonnummern ☎ und Adressen ⚑ mit Karte, Routing, Öffnungszeiten, Homepage, E-Mail, vCard und Firmendaten.</t>
  </si>
  <si>
    <t>Rathausplatz 2-4 Pasage</t>
  </si>
  <si>
    <t>47.06425</t>
  </si>
  <si>
    <t>15.08266</t>
  </si>
  <si>
    <t>+4331443481</t>
  </si>
  <si>
    <t>office@notar-koeflach.at</t>
  </si>
  <si>
    <t>https://bilder.dasschnelle.at/DasSchnelle/50/5000/9941/061383/I_061383_P_906215653_L_0036244078_1.png</t>
  </si>
  <si>
    <t>https://bilder.dasschnelle.at/DasSchnelle/50/5000/9941/061383/I_061383_P_906215653_B_0036244078_1.gal.png?height=196&amp;width=720;https://bilder.dasschnelle.at/DasSchnelle/50/5000/9941/061383/I_061383_P_906215653_B_0036244078_2.gal.png?height=554&amp;width=720;https://bilder.dasschnelle.at/DasSchnelle/50/5000/9941/061383/I_061383_P_906215653_B_0036244078_3.gal.png?height=196&amp;width=720;https://bilder.dasschnelle.at/DasSchnelle/50/5000/9941/061383/I_061383_P_906215653_B_0036244078_4.gal.png?height=196&amp;width=720</t>
  </si>
  <si>
    <t>Klobassa, Wolfgang, Dr., Rechtsanwälte • Voitsberg • Steiermark</t>
  </si>
  <si>
    <t>Rechtsanwälte • Klobassa, Wolfgang, Dr., Kirchengasse 5, Voitsberg • Kontakt über aktuelle Telefonnummern ☎ und Adressen ⚑ mit Karte, Routing, Öffnungszeiten, Homepage, E-Mail, vCard und Firmendaten.</t>
  </si>
  <si>
    <t>Kirchengasse 5</t>
  </si>
  <si>
    <t>47.04918</t>
  </si>
  <si>
    <t>15.14841</t>
  </si>
  <si>
    <t>+433142218500</t>
  </si>
  <si>
    <t>office@ra-semlitsch-klobassa.at</t>
  </si>
  <si>
    <t>https://bilder.dasschnelle.at/DasSchnelle/50/5000/9941/045375/G_045375_P_906215658.adn.gif</t>
  </si>
  <si>
    <t>Seidermann, Ingrid, Friseure • Bad Schallerbach • Oberösterreich</t>
  </si>
  <si>
    <t>Friseure • Seidermann, Ingrid, Badstraße 1, Bad Schallerbach • Kontakt über aktuelle Telefonnummern ☎ und Adressen ⚑ mit Karte, Routing, Öffnungszeiten, Homepage, E-Mail, vCard und Firmendaten.</t>
  </si>
  <si>
    <t>Badstraße 1</t>
  </si>
  <si>
    <t>48.23105</t>
  </si>
  <si>
    <t>13.92068</t>
  </si>
  <si>
    <t>+43724948589</t>
  </si>
  <si>
    <t>seidermann@gmx.at</t>
  </si>
  <si>
    <t>https://bilder.dasschnelle.at/DasSchnelle/50/5000/9869/041809/G_041809_P_906215660.adn.gif</t>
  </si>
  <si>
    <t>Lehner GmbH, Dachdeckerei - Spenglerei • Sierning • Oberösterreich</t>
  </si>
  <si>
    <t>Dachdeckereien • Lehner GmbH, Weichstettener Straße 25, Sierning • Kontakt über aktuelle Telefonnummern ☎ und Adressen ⚑ mit Karte, Routing, Öffnungszeiten, Homepage, E-Mail, vCard und Firmendaten.</t>
  </si>
  <si>
    <t>Weichstettener Straße 25</t>
  </si>
  <si>
    <t>48.05355</t>
  </si>
  <si>
    <t>14.31367</t>
  </si>
  <si>
    <t>+4372593127</t>
  </si>
  <si>
    <t>office@lehner-sierning.at</t>
  </si>
  <si>
    <t>https://bilder.dasschnelle.at/DasSchnelle/50/5000/9867/042808/G_042808_P_906215665.adn.gif</t>
  </si>
  <si>
    <t>Laher GmbH, Optik • Rohrbach • Oberösterreich</t>
  </si>
  <si>
    <t>Fotoapparate u. -artikel, Gesundheitsberatung, Hörgeräte, Optik • Laher GmbH, Stadtplatz 13, Rohrbach • Kontakt über aktuelle Telefonnummern ☎ und Adressen ⚑ mit Karte, Routing, Öffnungszeiten, Homepage, E-Mail, vCard und Firmendaten.</t>
  </si>
  <si>
    <t>Stadtplatz 13</t>
  </si>
  <si>
    <t>48.5715660</t>
  </si>
  <si>
    <t>13.9927150</t>
  </si>
  <si>
    <t>+4372896610</t>
  </si>
  <si>
    <t>optik@laher.at</t>
  </si>
  <si>
    <t>https://bilder.dasschnelle.at/DasSchnelle/50/5000/9923/061480/G_061480_P_906214559.adn.gif</t>
  </si>
  <si>
    <t>Saniton Heizung und Sanitär GmbH • Ried im Innkreis • Oberösterreich</t>
  </si>
  <si>
    <t>Installationsunternehmen • Saniton Heizung und Sanitär GmbH, Mühlbachgasse 9, Ried im Innkreis • Kontakt über aktuelle Telefonnummern ☎ und Adressen ⚑ mit Karte, Routing, Öffnungszeiten, Homepage, E-Mail, vCard und Firmendaten.</t>
  </si>
  <si>
    <t>Mühlbachgasse 9</t>
  </si>
  <si>
    <t>48.21199</t>
  </si>
  <si>
    <t>13.48888</t>
  </si>
  <si>
    <t>+437752874800</t>
  </si>
  <si>
    <t>+43775280791</t>
  </si>
  <si>
    <t>office@saniton.at</t>
  </si>
  <si>
    <t>https://bilder.dasschnelle.at/DasSchnelle/50/5000/9922/042563/I_042563_P_906214531_L_0036250636_1.png</t>
  </si>
  <si>
    <t>https://bilder.dasschnelle.at/DasSchnelle/50/5000/9922/042563/I_042563_P_906214531_B_0036250636_1.gal.png?height=240&amp;width=360;https://bilder.dasschnelle.at/DasSchnelle/50/5000/9922/042563/I_042563_P_906214531_B_0036250636_2.gal.png?height=240&amp;width=360;https://bilder.dasschnelle.at/DasSchnelle/50/5000/9922/042563/I_042563_P_906214531_B_0036250636_3.gal.png?height=320&amp;width=600;https://bilder.dasschnelle.at/DasSchnelle/50/5000/9922/042563/I_042563_P_906214531_B_0036250636_4.gal.png?height=240&amp;width=360</t>
  </si>
  <si>
    <t>Flotzinger, Franz, Landtechnik • Peterskirchen • Oberösterreich</t>
  </si>
  <si>
    <t>Landtechnik • Flotzinger, Franz, Peterskirchen 19, Peterskirchen • Kontakt über aktuelle Telefonnummern ☎ und Adressen ⚑ mit Karte, Routing, Öffnungszeiten, Homepage, E-Mail, vCard und Firmendaten.</t>
  </si>
  <si>
    <t>Peterskirchen 19</t>
  </si>
  <si>
    <t>Peterskirchen</t>
  </si>
  <si>
    <t>48.2344939</t>
  </si>
  <si>
    <t>13.5494146</t>
  </si>
  <si>
    <t>+43775034170;+4377503212</t>
  </si>
  <si>
    <t>info@landtechnik-sternbauer.at</t>
  </si>
  <si>
    <t>https://bilder.dasschnelle.at/DasSchnelle/50/5000/9922/042560/G_042560_P_906214536.adn.gif</t>
  </si>
  <si>
    <t>Eberhard Werner, Gebrauchtwaren und Möbel • Köflach • Steiermark</t>
  </si>
  <si>
    <t>Möbelhandel • Eberhard Werner, Forstgasse 1, Köflach • Kontakt über aktuelle Telefonnummern ☎ und Adressen ⚑ mit Karte, Routing, Öffnungszeiten, Homepage, E-Mail, vCard und Firmendaten.</t>
  </si>
  <si>
    <t>Forstgasse 1</t>
  </si>
  <si>
    <t>47.0505113</t>
  </si>
  <si>
    <t>15.0641787</t>
  </si>
  <si>
    <t>+436761245744</t>
  </si>
  <si>
    <t>eberhard77@gmx.at</t>
  </si>
  <si>
    <t>https://bilder.dasschnelle.at/DasSchnelle/50/5000/9941/061383/G_061383_P_906214539.adn.gif</t>
  </si>
  <si>
    <t>S.A.T. Sensenberger, Agrar Technik • Eberschwang • Oberösterreich</t>
  </si>
  <si>
    <t>Landmaschinen • S.A.T. Sensenberger, Oberbreitsach 15, Eberschwang • Kontakt über aktuelle Telefonnummern ☎ und Adressen ⚑ mit Karte, Routing, Öffnungszeiten, Homepage, E-Mail, vCard und Firmendaten.</t>
  </si>
  <si>
    <t>Oberbreitsach 15</t>
  </si>
  <si>
    <t>48.1610501</t>
  </si>
  <si>
    <t>13.5495506</t>
  </si>
  <si>
    <t>+43676821252506</t>
  </si>
  <si>
    <t>office@sat-agrar.at</t>
  </si>
  <si>
    <t>https://bilder.dasschnelle.at/DasSchnelle/50/5000/9922/042542/G_042542_P_906215614.adn.gif</t>
  </si>
  <si>
    <t>Dipl.Ing.Josef Greil BaugesmbH, Bauunternehmen • St. Martin im Innkreis • Oberösterreich</t>
  </si>
  <si>
    <t>Bauunternehmen • Dipl.Ing.Josef Greil BaugesmbH, Breitenaich 9, St. Martin im Innkreis • Kontakt über aktuelle Telefonnummern ☎ und Adressen ⚑ mit Karte, Routing, Öffnungszeiten, Homepage, E-Mail, vCard und Firmendaten.</t>
  </si>
  <si>
    <t>Breitenaich 9</t>
  </si>
  <si>
    <t>St. Martin im Innkreis</t>
  </si>
  <si>
    <t>48.2958745</t>
  </si>
  <si>
    <t>13.4331150</t>
  </si>
  <si>
    <t>+4377518239</t>
  </si>
  <si>
    <t>office@greilbau.at</t>
  </si>
  <si>
    <t>https://bilder.dasschnelle.at/DasSchnelle/50/5000/9922/042566/I_042566_P_906215616_L_0036250590_1.png</t>
  </si>
  <si>
    <t>https://bilder.dasschnelle.at/DasSchnelle/50/5000/9922/042566/I_042566_P_906215616_B_0036250590_1.gal.png?height=300&amp;width=600;https://bilder.dasschnelle.at/DasSchnelle/50/5000/9922/042566/I_042566_P_906215616_B_0036250590_2.gal.png?height=300&amp;width=600;https://bilder.dasschnelle.at/DasSchnelle/50/5000/9922/042566/I_042566_P_906215616_B_0036250590_3.gal.png?height=300&amp;width=600;https://bilder.dasschnelle.at/DasSchnelle/50/5000/9922/042566/I_042566_P_906215616_B_0036250590_4.gal.png?height=400&amp;width=600</t>
  </si>
  <si>
    <t>Ofner, Peter, Raumausstattung-Bodenverlegung • Bärnbach • Steiermark</t>
  </si>
  <si>
    <t>Raumausstatter • Ofner, Peter, Hans-Gross-Siedlung 2, Bärnbach • Kontakt über aktuelle Telefonnummern ☎ und Adressen ⚑ mit Karte, Routing, Öffnungszeiten, Homepage, E-Mail, vCard und Firmendaten.</t>
  </si>
  <si>
    <t>Hans-Gross-Siedlung 2</t>
  </si>
  <si>
    <t>47.06932</t>
  </si>
  <si>
    <t>15.12553</t>
  </si>
  <si>
    <t>+436763095204</t>
  </si>
  <si>
    <t>peterofner@bktv.at</t>
  </si>
  <si>
    <t>https://bilder.dasschnelle.at/DasSchnelle/50/5000/9941/061376/G_061376_P_906215623.adn.gif</t>
  </si>
  <si>
    <t>Mayr, Birgit, Dr., FÄ für Orthopädie u. Orthopädische Chir. • Köflach • Steiermark</t>
  </si>
  <si>
    <t>Ärzte / Fachärzte f. Orthopädie u. Orthopädische Chirurgie • Mayr, Birgit, Dr., Alleestr. 34, Köflach • Kontakt über aktuelle Telefonnummern ☎ und Adressen ⚑ mit Karte, Routing, Öffnungszeiten, Homepage, E-Mail, vCard und Firmendaten.</t>
  </si>
  <si>
    <t>Alleestr. 34</t>
  </si>
  <si>
    <t>47.06174</t>
  </si>
  <si>
    <t>15.07704</t>
  </si>
  <si>
    <t>+436604242605</t>
  </si>
  <si>
    <t>ordination@drmayr.eu</t>
  </si>
  <si>
    <t>https://bilder.dasschnelle.at/DasSchnelle/50/5000/9941/998259/G_998259_P_906214627.adn.gif</t>
  </si>
  <si>
    <t>Apotheke, Sonnen-Apotheke • Köflach • Steiermark</t>
  </si>
  <si>
    <t>Apotheken • Apotheke, Sonnen-Apotheke, Kärntnerstraße 5, Köflach • Kontakt über aktuelle Telefonnummern ☎ und Adressen ⚑ mit Karte, Routing, Öffnungszeiten, Homepage, E-Mail, vCard und Firmendaten.</t>
  </si>
  <si>
    <t>Kärntnerstraße 5</t>
  </si>
  <si>
    <t>47.06373</t>
  </si>
  <si>
    <t>15.08132</t>
  </si>
  <si>
    <t>+4331443406</t>
  </si>
  <si>
    <t>sonnenapo.koeflach@aon.at</t>
  </si>
  <si>
    <t>https://bilder.dasschnelle.at/DasSchnelle/50/5000/9941/061383/G_061383_P_906216417.adn.gif</t>
  </si>
  <si>
    <t>Kienesberger Steinmetzmeister GmbH • Schlüßlberg • Oberösterreich</t>
  </si>
  <si>
    <t>Steinmetzbetriebe • Kienesberger Steinmetzmeister GmbH, Au 16, Schlüßlberg • Kontakt über aktuelle Telefonnummern ☎ und Adressen ⚑ mit Karte, Routing, Öffnungszeiten, Homepage, E-Mail, vCard und Firmendaten.</t>
  </si>
  <si>
    <t>Au 16</t>
  </si>
  <si>
    <t>48.2223100</t>
  </si>
  <si>
    <t>13.8563861</t>
  </si>
  <si>
    <t>+43724868295</t>
  </si>
  <si>
    <t>jk@kienesberger-stein.at</t>
  </si>
  <si>
    <t>https://bilder.dasschnelle.at/DasSchnelle/50/5000/9887/041973/G_041973_P_906216421.adn.gif</t>
  </si>
  <si>
    <t>Acham, Willibald-Jürgen, Dipl.-Ing., Ziviltechnik • Voitsberg • Steiermark</t>
  </si>
  <si>
    <t>Ziviltechniker • Acham, Willibald-Jürgen, Dipl.-Ing., Roseggergasse 4, Voitsberg • Kontakt über aktuelle Telefonnummern ☎ und Adressen ⚑ mit Karte, Routing, Öffnungszeiten, Homepage, E-Mail, vCard und Firmendaten.</t>
  </si>
  <si>
    <t>Roseggergasse 4</t>
  </si>
  <si>
    <t>47.04797</t>
  </si>
  <si>
    <t>15.15171</t>
  </si>
  <si>
    <t>+43314227860</t>
  </si>
  <si>
    <t>zt@acham.co.at</t>
  </si>
  <si>
    <t>https://bilder.dasschnelle.at/DasSchnelle/50/5000/9941/045375/G_045375_P_906216422.adn.gif</t>
  </si>
  <si>
    <t>Samhaber, Gerhard, Gastronomiemaschinen • Grieskirchen • Oberösterreich</t>
  </si>
  <si>
    <t>Gastronomiebedarf u. -einrichtungen, Kältetechnik • Samhaber, Gerhard, Lanzenberg 8, Grieskirchen • Kontakt über aktuelle Telefonnummern ☎ und Adressen ⚑ mit Karte, Routing, Öffnungszeiten, Homepage, E-Mail, vCard und Firmendaten.</t>
  </si>
  <si>
    <t>Lanzenberg 8</t>
  </si>
  <si>
    <t>48.24442</t>
  </si>
  <si>
    <t>13.82666</t>
  </si>
  <si>
    <t>+436649988302;+4366488233299</t>
  </si>
  <si>
    <t>office@gastropartner-samhaber.at</t>
  </si>
  <si>
    <t>https://bilder.dasschnelle.at/DasSchnelle/50/5000/9887/041815/I_041815_P_906216533_L_0036234872_1.png</t>
  </si>
  <si>
    <t>https://bilder.dasschnelle.at/DasSchnelle/50/5000/9887/041815/I_041815_P_906216533_B_0036234872_1.gal.png?height=200&amp;width=231;https://bilder.dasschnelle.at/DasSchnelle/50/5000/9887/041815/I_041815_P_906216533_B_0036234872_2.gal.png?height=200&amp;width=231;https://bilder.dasschnelle.at/DasSchnelle/50/5000/9887/041815/I_041815_P_906216533_B_0036234872_3.gal.png?height=390&amp;width=390;https://bilder.dasschnelle.at/DasSchnelle/50/5000/9887/041815/I_041815_P_906216533_B_0036234872_4.gal.png?height=720&amp;width=686</t>
  </si>
  <si>
    <t>Hohl, Vera, Dr., Ärzte / f Allgemeinmedizin • Bärnbach • Steiermark</t>
  </si>
  <si>
    <t>Ärzte / f Allgemeinmedizin • Hohl, Vera, Dr., Piberstraße 5, Bärnbach • Kontakt über aktuelle Telefonnummern ☎ und Adressen ⚑ mit Karte, Routing, Öffnungszeiten, Homepage, E-Mail, vCard und Firmendaten.</t>
  </si>
  <si>
    <t>+433142622200</t>
  </si>
  <si>
    <t>ordination@dr.hohl.at</t>
  </si>
  <si>
    <t>https://bilder.dasschnelle.at/DasSchnelle/50/5000/9941/061376/G_061376_P_906217461.adn.gif</t>
  </si>
  <si>
    <t>Rosatzin Karl Malerei • Aschach an der Steyr • Oberösterreich</t>
  </si>
  <si>
    <t>Malereibetriebe • Rosatzin Karl Malerei, Uferweg 6, Aschach an der Steyr • Kontakt über aktuelle Telefonnummern ☎ und Adressen ⚑ mit Karte, Routing, Öffnungszeiten, Homepage, E-Mail, vCard und Firmendaten.</t>
  </si>
  <si>
    <t>Uferweg 6</t>
  </si>
  <si>
    <t>48.02537</t>
  </si>
  <si>
    <t>14.33202</t>
  </si>
  <si>
    <t>+436766617155</t>
  </si>
  <si>
    <t>karl.rosatzin@gmail.com</t>
  </si>
  <si>
    <t>https://bilder.dasschnelle.at/DasSchnelle/50/5000/9932/042807/G_042807_P_906217470.adn.gif</t>
  </si>
  <si>
    <t>Zechmeister-Reischauer GmbH, Steinbau • Gurten • Oberösterreich</t>
  </si>
  <si>
    <t>Steinbruch • Zechmeister-Reischauer GmbH, Schoppering 4, Gurten • Kontakt über aktuelle Telefonnummern ☎ und Adressen ⚑ mit Karte, Routing, Öffnungszeiten, Homepage, E-Mail, vCard und Firmendaten.</t>
  </si>
  <si>
    <t>Schoppering 4</t>
  </si>
  <si>
    <t>48.23988</t>
  </si>
  <si>
    <t>13.32595</t>
  </si>
  <si>
    <t>+4377576426;+436641885436;+436642230723;+436642844527;+436642844528;+436644017179;+436648200141;+436648200145</t>
  </si>
  <si>
    <t>office@steinzech.at</t>
  </si>
  <si>
    <t>https://bilder.dasschnelle.at/DasSchnelle/50/5000/9922/042546/G_042546_P_906216566.adn.gif</t>
  </si>
  <si>
    <t>Wimmer, Manuela, Friseur • Hofkirchen an der Trattnach • Oberösterreich</t>
  </si>
  <si>
    <t>Friseure • Wimmer, Manuela, Hauptstraße 13, Hofkirchen an der Trattnach • Kontakt über aktuelle Telefonnummern ☎ und Adressen ⚑ mit Karte, Routing, Öffnungszeiten, Homepage, E-Mail, vCard und Firmendaten.</t>
  </si>
  <si>
    <t>48.2188</t>
  </si>
  <si>
    <t>13.74025</t>
  </si>
  <si>
    <t>+4377342007</t>
  </si>
  <si>
    <t>https://bilder.dasschnelle.at/DasSchnelle/50/5000/9887/041818/G_041818_P_906218199.adn.gif</t>
  </si>
  <si>
    <t>Hofmann, Bernhard, Fassaden • Ulrichsberg • Oberösterreich</t>
  </si>
  <si>
    <t>Fassaden • Hofmann, Bernhard, Falkensteinstraße 11, Ulrichsberg • Kontakt über aktuelle Telefonnummern ☎ und Adressen ⚑ mit Karte, Routing, Öffnungszeiten, Homepage, E-Mail, vCard und Firmendaten.</t>
  </si>
  <si>
    <t>Falkensteinstraße 11</t>
  </si>
  <si>
    <t>48.67328</t>
  </si>
  <si>
    <t>13.91657</t>
  </si>
  <si>
    <t>+4372882097</t>
  </si>
  <si>
    <t>b.hofmann@aon.at</t>
  </si>
  <si>
    <t>https://bilder.dasschnelle.at/DasSchnelle/50/5000/9923/042301/G_042301_P_906216470.adn.gif</t>
  </si>
  <si>
    <t>Märzinger Sicilia, Heilmassage • Rohrbach-Berg • Oberösterreich</t>
  </si>
  <si>
    <t>Heilmassagen • Märzinger Sicilia, Heilmassage, Hanriederstraße 32, Rohrbach-Berg • Kontakt über aktuelle Telefonnummern ☎ und Adressen ⚑ mit Karte, Routing, Öffnungszeiten, Homepage, E-Mail, vCard und Firmendaten.</t>
  </si>
  <si>
    <t>Hanriederstraße 32</t>
  </si>
  <si>
    <t>48.5702800</t>
  </si>
  <si>
    <t>13.9860500</t>
  </si>
  <si>
    <t>+436706075895</t>
  </si>
  <si>
    <t>siciliasheilmassage@gmail.com</t>
  </si>
  <si>
    <t>https://bilder.dasschnelle.at/DasSchnelle/50/5000/9923/061480/G_061480_P_906216585.adn.gif</t>
  </si>
  <si>
    <t>Weber Metalltechnik • Lieboch • Steiermark</t>
  </si>
  <si>
    <t>Metallbe- u. -verarbeitung • Weber Metalltechnik, Am Mühlbach 12, Lieboch • Kontakt über aktuelle Telefonnummern ☎ und Adressen ⚑ mit Karte, Routing, Öffnungszeiten, Homepage, E-Mail, vCard und Firmendaten.</t>
  </si>
  <si>
    <t>Am Mühlbach 12</t>
  </si>
  <si>
    <t>46.9740900</t>
  </si>
  <si>
    <t>15.3393400</t>
  </si>
  <si>
    <t>+436641726288</t>
  </si>
  <si>
    <t>richard-weber@gmx.at</t>
  </si>
  <si>
    <t>https://bilder.dasschnelle.at/DasSchnelle/50/5000/9941/042338/G_042338_P_906217418.adn.gif</t>
  </si>
  <si>
    <t>Scheschy GmbH, Tischlereien • Neufelden • Oberösterreich</t>
  </si>
  <si>
    <t>Tischlereien • Scheschy GmbH, Veldner Straße 53, Neufelden • Kontakt über aktuelle Telefonnummern ☎ und Adressen ⚑ mit Karte, Routing, Öffnungszeiten, Homepage, E-Mail, vCard und Firmendaten.</t>
  </si>
  <si>
    <t>Veldner Straße 53</t>
  </si>
  <si>
    <t>48.48532</t>
  </si>
  <si>
    <t>13.98449</t>
  </si>
  <si>
    <t>+43728266330</t>
  </si>
  <si>
    <t>buero@scheschy.at</t>
  </si>
  <si>
    <t>https://bilder.dasschnelle.at/DasSchnelle/50/5000/9923/042280/G_042280_P_906217420.adn.gif</t>
  </si>
  <si>
    <t>Webinger Andreas e.U., Fahrzeughandel • Ulrichsberg • Oberösterreich</t>
  </si>
  <si>
    <t>Autohandel • Webinger Andreas e.U., Ulrichsberg 34, Ulrichsberg • Kontakt über aktuelle Telefonnummern ☎ und Adressen ⚑ mit Karte, Routing, Öffnungszeiten, Homepage, E-Mail, vCard und Firmendaten.</t>
  </si>
  <si>
    <t>Ulrichsberg 34</t>
  </si>
  <si>
    <t>48.6709200</t>
  </si>
  <si>
    <t>13.9273515</t>
  </si>
  <si>
    <t>+436645142472</t>
  </si>
  <si>
    <t>office@webinger.co.at</t>
  </si>
  <si>
    <t>https://bilder.dasschnelle.at/DasSchnelle/50/5000/9923/042301/G_042301_P_906217421.adn.gif</t>
  </si>
  <si>
    <t>Reisegger, Franz, Transporte • Ort im Innkreis • Oberösterreich</t>
  </si>
  <si>
    <t>Bauunternehmen, Transportunternehmen • Reisegger, Franz, Ort im Innkreis 34, Ort im Innkreis • Kontakt über aktuelle Telefonnummern ☎ und Adressen ⚑ mit Karte, Routing, Öffnungszeiten, Homepage, E-Mail, vCard und Firmendaten.</t>
  </si>
  <si>
    <t>Ort im Innkreis 34</t>
  </si>
  <si>
    <t>48.3188063</t>
  </si>
  <si>
    <t>13.4324548</t>
  </si>
  <si>
    <t>+4377517055;+436641210174;+436641210174;+436641210175</t>
  </si>
  <si>
    <t>office@reisegger-trans.eu</t>
  </si>
  <si>
    <t>https://bilder.dasschnelle.at/DasSchnelle/50/5000/9922/042558/G_042558_P_906218245.adn.gif</t>
  </si>
  <si>
    <t>Künzel, Christoph, Mag., Notar • Vorau • Steiermark</t>
  </si>
  <si>
    <t>Notare • Künzel, Christoph, Mag., Stift 2, Vorau • Kontakt über aktuelle Telefonnummern ☎ und Adressen ⚑ mit Karte, Routing, Öffnungszeiten, Homepage, E-Mail, vCard und Firmendaten.</t>
  </si>
  <si>
    <t>Stift 2</t>
  </si>
  <si>
    <t>47.4011476</t>
  </si>
  <si>
    <t>15.8896408</t>
  </si>
  <si>
    <t>+4333374114;+436642029262</t>
  </si>
  <si>
    <t>office@notar-vorau.at</t>
  </si>
  <si>
    <t>https://bilder.dasschnelle.at/DasSchnelle/50/5000/9890/061414/G_061414_P_906218257.adn.gif</t>
  </si>
  <si>
    <t>Annerl, Johann, Bau-u Möbeltischlerei • Grieskirchen • Oberösterreich</t>
  </si>
  <si>
    <t>Tischlereien • Annerl, Johann, Pollhamerwald 2, Grieskirchen • Kontakt über aktuelle Telefonnummern ☎ und Adressen ⚑ mit Karte, Routing, Öffnungszeiten, Homepage, E-Mail, vCard und Firmendaten.</t>
  </si>
  <si>
    <t>Pollhamerwald 2</t>
  </si>
  <si>
    <t>48.2581849</t>
  </si>
  <si>
    <t>13.8302181</t>
  </si>
  <si>
    <t>+43724865811</t>
  </si>
  <si>
    <t>office@tischlerei-annerl.com</t>
  </si>
  <si>
    <t>https://bilder.dasschnelle.at/DasSchnelle/50/5000/9887/041815/I_041815_P_906218264_L_0036234902_1.png</t>
  </si>
  <si>
    <t>https://bilder.dasschnelle.at/DasSchnelle/50/5000/9887/041815/I_041815_P_906218264_B_0036234902_1.gal.png?height=540&amp;width=720;https://bilder.dasschnelle.at/DasSchnelle/50/5000/9887/041815/I_041815_P_906218264_B_0036234902_2.gal.png?height=540&amp;width=720;https://bilder.dasschnelle.at/DasSchnelle/50/5000/9887/041815/I_041815_P_906218264_B_0036234902_3.gal.png?height=600&amp;width=450;https://bilder.dasschnelle.at/DasSchnelle/50/5000/9887/041815/I_041815_P_906218264_B_0036234902_4.gal.png?height=540&amp;width=720</t>
  </si>
  <si>
    <t>MÖWA Ofenbau • Ragering • Oberösterreich</t>
  </si>
  <si>
    <t>Fliesen u. Plattenverlegungen, Ofenbau • MÖWA Ofenbau, Ragering • Kontakt über aktuelle Telefonnummern ☎ und Adressen ⚑ mit Karte, Routing, Öffnungszeiten, Homepage, E-Mail, vCard und Firmendaten.</t>
  </si>
  <si>
    <t>4715</t>
  </si>
  <si>
    <t>Ragering</t>
  </si>
  <si>
    <t>48.2625591</t>
  </si>
  <si>
    <t>13.7566057</t>
  </si>
  <si>
    <t>+4377336115</t>
  </si>
  <si>
    <t>office@möwa-ofenbau.at</t>
  </si>
  <si>
    <t>https://bilder.dasschnelle.at/DasSchnelle/50/5000/9887/041975/I_041975_P_906218268_L_0037277039_1.png</t>
  </si>
  <si>
    <t>https://bilder.dasschnelle.at/DasSchnelle/50/5000/9887/041975/I_041975_P_906218268_B_0037277039_1.gal.png?height=375&amp;width=500;https://bilder.dasschnelle.at/DasSchnelle/50/5000/9887/041975/I_041975_P_906218268_B_0037277039_2.gal.png?height=600&amp;width=800;https://bilder.dasschnelle.at/DasSchnelle/50/5000/9887/041975/I_041975_P_906218268_B_0037277039_3.gal.png?height=600&amp;width=800;https://bilder.dasschnelle.at/DasSchnelle/50/5000/9887/041975/I_041975_P_906218268_B_0037277039_4.gal.png?height=600&amp;width=800</t>
  </si>
  <si>
    <t>Standhartinger, Franz, Kfz-Meisterbetrieb • Hofkirchen an der Trattnach • Oberösterreich</t>
  </si>
  <si>
    <t>Autoreparaturen • Standhartinger, Franz, Wengerstraße 13, Hofkirchen an der Trattnach • Kontakt über aktuelle Telefonnummern ☎ und Adressen ⚑ mit Karte, Routing, Öffnungszeiten, Homepage, E-Mail, vCard und Firmendaten.</t>
  </si>
  <si>
    <t>Wengerstraße 13</t>
  </si>
  <si>
    <t>48.22395</t>
  </si>
  <si>
    <t>13.74375</t>
  </si>
  <si>
    <t>+43773440071</t>
  </si>
  <si>
    <t>franz@kfz-standhartinger.eu</t>
  </si>
  <si>
    <t>https://bilder.dasschnelle.at/DasSchnelle/50/5000/9887/041818/G_041818_P_906218273.adn.gif</t>
  </si>
  <si>
    <t>Köstl, Jürgen, Baggerbetrieb • Peuerbach • Oberösterreich</t>
  </si>
  <si>
    <t>Baggerunternehmen, Erdarbeiten • Köstl, Jürgen, Oberaching 9, Peuerbach • Kontakt über aktuelle Telefonnummern ☎ und Adressen ⚑ mit Karte, Routing, Öffnungszeiten, Homepage, E-Mail, vCard und Firmendaten.</t>
  </si>
  <si>
    <t>Oberaching 9</t>
  </si>
  <si>
    <t>48.3212484</t>
  </si>
  <si>
    <t>13.8035951</t>
  </si>
  <si>
    <t>+4372762470</t>
  </si>
  <si>
    <t>erdbau-koestl@gmx.at</t>
  </si>
  <si>
    <t>https://bilder.dasschnelle.at/DasSchnelle/50/5000/9887/041965/I_041965_P_906219487_B_0036234897_1.gal.png?height=283&amp;width=453;https://bilder.dasschnelle.at/DasSchnelle/50/5000/9887/041965/I_041965_P_906219487_B_0036234897_2.gal.png?height=260&amp;width=447</t>
  </si>
  <si>
    <t>Mühlböck, Thomas, Säge- u Hobelwerk • Peuerbach • Oberösterreich</t>
  </si>
  <si>
    <t>Baustoffhandel, Holzfachmärkte, Säge- u. Hobelwerke • Mühlböck, Thomas, Sölden an der Straß 1, Peuerbach • Kontakt über aktuelle Telefonnummern ☎ und Adressen ⚑ mit Karte, Routing, Öffnungszeiten, Homepage, E-Mail, vCard und Firmendaten.</t>
  </si>
  <si>
    <t>Sölden an der Straß 1</t>
  </si>
  <si>
    <t>48.3257373</t>
  </si>
  <si>
    <t>13.7997409</t>
  </si>
  <si>
    <t>+4372762497</t>
  </si>
  <si>
    <t>muehlboeck.saege@a1.at</t>
  </si>
  <si>
    <t>https://bilder.dasschnelle.at/DasSchnelle/50/5000/9887/041965/I_041965_P_906219491_L_0036234864_1.png</t>
  </si>
  <si>
    <t>https://bilder.dasschnelle.at/DasSchnelle/50/5000/9887/041965/I_041965_P_906219491_B_0036234864_1.gal.png?height=480&amp;width=640;https://bilder.dasschnelle.at/DasSchnelle/50/5000/9887/041965/I_041965_P_906219491_B_0036234864_2.gal.png?height=450&amp;width=600;https://bilder.dasschnelle.at/DasSchnelle/50/5000/9887/041965/G_041965_P_906219491.adn.gif</t>
  </si>
  <si>
    <t>Razenberger, Johann, Raumgestaltung • Peuerbach • Oberösterreich</t>
  </si>
  <si>
    <t>Malereibetriebe, Raumgestaltung • Razenberger, Johann, Steegen 40, Peuerbach • Kontakt über aktuelle Telefonnummern ☎ und Adressen ⚑ mit Karte, Routing, Öffnungszeiten, Homepage, E-Mail, vCard und Firmendaten.</t>
  </si>
  <si>
    <t>Steegen 40</t>
  </si>
  <si>
    <t>48.3384907</t>
  </si>
  <si>
    <t>13.7631018</t>
  </si>
  <si>
    <t>+4372763610</t>
  </si>
  <si>
    <t>+4372763163</t>
  </si>
  <si>
    <t>office@razenberger.at</t>
  </si>
  <si>
    <t>https://bilder.dasschnelle.at/DasSchnelle/50/5000/9887/041974/I_041974_P_906219496_L_0036244104_1.png</t>
  </si>
  <si>
    <t>https://bilder.dasschnelle.at/DasSchnelle/50/5000/9887/041974/I_041974_P_906219496_B_0036244104_1.gal.png?height=450&amp;width=600;https://bilder.dasschnelle.at/DasSchnelle/50/5000/9887/041974/I_041974_P_906219496_B_0036244104_2.gal.png?height=413&amp;width=709;https://bilder.dasschnelle.at/DasSchnelle/50/5000/9887/041974/I_041974_P_906219496_B_0036244104_3.gal.png?height=443&amp;width=591;https://bilder.dasschnelle.at/DasSchnelle/50/5000/9887/041974/I_041974_P_906219496_B_0036244104_4.gal.png?height=360&amp;width=720</t>
  </si>
  <si>
    <t>Schoiswohl, Gerhard, Dr., FA f Zahn-, Mund-u Kieferheilkunde • Stubenberg am See • Steiermark</t>
  </si>
  <si>
    <t>Zahn-, Mund- u. Kieferheilkunde • Schoiswohl, Gerhard, Dr., Stubenberg am See 13, Stubenberg am See • Kontakt über aktuelle Telefonnummern ☎ und Adressen ⚑ mit Karte, Routing, Öffnungszeiten, Homepage, E-Mail, vCard und Firmendaten.</t>
  </si>
  <si>
    <t>Stubenberg am See 13</t>
  </si>
  <si>
    <t>8223</t>
  </si>
  <si>
    <t>Stubenberg am See</t>
  </si>
  <si>
    <t>47.2422260</t>
  </si>
  <si>
    <t>15.8004247</t>
  </si>
  <si>
    <t>+436643502068</t>
  </si>
  <si>
    <t>https://bilder.dasschnelle.at/DasSchnelle/50/5000/9890/043833/G_043833_P_906219499.adn.gif</t>
  </si>
  <si>
    <t>Gschwandtner GmbH, Malerei • Grieskirchen • Oberösterreich</t>
  </si>
  <si>
    <t>Malereibetriebe • Gschwandtner GmbH, Lindenweg 2, Grieskirchen • Kontakt über aktuelle Telefonnummern ☎ und Adressen ⚑ mit Karte, Routing, Öffnungszeiten, Homepage, E-Mail, vCard und Firmendaten.</t>
  </si>
  <si>
    <t>Lindenweg 2</t>
  </si>
  <si>
    <t>48.23941</t>
  </si>
  <si>
    <t>13.82338</t>
  </si>
  <si>
    <t>+436644341330</t>
  </si>
  <si>
    <t>office@gschwandtner.co.at</t>
  </si>
  <si>
    <t>https://bilder.dasschnelle.at/DasSchnelle/50/5000/9887/041815/I_041815_P_906219627_L_0036234721_1.png</t>
  </si>
  <si>
    <t>https://bilder.dasschnelle.at/DasSchnelle/50/5000/9887/041815/I_041815_P_906219627_B_0036234721_1.gal.png?height=390&amp;width=608;https://bilder.dasschnelle.at/DasSchnelle/50/5000/9887/041815/I_041815_P_906219627_B_0036234721_2.gal.png?height=299&amp;width=450;https://bilder.dasschnelle.at/DasSchnelle/50/5000/9887/041815/I_041815_P_906219627_B_0036234721_3.gal.png?height=390&amp;width=610;https://bilder.dasschnelle.at/DasSchnelle/50/5000/9887/041815/I_041815_P_906219627_B_0036234721_4.gal.png?height=390&amp;width=586</t>
  </si>
  <si>
    <t>Purkhard, Ernst, Zimmerei • Bad Mitterndorf • Steiermark</t>
  </si>
  <si>
    <t>Innenausbau, Zimmereien • Purkhard, Ernst, Obersdorf 147, Bad Mitterndorf • Kontakt über aktuelle Telefonnummern ☎ und Adressen ⚑ mit Karte, Routing, Öffnungszeiten, Homepage, E-Mail, vCard und Firmendaten.</t>
  </si>
  <si>
    <t>Obersdorf 147</t>
  </si>
  <si>
    <t>47.5691071</t>
  </si>
  <si>
    <t>13.8920331</t>
  </si>
  <si>
    <t>+4366473454959</t>
  </si>
  <si>
    <t>holzbau.purkhard@gmx.at</t>
  </si>
  <si>
    <t>https://bilder.dasschnelle.at/DasSchnelle/50/5000/9905/061452/G_061452_P_906219630.adn.gif</t>
  </si>
  <si>
    <t>Ostermann, Wolfgang, Malermeister • Schöder • Steiermark</t>
  </si>
  <si>
    <t>Malereibetriebe • Ostermann, Wolfgang, Schöder • Kontakt über aktuelle Telefonnummern ☎ und Adressen ⚑ mit Karte, Routing, Öffnungszeiten, Homepage, E-Mail, vCard und Firmendaten.</t>
  </si>
  <si>
    <t>8844</t>
  </si>
  <si>
    <t>Schöder</t>
  </si>
  <si>
    <t>47.1816052</t>
  </si>
  <si>
    <t>14.1123470</t>
  </si>
  <si>
    <t>+436643573350;+436645289697</t>
  </si>
  <si>
    <t>ostermann.malerei@aon.at</t>
  </si>
  <si>
    <t>https://bilder.dasschnelle.at/DasSchnelle/50/5000/9910/045130/I_045130_P_906219654_L_0036250557_1.png</t>
  </si>
  <si>
    <t>https://bilder.dasschnelle.at/DasSchnelle/50/5000/9910/045130/I_045130_P_906219654_B_0036250557_1.gal.png?height=534&amp;width=800;https://bilder.dasschnelle.at/DasSchnelle/50/5000/9910/045130/I_045130_P_906219654_B_0036250557_2.gal.png?height=534&amp;width=800;https://bilder.dasschnelle.at/DasSchnelle/50/5000/9910/045130/I_045130_P_906219654_B_0036250557_3.gal.png?height=540&amp;width=720;https://bilder.dasschnelle.at/DasSchnelle/50/5000/9910/045130/I_045130_P_906219654_B_0036250557_4.gal.png?height=534&amp;width=800</t>
  </si>
  <si>
    <t>KFZ-Rauöcker • Neustift • Oberösterreich</t>
  </si>
  <si>
    <t>Baumaschinen u. -geräte, Karosseriebau • KFZ-Rauöcker, Eitzendorf 27, Neustift • Kontakt über aktuelle Telefonnummern ☎ und Adressen ⚑ mit Karte, Routing, Öffnungszeiten, Homepage, E-Mail, vCard und Firmendaten.</t>
  </si>
  <si>
    <t>Eitzendorf 27</t>
  </si>
  <si>
    <t>Neustift</t>
  </si>
  <si>
    <t>48.5116058</t>
  </si>
  <si>
    <t>13.7573589</t>
  </si>
  <si>
    <t>+43728423333</t>
  </si>
  <si>
    <t>office@kfz-rauoecker.at</t>
  </si>
  <si>
    <t>https://bilder.dasschnelle.at/DasSchnelle/50/5000/9923/042288/G_042288_P_906220512.adn.gif</t>
  </si>
  <si>
    <t>Handl, Marcella, Mag., Notariat • Hartberg • Steiermark</t>
  </si>
  <si>
    <t>Notare • Handl, Marcella, Mag., Rochusplatz 3, Hartberg • Kontakt über aktuelle Telefonnummern ☎ und Adressen ⚑ mit Karte, Routing, Öffnungszeiten, Homepage, E-Mail, vCard und Firmendaten.</t>
  </si>
  <si>
    <t>Rochusplatz 3</t>
  </si>
  <si>
    <t>47.28181</t>
  </si>
  <si>
    <t>15.97228</t>
  </si>
  <si>
    <t>+43333265055;+436641633305</t>
  </si>
  <si>
    <t>office@notariat-handl.at</t>
  </si>
  <si>
    <t>https://bilder.dasschnelle.at/DasSchnelle/50/5000/9890/042582/G_042582_P_906219601.adn.gif</t>
  </si>
  <si>
    <t>Geschenkebox • Haslach an der Mühl • Oberösterreich</t>
  </si>
  <si>
    <t>Geschenke u. Bastelbedarf • Geschenkebox, Marktplatz 3, Haslach an der Mühl • Kontakt über aktuelle Telefonnummern ☎ und Adressen ⚑ mit Karte, Routing, Öffnungszeiten, Homepage, E-Mail, vCard und Firmendaten.</t>
  </si>
  <si>
    <t>48.5748699</t>
  </si>
  <si>
    <t>14.0419616</t>
  </si>
  <si>
    <t>+436607871676</t>
  </si>
  <si>
    <t>sandrasbastelbox@gmail.com</t>
  </si>
  <si>
    <t>https://bilder.dasschnelle.at/DasSchnelle/50/5000/9923/042268/G_042268_P_906219656.adn.gif</t>
  </si>
  <si>
    <t>Elektrotechnik Ratzenböck • Neumarkt im Hausruckkreis • Oberösterreich</t>
  </si>
  <si>
    <t>Elektrogeräte u. -bedarf • Elektrotechnik Ratzenböck, Pehring 8, Neumarkt im Hausruckkreis • Kontakt über aktuelle Telefonnummern ☎ und Adressen ⚑ mit Karte, Routing, Öffnungszeiten, Homepage, E-Mail, vCard und Firmendaten.</t>
  </si>
  <si>
    <t>Pehring 8</t>
  </si>
  <si>
    <t>48.2928463</t>
  </si>
  <si>
    <t>13.6982771</t>
  </si>
  <si>
    <t>+43773350553</t>
  </si>
  <si>
    <t>office@et-ratzenboeck.at</t>
  </si>
  <si>
    <t>https://bilder.dasschnelle.at/DasSchnelle/50/5000/9887/041819/G_041819_P_906219604.adn.gif</t>
  </si>
  <si>
    <t>Ertl GmbH, Maler • Peuerbach • Oberösterreich</t>
  </si>
  <si>
    <t>Malereibetriebe • Ertl GmbH, Grieskirchner Straße 16, Peuerbach • Kontakt über aktuelle Telefonnummern ☎ und Adressen ⚑ mit Karte, Routing, Öffnungszeiten, Homepage, E-Mail, vCard und Firmendaten.</t>
  </si>
  <si>
    <t>Grieskirchner Straße 16</t>
  </si>
  <si>
    <t>48.33386</t>
  </si>
  <si>
    <t>13.77107</t>
  </si>
  <si>
    <t>+4372762088</t>
  </si>
  <si>
    <t>ertl@raumkreationen.at</t>
  </si>
  <si>
    <t>https://bilder.dasschnelle.at/DasSchnelle/50/5000/9887/041965/G_041965_P_906219611.adn.gif</t>
  </si>
  <si>
    <t>Pieno GmbH, Haustüren • Sarleinsbach • Oberösterreich</t>
  </si>
  <si>
    <t>Türen • Pieno GmbH, Hanriederstrße 1, Sarleinsbach • Kontakt über aktuelle Telefonnummern ☎ und Adressen ⚑ mit Karte, Routing, Öffnungszeiten, Homepage, E-Mail, vCard und Firmendaten.</t>
  </si>
  <si>
    <t>Hanriederstrße 1</t>
  </si>
  <si>
    <t>48.54735</t>
  </si>
  <si>
    <t>13.904</t>
  </si>
  <si>
    <t>+43728380163</t>
  </si>
  <si>
    <t>office@pieno.at</t>
  </si>
  <si>
    <t>https://bilder.dasschnelle.at/DasSchnelle/50/5000/9923/042297/G_042297_P_906220354.adn.gif</t>
  </si>
  <si>
    <t>Sixtus Erdbau GmbH • Mitterberg • Oberösterreich</t>
  </si>
  <si>
    <t>Erdbau • Sixtus Erdbau GmbH, Mitterberg 7, Mitterberg • Kontakt über aktuelle Telefonnummern ☎ und Adressen ⚑ mit Karte, Routing, Öffnungszeiten, Homepage, E-Mail, vCard und Firmendaten.</t>
  </si>
  <si>
    <t>Mitterberg 7</t>
  </si>
  <si>
    <t>Mitterberg</t>
  </si>
  <si>
    <t>48.1438668</t>
  </si>
  <si>
    <t>13.4058546</t>
  </si>
  <si>
    <t>+436765224601</t>
  </si>
  <si>
    <t>office@sixtus-erdbau.at</t>
  </si>
  <si>
    <t>https://bilder.dasschnelle.at/DasSchnelle/50/5000/9922/042551/G_042551_P_906219504.adn.gif</t>
  </si>
  <si>
    <t>Granit&amp;Marmor • Weng • Steiermark</t>
  </si>
  <si>
    <t>Granit • Granit&amp;Marmor, Weng 24, Weng • Kontakt über aktuelle Telefonnummern ☎ und Adressen ⚑ mit Karte, Routing, Öffnungszeiten, Homepage, E-Mail, vCard und Firmendaten.</t>
  </si>
  <si>
    <t>Weng 24</t>
  </si>
  <si>
    <t>8913</t>
  </si>
  <si>
    <t>Weng</t>
  </si>
  <si>
    <t>47.60235</t>
  </si>
  <si>
    <t>14.49815</t>
  </si>
  <si>
    <t>+436644642206</t>
  </si>
  <si>
    <t>https://bilder.dasschnelle.at/DasSchnelle/50/5000/9905/061451/G_061451_P_906220402.adn.gif</t>
  </si>
  <si>
    <t>Wiesner GmbH Möbelerzeugung • Ort im Innkreis • Oberösterreich</t>
  </si>
  <si>
    <t>Bestattungsunternehmen, Tischlereien • Wiesner GmbH Möbelerzeugung, Ort im Innkreis 73, Ort im Innkreis • Kontakt über aktuelle Telefonnummern ☎ und Adressen ⚑ mit Karte, Routing, Öffnungszeiten, Homepage, E-Mail, vCard und Firmendaten.</t>
  </si>
  <si>
    <t>Ort im Innkreis 73</t>
  </si>
  <si>
    <t>48.3230981</t>
  </si>
  <si>
    <t>13.4272274</t>
  </si>
  <si>
    <t>+4377516041;+436766186236</t>
  </si>
  <si>
    <t>+4377517322</t>
  </si>
  <si>
    <t>office@wiesner-moebel.at</t>
  </si>
  <si>
    <t>https://bilder.dasschnelle.at/DasSchnelle/50/5000/9922/042558/G_042558_P_906220409.adn.gif</t>
  </si>
  <si>
    <t>Haslehner Wohnbau Bauträger GmbH • Peuerbach • Oberösterreich</t>
  </si>
  <si>
    <t>Bauunternehmen • Haslehner Wohnbau Bauträger GmbH, Bruck an der Aschach 18, Peuerbach • Kontakt über aktuelle Telefonnummern ☎ und Adressen ⚑ mit Karte, Routing, Öffnungszeiten, Homepage, E-Mail, vCard und Firmendaten.</t>
  </si>
  <si>
    <t>Bruck an der Aschach 18</t>
  </si>
  <si>
    <t>48.3270811</t>
  </si>
  <si>
    <t>13.7740227</t>
  </si>
  <si>
    <t>+437276413730</t>
  </si>
  <si>
    <t>office@haslehner.net</t>
  </si>
  <si>
    <t>https://bilder.dasschnelle.at/DasSchnelle/50/5000/9887/041965/G_041965_P_906219660.adn.gif</t>
  </si>
  <si>
    <t>Vital- u Wellnesszentrum Samsunn • Mariapfarr • Salzburg</t>
  </si>
  <si>
    <t>Hotels • Vital- u Wellnesszentrum Samsunn, Sonnenweg 600, Mariapfarr • Kontakt über aktuelle Telefonnummern ☎ und Adressen ⚑ mit Karte, Routing, Öffnungszeiten, Homepage, E-Mail, vCard und Firmendaten.</t>
  </si>
  <si>
    <t>Sonnenweg 600</t>
  </si>
  <si>
    <t>47.14917</t>
  </si>
  <si>
    <t>13.74512</t>
  </si>
  <si>
    <t>+4364732002042</t>
  </si>
  <si>
    <t>vitalopal@yahoo.de</t>
  </si>
  <si>
    <t>https://bilder.dasschnelle.at/DasSchnelle/50/5000/9936/043361/G_043361_P_906221258.adn.gif</t>
  </si>
  <si>
    <t>Raimann, Christoph, Dr., öffentl Notar • Hartberg • Steiermark</t>
  </si>
  <si>
    <t>Notare • Raimann, Christoph, Dr., Michaeligasse 38, Hartberg • Kontakt über aktuelle Telefonnummern ☎ und Adressen ⚑ mit Karte, Routing, Öffnungszeiten, Homepage, E-Mail, vCard und Firmendaten.</t>
  </si>
  <si>
    <t>Michaeligasse 38</t>
  </si>
  <si>
    <t>47.28132</t>
  </si>
  <si>
    <t>15.97212</t>
  </si>
  <si>
    <t>+433332622750</t>
  </si>
  <si>
    <t>+4333326227522</t>
  </si>
  <si>
    <t>office@notariat-hartberg.at</t>
  </si>
  <si>
    <t>https://bilder.dasschnelle.at/DasSchnelle/50/5000/9890/042582/G_042582_P_906222154.adn.gif</t>
  </si>
  <si>
    <t>Humer, Josef, Ing., Installationen • Natternbach • Oberösterreich</t>
  </si>
  <si>
    <t>Installationsunternehmen • Humer, Josef, Ing., Vischerstraße 17, Natternbach • Kontakt über aktuelle Telefonnummern ☎ und Adressen ⚑ mit Karte, Routing, Öffnungszeiten, Homepage, E-Mail, vCard und Firmendaten.</t>
  </si>
  <si>
    <t>Vischerstraße 17</t>
  </si>
  <si>
    <t>48.39769</t>
  </si>
  <si>
    <t>13.74483</t>
  </si>
  <si>
    <t>+4372788208;+436642548038</t>
  </si>
  <si>
    <t>office@humer-installationen.at</t>
  </si>
  <si>
    <t>https://bilder.dasschnelle.at/DasSchnelle/50/5000/9887/041962/G_041962_P_906221239.adn.gif</t>
  </si>
  <si>
    <t>VMD Versicherungsmaklerbüro Doppler GmbH • Neukirchen am Walde • Oberösterreich</t>
  </si>
  <si>
    <t>Versicherungsmakler • VMD Versicherungsmaklerbüro Doppler GmbH, Ertl 8, Neukirchen am Walde • Kontakt über aktuelle Telefonnummern ☎ und Adressen ⚑ mit Karte, Routing, Öffnungszeiten, Homepage, E-Mail, vCard und Firmendaten.</t>
  </si>
  <si>
    <t>Ertl 8</t>
  </si>
  <si>
    <t>48.4047</t>
  </si>
  <si>
    <t>13.78286</t>
  </si>
  <si>
    <t>+43727820130;+436642044210</t>
  </si>
  <si>
    <t>neukirchen@vmdoppler.at</t>
  </si>
  <si>
    <t>https://bilder.dasschnelle.at/DasSchnelle/50/5000/9887/041963/G_041963_P_906221244.adn.gif</t>
  </si>
  <si>
    <t>Luksch Haustechnik GmbH • Dorf • Oberösterreich</t>
  </si>
  <si>
    <t>Installationsunternehmen • Luksch Haustechnik GmbH, Gewerbepark 1, Dorf • Kontakt über aktuelle Telefonnummern ☎ und Adressen ⚑ mit Karte, Routing, Öffnungszeiten, Homepage, E-Mail, vCard und Firmendaten.</t>
  </si>
  <si>
    <t>4751</t>
  </si>
  <si>
    <t>48.2818936</t>
  </si>
  <si>
    <t>13.6261137</t>
  </si>
  <si>
    <t>+4377646591;+436765812352</t>
  </si>
  <si>
    <t>r.luksch@luksch.at</t>
  </si>
  <si>
    <t>https://bilder.dasschnelle.at/DasSchnelle/50/5000/9887/041815/I_041815_P_906221247_L_0038552101_1.png</t>
  </si>
  <si>
    <t>https://bilder.dasschnelle.at/DasSchnelle/50/5000/9887/041815/I_041815_P_906221247_B_0038552101_1.gal.png?height=405&amp;width=600;https://bilder.dasschnelle.at/DasSchnelle/50/5000/9887/041815/I_041815_P_906221247_B_0038552101_2.gal.png?height=284&amp;width=400;https://bilder.dasschnelle.at/DasSchnelle/50/5000/9887/041815/I_041815_P_906221247_B_0038552101_3.gal.png?height=177&amp;width=284;https://bilder.dasschnelle.at/DasSchnelle/50/5000/9887/041815/I_041815_P_906221247_B_0038552101_4.gal.png?height=284&amp;width=400</t>
  </si>
  <si>
    <t>Erdbau Irnberger e.U. • Waldneukirchen • Oberösterreich</t>
  </si>
  <si>
    <t>Erdbau • Erdbau Irnberger e.U., Eggmairstraße 7, Waldneukirchen • Kontakt über aktuelle Telefonnummern ☎ und Adressen ⚑ mit Karte, Routing, Öffnungszeiten, Homepage, E-Mail, vCard und Firmendaten.</t>
  </si>
  <si>
    <t>Eggmairstraße 7</t>
  </si>
  <si>
    <t>48.0017646</t>
  </si>
  <si>
    <t>14.2477581</t>
  </si>
  <si>
    <t>+4369914022579</t>
  </si>
  <si>
    <t>office@erdbau-irnberger.at</t>
  </si>
  <si>
    <t>https://bilder.dasschnelle.at/DasSchnelle/50/5000/9867/042823/G_042823_P_906221359.adn.gif</t>
  </si>
  <si>
    <t>Schönleitner Parkett GmbH • Peuerbach • Oberösterreich</t>
  </si>
  <si>
    <t>Parkett • Schönleitner Parkett GmbH, Niederweiding 3, Peuerbach • Kontakt über aktuelle Telefonnummern ☎ und Adressen ⚑ mit Karte, Routing, Öffnungszeiten, Homepage, E-Mail, vCard und Firmendaten.</t>
  </si>
  <si>
    <t>Niederweiding 3</t>
  </si>
  <si>
    <t>48.3289912</t>
  </si>
  <si>
    <t>13.7887094</t>
  </si>
  <si>
    <t>+436641611382</t>
  </si>
  <si>
    <t>parkettboden@a1.net</t>
  </si>
  <si>
    <t>https://bilder.dasschnelle.at/DasSchnelle/50/5000/9887/041965/I_041965_P_906222200_L_0036239041_1.png</t>
  </si>
  <si>
    <t>https://bilder.dasschnelle.at/DasSchnelle/50/5000/9887/041965/I_041965_P_906222200_B_0036239041_1.gal.png?height=405&amp;width=405;https://bilder.dasschnelle.at/DasSchnelle/50/5000/9887/041965/I_041965_P_906222200_B_0036239041_2.gal.png?height=405&amp;width=405;https://bilder.dasschnelle.at/DasSchnelle/50/5000/9887/041965/I_041965_P_906222200_B_0036239041_3.gal.png?height=405&amp;width=405;https://bilder.dasschnelle.at/DasSchnelle/50/5000/9887/041965/I_041965_P_906222200_B_0036239041_4.gal.png?height=405&amp;width=405</t>
  </si>
  <si>
    <t>Humer, Johannes, Türe-Tore-Fenster • Grieskirchen • Oberösterreich</t>
  </si>
  <si>
    <t>Türen u. Tore • Humer, Johannes, Kickendorf 16, Grieskirchen • Kontakt über aktuelle Telefonnummern ☎ und Adressen ⚑ mit Karte, Routing, Öffnungszeiten, Homepage, E-Mail, vCard und Firmendaten.</t>
  </si>
  <si>
    <t>Kickendorf 16</t>
  </si>
  <si>
    <t>48.2460431</t>
  </si>
  <si>
    <t>13.8357161</t>
  </si>
  <si>
    <t>+436643580505</t>
  </si>
  <si>
    <t>office@johannes-humer.at</t>
  </si>
  <si>
    <t>https://bilder.dasschnelle.at/DasSchnelle/50/5000/9887/041815/G_041815_P_906222228.adn.gif</t>
  </si>
  <si>
    <t>Johann Urwanisch, Malerei • Dunzing • Oberösterreich</t>
  </si>
  <si>
    <t>Malereibetriebe • Johann Urwanisch, Dunzing 20, Dunzing • Kontakt über aktuelle Telefonnummern ☎ und Adressen ⚑ mit Karte, Routing, Öffnungszeiten, Homepage, E-Mail, vCard und Firmendaten.</t>
  </si>
  <si>
    <t>Dunzing 20</t>
  </si>
  <si>
    <t>Dunzing</t>
  </si>
  <si>
    <t>48.1576370</t>
  </si>
  <si>
    <t>13.4761642</t>
  </si>
  <si>
    <t>+4377548788</t>
  </si>
  <si>
    <t>office@urwanisch.at</t>
  </si>
  <si>
    <t>https://bilder.dasschnelle.at/DasSchnelle/50/5000/9922/042559/G_042559_P_906221330.adn.gif</t>
  </si>
  <si>
    <t>Ovszenik GmbH, Dachdecker u Spengler • Voitsberg • Steiermark</t>
  </si>
  <si>
    <t>Spenglereien • Ovszenik GmbH, Grazer Vorstadt 65, Voitsberg • Kontakt über aktuelle Telefonnummern ☎ und Adressen ⚑ mit Karte, Routing, Öffnungszeiten, Homepage, E-Mail, vCard und Firmendaten.</t>
  </si>
  <si>
    <t>+43314222964</t>
  </si>
  <si>
    <t>office@ovszenik.at</t>
  </si>
  <si>
    <t>https://bilder.dasschnelle.at/DasSchnelle/50/5000/9941/045375/G_045375_P_906221334.adn.gif</t>
  </si>
  <si>
    <t>Temm, Kurt, Mag., öff Notar • Pöllau • Steiermark</t>
  </si>
  <si>
    <t>Notare • Temm, Kurt, Mag., Märzgasse 127, Pöllau • Kontakt über aktuelle Telefonnummern ☎ und Adressen ⚑ mit Karte, Routing, Öffnungszeiten, Homepage, E-Mail, vCard und Firmendaten.</t>
  </si>
  <si>
    <t>Märzgasse 127</t>
  </si>
  <si>
    <t>47.30297</t>
  </si>
  <si>
    <t>15.83493</t>
  </si>
  <si>
    <t>+43333522410</t>
  </si>
  <si>
    <t>+43333522414</t>
  </si>
  <si>
    <t>notar@temm.at</t>
  </si>
  <si>
    <t>https://bilder.dasschnelle.at/DasSchnelle/50/5000/9890/061400/G_061400_P_906221335.adn.gif</t>
  </si>
  <si>
    <t>Mandl, Elisabeth, Gastgewerbe • Sankt Marein bei Neumarkt • Steiermark</t>
  </si>
  <si>
    <t>Gastgewerbe - Gasthöfe • Mandl, Elisabeth, Pöllau 48, Sankt Marein bei Neumarkt • Kontakt über aktuelle Telefonnummern ☎ und Adressen ⚑ mit Karte, Routing, Öffnungszeiten, Homepage, E-Mail, vCard und Firmendaten.</t>
  </si>
  <si>
    <t>Pöllau 48</t>
  </si>
  <si>
    <t>Sankt Marein bei Neumarkt</t>
  </si>
  <si>
    <t>47.0393804</t>
  </si>
  <si>
    <t>14.3856134</t>
  </si>
  <si>
    <t>+4335842554</t>
  </si>
  <si>
    <t>poellauerhof@aon.at</t>
  </si>
  <si>
    <t>https://bilder.dasschnelle.at/DasSchnelle/50/5000/9910/061462/G_061462_P_906222208.adn.gif</t>
  </si>
  <si>
    <t>Aunitz, Werner, Malermeister • Teufenbach • Steiermark</t>
  </si>
  <si>
    <t>Malereibetriebe • Aunitz, Werner, Bahnhofstraße 3, Teufenbach • Kontakt über aktuelle Telefonnummern ☎ und Adressen ⚑ mit Karte, Routing, Öffnungszeiten, Homepage, E-Mail, vCard und Firmendaten.</t>
  </si>
  <si>
    <t>47.1350200</t>
  </si>
  <si>
    <t>14.3213600</t>
  </si>
  <si>
    <t>+433588618</t>
  </si>
  <si>
    <t>werner.aunitz@gmx.at</t>
  </si>
  <si>
    <t>https://bilder.dasschnelle.at/DasSchnelle/50/5000/9910/061467/I_061467_P_906222210_B_0036244176_1.gal.png?height=309&amp;width=600;https://bilder.dasschnelle.at/DasSchnelle/50/5000/9910/061467/G_061467_P_906222210.adn.gif</t>
  </si>
  <si>
    <t>GF-Consulting Fleischanderl GmbH, Ingenieursbüro • Natternbach • Oberösterreich</t>
  </si>
  <si>
    <t>Ingenieurbüros • GF-Consulting Fleischanderl GmbH, Kirchenplatz 6 4, Natternbach • Kontakt über aktuelle Telefonnummern ☎ und Adressen ⚑ mit Karte, Routing, Öffnungszeiten, Homepage, E-Mail, vCard und Firmendaten.</t>
  </si>
  <si>
    <t>Kirchenplatz 6 4</t>
  </si>
  <si>
    <t>48.3974</t>
  </si>
  <si>
    <t>13.74887</t>
  </si>
  <si>
    <t>+436641587079;+436641587079;+436643037456</t>
  </si>
  <si>
    <t>office@gf-consulting.at</t>
  </si>
  <si>
    <t>https://bilder.dasschnelle.at/DasSchnelle/50/5000/9887/041962/I_041962_P_906221382_L_0036234678_1.png</t>
  </si>
  <si>
    <t>https://bilder.dasschnelle.at/DasSchnelle/50/5000/9887/041962/I_041962_P_906221382_B_0036234678_1.gal.png?height=366&amp;width=550;https://bilder.dasschnelle.at/DasSchnelle/50/5000/9887/041962/I_041962_P_906221382_B_0036234678_2.gal.png?height=366&amp;width=550;https://bilder.dasschnelle.at/DasSchnelle/50/5000/9887/041962/I_041962_P_906221382_B_0036234678_3.gal.png?height=367&amp;width=550;https://bilder.dasschnelle.at/DasSchnelle/50/5000/9887/041962/I_041962_P_906221382_B_0036234678_4.gal.png?height=400&amp;width=600</t>
  </si>
  <si>
    <t>bruckner KG, Möbelwerkstätte u Möbelstudio • Natternbach • Oberösterreich</t>
  </si>
  <si>
    <t>Möbelhandel • bruckner KG, Steinweg 2, Natternbach • Kontakt über aktuelle Telefonnummern ☎ und Adressen ⚑ mit Karte, Routing, Öffnungszeiten, Homepage, E-Mail, vCard und Firmendaten.</t>
  </si>
  <si>
    <t>Steinweg 2</t>
  </si>
  <si>
    <t>48.39697</t>
  </si>
  <si>
    <t>13.74881</t>
  </si>
  <si>
    <t>+43727882680</t>
  </si>
  <si>
    <t>office@bruckner-moebel.at</t>
  </si>
  <si>
    <t>https://bilder.dasschnelle.at/DasSchnelle/50/5000/9887/041962/I_041962_P_906221386_L_0036234857_1.png</t>
  </si>
  <si>
    <t>https://bilder.dasschnelle.at/DasSchnelle/50/5000/9887/041962/I_041962_P_906221386_B_0036234857_1.gal.png?height=804&amp;width=720;https://bilder.dasschnelle.at/DasSchnelle/50/5000/9887/041962/I_041962_P_906221386_B_0036234857_2.gal.png?height=319&amp;width=720;https://bilder.dasschnelle.at/DasSchnelle/50/5000/9887/041962/I_041962_P_906221386_B_0036234857_3.gal.png?height=340&amp;width=720;https://bilder.dasschnelle.at/DasSchnelle/50/5000/9887/041962/I_041962_P_906221386_B_0036234857_4.gal.png?height=353&amp;width=720</t>
  </si>
  <si>
    <t>Schützeneder, Norbert, Malermeister • Waizenkirchen • Oberösterreich</t>
  </si>
  <si>
    <t>Malereibetriebe • Schützeneder, Norbert, Bahnhofstraße 6, Waizenkirchen • Kontakt über aktuelle Telefonnummern ☎ und Adressen ⚑ mit Karte, Routing, Öffnungszeiten, Homepage, E-Mail, vCard und Firmendaten.</t>
  </si>
  <si>
    <t>13.8511</t>
  </si>
  <si>
    <t>+43727727750</t>
  </si>
  <si>
    <t>+4372772775055</t>
  </si>
  <si>
    <t>malereischuetzeneder@aon.at</t>
  </si>
  <si>
    <t>https://bilder.dasschnelle.at/DasSchnelle/50/5000/9887/041977/G_041977_P_906221392.adn.gif</t>
  </si>
  <si>
    <t>Pfisterer, Claudia, Gastgewerbe • Mehrnbach • Oberösterreich</t>
  </si>
  <si>
    <t>Gastgewerbe - Gasthöfe • Pfisterer, Claudia, Atzing 18, Mehrnbach • Kontakt über aktuelle Telefonnummern ☎ und Adressen ⚑ mit Karte, Routing, Öffnungszeiten, Homepage, E-Mail, vCard und Firmendaten.</t>
  </si>
  <si>
    <t>Atzing 18</t>
  </si>
  <si>
    <t>48.2069137</t>
  </si>
  <si>
    <t>13.4098589</t>
  </si>
  <si>
    <t>+436606559434</t>
  </si>
  <si>
    <t>gadringer@jausnsackerl-atzing.at</t>
  </si>
  <si>
    <t>https://bilder.dasschnelle.at/DasSchnelle/50/5000/9922/042552/G_042552_P_906222785.adn.gif</t>
  </si>
  <si>
    <t>Winterheller, Christina, Mag., Rechtsanwälte • Tamsweg • Salzburg</t>
  </si>
  <si>
    <t>Rechtsanwälte • Winterheller, Christina, Mag., Kuenburgstraße 2 -9, Tamsweg • Kontakt über aktuelle Telefonnummern ☎ und Adressen ⚑ mit Karte, Routing, Öffnungszeiten, Homepage, E-Mail, vCard und Firmendaten.</t>
  </si>
  <si>
    <t>Kuenburgstraße 2 -9</t>
  </si>
  <si>
    <t>47.12741</t>
  </si>
  <si>
    <t>13.81094</t>
  </si>
  <si>
    <t>+43647420820</t>
  </si>
  <si>
    <t>office@ra-winterheller.at</t>
  </si>
  <si>
    <t>https://bilder.dasschnelle.at/DasSchnelle/50/5000/9936/043804/G_043804_P_906222791.adn.gif</t>
  </si>
  <si>
    <t>Prasser, Silvia, Mag., Notar • Tamsweg • Salzburg</t>
  </si>
  <si>
    <t>Notare • Prasser, Silvia, Mag., Marktplatz 11, Tamsweg • Kontakt über aktuelle Telefonnummern ☎ und Adressen ⚑ mit Karte, Routing, Öffnungszeiten, Homepage, E-Mail, vCard und Firmendaten.</t>
  </si>
  <si>
    <t>47.1259</t>
  </si>
  <si>
    <t>13.80985</t>
  </si>
  <si>
    <t>+4364742600;+436642441145</t>
  </si>
  <si>
    <t>+43647426006</t>
  </si>
  <si>
    <t>office@notarin-prasser.at</t>
  </si>
  <si>
    <t>https://bilder.dasschnelle.at/DasSchnelle/50/5000/9936/043804/I_043804_P_906222796_L_0036240560_1.png</t>
  </si>
  <si>
    <t>https://bilder.dasschnelle.at/DasSchnelle/50/5000/9936/043804/I_043804_P_906222796_B_0036240560_1.gal.png?height=335&amp;width=600;https://bilder.dasschnelle.at/DasSchnelle/50/5000/9936/043804/I_043804_P_906222796_B_0036240560_2.gal.png?height=537&amp;width=400;https://bilder.dasschnelle.at/DasSchnelle/50/5000/9936/043804/I_043804_P_906222796_B_0036240560_3.gal.png?height=397&amp;width=600;https://bilder.dasschnelle.at/DasSchnelle/50/5000/9936/043804/G_043804_P_906222796.adn.gif</t>
  </si>
  <si>
    <t>Rosian, Peter, Dr.med.univ.et med.dent., FA f Zahn-, Mund- u Kieferheilkunde • Tamsweg • Steiermark</t>
  </si>
  <si>
    <t>Ärzte / Fachärzte f. Zahn-, Mund u. Kieferheilkunde • Rosian, Peter, Dr.med.univ.et med.dent., Kuenburgstraße 9, Tamsweg • Kontakt über aktuelle Telefonnummern ☎ und Adressen ⚑ mit Karte, Routing, Öffnungszeiten, Homepage, E-Mail, vCard und Firmendaten.</t>
  </si>
  <si>
    <t>Kuenburgstraße 9</t>
  </si>
  <si>
    <t>47.0859090</t>
  </si>
  <si>
    <t>13.9796116</t>
  </si>
  <si>
    <t>+433534201900;+436641354914</t>
  </si>
  <si>
    <t>+433534201904</t>
  </si>
  <si>
    <t>zahn@rosian.at</t>
  </si>
  <si>
    <t>https://bilder.dasschnelle.at/DasSchnelle/50/5000/9936/043804/G_043804_P_906222804.adn.gif</t>
  </si>
  <si>
    <t>Paschinger GmbH, Sanitärinstallationen • Hartkirchen • Oberösterreich</t>
  </si>
  <si>
    <t>Installationsunternehmen • Paschinger GmbH, Vornholz 30, Hartkirchen • Kontakt über aktuelle Telefonnummern ☎ und Adressen ⚑ mit Karte, Routing, Öffnungszeiten, Homepage, E-Mail, vCard und Firmendaten.</t>
  </si>
  <si>
    <t>Vornholz 30</t>
  </si>
  <si>
    <t>48.3789700</t>
  </si>
  <si>
    <t>14.0185000</t>
  </si>
  <si>
    <t>+4372738861;+43727320105</t>
  </si>
  <si>
    <t>office@paschinger-install.at</t>
  </si>
  <si>
    <t>https://bilder.dasschnelle.at/DasSchnelle/50/5000/9887/041815/G_041815_P_906223790.adn.gif</t>
  </si>
  <si>
    <t>MKW Kunststofftechnik GmbH • Weibern • Oberösterreich</t>
  </si>
  <si>
    <t>Kunststoffbe- und -verarbeitung, Metallbe- und -verarbeitung, Kunststoffbe- u. verarbeitung • MKW Kunststofftechnik GmbH, Jutogasse 3, Weibern • Kontakt über aktuelle Telefonnummern ☎ und Adressen ⚑ mit Karte, Routing, Öffnungszeiten, Homepage, E-Mail, vCard und Firmendaten.</t>
  </si>
  <si>
    <t>Jutogasse 3</t>
  </si>
  <si>
    <t>48.18304</t>
  </si>
  <si>
    <t>13.69945</t>
  </si>
  <si>
    <t>+43773237110</t>
  </si>
  <si>
    <t>office@mkw.at</t>
  </si>
  <si>
    <t>https://bilder.dasschnelle.at/DasSchnelle/50/5000/9887/041979/G_041979_P_906223795.adn.gif</t>
  </si>
  <si>
    <t>Eizenberger, Manfred, Spenglerei • Steegen</t>
  </si>
  <si>
    <t>Spenglereien • Eizenberger, Manfred, Steegen • Kontakt über aktuelle Telefonnummern ☎ und Adressen ⚑ mit Karte, Routing, Öffnungszeiten, Homepage, E-Mail, vCard und Firmendaten.</t>
  </si>
  <si>
    <t>Steegen</t>
  </si>
  <si>
    <t>48.3375636</t>
  </si>
  <si>
    <t>13.7653478</t>
  </si>
  <si>
    <t>+436764212556;+43727630055</t>
  </si>
  <si>
    <t>office@spenglerei-eizenberger.at</t>
  </si>
  <si>
    <t>https://bilder.dasschnelle.at/DasSchnelle/50/5000/9887/041974/I_041974_P_906224026_L_0036234745_1.png</t>
  </si>
  <si>
    <t>https://bilder.dasschnelle.at/DasSchnelle/50/5000/9887/041974/I_041974_P_906224026_B_0036234745_1.gal.png?height=540&amp;width=720;https://bilder.dasschnelle.at/DasSchnelle/50/5000/9887/041974/I_041974_P_906224026_B_0036234745_2.gal.png?height=540&amp;width=720;https://bilder.dasschnelle.at/DasSchnelle/50/5000/9887/041974/I_041974_P_906224026_B_0036234745_3.gal.png?height=540&amp;width=720;https://bilder.dasschnelle.at/DasSchnelle/50/5000/9887/041974/I_041974_P_906224026_B_0036234745_4.gal.png?height=540&amp;width=720;https://bilder.dasschnelle.at/DasSchnelle/50/5000/9887/041974/G_041974_P_906224026.adn.gif</t>
  </si>
  <si>
    <t>Herzblut Malerei GmbH • Putzleinsdorf • Oberösterreich</t>
  </si>
  <si>
    <t>Malereibetriebe • Herzblut Malerei GmbH, Krien 26, Putzleinsdorf • Kontakt über aktuelle Telefonnummern ☎ und Adressen ⚑ mit Karte, Routing, Öffnungszeiten, Homepage, E-Mail, vCard und Firmendaten.</t>
  </si>
  <si>
    <t>Krien 26</t>
  </si>
  <si>
    <t>48.5325000</t>
  </si>
  <si>
    <t>13.8512300</t>
  </si>
  <si>
    <t>+436762419574908</t>
  </si>
  <si>
    <t>herzblut-malerei@gmx.at</t>
  </si>
  <si>
    <t>https://bilder.dasschnelle.at/DasSchnelle/50/5000/9923/042287/G_042287_P_906224081.adn.gif</t>
  </si>
  <si>
    <t>Kaser, Johann, Versicherungsmakler • Gallspach • Oberösterreich</t>
  </si>
  <si>
    <t>Versicherungsmakler • Kaser, Johann, Dr. Rotter Straße 18, Gallspach • Kontakt über aktuelle Telefonnummern ☎ und Adressen ⚑ mit Karte, Routing, Öffnungszeiten, Homepage, E-Mail, vCard und Firmendaten.</t>
  </si>
  <si>
    <t>Dr. Rotter Straße 18</t>
  </si>
  <si>
    <t>48.21274</t>
  </si>
  <si>
    <t>13.80966</t>
  </si>
  <si>
    <t>+43724866373</t>
  </si>
  <si>
    <t>kaser@maklerbuero-wiesinger.at</t>
  </si>
  <si>
    <t>https://bilder.dasschnelle.at/DasSchnelle/50/5000/9887/041812/G_041812_P_906223856.adn.gif</t>
  </si>
  <si>
    <t>Bruckbauer, Robert, Kunstschmiede • Neumarkt im Hausruckkreis • Oberösterreich</t>
  </si>
  <si>
    <t>Kunstschmieden • Bruckbauer, Robert, Schildorf 5, Neumarkt im Hausruckkreis • Kontakt über aktuelle Telefonnummern ☎ und Adressen ⚑ mit Karte, Routing, Öffnungszeiten, Homepage, E-Mail, vCard und Firmendaten.</t>
  </si>
  <si>
    <t>Schildorf 5</t>
  </si>
  <si>
    <t>48.2841772</t>
  </si>
  <si>
    <t>13.7012139</t>
  </si>
  <si>
    <t>+4366473246509</t>
  </si>
  <si>
    <t>die.schmiede@aon.at</t>
  </si>
  <si>
    <t>https://bilder.dasschnelle.at/DasSchnelle/50/5000/9887/041964/I_041964_P_906223858_L_0036208462_1.png</t>
  </si>
  <si>
    <t>https://bilder.dasschnelle.at/DasSchnelle/50/5000/9887/041964/I_041964_P_906223858_B_0036208462_1.gal.png?height=480&amp;width=640;https://bilder.dasschnelle.at/DasSchnelle/50/5000/9887/041964/I_041964_P_906223858_B_0036208462_2.gal.png?height=480&amp;width=640;https://bilder.dasschnelle.at/DasSchnelle/50/5000/9887/041964/I_041964_P_906223858_B_0036208462_3.gal.png?height=480&amp;width=640;https://bilder.dasschnelle.at/DasSchnelle/50/5000/9887/041964/I_041964_P_906223858_B_0036208462_4.gal.png?height=480&amp;width=640</t>
  </si>
  <si>
    <t>Schneeberger Walter e.U.  • Neumarkt im Hausruckkreis • Oberösterreich</t>
  </si>
  <si>
    <t>Spenglereien • Schneeberger Walter e.U., Ziehbachstraße 22, Neumarkt im Hausruckkreis • Kontakt über aktuelle Telefonnummern ☎ und Adressen ⚑ mit Karte, Routing, Öffnungszeiten, Homepage, E-Mail, vCard und Firmendaten.</t>
  </si>
  <si>
    <t>Ziehbachstraße 22</t>
  </si>
  <si>
    <t>48.27364</t>
  </si>
  <si>
    <t>13.72082</t>
  </si>
  <si>
    <t>+43773367730</t>
  </si>
  <si>
    <t>schneeberger.walter@aon.at</t>
  </si>
  <si>
    <t>Erdbewegung DUKI • Söding • Steiermark</t>
  </si>
  <si>
    <t>Erdbewegungen • Erdbewegung DUKI, Am Schlossbühel 17, Söding • Kontakt über aktuelle Telefonnummern ☎ und Adressen ⚑ mit Karte, Routing, Öffnungszeiten, Homepage, E-Mail, vCard und Firmendaten.</t>
  </si>
  <si>
    <t>Am Schlossbühel 17</t>
  </si>
  <si>
    <t>47.0051206</t>
  </si>
  <si>
    <t>15.2927735</t>
  </si>
  <si>
    <t>+4367763410125</t>
  </si>
  <si>
    <t>idukari985@gmail.com</t>
  </si>
  <si>
    <t>https://bilder.dasschnelle.at/DasSchnelle/50/5000/9941/061378/G_061378_P_906223966.adn.gif</t>
  </si>
  <si>
    <t>Rein &amp; Partner Steuerberatung GmbH • Hartberg • Steiermark</t>
  </si>
  <si>
    <t>Wirtschaftstreuhänder / Steuerberater • Rein &amp; Partner Steuerberatung GmbH, Alleegasse 13, Hartberg • Kontakt über aktuelle Telefonnummern ☎ und Adressen ⚑ mit Karte, Routing, Öffnungszeiten, Homepage, E-Mail, vCard und Firmendaten.</t>
  </si>
  <si>
    <t>Alleegasse 13</t>
  </si>
  <si>
    <t>47.28233</t>
  </si>
  <si>
    <t>15.97177</t>
  </si>
  <si>
    <t>+43333265080</t>
  </si>
  <si>
    <t>hartberg@rein-stb.at</t>
  </si>
  <si>
    <t>https://bilder.dasschnelle.at/DasSchnelle/50/5000/9890/042582/G_042582_P_906223968.adn.gif</t>
  </si>
  <si>
    <t>Muggenhumer Energiesysteme GmbH • Grieskirchen • Oberösterreich</t>
  </si>
  <si>
    <t>Heizungen, Installationsunternehmen • Muggenhumer Energiesysteme GmbH, Trattnachtalstraße 9, Grieskirchen • Kontakt über aktuelle Telefonnummern ☎ und Adressen ⚑ mit Karte, Routing, Öffnungszeiten, Homepage, E-Mail, vCard und Firmendaten.</t>
  </si>
  <si>
    <t>Trattnachtalstraße 9</t>
  </si>
  <si>
    <t>48.23696</t>
  </si>
  <si>
    <t>13.81728</t>
  </si>
  <si>
    <t>+43724864633</t>
  </si>
  <si>
    <t>+4372486463333</t>
  </si>
  <si>
    <t>office@muggenhumer.at</t>
  </si>
  <si>
    <t>https://bilder.dasschnelle.at/DasSchnelle/50/5000/9887/041815/I_041815_P_906226555_L_0036234851_1.png</t>
  </si>
  <si>
    <t>https://bilder.dasschnelle.at/DasSchnelle/50/5000/9887/041815/I_041815_P_906226555_B_0036234851_1.gal.png?height=207&amp;width=456;https://bilder.dasschnelle.at/DasSchnelle/50/5000/9887/041815/I_041815_P_906226555_B_0036234851_2.gal.png?height=207&amp;width=456;https://bilder.dasschnelle.at/DasSchnelle/50/5000/9887/041815/I_041815_P_906226555_B_0036234851_3.gal.png?height=207&amp;width=456;https://bilder.dasschnelle.at/DasSchnelle/50/5000/9887/041815/I_041815_P_906226555_B_0036234851_4.gal.png?height=207&amp;width=456</t>
  </si>
  <si>
    <t>Meindlhumer, August jun, Schmied • Schlüßlberg • Oberösterreich</t>
  </si>
  <si>
    <t>Schmieden • Meindlhumer, August jun, Rosenau 35, Schlüßlberg • Kontakt über aktuelle Telefonnummern ☎ und Adressen ⚑ mit Karte, Routing, Öffnungszeiten, Homepage, E-Mail, vCard und Firmendaten.</t>
  </si>
  <si>
    <t>Rosenau 35</t>
  </si>
  <si>
    <t>48.2276314</t>
  </si>
  <si>
    <t>13.8559168</t>
  </si>
  <si>
    <t>+43724868303</t>
  </si>
  <si>
    <t>office@schmiedewerkstatt.at</t>
  </si>
  <si>
    <t>Fosodeder GmbH, Tischlerei • Gaspoltshofen • Oberösterreich</t>
  </si>
  <si>
    <t>Tischlereien • Fosodeder GmbH, Hörbach 15, Gaspoltshofen • Kontakt über aktuelle Telefonnummern ☎ und Adressen ⚑ mit Karte, Routing, Öffnungszeiten, Homepage, E-Mail, vCard und Firmendaten.</t>
  </si>
  <si>
    <t>Hörbach 15</t>
  </si>
  <si>
    <t>48.1317862</t>
  </si>
  <si>
    <t>13.7620594</t>
  </si>
  <si>
    <t>+43773567239</t>
  </si>
  <si>
    <t>info@fosodeder.at</t>
  </si>
  <si>
    <t>https://bilder.dasschnelle.at/DasSchnelle/50/5000/9887/041813/G_041813_P_906225600.adn.gif</t>
  </si>
  <si>
    <t>VME Eggendorfer GmbH • Sierning • Oberösterreich</t>
  </si>
  <si>
    <t>Versicherungsagentur • VME Eggendorfer GmbH, Neustraße 9, Sierning • Kontakt über aktuelle Telefonnummern ☎ und Adressen ⚑ mit Karte, Routing, Öffnungszeiten, Homepage, E-Mail, vCard und Firmendaten.</t>
  </si>
  <si>
    <t>Neustraße 9</t>
  </si>
  <si>
    <t>48.0432910</t>
  </si>
  <si>
    <t>14.3084174</t>
  </si>
  <si>
    <t>+43725932258</t>
  </si>
  <si>
    <t>eggendo@gmx.at</t>
  </si>
  <si>
    <t>https://bilder.dasschnelle.at/DasSchnelle/50/5000/9932/042807/G_042807_P_906226576.adn.gif</t>
  </si>
  <si>
    <t>Muggenhumer Elektro GmbH • Grieskirchen • Oberösterreich</t>
  </si>
  <si>
    <t>Elektrogeräte u. -bedarf, Elektrotechnik • Muggenhumer Elektro GmbH, Oberer Stadtplatz 13, Grieskirchen • Kontakt über aktuelle Telefonnummern ☎ und Adressen ⚑ mit Karte, Routing, Öffnungszeiten, Homepage, E-Mail, vCard und Firmendaten.</t>
  </si>
  <si>
    <t>Oberer Stadtplatz 13</t>
  </si>
  <si>
    <t>48.2356</t>
  </si>
  <si>
    <t>13.82584</t>
  </si>
  <si>
    <t>+43724862241;+43724866577</t>
  </si>
  <si>
    <t>+43724862482</t>
  </si>
  <si>
    <t>office@elektro-muggenhumer.at</t>
  </si>
  <si>
    <t>https://bilder.dasschnelle.at/DasSchnelle/50/5000/9887/041815/I_041815_P_906227514_L_0036234811_1.png</t>
  </si>
  <si>
    <t>https://bilder.dasschnelle.at/DasSchnelle/50/5000/9887/041815/I_041815_P_906227514_B_0036234811_1.gal.png?height=286&amp;width=368;https://bilder.dasschnelle.at/DasSchnelle/50/5000/9887/041815/I_041815_P_906227514_B_0036234811_2.gal.png?height=286&amp;width=368;https://bilder.dasschnelle.at/DasSchnelle/50/5000/9887/041815/I_041815_P_906227514_B_0036234811_3.gal.png?height=286&amp;width=368</t>
  </si>
  <si>
    <t>Teufel, Richard, Zimmerei • Lackenhof • Niederösterreich</t>
  </si>
  <si>
    <t>Zimmereien • Teufel, Richard, Ötscherstraße 5, Lackenhof • Kontakt über aktuelle Telefonnummern ☎ und Adressen ⚑ mit Karte, Routing, Öffnungszeiten, Homepage, E-Mail, vCard und Firmendaten.</t>
  </si>
  <si>
    <t>Ötscherstraße 5</t>
  </si>
  <si>
    <t>3295</t>
  </si>
  <si>
    <t>Lackenhof</t>
  </si>
  <si>
    <t>47.87149</t>
  </si>
  <si>
    <t>15.14879</t>
  </si>
  <si>
    <t>+4374805258;+436644433310;+436644433310</t>
  </si>
  <si>
    <t>balkonteufel@aon.at</t>
  </si>
  <si>
    <t>https://bilder.dasschnelle.at/DasSchnelle/50/5000/9927/041922/I_041922_P_906227525_L_0036242982_1.png</t>
  </si>
  <si>
    <t>https://bilder.dasschnelle.at/DasSchnelle/50/5000/9927/041922/I_041922_P_906227525_B_0036242982_1.gal.png?height=540&amp;width=720;https://bilder.dasschnelle.at/DasSchnelle/50/5000/9927/041922/I_041922_P_906227525_B_0036242982_2.gal.png?height=540&amp;width=720;https://bilder.dasschnelle.at/DasSchnelle/50/5000/9927/041922/I_041922_P_906227525_B_0036242982_3.gal.png?height=540&amp;width=720;https://bilder.dasschnelle.at/DasSchnelle/50/5000/9927/041922/I_041922_P_906227525_B_0036242982_4.gal.png?height=540&amp;width=720</t>
  </si>
  <si>
    <t>Mimmo Ristorante Pizzeria • Ried im Innkreis • Oberösterreich</t>
  </si>
  <si>
    <t>Pizzerias • Mimmo Ristorante Pizzeria, Rennerstraße 6, Ried im Innkreis • Kontakt über aktuelle Telefonnummern ☎ und Adressen ⚑ mit Karte, Routing, Öffnungszeiten, Homepage, E-Mail, vCard und Firmendaten.</t>
  </si>
  <si>
    <t>Rennerstraße 6</t>
  </si>
  <si>
    <t>48.22053</t>
  </si>
  <si>
    <t>+43775283626</t>
  </si>
  <si>
    <t>mimmo@gmx.at</t>
  </si>
  <si>
    <t>https://bilder.dasschnelle.at/DasSchnelle/50/5000/9922/042563/G_042563_P_906225752.adn.gif</t>
  </si>
  <si>
    <t>Thomas Spat, Hafnerei • Deutschlandsberg • Steiermark</t>
  </si>
  <si>
    <t>Kachelöfen • Thomas Spat, Hochholzweg 18, Deutschlandsberg • Kontakt über aktuelle Telefonnummern ☎ und Adressen ⚑ mit Karte, Routing, Öffnungszeiten, Homepage, E-Mail, vCard und Firmendaten.</t>
  </si>
  <si>
    <t>Hochholzweg 18</t>
  </si>
  <si>
    <t>46.8424311</t>
  </si>
  <si>
    <t>15.2075522</t>
  </si>
  <si>
    <t>+436649264433</t>
  </si>
  <si>
    <t>info@die-hafnerei.at</t>
  </si>
  <si>
    <t>Schlosserei Krendl • Gaming • Niederösterreich</t>
  </si>
  <si>
    <t>Schlossereien • Schlosserei Krendl, Erlauftalstraße 42, Gaming • Kontakt über aktuelle Telefonnummern ☎ und Adressen ⚑ mit Karte, Routing, Öffnungszeiten, Homepage, E-Mail, vCard und Firmendaten.</t>
  </si>
  <si>
    <t>Erlauftalstraße 42</t>
  </si>
  <si>
    <t>47.93555</t>
  </si>
  <si>
    <t>15.09538</t>
  </si>
  <si>
    <t>+43748597566</t>
  </si>
  <si>
    <t>franz-krendl@gmx.at</t>
  </si>
  <si>
    <t>https://bilder.dasschnelle.at/DasSchnelle/50/5000/9927/041922/G_041922_P_906226665.adn.gif</t>
  </si>
  <si>
    <t>Dahdal, Sami, Pizzeria • Gresten • Niederösterreich</t>
  </si>
  <si>
    <t>Pizzerias • Dahdal, Sami, Bahnhofstraße 2, Gresten • Kontakt über aktuelle Telefonnummern ☎ und Adressen ⚑ mit Karte, Routing, Öffnungszeiten, Homepage, E-Mail, vCard und Firmendaten.</t>
  </si>
  <si>
    <t>47.98331</t>
  </si>
  <si>
    <t>15.0252</t>
  </si>
  <si>
    <t>+43748721945</t>
  </si>
  <si>
    <t>dahdal@gmx.at</t>
  </si>
  <si>
    <t>https://bilder.dasschnelle.at/DasSchnelle/50/5000/9927/041924/I_041924_P_906226667_B_0036233303_1.gal.png?height=720&amp;width=405;https://bilder.dasschnelle.at/DasSchnelle/50/5000/9927/041924/I_041924_P_906226667_B_0036233303_2.gal.png?height=720&amp;width=405;https://bilder.dasschnelle.at/DasSchnelle/50/5000/9927/041924/I_041924_P_906226667_B_0036233303_3.gal.png?height=540&amp;width=720;https://bilder.dasschnelle.at/DasSchnelle/50/5000/9927/041924/G_041924_P_906226667.adn.gif</t>
  </si>
  <si>
    <t>Hinterholzer Taxi &amp; Transporte, Taxiunternehmen • Hohenzell • Oberösterreich</t>
  </si>
  <si>
    <t>Taxi • Hinterholzer Taxi &amp; Transporte, Oberlangstadl 4, Hohenzell • Kontakt über aktuelle Telefonnummern ☎ und Adressen ⚑ mit Karte, Routing, Öffnungszeiten, Homepage, E-Mail, vCard und Firmendaten.</t>
  </si>
  <si>
    <t>Oberlangstadl 4</t>
  </si>
  <si>
    <t>48.21397</t>
  </si>
  <si>
    <t>13.51653</t>
  </si>
  <si>
    <t>+436642221711</t>
  </si>
  <si>
    <t>office@taxi-hinterholzer.at</t>
  </si>
  <si>
    <t>https://bilder.dasschnelle.at/DasSchnelle/50/5000/9922/042547/G_042547_P_906226063.adn.gif</t>
  </si>
  <si>
    <t>Haslinger, Manuela, Jausenstation • Tumeltsham • Oberösterreich</t>
  </si>
  <si>
    <t>Gastgewerbe - Gasthöfe • Haslinger, Manuela, Oberleiten 23, Tumeltsham • Kontakt über aktuelle Telefonnummern ☎ und Adressen ⚑ mit Karte, Routing, Öffnungszeiten, Homepage, E-Mail, vCard und Firmendaten.</t>
  </si>
  <si>
    <t>Oberleiten 23</t>
  </si>
  <si>
    <t>48.22906</t>
  </si>
  <si>
    <t>13.50467</t>
  </si>
  <si>
    <t>+43775283425</t>
  </si>
  <si>
    <t>manuelahaslinger@aon.at</t>
  </si>
  <si>
    <t>https://bilder.dasschnelle.at/DasSchnelle/50/5000/9922/042570/G_042570_P_906226669.adn.gif</t>
  </si>
  <si>
    <t>Bestattung Wilfinger Büro • Hartberg • Steiermark</t>
  </si>
  <si>
    <t>Bestattungsunternehmen • Bestattung Wilfinger Büro:, Michaeligasse 8, Hartberg • Kontakt über aktuelle Telefonnummern ☎ und Adressen ⚑ mit Karte, Routing, Öffnungszeiten, Homepage, E-Mail, vCard und Firmendaten.</t>
  </si>
  <si>
    <t>Michaeligasse 8</t>
  </si>
  <si>
    <t>47.2793</t>
  </si>
  <si>
    <t>15.96859</t>
  </si>
  <si>
    <t>+436641534340</t>
  </si>
  <si>
    <t>office@bestattung.wilfinger.at</t>
  </si>
  <si>
    <t>https://bilder.dasschnelle.at/DasSchnelle/50/5000/9890/042582/G_042582_P_906226670.adn.gif</t>
  </si>
  <si>
    <t>Kaimberger, Natursteine u. Fliesen • Peuerbach • Oberösterreich</t>
  </si>
  <si>
    <t>Natursteine u. -platten • Kaimberger, Erlenstraße 17, Peuerbach • Kontakt über aktuelle Telefonnummern ☎ und Adressen ⚑ mit Karte, Routing, Öffnungszeiten, Homepage, E-Mail, vCard und Firmendaten.</t>
  </si>
  <si>
    <t>Erlenstraße 17</t>
  </si>
  <si>
    <t>48.34256</t>
  </si>
  <si>
    <t>13.78282</t>
  </si>
  <si>
    <t>+4372763107</t>
  </si>
  <si>
    <t>fliesen@kaimberger.at</t>
  </si>
  <si>
    <t>https://bilder.dasschnelle.at/DasSchnelle/50/5000/9887/041965/I_041965_P_906226672_L_0036262455_1.png</t>
  </si>
  <si>
    <t>https://bilder.dasschnelle.at/DasSchnelle/50/5000/9887/041965/I_041965_P_906226672_B_0036262455_1.gal.png?height=360&amp;width=480;https://bilder.dasschnelle.at/DasSchnelle/50/5000/9887/041965/I_041965_P_906226672_B_0036262455_2.gal.png?height=360&amp;width=480;https://bilder.dasschnelle.at/DasSchnelle/50/5000/9887/041965/I_041965_P_906226672_B_0036262455_3.gal.png?height=360&amp;width=480;https://bilder.dasschnelle.at/DasSchnelle/50/5000/9887/041965/I_041965_P_906226672_B_0036262455_4.gal.png?height=360&amp;width=480</t>
  </si>
  <si>
    <t>Seyr Harald GmbH., Spenglerei • Bad Wimsbach • Oberösterreich</t>
  </si>
  <si>
    <t>Dachdeckereien • Seyr Harald GmbH., Kößlwang 59, Bad Wimsbach • Kontakt über aktuelle Telefonnummern ☎ und Adressen ⚑ mit Karte, Routing, Öffnungszeiten, Homepage, E-Mail, vCard und Firmendaten.</t>
  </si>
  <si>
    <t>Kößlwang 59</t>
  </si>
  <si>
    <t>Bad Wimsbach</t>
  </si>
  <si>
    <t>48.0254232</t>
  </si>
  <si>
    <t>13.9033133</t>
  </si>
  <si>
    <t>+43724525074</t>
  </si>
  <si>
    <t>office@seyr.org</t>
  </si>
  <si>
    <t>https://bilder.dasschnelle.at/DasSchnelle/50/5000/9943/041807/G_041807_P_906228813.adn.gif</t>
  </si>
  <si>
    <t>Scherrer, Maria, Psychologische Beratung • Peuerbach • Oberösterreich</t>
  </si>
  <si>
    <t>Psychologische Beratungen • Scherrer, Maria, Oberndorf 6, Peuerbach • Kontakt über aktuelle Telefonnummern ☎ und Adressen ⚑ mit Karte, Routing, Öffnungszeiten, Homepage, E-Mail, vCard und Firmendaten.</t>
  </si>
  <si>
    <t>Oberndorf 6</t>
  </si>
  <si>
    <t>48.3004170</t>
  </si>
  <si>
    <t>13.7500340</t>
  </si>
  <si>
    <t>+436641327431</t>
  </si>
  <si>
    <t>praxis@maria-scherrer.at</t>
  </si>
  <si>
    <t>https://bilder.dasschnelle.at/DasSchnelle/50/5000/9887/041965/I_041965_P_906228904_L_0038056466_1.png</t>
  </si>
  <si>
    <t>https://bilder.dasschnelle.at/DasSchnelle/50/5000/9887/041965/I_041965_P_906228904_B_0038056466_1.gal.png?height=700&amp;width=550</t>
  </si>
  <si>
    <t>Aydar, Cetin, Pizzeria • Peuerbach • Oberösterreich</t>
  </si>
  <si>
    <t>Imbiß, Pizzerias • Aydar, Cetin, Hauptstraße 13, Peuerbach • Kontakt über aktuelle Telefonnummern ☎ und Adressen ⚑ mit Karte, Routing, Öffnungszeiten, Homepage, E-Mail, vCard und Firmendaten.</t>
  </si>
  <si>
    <t>48.34387</t>
  </si>
  <si>
    <t>13.77185</t>
  </si>
  <si>
    <t>+436506684535</t>
  </si>
  <si>
    <t>https://bilder.dasschnelle.at/DasSchnelle/50/5000/9887/041965/G_041965_P_906228910.adn.gif</t>
  </si>
  <si>
    <t>Stolz Bestattung GmbH, Bestattung • Murau • Steiermark</t>
  </si>
  <si>
    <t>Bestattungsunternehmen • Stolz Bestattung GmbH, Bundesstraße 1 A, Murau • Kontakt über aktuelle Telefonnummern ☎ und Adressen ⚑ mit Karte, Routing, Öffnungszeiten, Homepage, E-Mail, vCard und Firmendaten.</t>
  </si>
  <si>
    <t>47.1114800</t>
  </si>
  <si>
    <t>14.1839900</t>
  </si>
  <si>
    <t>+43353244990</t>
  </si>
  <si>
    <t>moser@bestattung-stolz.at</t>
  </si>
  <si>
    <t>https://bilder.dasschnelle.at/DasSchnelle/50/5000/9910/061401/I_061401_P_906228914_L_0036208507_1.png</t>
  </si>
  <si>
    <t>https://bilder.dasschnelle.at/DasSchnelle/50/5000/9910/061401/I_061401_P_906228914_B_0036208507_1.gal.png?height=194&amp;width=259</t>
  </si>
  <si>
    <t>Neumann Holzbau KG • Köflach • Steiermark</t>
  </si>
  <si>
    <t>Holzbau • Neumann Holzbau KG, Unterer Kreuzberg 611, Köflach • Kontakt über aktuelle Telefonnummern ☎ und Adressen ⚑ mit Karte, Routing, Öffnungszeiten, Homepage, E-Mail, vCard und Firmendaten.</t>
  </si>
  <si>
    <t>Unterer Kreuzberg 611</t>
  </si>
  <si>
    <t>47.03515</t>
  </si>
  <si>
    <t>15.06235</t>
  </si>
  <si>
    <t>+433145293;+436641356142;+436644400162;+436644400163</t>
  </si>
  <si>
    <t>office@neumann-holzbau.at</t>
  </si>
  <si>
    <t>https://bilder.dasschnelle.at/DasSchnelle/50/5000/9941/061381/G_061381_P_906228797.adn.gif</t>
  </si>
  <si>
    <t>Augenzentrum Bachernegg • Hartberg • Steiermark</t>
  </si>
  <si>
    <t>Ärzte / Fachärzte f. Augenheilkunde u. Optometrie • Augenzentrum Bachernegg, Wiener Straße 5, Hartberg • Kontakt über aktuelle Telefonnummern ☎ und Adressen ⚑ mit Karte, Routing, Öffnungszeiten, Homepage, E-Mail, vCard und Firmendaten.</t>
  </si>
  <si>
    <t>47.28171</t>
  </si>
  <si>
    <t>15.96996</t>
  </si>
  <si>
    <t>+43333220349</t>
  </si>
  <si>
    <t>optik@augenzentrum-bachernegg.at</t>
  </si>
  <si>
    <t>https://bilder.dasschnelle.at/DasSchnelle/50/5000/9890/042582/G_042582_P_906229853.adn.gif</t>
  </si>
  <si>
    <t>Bauer, Christian, Taxi • Schlüßlberg • Oberösterreich</t>
  </si>
  <si>
    <t>Taxi • Bauer, Christian, Hermann-Erdpresser-Siedlung 3, Schlüßlberg • Kontakt über aktuelle Telefonnummern ☎ und Adressen ⚑ mit Karte, Routing, Öffnungszeiten, Homepage, E-Mail, vCard und Firmendaten.</t>
  </si>
  <si>
    <t>Hermann-Erdpresser-Siedlung 3</t>
  </si>
  <si>
    <t>48.22288</t>
  </si>
  <si>
    <t>13.86827</t>
  </si>
  <si>
    <t>+43724864588;+436641919877;+436645354393</t>
  </si>
  <si>
    <t>pauli67@yahoo.de</t>
  </si>
  <si>
    <t>https://bilder.dasschnelle.at/DasSchnelle/50/5000/9887/041973/I_041973_P_906229026_L_0036234675_1.png</t>
  </si>
  <si>
    <t>Berger, Günter, KFZ Werkstätte • Neumarkt in Steiermark • Steiermark</t>
  </si>
  <si>
    <t>Autohandel • Berger, Günter, Gewerbepark Bahnhof 2, Neumarkt in Steiermark • Kontakt über aktuelle Telefonnummern ☎ und Adressen ⚑ mit Karte, Routing, Öffnungszeiten, Homepage, E-Mail, vCard und Firmendaten.</t>
  </si>
  <si>
    <t>Gewerbepark Bahnhof 2</t>
  </si>
  <si>
    <t>47.0750106</t>
  </si>
  <si>
    <t>14.4095500</t>
  </si>
  <si>
    <t>+43358420002;+436641464319</t>
  </si>
  <si>
    <t>office@kfz-berger.com</t>
  </si>
  <si>
    <t>https://bilder.dasschnelle.at/DasSchnelle/50/5000/9910/061462/I_061462_P_906230649_L_0036256192_1.png</t>
  </si>
  <si>
    <t>https://bilder.dasschnelle.at/DasSchnelle/50/5000/9910/061462/I_061462_P_906230649_B_0036256192_1.gal.png?height=399&amp;width=600;https://bilder.dasschnelle.at/DasSchnelle/50/5000/9910/061462/I_061462_P_906230649_B_0036256192_2.gal.png?height=399&amp;width=600;https://bilder.dasschnelle.at/DasSchnelle/50/5000/9910/061462/I_061462_P_906230649_B_0036256192_3.gal.png?height=500&amp;width=600;https://bilder.dasschnelle.at/DasSchnelle/50/5000/9910/061462/I_061462_P_906230649_B_0036256192_4.gal.png?height=400&amp;width=600</t>
  </si>
  <si>
    <t>Sport Suli GmbH, Ski u -zubehör • Sankt Lorenzen ob Murau • Steiermark</t>
  </si>
  <si>
    <t>Schischulen, Ski u. -zubehör • Sport Suli GmbH, Sankt Lorenzen 31, Sankt Lorenzen ob Murau • Kontakt über aktuelle Telefonnummern ☎ und Adressen ⚑ mit Karte, Routing, Öffnungszeiten, Homepage, E-Mail, vCard und Firmendaten.</t>
  </si>
  <si>
    <t>Sankt Lorenzen 31</t>
  </si>
  <si>
    <t>47.09833</t>
  </si>
  <si>
    <t>14.09054</t>
  </si>
  <si>
    <t>+433537264;+436649511344;+436643228586</t>
  </si>
  <si>
    <t>+43353722213</t>
  </si>
  <si>
    <t>snowboardschule@suli.at</t>
  </si>
  <si>
    <t>https://bilder.dasschnelle.at/DasSchnelle/50/5000/9910/061476/I_061476_P_906230658_L_0035969641_1.png</t>
  </si>
  <si>
    <t>https://bilder.dasschnelle.at/DasSchnelle/50/5000/9910/061476/I_061476_P_906230658_B_0035969641_1.gal.png?height=312&amp;width=600;https://bilder.dasschnelle.at/DasSchnelle/50/5000/9910/061476/I_061476_P_906230658_B_0035969641_2.gal.png?height=183&amp;width=275;https://bilder.dasschnelle.at/DasSchnelle/50/5000/9910/061476/I_061476_P_906230658_B_0035969641_3.gal.png?height=450&amp;width=600;https://bilder.dasschnelle.at/DasSchnelle/50/5000/9910/061476/I_061476_P_906230658_B_0035969641_4.gal.png?height=540&amp;width=720</t>
  </si>
  <si>
    <t>Silberbauer, Franz, Gartengestaltung • Schwechat • Niederösterreich</t>
  </si>
  <si>
    <t>Garten- u. Landschaftsgestaltung • Silberbauer, Franz, Raiffeisenstraße 10, Schwechat • Kontakt über aktuelle Telefonnummern ☎ und Adressen ⚑ mit Karte, Routing, Öffnungszeiten, Homepage, E-Mail, vCard und Firmendaten.</t>
  </si>
  <si>
    <t>+43223071339;+436644989468</t>
  </si>
  <si>
    <t>OPTIK Bachernegg GmbH • Hartberg • Steiermark</t>
  </si>
  <si>
    <t>Optik • OPTIK Bachernegg GmbH, Wienerstraße 5, Hartberg • Kontakt über aktuelle Telefonnummern ☎ und Adressen ⚑ mit Karte, Routing, Öffnungszeiten, Homepage, E-Mail, vCard und Firmendaten.</t>
  </si>
  <si>
    <t>Wienerstraße 5</t>
  </si>
  <si>
    <t>+43333263888</t>
  </si>
  <si>
    <t>https://bilder.dasschnelle.at/DasSchnelle/50/5000/9890/042582/I_042582_P_906230666_L_0036252843_1.png</t>
  </si>
  <si>
    <t>https://bilder.dasschnelle.at/DasSchnelle/50/5000/9890/042582/I_042582_P_906230666_B_0036252843_1.gal.png?height=337&amp;width=600;https://bilder.dasschnelle.at/DasSchnelle/50/5000/9890/042582/I_042582_P_906230666_B_0036252843_2.gal.png?height=337&amp;width=600;https://bilder.dasschnelle.at/DasSchnelle/50/5000/9890/042582/I_042582_P_906230666_B_0036252843_3.gal.png?height=337&amp;width=600;https://bilder.dasschnelle.at/DasSchnelle/50/5000/9890/042582/I_042582_P_906230666_B_0036252843_4.gal.png?height=481&amp;width=720;https://bilder.dasschnelle.at/DasSchnelle/50/5000/9890/042582/G_042582_P_906230666.adn.gif</t>
  </si>
  <si>
    <t>Renault Krendel GmbH • Ulrichsberg • Oberösterreich</t>
  </si>
  <si>
    <t>Autoreparaturen • Renault Krendel GmbH, Markt 39, Ulrichsberg • Kontakt über aktuelle Telefonnummern ☎ und Adressen ⚑ mit Karte, Routing, Öffnungszeiten, Homepage, E-Mail, vCard und Firmendaten.</t>
  </si>
  <si>
    <t>48.67527</t>
  </si>
  <si>
    <t>13.90961</t>
  </si>
  <si>
    <t>+4372882215</t>
  </si>
  <si>
    <t>office@renaultkrendel.at</t>
  </si>
  <si>
    <t>https://bilder.dasschnelle.at/DasSchnelle/50/5000/9923/042301/I_042301_P_906231001_L_0038534959_1.png</t>
  </si>
  <si>
    <t>https://bilder.dasschnelle.at/DasSchnelle/50/5000/9923/042301/I_042301_P_906231001_B_0038534959_1.gal.png?height=292&amp;width=720;https://bilder.dasschnelle.at/DasSchnelle/50/5000/9923/042301/I_042301_P_906231001_B_0038534959_2.gal.png?height=473&amp;width=720</t>
  </si>
  <si>
    <t>Zwei-Stein GmbH, Pflasterungen • Rohrbach-Berg • Oberösterreich</t>
  </si>
  <si>
    <t>Pflaster u. Pflasterungen • Zwei-Stein GmbH, Auhäuser 4, Rohrbach-Berg • Kontakt über aktuelle Telefonnummern ☎ und Adressen ⚑ mit Karte, Routing, Öffnungszeiten, Homepage, E-Mail, vCard und Firmendaten.</t>
  </si>
  <si>
    <t>Auhäuser 4</t>
  </si>
  <si>
    <t>48.58551</t>
  </si>
  <si>
    <t>13.98698</t>
  </si>
  <si>
    <t>+436604395007</t>
  </si>
  <si>
    <t>jell@zwei-stein.at</t>
  </si>
  <si>
    <t>https://bilder.dasschnelle.at/DasSchnelle/50/5000/9923/061480/G_061480_P_906233706.adn.gif</t>
  </si>
  <si>
    <t>Nöbauer Victor, Elektrotechnik • Raab • Oberösterreich</t>
  </si>
  <si>
    <t>Elektrotechnik • Nöbauer Victor, Marktstrasse 24, Raab • Kontakt über aktuelle Telefonnummern ☎ und Adressen ⚑ mit Karte, Routing, Öffnungszeiten, Homepage, E-Mail, vCard und Firmendaten.</t>
  </si>
  <si>
    <t>Marktstrasse 24</t>
  </si>
  <si>
    <t>https://bilder.dasschnelle.at/DasSchnelle/50/5000/9887/041815/G_041815_P_906233708.adn.gif</t>
  </si>
  <si>
    <t>ATC GmbH, Elektrotechnik • Enns • Oberösterreich</t>
  </si>
  <si>
    <t>Elektroinstallationen, Elektrotechnik • ATC GmbH, Steyrerstrasse 14, Enns • Kontakt über aktuelle Telefonnummern ☎ und Adressen ⚑ mit Karte, Routing, Öffnungszeiten, Homepage, E-Mail, vCard und Firmendaten.</t>
  </si>
  <si>
    <t>Steyrerstrasse 14</t>
  </si>
  <si>
    <t>48.2091700</t>
  </si>
  <si>
    <t>14.4795700</t>
  </si>
  <si>
    <t>+43722561512</t>
  </si>
  <si>
    <t>office@atc-elektro.at</t>
  </si>
  <si>
    <t>https://bilder.dasschnelle.at/DasSchnelle/50/5000/9877/046105/I_046105_P_906233434_L_0038559457_1.png</t>
  </si>
  <si>
    <t>https://bilder.dasschnelle.at/DasSchnelle/50/5000/9877/046105/I_046105_P_906233434_B_0038559457_1.gal.png?height=424&amp;width=600;https://bilder.dasschnelle.at/DasSchnelle/50/5000/9877/046105/I_046105_P_906233434_B_0038559457_2.gal.png?height=423&amp;width=600</t>
  </si>
  <si>
    <t>Dr. Andreas Berger, FA f. Frauenheilk. u. Geburtsh. • Grieskirchen • Oberösterreich</t>
  </si>
  <si>
    <t>Ärzte / Fachärzte f. Frauenheilkunde u. Geburtshilfe • Dr. Andreas Berger, Steiffstraße 1, Grieskirchen • Kontakt über aktuelle Telefonnummern ☎ und Adressen ⚑ mit Karte, Routing, Öffnungszeiten, Homepage, E-Mail, vCard und Firmendaten.</t>
  </si>
  <si>
    <t>48.23365</t>
  </si>
  <si>
    <t>13.82068</t>
  </si>
  <si>
    <t>+43724864064</t>
  </si>
  <si>
    <t>dr.berger@a1.net</t>
  </si>
  <si>
    <t>https://bilder.dasschnelle.at/DasSchnelle/50/5000/9887/041815/G_041815_P_906232776.adn.gif</t>
  </si>
  <si>
    <t>Karrer Elektro GesmbH • Sankt Florian • Oberösterreich</t>
  </si>
  <si>
    <t>Elektrohandel, Fotografen • Karrer Elektro GesmbH, Linzer Straße 30, Sankt Florian • Kontakt über aktuelle Telefonnummern ☎ und Adressen ⚑ mit Karte, Routing, Öffnungszeiten, Homepage, E-Mail, vCard und Firmendaten.</t>
  </si>
  <si>
    <t>Linzer Straße 30</t>
  </si>
  <si>
    <t>48.20396</t>
  </si>
  <si>
    <t>14.37323</t>
  </si>
  <si>
    <t>+43722443180</t>
  </si>
  <si>
    <t>+437224431818</t>
  </si>
  <si>
    <t>office@karrernet.at</t>
  </si>
  <si>
    <t>https://bilder.dasschnelle.at/DasSchnelle/50/5000/9877/046112/G_046112_P_906234505.adn.gif</t>
  </si>
  <si>
    <t>Stöger Markus, Malerei • Asten • Oberösterreich</t>
  </si>
  <si>
    <t>Malereibetriebe • Stöger Markus, Astner Strasse 31/5, Asten • Kontakt über aktuelle Telefonnummern ☎ und Adressen ⚑ mit Karte, Routing, Öffnungszeiten, Homepage, E-Mail, vCard und Firmendaten.</t>
  </si>
  <si>
    <t>Astner Strasse 31/5</t>
  </si>
  <si>
    <t>48.2188234</t>
  </si>
  <si>
    <t>14.4202806</t>
  </si>
  <si>
    <t>+436642175566</t>
  </si>
  <si>
    <t>office@malerei-stoeger.at</t>
  </si>
  <si>
    <t>https://bilder.dasschnelle.at/DasSchnelle/50/5000/9877/046103/G_046103_P_906234551.adn.gif</t>
  </si>
  <si>
    <t>Haustechnik Leitner GmbH • Gallspach • Oberösterreich</t>
  </si>
  <si>
    <t>Haustechnik • Haustechnik Leitner GmbH, Hauptplatz 6, Gallspach • Kontakt über aktuelle Telefonnummern ☎ und Adressen ⚑ mit Karte, Routing, Öffnungszeiten, Homepage, E-Mail, vCard und Firmendaten.</t>
  </si>
  <si>
    <t>48.20659</t>
  </si>
  <si>
    <t>13.81466</t>
  </si>
  <si>
    <t>+43724862300</t>
  </si>
  <si>
    <t>office@haustechnik-leitner.at</t>
  </si>
  <si>
    <t>Silvia Fötsch, Friseur • Mooskirchen • Steiermark</t>
  </si>
  <si>
    <t>Friseure • Silvia Fötsch, Oberer Markt 4, Mooskirchen • Kontakt über aktuelle Telefonnummern ☎ und Adressen ⚑ mit Karte, Routing, Öffnungszeiten, Homepage, E-Mail, vCard und Firmendaten.</t>
  </si>
  <si>
    <t>Oberer Markt 4</t>
  </si>
  <si>
    <t>46.98548</t>
  </si>
  <si>
    <t>15.28108</t>
  </si>
  <si>
    <t>+43313720690</t>
  </si>
  <si>
    <t>foetsch.silvia@gmx.at</t>
  </si>
  <si>
    <t>https://bilder.dasschnelle.at/DasSchnelle/50/5000/9941/045365/I_045365_P_906235232_L_0036250499_1.png</t>
  </si>
  <si>
    <t>https://bilder.dasschnelle.at/DasSchnelle/50/5000/9941/045365/I_045365_P_906235232_B_0036250499_1.gal.png?height=720&amp;width=540;https://bilder.dasschnelle.at/DasSchnelle/50/5000/9941/045365/I_045365_P_906235232_B_0036250499_2.gal.png?height=720&amp;width=503;https://bilder.dasschnelle.at/DasSchnelle/50/5000/9941/045365/I_045365_P_906235232_B_0036250499_3.gal.png?height=720&amp;width=505;https://bilder.dasschnelle.at/DasSchnelle/50/5000/9941/045365/I_045365_P_906235232_B_0036250499_4.gal.png?height=720&amp;width=421</t>
  </si>
  <si>
    <t>Stadtgemeinde Fischamend • Fischamend • Niederösterreich</t>
  </si>
  <si>
    <t>Gemeinde • Stadtgemeinde Fischamend, Gregerstraße 1, Fischamend • Kontakt über aktuelle Telefonnummern ☎ und Adressen ⚑ mit Karte, Routing, Öffnungszeiten, Homepage, E-Mail, vCard und Firmendaten.</t>
  </si>
  <si>
    <t>Gregerstraße 1</t>
  </si>
  <si>
    <t>Fischamend</t>
  </si>
  <si>
    <t>48.11809</t>
  </si>
  <si>
    <t>16.61179</t>
  </si>
  <si>
    <t>+43223276323</t>
  </si>
  <si>
    <t>amt@fischamend.gv.at</t>
  </si>
  <si>
    <t>https://bilder.dasschnelle.at/DasSchnelle/50/5000/9930/044505/I_044505_P_906238773_L_0038023860_1.png</t>
  </si>
  <si>
    <t>https://bilder.dasschnelle.at/DasSchnelle/50/5000/9930/044505/I_044505_P_906238773_B_0038023860_1.gal.png?height=460&amp;width=708;https://bilder.dasschnelle.at/DasSchnelle/50/5000/9930/044505/I_044505_P_906238773_B_0038023860_2.gal.png?height=337&amp;width=538;https://bilder.dasschnelle.at/DasSchnelle/50/5000/9930/044505/I_044505_P_906238773_B_0038023860_3.gal.png?height=340&amp;width=539;https://bilder.dasschnelle.at/DasSchnelle/50/5000/9930/044505/I_044505_P_906238773_B_0038023860_4.gal.png?height=316&amp;width=527</t>
  </si>
  <si>
    <t>Bestattung Lang eU • Gramatneusiedl • Niederösterreich</t>
  </si>
  <si>
    <t>Bestattungsunternehmen • Bestattung Lang eU, Oberortsstraße 7, Gramatneusiedl • Kontakt über aktuelle Telefonnummern ☎ und Adressen ⚑ mit Karte, Routing, Öffnungszeiten, Homepage, E-Mail, vCard und Firmendaten.</t>
  </si>
  <si>
    <t>Oberortsstraße 7</t>
  </si>
  <si>
    <t>48.02827</t>
  </si>
  <si>
    <t>16.48856</t>
  </si>
  <si>
    <t>+43223473324;+43223479092</t>
  </si>
  <si>
    <t>+43223474692</t>
  </si>
  <si>
    <t>kanzlei@bestattung-lang.at</t>
  </si>
  <si>
    <t>https://bilder.dasschnelle.at/DasSchnelle/50/5000/9930/044508/I_044508_P_906239000_B_0036250535_1.gal.png?height=480&amp;width=640;https://bilder.dasschnelle.at/DasSchnelle/50/5000/9930/044508/I_044508_P_906239000_B_0036250535_2.gal.png?height=473&amp;width=634;https://bilder.dasschnelle.at/DasSchnelle/50/5000/9930/044508/I_044508_P_906239000_B_0036250535_3.gal.png?height=480&amp;width=640</t>
  </si>
  <si>
    <t>Tupperware Angelika Fleischhacker • Hitzendorf • Steiermark</t>
  </si>
  <si>
    <t>Tupperware • Tupperware Angelika Fleischhacker, Hitzendorf 207, Hitzendorf • Kontakt über aktuelle Telefonnummern ☎ und Adressen ⚑ mit Karte, Routing, Öffnungszeiten, Homepage, E-Mail, vCard und Firmendaten.</t>
  </si>
  <si>
    <t>Hitzendorf 207</t>
  </si>
  <si>
    <t>47.0344100</t>
  </si>
  <si>
    <t>15.2999000</t>
  </si>
  <si>
    <t>+436645473762</t>
  </si>
  <si>
    <t>buero@fleischhacker.cc</t>
  </si>
  <si>
    <t>https://bilder.dasschnelle.at/DasSchnelle/50/5000/9941/061360/G_061360_P_906236888.adn.gif</t>
  </si>
  <si>
    <t>JUNG Immobilien GmbH, Immobilien • Sattledt • Oberösterreich</t>
  </si>
  <si>
    <t>Immobilienverwaltungen • JUNG Immobilien GmbH, Tassilostraße 13, Sattledt • Kontakt über aktuelle Telefonnummern ☎ und Adressen ⚑ mit Karte, Routing, Öffnungszeiten, Homepage, E-Mail, vCard und Firmendaten.</t>
  </si>
  <si>
    <t>Tassilostraße 13</t>
  </si>
  <si>
    <t>48.0719600</t>
  </si>
  <si>
    <t>14.0544700</t>
  </si>
  <si>
    <t>+436643287066</t>
  </si>
  <si>
    <t>office@jung-immobilien.at</t>
  </si>
  <si>
    <t>https://bilder.dasschnelle.at/DasSchnelle/50/5000/9934/043578/G_043578_P_906240402.adn.gif</t>
  </si>
  <si>
    <t>Hetzmannseder, Norbert, Dr., Tierarzt • Rohrbach • Oberösterreich</t>
  </si>
  <si>
    <t>Tierärzte • Hetzmannseder, Norbert, Dr., Gerberweg 6, Rohrbach • Kontakt über aktuelle Telefonnummern ☎ und Adressen ⚑ mit Karte, Routing, Öffnungszeiten, Homepage, E-Mail, vCard und Firmendaten.</t>
  </si>
  <si>
    <t>48.58156</t>
  </si>
  <si>
    <t>14.04613</t>
  </si>
  <si>
    <t>+43728940040</t>
  </si>
  <si>
    <t>vet-med@aon.at</t>
  </si>
  <si>
    <t>https://bilder.dasschnelle.at/DasSchnelle/50/5000/9923/061480/G_061480_P_906241140.adn.gif</t>
  </si>
  <si>
    <t>Kern, Siegfried Walter, DDr., Ärzte / Fachärzte f Zahn-, Mund-u Kieferheilkunde • Murau • Steiermark</t>
  </si>
  <si>
    <t>Ärzte / Fachärzte f. Zahn-, Mund u. Kieferheilkunde • Kern, Siegfried Walter, DDr., Schwarzenbergstraße 11, Murau • Kontakt über aktuelle Telefonnummern ☎ und Adressen ⚑ mit Karte, Routing, Öffnungszeiten, Homepage, E-Mail, vCard und Firmendaten.</t>
  </si>
  <si>
    <t>Schwarzenbergstraße 11</t>
  </si>
  <si>
    <t>47.11123</t>
  </si>
  <si>
    <t>14.17046</t>
  </si>
  <si>
    <t>+4335324363</t>
  </si>
  <si>
    <t>hk@ddrkern.at</t>
  </si>
  <si>
    <t>https://bilder.dasschnelle.at/DasSchnelle/50/5000/9910/061401/G_061401_P_906241974.adn.gif</t>
  </si>
  <si>
    <t>Brunner, Andrea, Frisiersalon Kamm &amp; Schere • Wieselburg • Niederösterreich</t>
  </si>
  <si>
    <t>Friseure • Brunner, Andrea, Wiener Straße 10, Wieselburg • Kontakt über aktuelle Telefonnummern ☎ und Adressen ⚑ mit Karte, Routing, Öffnungszeiten, Homepage, E-Mail, vCard und Firmendaten.</t>
  </si>
  <si>
    <t>Wiener Straße 10</t>
  </si>
  <si>
    <t>48.13443</t>
  </si>
  <si>
    <t>15.14204</t>
  </si>
  <si>
    <t>+43741654468</t>
  </si>
  <si>
    <t>andrea@kammundschere.com</t>
  </si>
  <si>
    <t>https://bilder.dasschnelle.at/DasSchnelle/50/5000/9927/041937/G_041937_P_906240483.adn.gif</t>
  </si>
  <si>
    <t>Autohaus Wang im Alpenvorland GmbH. • Wang • Niederösterreich</t>
  </si>
  <si>
    <t>Autoreparaturen, Lackierereien, Spenglereien • Autohaus Wang im Alpenvorland GmbH., Oberer Markt 25, Wang • Kontakt über aktuelle Telefonnummern ☎ und Adressen ⚑ mit Karte, Routing, Öffnungszeiten, Homepage, E-Mail, vCard und Firmendaten.</t>
  </si>
  <si>
    <t>Oberer Markt 25</t>
  </si>
  <si>
    <t>48.04133</t>
  </si>
  <si>
    <t>15.02238</t>
  </si>
  <si>
    <t>+43748871190</t>
  </si>
  <si>
    <t>kunden@autohaus-alpenvorland.at</t>
  </si>
  <si>
    <t>https://bilder.dasschnelle.at/DasSchnelle/50/5000/9927/041936/I_041936_P_906242058_L_0037090356_1.png</t>
  </si>
  <si>
    <t>https://bilder.dasschnelle.at/DasSchnelle/50/5000/9927/041936/I_041936_P_906242058_B_0037090356_1.gal.png?height=540&amp;width=720;https://bilder.dasschnelle.at/DasSchnelle/50/5000/9927/041936/I_041936_P_906242058_B_0037090356_2.gal.png?height=540&amp;width=720;https://bilder.dasschnelle.at/DasSchnelle/50/5000/9927/041936/I_041936_P_906242058_B_0037090356_3.gal.png?height=478&amp;width=720;https://bilder.dasschnelle.at/DasSchnelle/50/5000/9927/041936/I_041936_P_906242058_B_0037090356_4.gal.png?height=404&amp;width=720</t>
  </si>
  <si>
    <t>Mayrhofer Floristik e.U., Gärtnereien • Purgstall • Niederösterreich</t>
  </si>
  <si>
    <t>Gärtnereien • Mayrhofer Floristik e.U., Feichsenstraße 9, Purgstall • Kontakt über aktuelle Telefonnummern ☎ und Adressen ⚑ mit Karte, Routing, Öffnungszeiten, Homepage, E-Mail, vCard und Firmendaten.</t>
  </si>
  <si>
    <t>Feichsenstraße 9</t>
  </si>
  <si>
    <t>48.0574949</t>
  </si>
  <si>
    <t>15.1324515</t>
  </si>
  <si>
    <t>+4374892224</t>
  </si>
  <si>
    <t>office@blumen-mayrhofer.at</t>
  </si>
  <si>
    <t>https://bilder.dasschnelle.at/DasSchnelle/50/5000/9927/041929/I_041929_P_906240310_L_0036242689_1.png</t>
  </si>
  <si>
    <t>https://bilder.dasschnelle.at/DasSchnelle/50/5000/9927/041929/I_041929_P_906240310_B_0036242689_1.gal.png?height=720&amp;width=707;https://bilder.dasschnelle.at/DasSchnelle/50/5000/9927/041929/I_041929_P_906240310_B_0036242689_2.gal.png?height=454&amp;width=720;https://bilder.dasschnelle.at/DasSchnelle/50/5000/9927/041929/I_041929_P_906240310_B_0036242689_3.gal.png?height=521&amp;width=720;https://bilder.dasschnelle.at/DasSchnelle/50/5000/9927/041929/I_041929_P_906240310_B_0036242689_4.gal.png?height=489&amp;width=720</t>
  </si>
  <si>
    <t>Michis Sunrise  • Köflach • Steiermark</t>
  </si>
  <si>
    <t>Solarien, Sonnenstudios • Michis Sunrise, Grazerstraße 9, Köflach • Kontakt über aktuelle Telefonnummern ☎ und Adressen ⚑ mit Karte, Routing, Öffnungszeiten, Homepage, E-Mail, vCard und Firmendaten.</t>
  </si>
  <si>
    <t>Grazerstraße 9</t>
  </si>
  <si>
    <t>47.0642400</t>
  </si>
  <si>
    <t>15.0871100</t>
  </si>
  <si>
    <t>+436801551558</t>
  </si>
  <si>
    <t>michis.sunrise@gmail.com</t>
  </si>
  <si>
    <t>https://bilder.dasschnelle.at/DasSchnelle/50/5000/9941/061383/G_061383_P_906240581.adn.gif</t>
  </si>
  <si>
    <t>Heinzi`s Montage  • Köflach • Steiermark</t>
  </si>
  <si>
    <t>Montagen u. Montagetechnik • Heinzi`s Montage, Packerstraße 63, Köflach • Kontakt über aktuelle Telefonnummern ☎ und Adressen ⚑ mit Karte, Routing, Öffnungszeiten, Homepage, E-Mail, vCard und Firmendaten.</t>
  </si>
  <si>
    <t>Packerstraße 63</t>
  </si>
  <si>
    <t>47.0492000</t>
  </si>
  <si>
    <t>15.0716500</t>
  </si>
  <si>
    <t>+436645379867</t>
  </si>
  <si>
    <t>heinzi@rusk.at</t>
  </si>
  <si>
    <t>https://bilder.dasschnelle.at/DasSchnelle/50/5000/9941/061383/G_061383_P_906240582.adn.gif</t>
  </si>
  <si>
    <t>GEODATA OÖ ZT GmbH, Ziviltechniker • Sattledt • Oberösterreich</t>
  </si>
  <si>
    <t>Ziviltechniker • GEODATA OÖ ZT GmbH, Tassilostraße 7, Sattledt • Kontakt über aktuelle Telefonnummern ☎ und Adressen ⚑ mit Karte, Routing, Öffnungszeiten, Homepage, E-Mail, vCard und Firmendaten.</t>
  </si>
  <si>
    <t>Tassilostraße 7</t>
  </si>
  <si>
    <t>48.07209</t>
  </si>
  <si>
    <t>14.05423</t>
  </si>
  <si>
    <t>+437244202400</t>
  </si>
  <si>
    <t>office@geodata-sattledt.at</t>
  </si>
  <si>
    <t>https://bilder.dasschnelle.at/DasSchnelle/50/5000/9934/043578/G_043578_P_906240318.adn.gif</t>
  </si>
  <si>
    <t>Stockinger, Stefan, Hafner • Gresten • Niederösterreich</t>
  </si>
  <si>
    <t>Hafner • Stockinger, Stefan, Wieselburger Straße 8, Gresten • Kontakt über aktuelle Telefonnummern ☎ und Adressen ⚑ mit Karte, Routing, Öffnungszeiten, Homepage, E-Mail, vCard und Firmendaten.</t>
  </si>
  <si>
    <t>Wieselburger Straße 8</t>
  </si>
  <si>
    <t>47.98793</t>
  </si>
  <si>
    <t>15.02435</t>
  </si>
  <si>
    <t>+4374872065;+436642401765</t>
  </si>
  <si>
    <t>+437487206514</t>
  </si>
  <si>
    <t>ofen.stockinger@aon.at</t>
  </si>
  <si>
    <t>https://bilder.dasschnelle.at/DasSchnelle/50/5000/9927/041924/I_041924_P_906241352_L_0036242875_1.png</t>
  </si>
  <si>
    <t>https://bilder.dasschnelle.at/DasSchnelle/50/5000/9927/041924/I_041924_P_906241352_B_0036242875_1.gal.png?height=540&amp;width=720;https://bilder.dasschnelle.at/DasSchnelle/50/5000/9927/041924/I_041924_P_906241352_B_0036242875_2.gal.png?height=400&amp;width=338;https://bilder.dasschnelle.at/DasSchnelle/50/5000/9927/041924/I_041924_P_906241352_B_0036242875_3.gal.png?height=720&amp;width=709;https://bilder.dasschnelle.at/DasSchnelle/50/5000/9927/041924/I_041924_P_906241352_B_0036242875_4.gal.png?height=451&amp;width=316</t>
  </si>
  <si>
    <t>Cafe Stadtor • Voitsberg • Steiermark</t>
  </si>
  <si>
    <t>Cafés • Cafe Stadtor, Hauptplatz 15, Voitsberg • Kontakt über aktuelle Telefonnummern ☎ und Adressen ⚑ mit Karte, Routing, Öffnungszeiten, Homepage, E-Mail, vCard und Firmendaten.</t>
  </si>
  <si>
    <t>47.0504100</t>
  </si>
  <si>
    <t>15.1473300</t>
  </si>
  <si>
    <t>+4367761496839</t>
  </si>
  <si>
    <t>jaqueline252131@gmail.com</t>
  </si>
  <si>
    <t>https://bilder.dasschnelle.at/DasSchnelle/50/5000/9941/045375/G_045375_P_906240589.adn.gif</t>
  </si>
  <si>
    <t>Cup GmbH, Cafe • Wang • Niederösterreich</t>
  </si>
  <si>
    <t>Cafés • Cup GmbH, Oberer Markt 25, Wang • Kontakt über aktuelle Telefonnummern ☎ und Adressen ⚑ mit Karte, Routing, Öffnungszeiten, Homepage, E-Mail, vCard und Firmendaten.</t>
  </si>
  <si>
    <t>+436609025530</t>
  </si>
  <si>
    <t>cup@autohaus-alpenvorland.at</t>
  </si>
  <si>
    <t>https://bilder.dasschnelle.at/DasSchnelle/50/5000/9927/041936/G_041936_P_906241984.adn.gif</t>
  </si>
  <si>
    <t>Tischlerei Spiesberger, Tischler • Weißkirchen • Oberösterreich</t>
  </si>
  <si>
    <t>Tischlereien • Tischlerei Spiesberger, Fasanenweg 2, Weißkirchen • Kontakt über aktuelle Telefonnummern ☎ und Adressen ⚑ mit Karte, Routing, Öffnungszeiten, Homepage, E-Mail, vCard und Firmendaten.</t>
  </si>
  <si>
    <t>Fasanenweg 2</t>
  </si>
  <si>
    <t>48.1635084</t>
  </si>
  <si>
    <t>14.1185244</t>
  </si>
  <si>
    <t>+43724356576</t>
  </si>
  <si>
    <t>office@wohnraumplaner.at</t>
  </si>
  <si>
    <t>Ewald Leichtfried GmbH &amp; Co KG, Dachdeckerei &amp; Spenglerei • Göstling an der Ybbs • Niederösterreich</t>
  </si>
  <si>
    <t>Dachdeckerei u. Spenglerei • Ewald Leichtfried GmbH &amp; Co KG, Stixenlehen 146, Göstling an der Ybbs • Kontakt über aktuelle Telefonnummern ☎ und Adressen ⚑ mit Karte, Routing, Öffnungszeiten, Homepage, E-Mail, vCard und Firmendaten.</t>
  </si>
  <si>
    <t>Stixenlehen 146</t>
  </si>
  <si>
    <t>47.8060752</t>
  </si>
  <si>
    <t>14.9380189</t>
  </si>
  <si>
    <t>+4374842117</t>
  </si>
  <si>
    <t>goestling@leichtfried-dach.at</t>
  </si>
  <si>
    <t>https://bilder.dasschnelle.at/DasSchnelle/50/5000/9927/041923/I_041923_P_906240588_L_0037329240_1.png</t>
  </si>
  <si>
    <t>https://bilder.dasschnelle.at/DasSchnelle/50/5000/9927/041923/I_041923_P_906240588_B_0037329240_1.gal.png?height=244&amp;width=707;https://bilder.dasschnelle.at/DasSchnelle/50/5000/9927/041923/I_041923_P_906240588_B_0037329240_2.gal.png?height=244&amp;width=707;https://bilder.dasschnelle.at/DasSchnelle/50/5000/9927/041923/I_041923_P_906240588_B_0037329240_3.gal.png?height=244&amp;width=707;https://bilder.dasschnelle.at/DasSchnelle/50/5000/9927/041923/I_041923_P_906240588_B_0037329240_4.gal.png?height=244&amp;width=707</t>
  </si>
  <si>
    <t>Franzesko Stein mit System GmbH • Pram • Oberösterreich</t>
  </si>
  <si>
    <t>Natursteine u. -platten • Franzesko Stein mit System GmbH, Gstöcket 8, Pram • Kontakt über aktuelle Telefonnummern ☎ und Adressen ⚑ mit Karte, Routing, Öffnungszeiten, Homepage, E-Mail, vCard und Firmendaten.</t>
  </si>
  <si>
    <t>Gstöcket 8</t>
  </si>
  <si>
    <t>4742</t>
  </si>
  <si>
    <t>Pram</t>
  </si>
  <si>
    <t>48.23415</t>
  </si>
  <si>
    <t>13.60622</t>
  </si>
  <si>
    <t>+43773245145</t>
  </si>
  <si>
    <t>office@franzesko.at</t>
  </si>
  <si>
    <t>https://bilder.dasschnelle.at/DasSchnelle/50/5000/9887/041968/I_041968_P_906240590_L_0038480748_1.png</t>
  </si>
  <si>
    <t>https://bilder.dasschnelle.at/DasSchnelle/50/5000/9887/041968/I_041968_P_906240590_B_0038480748_1.gal.png?height=720&amp;width=720;https://bilder.dasschnelle.at/DasSchnelle/50/5000/9887/041968/I_041968_P_906240590_B_0038480748_2.gal.png?height=540&amp;width=720;https://bilder.dasschnelle.at/DasSchnelle/50/5000/9887/041968/I_041968_P_906240590_B_0038480748_3.gal.png?height=480&amp;width=720;https://bilder.dasschnelle.at/DasSchnelle/50/5000/9887/041968/I_041968_P_906240590_B_0038480748_4.gal.png?height=480&amp;width=720</t>
  </si>
  <si>
    <t>Rosian, Peter, Dr.med.univ.et med.dent., FA f Zahn-, Mund- u Kieferheilkunde • Stadl an der Mur • Steiermark</t>
  </si>
  <si>
    <t>Ärzte / Fachärzte f. Zahn-, Mund u. Kieferheilkunde • Rosian, Peter, Dr.med.univ.et med.dent., Stadl an der Mur • Kontakt über aktuelle Telefonnummern ☎ und Adressen ⚑ mit Karte, Routing, Öffnungszeiten, Homepage, E-Mail, vCard und Firmendaten.</t>
  </si>
  <si>
    <t>+43353420190;+436641354914</t>
  </si>
  <si>
    <t>https://bilder.dasschnelle.at/DasSchnelle/50/5000/9910/061438/I_061438_P_906243504_B_0036237637_1.gal.png?height=292&amp;width=385;https://bilder.dasschnelle.at/DasSchnelle/50/5000/9910/061438/I_061438_P_906243504_B_0036237637_2.gal.png?height=291&amp;width=386;https://bilder.dasschnelle.at/DasSchnelle/50/5000/9910/061438/I_061438_P_906243504_B_0036237637_3.gal.png?height=266&amp;width=231</t>
  </si>
  <si>
    <t>Stankovic, Dario, Autohaus • Tumeltsham • Oberösterreich</t>
  </si>
  <si>
    <t>Autoreparaturen, Kfz-Werkstätte • Stankovic, Dario, Hannesgrub Süd 2, Tumeltsham • Kontakt über aktuelle Telefonnummern ☎ und Adressen ⚑ mit Karte, Routing, Öffnungszeiten, Homepage, E-Mail, vCard und Firmendaten.</t>
  </si>
  <si>
    <t>Hannesgrub Süd 2</t>
  </si>
  <si>
    <t>48.2175727</t>
  </si>
  <si>
    <t>13.4978991</t>
  </si>
  <si>
    <t>+43775280424</t>
  </si>
  <si>
    <t>office@auto-bramer.at</t>
  </si>
  <si>
    <t>https://bilder.dasschnelle.at/DasSchnelle/50/5000/9922/042570/G_042570_P_906243507.adn.gif</t>
  </si>
  <si>
    <t>Dr. Siegfried Zachhuber, LL.M, Rechtsanwalt • Ried im Innkreis • Oberösterreich</t>
  </si>
  <si>
    <t>Rechtsanwälte • Dr. Siegfried Zachhuber, LL.M, Parkgasse 11, Ried im Innkreis • Kontakt über aktuelle Telefonnummern ☎ und Adressen ⚑ mit Karte, Routing, Öffnungszeiten, Homepage, E-Mail, vCard und Firmendaten.</t>
  </si>
  <si>
    <t>Parkgasse 11</t>
  </si>
  <si>
    <t>48.20619</t>
  </si>
  <si>
    <t>13.48986</t>
  </si>
  <si>
    <t>+43775282071</t>
  </si>
  <si>
    <t>office@zachhuber.law</t>
  </si>
  <si>
    <t>https://bilder.dasschnelle.at/DasSchnelle/50/5000/9922/042563/G_042563_P_906243509.adn.gif</t>
  </si>
  <si>
    <t>RahmenDamen, Rahmen-Geschenke-u.Deko-Fachgesch. • Scheibbs • Niederösterreich</t>
  </si>
  <si>
    <t>Geschenkartikel, Kunstgewerbliche Produkte • RahmenDamen, Hauptstraße 7, Scheibbs • Kontakt über aktuelle Telefonnummern ☎ und Adressen ⚑ mit Karte, Routing, Öffnungszeiten, Homepage, E-Mail, vCard und Firmendaten.</t>
  </si>
  <si>
    <t>48.0070520</t>
  </si>
  <si>
    <t>15.1659115</t>
  </si>
  <si>
    <t>+436507579278</t>
  </si>
  <si>
    <t>gisi@rahmendamen.at</t>
  </si>
  <si>
    <t>https://bilder.dasschnelle.at/DasSchnelle/50/5000/9927/041934/I_041934_P_906243370_L_0036233134_1.png</t>
  </si>
  <si>
    <t>https://bilder.dasschnelle.at/DasSchnelle/50/5000/9927/041934/I_041934_P_906243370_B_0036233134_1.gal.png?height=813&amp;width=962;https://bilder.dasschnelle.at/DasSchnelle/50/5000/9927/041934/I_041934_P_906243370_B_0036233134_2.gal.png?height=600&amp;width=500;https://bilder.dasschnelle.at/DasSchnelle/50/5000/9927/041934/I_041934_P_906243370_B_0036233134_3.gal.png?height=450&amp;width=600</t>
  </si>
  <si>
    <t>Leutner, Martin, Tischler • Gresten • Niederösterreich</t>
  </si>
  <si>
    <t>Tischlereien • Leutner, Martin, Robitzboden 20, Gresten • Kontakt über aktuelle Telefonnummern ☎ und Adressen ⚑ mit Karte, Routing, Öffnungszeiten, Homepage, E-Mail, vCard und Firmendaten.</t>
  </si>
  <si>
    <t>Robitzboden 20</t>
  </si>
  <si>
    <t>47.9931207</t>
  </si>
  <si>
    <t>15.0647900</t>
  </si>
  <si>
    <t>+4374872732;+4366473554614;+4366473575294;+4366473713958</t>
  </si>
  <si>
    <t>m.leutner@aon.at</t>
  </si>
  <si>
    <t>Sigl Tamara, Fusspflege • Enns • Oberösterreich</t>
  </si>
  <si>
    <t>Fußpflege • Sigl Tamara, Dr.Renner-Strasse 24, Enns • Kontakt über aktuelle Telefonnummern ☎ und Adressen ⚑ mit Karte, Routing, Öffnungszeiten, Homepage, E-Mail, vCard und Firmendaten.</t>
  </si>
  <si>
    <t>Dr.Renner-Strasse 24</t>
  </si>
  <si>
    <t>48.2134472</t>
  </si>
  <si>
    <t>14.4758748</t>
  </si>
  <si>
    <t>+4368181808736</t>
  </si>
  <si>
    <t>mara-fk@outlook.com</t>
  </si>
  <si>
    <t>https://bilder.dasschnelle.at/DasSchnelle/50/5000/9877/046105/G_046105_P_906243601.adn.gif</t>
  </si>
  <si>
    <t>Farben Fassaden Selmann e.U. Jürgen Selmann • Scheibbs • Niederösterreich</t>
  </si>
  <si>
    <t>Farben u. Lacke, Fassaden • Farben Fassaden Selmann e.U. Jürgen Selmann, Brandstatt 129 /3, Scheibbs • Kontakt über aktuelle Telefonnummern ☎ und Adressen ⚑ mit Karte, Routing, Öffnungszeiten, Homepage, E-Mail, vCard und Firmendaten.</t>
  </si>
  <si>
    <t>Brandstatt 129 /3</t>
  </si>
  <si>
    <t>48.01624</t>
  </si>
  <si>
    <t>15.15092</t>
  </si>
  <si>
    <t>+436607101419</t>
  </si>
  <si>
    <t>office@farben-fassaden-selmann.at</t>
  </si>
  <si>
    <t>https://bilder.dasschnelle.at/DasSchnelle/50/5000/9927/041934/G_041934_P_906243559.adn.gif</t>
  </si>
  <si>
    <t>Schagerl Bauelemente GmbH &amp; Co KG, Fenster u Türen • Sankt Georgen • Niederösterreich</t>
  </si>
  <si>
    <t>Fenster u. Türen • Schagerl Bauelemente GmbH &amp; Co KG, Maierhof 11, Sankt Georgen • Kontakt über aktuelle Telefonnummern ☎ und Adressen ⚑ mit Karte, Routing, Öffnungszeiten, Homepage, E-Mail, vCard und Firmendaten.</t>
  </si>
  <si>
    <t>Maierhof 11</t>
  </si>
  <si>
    <t>3282</t>
  </si>
  <si>
    <t>48.0314034</t>
  </si>
  <si>
    <t>15.2308674</t>
  </si>
  <si>
    <t>+43748246115;+436642401150;+43748243920</t>
  </si>
  <si>
    <t>office@schagerl.co.at</t>
  </si>
  <si>
    <t>https://bilder.dasschnelle.at/DasSchnelle/50/5000/9927/041933/G_041933_P_906244377.adn.gif</t>
  </si>
  <si>
    <t>AHMED Auto Cleaner &amp; Cosmetic, Autopflege • Regau • Oberösterreich</t>
  </si>
  <si>
    <t>Autopflege • AHMED Auto Cleaner &amp; Cosmetic, Feldstraße 12, Regau • Kontakt über aktuelle Telefonnummern ☎ und Adressen ⚑ mit Karte, Routing, Öffnungszeiten, Homepage, E-Mail, vCard und Firmendaten.</t>
  </si>
  <si>
    <t>info@ahmed-autocleaner.at</t>
  </si>
  <si>
    <t>https://bilder.dasschnelle.at/DasSchnelle/50/5000/9922/042563/I_042563_P_906245001_L_0035999106_1.png</t>
  </si>
  <si>
    <t>https://bilder.dasschnelle.at/DasSchnelle/50/5000/9922/042563/I_042563_P_906245001_B_0035999106_1.gal.png?height=400&amp;width=600;https://bilder.dasschnelle.at/DasSchnelle/50/5000/9922/042563/I_042563_P_906245001_B_0035999106_2.gal.png?height=400&amp;width=600;https://bilder.dasschnelle.at/DasSchnelle/50/5000/9922/042563/I_042563_P_906245001_B_0035999106_3.gal.png?height=349&amp;width=720;https://bilder.dasschnelle.at/DasSchnelle/50/5000/9922/042563/I_042563_P_906245001_B_0035999106_4.gal.png?height=367&amp;width=550;https://bilder.dasschnelle.at/DasSchnelle/50/5000/9922/042563/G_042563_P_906245001.adn.gif</t>
  </si>
  <si>
    <t>Stoagoartn Innviertel GmbH, Pflastermeisterbetrieb • Aurolzmünster • Oberösterreich</t>
  </si>
  <si>
    <t>Pflaster u. Pflasterungen • Stoagoartn Innviertel GmbH, Weierfing 14, Aurolzmünster • Kontakt über aktuelle Telefonnummern ☎ und Adressen ⚑ mit Karte, Routing, Öffnungszeiten, Homepage, E-Mail, vCard und Firmendaten.</t>
  </si>
  <si>
    <t>Weierfing 14</t>
  </si>
  <si>
    <t>48.2277473</t>
  </si>
  <si>
    <t>13.4695326</t>
  </si>
  <si>
    <t>+43775270169</t>
  </si>
  <si>
    <t>office@stoagoartn-innviertel.at</t>
  </si>
  <si>
    <t>https://bilder.dasschnelle.at/DasSchnelle/50/5000/9922/042541/G_042541_P_906245002.adn.gif</t>
  </si>
  <si>
    <t>Karin Schreckensberger, Zeltverleih • Mühlheim am Inn • Oberösterreich</t>
  </si>
  <si>
    <t>Finanzdienstleistungen, Versicherungsberater • Karin Schreckensberger, Gimpling 21, Mühlheim am Inn • Kontakt über aktuelle Telefonnummern ☎ und Adressen ⚑ mit Karte, Routing, Öffnungszeiten, Homepage, E-Mail, vCard und Firmendaten.</t>
  </si>
  <si>
    <t>Gimpling 21</t>
  </si>
  <si>
    <t>4961</t>
  </si>
  <si>
    <t>Mühlheim am Inn</t>
  </si>
  <si>
    <t>48.2756471</t>
  </si>
  <si>
    <t>13.2540365</t>
  </si>
  <si>
    <t>+43772343736</t>
  </si>
  <si>
    <t>info@schreckensberger-zelte.at</t>
  </si>
  <si>
    <t>https://bilder.dasschnelle.at/DasSchnelle/50/5000/9922/042555/G_042555_P_906245029.adn.gif</t>
  </si>
  <si>
    <t>Haustechnik Berghammer GmbH • Osternach • Oberösterreich</t>
  </si>
  <si>
    <t>Haustechnik • Haustechnik Berghammer GmbH, Osternach 10, Osternach • Kontakt über aktuelle Telefonnummern ☎ und Adressen ⚑ mit Karte, Routing, Öffnungszeiten, Homepage, E-Mail, vCard und Firmendaten.</t>
  </si>
  <si>
    <t>Osternach 10</t>
  </si>
  <si>
    <t>Osternach</t>
  </si>
  <si>
    <t>48.2397923</t>
  </si>
  <si>
    <t>13.5305790</t>
  </si>
  <si>
    <t>+436608107764</t>
  </si>
  <si>
    <t>info@haustechnik-berghammer.at</t>
  </si>
  <si>
    <t>https://bilder.dasschnelle.at/DasSchnelle/50/5000/9922/042560/I_042560_P_906245030_L_0036234862_1.png</t>
  </si>
  <si>
    <t>https://bilder.dasschnelle.at/DasSchnelle/50/5000/9922/042560/I_042560_P_906245030_B_0036234862_1.gal.png?height=367&amp;width=550;https://bilder.dasschnelle.at/DasSchnelle/50/5000/9922/042560/I_042560_P_906245030_B_0036234862_2.gal.png?height=367&amp;width=550;https://bilder.dasschnelle.at/DasSchnelle/50/5000/9922/042560/I_042560_P_906245030_B_0036234862_3.gal.png?height=385&amp;width=550;https://bilder.dasschnelle.at/DasSchnelle/50/5000/9922/042560/I_042560_P_906245030_B_0036234862_4.gal.png?height=367&amp;width=550</t>
  </si>
  <si>
    <t>Kraft, Josef, Installationen • Göstling an der Ybbs • Niederösterreich</t>
  </si>
  <si>
    <t>Installationsunternehmen • Kraft, Josef, Göstling 31, Göstling an der Ybbs • Kontakt über aktuelle Telefonnummern ☎ und Adressen ⚑ mit Karte, Routing, Öffnungszeiten, Homepage, E-Mail, vCard und Firmendaten.</t>
  </si>
  <si>
    <t>Göstling 31</t>
  </si>
  <si>
    <t>47.8049312</t>
  </si>
  <si>
    <t>14.9288114</t>
  </si>
  <si>
    <t>+43748450020</t>
  </si>
  <si>
    <t>info@kraft.at</t>
  </si>
  <si>
    <t>https://bilder.dasschnelle.at/DasSchnelle/50/5000/9927/041923/G_041923_P_906247502.adn.gif</t>
  </si>
  <si>
    <t>Holzwerkstatt Pechhacker GmbH • Purgstall • Niederösterreich</t>
  </si>
  <si>
    <t>Tischlereien • Holzwerkstatt Pechhacker GmbH, Hochrießer Straße 56, Purgstall • Kontakt über aktuelle Telefonnummern ☎ und Adressen ⚑ mit Karte, Routing, Öffnungszeiten, Homepage, E-Mail, vCard und Firmendaten.</t>
  </si>
  <si>
    <t>Hochrießer Straße 56</t>
  </si>
  <si>
    <t>48.0648375</t>
  </si>
  <si>
    <t>15.1412964</t>
  </si>
  <si>
    <t>+43748930020</t>
  </si>
  <si>
    <t>werkstatt@hws.cc</t>
  </si>
  <si>
    <t>https://bilder.dasschnelle.at/DasSchnelle/50/5000/9927/041929/G_041929_P_906248108.adn.gif</t>
  </si>
  <si>
    <t>Elektro Pagger • Köflach • Steiermark</t>
  </si>
  <si>
    <t>Elektro • Elektro Pagger, Grazerstraße 37, Köflach • Kontakt über aktuelle Telefonnummern ☎ und Adressen ⚑ mit Karte, Routing, Öffnungszeiten, Homepage, E-Mail, vCard und Firmendaten.</t>
  </si>
  <si>
    <t>Grazerstraße 37</t>
  </si>
  <si>
    <t>47.0623400</t>
  </si>
  <si>
    <t>15.0921200</t>
  </si>
  <si>
    <t>+436769275336</t>
  </si>
  <si>
    <t>office@elektro-pagger.at</t>
  </si>
  <si>
    <t>https://bilder.dasschnelle.at/DasSchnelle/50/5000/9941/061383/G_061383_P_906248353.adn.gif</t>
  </si>
  <si>
    <t>Speed Pizza • Köflach • Steiermark</t>
  </si>
  <si>
    <t>Pizzerias • Speed Pizza, Hauptplatz 23, Köflach • Kontakt über aktuelle Telefonnummern ☎ und Adressen ⚑ mit Karte, Routing, Öffnungszeiten, Homepage, E-Mail, vCard und Firmendaten.</t>
  </si>
  <si>
    <t>47.0644443</t>
  </si>
  <si>
    <t>15.0832948</t>
  </si>
  <si>
    <t>+436601827171</t>
  </si>
  <si>
    <t>tari_2ron@hotmail.com</t>
  </si>
  <si>
    <t>https://bilder.dasschnelle.at/DasSchnelle/50/5000/9941/061383/G_061383_P_906248354.adn.gif</t>
  </si>
  <si>
    <t>Grasserbauer Elektrotechnik GmbH • Hargelsberg • Oberösterreich</t>
  </si>
  <si>
    <t>Elektrotechnik • Grasserbauer Elektrotechnik GmbH, Thann 34, Hargelsberg • Kontakt über aktuelle Telefonnummern ☎ und Adressen ⚑ mit Karte, Routing, Öffnungszeiten, Homepage, E-Mail, vCard und Firmendaten.</t>
  </si>
  <si>
    <t>Thann 34</t>
  </si>
  <si>
    <t>48.1645200</t>
  </si>
  <si>
    <t>14.4263100</t>
  </si>
  <si>
    <t>+43722520658</t>
  </si>
  <si>
    <t>office@grasserbauer.com</t>
  </si>
  <si>
    <t>https://bilder.dasschnelle.at/DasSchnelle/50/5000/9877/046106/G_046106_P_906248953.adn.gif</t>
  </si>
  <si>
    <t>Forster Franz Installationen GesmbH, Installationsunternehmen • Sankt Florian • Oberösterreich</t>
  </si>
  <si>
    <t>Installationsunternehmen • Forster Franz Installationen GesmbH, Wiener Straße 52, Sankt Florian • Kontakt über aktuelle Telefonnummern ☎ und Adressen ⚑ mit Karte, Routing, Öffnungszeiten, Homepage, E-Mail, vCard und Firmendaten.</t>
  </si>
  <si>
    <t>Wiener Straße 52</t>
  </si>
  <si>
    <t>48.2085</t>
  </si>
  <si>
    <t>14.3906</t>
  </si>
  <si>
    <t>+43722486100</t>
  </si>
  <si>
    <t>office@forster.or.at</t>
  </si>
  <si>
    <t>https://bilder.dasschnelle.at/DasSchnelle/50/5000/9877/046112/I_046112_P_906249679_L_0036240524_1.png</t>
  </si>
  <si>
    <t>https://bilder.dasschnelle.at/DasSchnelle/50/5000/9877/046112/I_046112_P_906249679_B_0036240524_1.gal.png?height=418&amp;width=597;https://bilder.dasschnelle.at/DasSchnelle/50/5000/9877/046112/I_046112_P_906249679_B_0036240524_2.gal.png?height=443&amp;width=595;https://bilder.dasschnelle.at/DasSchnelle/50/5000/9877/046112/I_046112_P_906249679_B_0036240524_3.gal.png?height=445&amp;width=597;https://bilder.dasschnelle.at/DasSchnelle/50/5000/9877/046112/I_046112_P_906249679_B_0036240524_4.gal.png?height=441&amp;width=593</t>
  </si>
  <si>
    <t>Gartenservice Simon Agrill • Kremsmünster • Oberösterreich</t>
  </si>
  <si>
    <t>Gartenbau • Gartenservice Simon Agrill, Auweg 12, Kremsmünster • Kontakt über aktuelle Telefonnummern ☎ und Adressen ⚑ mit Karte, Routing, Öffnungszeiten, Homepage, E-Mail, vCard und Firmendaten.</t>
  </si>
  <si>
    <t>Auweg 12</t>
  </si>
  <si>
    <t>48.0606200</t>
  </si>
  <si>
    <t>14.1408400</t>
  </si>
  <si>
    <t>+4369911265817</t>
  </si>
  <si>
    <t>agrill.simon@gmx.at</t>
  </si>
  <si>
    <t>https://bilder.dasschnelle.at/DasSchnelle/50/5000/9900/046084/G_046084_P_906249902.adn.gif</t>
  </si>
  <si>
    <t>Heigl, Bernhard, Massagepraxis • Gresten • Niederösterreich</t>
  </si>
  <si>
    <t>Massagen • Heigl, Bernhard, Schönauergasse 7, Gresten • Kontakt über aktuelle Telefonnummern ☎ und Adressen ⚑ mit Karte, Routing, Öffnungszeiten, Homepage, E-Mail, vCard und Firmendaten.</t>
  </si>
  <si>
    <t>Schönauergasse 7</t>
  </si>
  <si>
    <t>47.9805343</t>
  </si>
  <si>
    <t>15.0275208</t>
  </si>
  <si>
    <t>+436765915616</t>
  </si>
  <si>
    <t>heigl.massagen@gmail.com</t>
  </si>
  <si>
    <t>https://bilder.dasschnelle.at/DasSchnelle/50/5000/9927/041924/I_041924_P_906249792_B_0037668922_1.gal.png?height=400&amp;width=600;https://bilder.dasschnelle.at/DasSchnelle/50/5000/9927/041924/I_041924_P_906249792_B_0037668922_2.gal.png?height=600&amp;width=505;https://bilder.dasschnelle.at/DasSchnelle/50/5000/9927/041924/I_041924_P_906249792_B_0037668922_3.gal.png?height=409&amp;width=600;https://bilder.dasschnelle.at/DasSchnelle/50/5000/9927/041924/G_041924_P_906249792.adn.gif</t>
  </si>
  <si>
    <t>Bezirkspflege- u Seniorenheim • Voitsberg • Steiermark</t>
  </si>
  <si>
    <t>Pflege- u. Altenheime • Bezirkspflege- u Seniorenheim, Franz-Schöpfer-Gasse 48, Voitsberg • Kontakt über aktuelle Telefonnummern ☎ und Adressen ⚑ mit Karte, Routing, Öffnungszeiten, Homepage, E-Mail, vCard und Firmendaten.</t>
  </si>
  <si>
    <t>Franz-Schöpfer-Gasse 48</t>
  </si>
  <si>
    <t>47.05403</t>
  </si>
  <si>
    <t>15.14943</t>
  </si>
  <si>
    <t>+433142226210</t>
  </si>
  <si>
    <t>+4331422262133</t>
  </si>
  <si>
    <t>pflegeheim@bezirkspflegeheim-voitsberg.at</t>
  </si>
  <si>
    <t>https://bilder.dasschnelle.at/DasSchnelle/50/5000/9941/045375/G_045375_P_906249793.adn.gif</t>
  </si>
  <si>
    <t>Goldener Stern, Restaurant • Bad Hall • Oberösterreich</t>
  </si>
  <si>
    <t>Restaurants • Goldener Stern, Linzer Strasse 23a, Bad Hall • Kontakt über aktuelle Telefonnummern ☎ und Adressen ⚑ mit Karte, Routing, Öffnungszeiten, Homepage, E-Mail, vCard und Firmendaten.</t>
  </si>
  <si>
    <t>Linzer Strasse 23a</t>
  </si>
  <si>
    <t>48.0394</t>
  </si>
  <si>
    <t>14.20437</t>
  </si>
  <si>
    <t>+43725820052</t>
  </si>
  <si>
    <t>yiwen.wu@gmx.at</t>
  </si>
  <si>
    <t>https://bilder.dasschnelle.at/DasSchnelle/50/5000/9867/042808/G_042808_P_906249901.adn.gif</t>
  </si>
  <si>
    <t>Baumstoff Holzbau-Meister • Ried im Traunkreis • Oberösterreich</t>
  </si>
  <si>
    <t>Holzbau • Baumstoff Holzbau-Meister, Kilianstraße 6, Ried im Traunkreis • Kontakt über aktuelle Telefonnummern ☎ und Adressen ⚑ mit Karte, Routing, Öffnungszeiten, Homepage, E-Mail, vCard und Firmendaten.</t>
  </si>
  <si>
    <t>Kilianstraße 6</t>
  </si>
  <si>
    <t>48.02904</t>
  </si>
  <si>
    <t>14.07743</t>
  </si>
  <si>
    <t>+43758861245</t>
  </si>
  <si>
    <t>holz@baumstoff.at</t>
  </si>
  <si>
    <t>https://bilder.dasschnelle.at/DasSchnelle/50/5000/9900/046090/G_046090_P_906252869.adn.gif</t>
  </si>
  <si>
    <t>Heuriger Furtmühle, Gastgewerbe - Gasthöfe • Bad Hall • Oberösterreich</t>
  </si>
  <si>
    <t>Gastgewerbe - Gasthöfe • Heuriger Furtmühle, Sierninger Straße 2, Bad Hall • Kontakt über aktuelle Telefonnummern ☎ und Adressen ⚑ mit Karte, Routing, Öffnungszeiten, Homepage, E-Mail, vCard und Firmendaten.</t>
  </si>
  <si>
    <t>Sierninger Straße 2</t>
  </si>
  <si>
    <t>48.03979</t>
  </si>
  <si>
    <t>14.22075</t>
  </si>
  <si>
    <t>+43725829423</t>
  </si>
  <si>
    <t>strassmaier@gmx.at</t>
  </si>
  <si>
    <t>https://bilder.dasschnelle.at/DasSchnelle/50/5000/9867/042808/G_042808_P_906254427.adn.gif</t>
  </si>
  <si>
    <t>Resch, Michael, Tischler • Steinakirchen am Forst • Niederösterreich</t>
  </si>
  <si>
    <t>Tischlereien • Resch, Michael, Pechert 10, Steinakirchen am Forst • Kontakt über aktuelle Telefonnummern ☎ und Adressen ⚑ mit Karte, Routing, Öffnungszeiten, Homepage, E-Mail, vCard und Firmendaten.</t>
  </si>
  <si>
    <t>Pechert 10</t>
  </si>
  <si>
    <t>48.06701</t>
  </si>
  <si>
    <t>15.04731</t>
  </si>
  <si>
    <t>+437488712460</t>
  </si>
  <si>
    <t>office@resch-bestattung.at</t>
  </si>
  <si>
    <t>https://bilder.dasschnelle.at/DasSchnelle/50/5000/9927/041935/I_041935_P_906254334_L_0036234837_1.png</t>
  </si>
  <si>
    <t>Pöchacker, August, Planungsbüro • Gresten • Niederösterreich</t>
  </si>
  <si>
    <t>Innenarchitekten • Pöchacker, August, Unteramt 165, Gresten • Kontakt über aktuelle Telefonnummern ☎ und Adressen ⚑ mit Karte, Routing, Öffnungszeiten, Homepage, E-Mail, vCard und Firmendaten.</t>
  </si>
  <si>
    <t>Unteramt 165</t>
  </si>
  <si>
    <t>47.9816584</t>
  </si>
  <si>
    <t>15.0368981</t>
  </si>
  <si>
    <t>+4374877111</t>
  </si>
  <si>
    <t>office@die-idee.at</t>
  </si>
  <si>
    <t>https://bilder.dasschnelle.at/DasSchnelle/50/5000/9927/041925/G_041925_P_906256808.adn.gif</t>
  </si>
  <si>
    <t>Real-Treuhand, Immobilien • Grieskirchen • Oberösterreich</t>
  </si>
  <si>
    <t>Immobilien • Real-Treuhand, Roßmarkt 11, Grieskirchen • Kontakt über aktuelle Telefonnummern ☎ und Adressen ⚑ mit Karte, Routing, Öffnungszeiten, Homepage, E-Mail, vCard und Firmendaten.</t>
  </si>
  <si>
    <t>Roßmarkt 11</t>
  </si>
  <si>
    <t>48.2339351</t>
  </si>
  <si>
    <t>13.8312750</t>
  </si>
  <si>
    <t>+4367681419585</t>
  </si>
  <si>
    <t>schweizer@raiffeisen-immobilien.at</t>
  </si>
  <si>
    <t>https://bilder.dasschnelle.at/DasSchnelle/50/5000/9887/041815/G_041815_P_906256811.adn.gif</t>
  </si>
  <si>
    <t>Dr. Horst Aichinger, öffentlicher Notar • Grieskirchen • Oberösterreich</t>
  </si>
  <si>
    <t>Notare • Dr. Horst Aichinger, Roßmarkt 22, Grieskirchen • Kontakt über aktuelle Telefonnummern ☎ und Adressen ⚑ mit Karte, Routing, Öffnungszeiten, Homepage, E-Mail, vCard und Firmendaten.</t>
  </si>
  <si>
    <t>Roßmarkt 22</t>
  </si>
  <si>
    <t>48.2344</t>
  </si>
  <si>
    <t>13.82977</t>
  </si>
  <si>
    <t>+43724862666</t>
  </si>
  <si>
    <t>office@notar-grieskirchen.at</t>
  </si>
  <si>
    <t>https://bilder.dasschnelle.at/DasSchnelle/50/5000/9887/041815/G_041815_P_906256812.adn.gif</t>
  </si>
  <si>
    <t>Wendl, Brigitte, Univ.Prof.Doz.Dr., FA f Zahn,- Mund- u Kieferheilkunde • Edelschrott • Steiermark</t>
  </si>
  <si>
    <t>Ärzte / Fachärzte f. Zahn-, Mund u. Kieferheilkunde • Wendl, Brigitte, Univ.Prof.Doz.Dr., Schulstraße 80, Edelschrott • Kontakt über aktuelle Telefonnummern ☎ und Adressen ⚑ mit Karte, Routing, Öffnungszeiten, Homepage, E-Mail, vCard und Firmendaten.</t>
  </si>
  <si>
    <t>Schulstraße 80</t>
  </si>
  <si>
    <t>47.02189</t>
  </si>
  <si>
    <t>15.0536</t>
  </si>
  <si>
    <t>+433145630</t>
  </si>
  <si>
    <t>diww@tmo.at</t>
  </si>
  <si>
    <t>https://bilder.dasschnelle.at/DasSchnelle/50/5000/9941/061381/I_061381_P_906257436_L_0036250651_1.png</t>
  </si>
  <si>
    <t>https://bilder.dasschnelle.at/DasSchnelle/50/5000/9941/061381/I_061381_P_906257436_B_0036250651_1.gal.png?height=392&amp;width=720;https://bilder.dasschnelle.at/DasSchnelle/50/5000/9941/061381/I_061381_P_906257436_B_0036250651_2.gal.png?height=540&amp;width=720;https://bilder.dasschnelle.at/DasSchnelle/50/5000/9941/061381/I_061381_P_906257436_B_0036250651_3.gal.png?height=441&amp;width=720;https://bilder.dasschnelle.at/DasSchnelle/50/5000/9941/061381/I_061381_P_906257436_B_0036250651_4.gal.png?height=356&amp;width=720</t>
  </si>
  <si>
    <t>Doris Landl-Tornow MSC, Psychotherapie • Liezen • Steiermark</t>
  </si>
  <si>
    <t>Psychologische Beratung, Mediation u. Coaching • Doris Landl-Tornow MSC, Unterer Moosweg 5, Liezen • Kontakt über aktuelle Telefonnummern ☎ und Adressen ⚑ mit Karte, Routing, Öffnungszeiten, Homepage, E-Mail, vCard und Firmendaten.</t>
  </si>
  <si>
    <t>Unterer Moosweg 5</t>
  </si>
  <si>
    <t>47.5630649</t>
  </si>
  <si>
    <t>14.2332944</t>
  </si>
  <si>
    <t>+436641675670</t>
  </si>
  <si>
    <t>doris_tornow@web.de</t>
  </si>
  <si>
    <t>https://bilder.dasschnelle.at/DasSchnelle/50/5000/9905/061443/G_061443_P_906258199.adn.gif</t>
  </si>
  <si>
    <t>Pöchacker, Fenster, Türen, Sonnenschutz • Wieselburg</t>
  </si>
  <si>
    <t>Fenster u. Türen • Pöchacker, Handel-Mazzetti Weg 1, Wieselburg • Kontakt über aktuelle Telefonnummern ☎ und Adressen ⚑ mit Karte, Routing, Öffnungszeiten, Homepage, E-Mail, vCard und Firmendaten.</t>
  </si>
  <si>
    <t>Handel-Mazzetti Weg 1</t>
  </si>
  <si>
    <t>48.0059218</t>
  </si>
  <si>
    <t>14.9992729</t>
  </si>
  <si>
    <t>+436642129250</t>
  </si>
  <si>
    <t>office@dpf.at</t>
  </si>
  <si>
    <t>https://bilder.dasschnelle.at/DasSchnelle/50/5000/9927/041925/G_041925_P_906258367.adn.gif</t>
  </si>
  <si>
    <t>Purgstall Dr. Rauja Fichtinger KG, Apotheken • Purgstall • Niederösterreich</t>
  </si>
  <si>
    <t>Apotheken • Purgstall Dr. Rauja Fichtinger KG, Ötscherlandstraße 16, Purgstall • Kontakt über aktuelle Telefonnummern ☎ und Adressen ⚑ mit Karte, Routing, Öffnungszeiten, Homepage, E-Mail, vCard und Firmendaten.</t>
  </si>
  <si>
    <t>Ötscherlandstraße 16</t>
  </si>
  <si>
    <t>48.0542976</t>
  </si>
  <si>
    <t>15.1384861</t>
  </si>
  <si>
    <t>+4374892874</t>
  </si>
  <si>
    <t>+4374892824</t>
  </si>
  <si>
    <t>info@apotheke-purgstall.at</t>
  </si>
  <si>
    <t>https://bilder.dasschnelle.at/DasSchnelle/50/5000/9927/041929/G_041929_P_906260032.adn.gif</t>
  </si>
  <si>
    <t>Pfeiffer, Uwe, Brennstoffe • Gresten • Niederösterreich</t>
  </si>
  <si>
    <t>Brennstoffhandel • Pfeiffer, Uwe, Spörken 8, Gresten • Kontakt über aktuelle Telefonnummern ☎ und Adressen ⚑ mit Karte, Routing, Öffnungszeiten, Homepage, E-Mail, vCard und Firmendaten.</t>
  </si>
  <si>
    <t>Spörken 8</t>
  </si>
  <si>
    <t>47.98107</t>
  </si>
  <si>
    <t>15.02596</t>
  </si>
  <si>
    <t>+4374872020</t>
  </si>
  <si>
    <t>firma@u-pfeiffer.at</t>
  </si>
  <si>
    <t>https://bilder.dasschnelle.at/DasSchnelle/50/5000/9927/041924/G_041924_P_906260036.adn.gif</t>
  </si>
  <si>
    <t>Dr.med.univ. Franz Siegl, Arzt für Allgemeinmedizin • Söchau • Steiermark</t>
  </si>
  <si>
    <t>Ärzte / f Allgemeinmedizin • Dr.med.univ. Franz Siegl, Nr 27, Söchau • Kontakt über aktuelle Telefonnummern ☎ und Adressen ⚑ mit Karte, Routing, Öffnungszeiten, Homepage, E-Mail, vCard und Firmendaten.</t>
  </si>
  <si>
    <t>Nr 27</t>
  </si>
  <si>
    <t>47.0280733</t>
  </si>
  <si>
    <t>16.0142725</t>
  </si>
  <si>
    <t>+43338720285</t>
  </si>
  <si>
    <t>ord.sieglfranz@medway.at</t>
  </si>
  <si>
    <t>https://bilder.dasschnelle.at/DasSchnelle/50/5000/9890/061417/G_061417_P_906269038.adn.gif</t>
  </si>
  <si>
    <t>Glettler KG, Installationen • Gratwein • Steiermark</t>
  </si>
  <si>
    <t>Installationsunternehmen • Glettler KG, Bahnhofstraße 41, Gratwein • Kontakt über aktuelle Telefonnummern ☎ und Adressen ⚑ mit Karte, Routing, Öffnungszeiten, Homepage, E-Mail, vCard und Firmendaten.</t>
  </si>
  <si>
    <t>47.13142</t>
  </si>
  <si>
    <t>15.32322</t>
  </si>
  <si>
    <t>+43312454720;+436645249697</t>
  </si>
  <si>
    <t>office@glettler-installationen.at</t>
  </si>
  <si>
    <t>https://bilder.dasschnelle.at/DasSchnelle/50/5000/9883/061359/I_061359_P_906329478_B_0035999627_1.gal.png?height=337&amp;width=428;https://bilder.dasschnelle.at/DasSchnelle/50/5000/9883/061359/I_061359_P_906329478_B_0035999627_2.gal.png?height=451&amp;width=720</t>
  </si>
  <si>
    <t>Schwienbacher, Martin, Steinbildhauer • Landeck • Tirol</t>
  </si>
  <si>
    <t>Steinmetzbetriebe • Schwienbacher, Martin, Nesselgarten 422, Landeck • Kontakt über aktuelle Telefonnummern ☎ und Adressen ⚑ mit Karte, Routing, Öffnungszeiten, Homepage, E-Mail, vCard und Firmendaten.</t>
  </si>
  <si>
    <t>Nesselgarten 422</t>
  </si>
  <si>
    <t>47.1162200</t>
  </si>
  <si>
    <t>10.6164700</t>
  </si>
  <si>
    <t>+43676848267733</t>
  </si>
  <si>
    <t>info@steinbildhauer-sm.com</t>
  </si>
  <si>
    <t>https://bilder.dasschnelle.at/DasSchnelle/50/5000/9903/044574/G_044574_P_906329875.adn.gif</t>
  </si>
  <si>
    <t>Einfalt Christine e.U., Opel Händler • Gmünd • Niederösterreich</t>
  </si>
  <si>
    <t>Autohandel • Einfalt Christine e.U., Schremser Straße 52 A, Gmünd • Kontakt über aktuelle Telefonnummern ☎ und Adressen ⚑ mit Karte, Routing, Öffnungszeiten, Homepage, E-Mail, vCard und Firmendaten.</t>
  </si>
  <si>
    <t>Schremser Straße 52 A</t>
  </si>
  <si>
    <t>48.76917</t>
  </si>
  <si>
    <t>14.99847</t>
  </si>
  <si>
    <t>+43285252804</t>
  </si>
  <si>
    <t>hohenbichler@opel-einfalt.at</t>
  </si>
  <si>
    <t>https://bilder.dasschnelle.at/DasSchnelle/50/5000/9885/045075/G_045075_P_906330080.adn.gif</t>
  </si>
  <si>
    <t>Wallner, Martin, Tischlereien • Zwettl-Niederösterreich • Niederösterreich</t>
  </si>
  <si>
    <t>Tischlereien • Wallner, Martin, Pater Werner Deibl-Straße 12, Zwettl-Niederösterreich • Kontakt über aktuelle Telefonnummern ☎ und Adressen ⚑ mit Karte, Routing, Öffnungszeiten, Homepage, E-Mail, vCard und Firmendaten.</t>
  </si>
  <si>
    <t>Pater Werner Deibl-Straße 12</t>
  </si>
  <si>
    <t>48.60311</t>
  </si>
  <si>
    <t>15.17633</t>
  </si>
  <si>
    <t>+4328225267650</t>
  </si>
  <si>
    <t>+432822526764</t>
  </si>
  <si>
    <t>martinwallner@stiegen-wallner.at</t>
  </si>
  <si>
    <t>https://bilder.dasschnelle.at/DasSchnelle/50/5000/9950/044545/G_044545_P_906330274.adn.gif</t>
  </si>
  <si>
    <t>Pronegg, Markus, Autohandel • Fresing • Steiermark</t>
  </si>
  <si>
    <t>Autoersatzteile u. -zubehör, Autohandel, Autoreparaturen • Pronegg, Markus, Fresing 37, Fresing • Kontakt über aktuelle Telefonnummern ☎ und Adressen ⚑ mit Karte, Routing, Öffnungszeiten, Homepage, E-Mail, vCard und Firmendaten.</t>
  </si>
  <si>
    <t>Fresing 37</t>
  </si>
  <si>
    <t>8441</t>
  </si>
  <si>
    <t>Fresing</t>
  </si>
  <si>
    <t>46.7633042</t>
  </si>
  <si>
    <t>15.4507644</t>
  </si>
  <si>
    <t>+4334562527;+436644614297</t>
  </si>
  <si>
    <t>+43345650005</t>
  </si>
  <si>
    <t>office@auto-pronegg.at</t>
  </si>
  <si>
    <t>https://bilder.dasschnelle.at/DasSchnelle/50/5000/9904/044098/G_044098_P_906329925.adn.gif</t>
  </si>
  <si>
    <t>Reiterer, Gerold, Malermeister • Sankt Johann im Saggautal • Steiermark</t>
  </si>
  <si>
    <t>Malereibetriebe • Reiterer, Gerold, Gündorf 9, Sankt Johann im Saggautal • Kontakt über aktuelle Telefonnummern ☎ und Adressen ⚑ mit Karte, Routing, Öffnungszeiten, Homepage, E-Mail, vCard und Firmendaten.</t>
  </si>
  <si>
    <t>Gündorf 9</t>
  </si>
  <si>
    <t>46.7185112</t>
  </si>
  <si>
    <t>15.4128898</t>
  </si>
  <si>
    <t>+4334562339;+4334562339</t>
  </si>
  <si>
    <t>+43345627439</t>
  </si>
  <si>
    <t>maler@reiterergerold.at</t>
  </si>
  <si>
    <t>https://bilder.dasschnelle.at/DasSchnelle/50/5000/9904/044309/I_044309_P_906330112_L_0036031545_1.png</t>
  </si>
  <si>
    <t>https://bilder.dasschnelle.at/DasSchnelle/50/5000/9904/044309/I_044309_P_906330112_B_0036031545_1.gal.png?height=600&amp;width=800;https://bilder.dasschnelle.at/DasSchnelle/50/5000/9904/044309/I_044309_P_906330112_B_0036031545_2.gal.png?height=600&amp;width=800;https://bilder.dasschnelle.at/DasSchnelle/50/5000/9904/044309/I_044309_P_906330112_B_0036031545_3.gal.png?height=600&amp;width=800;https://bilder.dasschnelle.at/DasSchnelle/50/5000/9904/044309/I_044309_P_906330112_B_0036031545_4.gal.png?height=450&amp;width=600</t>
  </si>
  <si>
    <t>Miesenbeck, Günther, Dr., FA f Radiologie • Schärding Innere Stadt • Oberösterreich</t>
  </si>
  <si>
    <t>Ärzte / Fachärzte f. Radiologie • Miesenbeck, Günther, Dr., Ludwig-Pfliegl-Gasse 29, Schärding Innere Stadt • Kontakt über aktuelle Telefonnummern ☎ und Adressen ⚑ mit Karte, Routing, Öffnungszeiten, Homepage, E-Mail, vCard und Firmendaten.</t>
  </si>
  <si>
    <t>+4377123242;+43771260054</t>
  </si>
  <si>
    <t>dr.miesenbeck@medway.at</t>
  </si>
  <si>
    <t>https://bilder.dasschnelle.at/DasSchnelle/50/5000/9926/042797/G_042797_P_906331295.adn.gif</t>
  </si>
  <si>
    <t>Tischlerei Oberascher GmbH. &amp; Co. KG. • Mondsee • Oberösterreich</t>
  </si>
  <si>
    <t>Tischlereien • Tischlerei Oberascher GmbH. &amp; Co. KG., Höribachstraße 26, Mondsee • Kontakt über aktuelle Telefonnummern ☎ und Adressen ⚑ mit Karte, Routing, Öffnungszeiten, Homepage, E-Mail, vCard und Firmendaten.</t>
  </si>
  <si>
    <t>Höribachstraße 26</t>
  </si>
  <si>
    <t>47.83838</t>
  </si>
  <si>
    <t>13.33517</t>
  </si>
  <si>
    <t>+4362322501</t>
  </si>
  <si>
    <t>office@oberascher.at</t>
  </si>
  <si>
    <t>https://bilder.dasschnelle.at/DasSchnelle/50/5000/9909/043101/G_043101_P_906331528.adn.gif</t>
  </si>
  <si>
    <t>Hütter, Reinhold, Dr.med., FA f Augenheilkunde u Optometrie • Freistadt • Oberösterreich</t>
  </si>
  <si>
    <t>Ärzte / Fachärzte f. Augenheilkunde u. Optometrie • Hütter, Reinhold, Dr.med., Bahnhofstraße 31, Freistadt • Kontakt über aktuelle Telefonnummern ☎ und Adressen ⚑ mit Karte, Routing, Öffnungszeiten, Homepage, E-Mail, vCard und Firmendaten.</t>
  </si>
  <si>
    <t>Bahnhofstraße 31</t>
  </si>
  <si>
    <t>48.50339</t>
  </si>
  <si>
    <t>14.49792</t>
  </si>
  <si>
    <t>+43794272666</t>
  </si>
  <si>
    <t>https://bilder.dasschnelle.at/DasSchnelle/50/5000/9882/044815/G_044815_P_906331992.adn.gif</t>
  </si>
  <si>
    <t>Inntal-Gärtnerei GmbH &amp; Co KG, Gärtnerei • Neuhaus</t>
  </si>
  <si>
    <t>Gärtnereien • Inntal-Gärtnerei GmbH &amp; Co KG, Rothof 29, Neuhaus • Kontakt über aktuelle Telefonnummern ☎ und Adressen ⚑ mit Karte, Routing, Öffnungszeiten, Homepage, E-Mail, vCard und Firmendaten.</t>
  </si>
  <si>
    <t>Rothof 29</t>
  </si>
  <si>
    <t>48.4862402</t>
  </si>
  <si>
    <t>13.4215510</t>
  </si>
  <si>
    <t>+43498503922800</t>
  </si>
  <si>
    <t>info@inntal-gaertnerei.de</t>
  </si>
  <si>
    <t>https://bilder.dasschnelle.at/DasSchnelle/50/5000/9926/506075/G_506075_P_906331998.adn.gif</t>
  </si>
  <si>
    <t>Hochhold, Rudolf, Tischlerei • Brunnenthal • Oberösterreich</t>
  </si>
  <si>
    <t>Tischlereien • Hochhold, Rudolf, Wallensham 11, Brunnenthal • Kontakt über aktuelle Telefonnummern ☎ und Adressen ⚑ mit Karte, Routing, Öffnungszeiten, Homepage, E-Mail, vCard und Firmendaten.</t>
  </si>
  <si>
    <t>Wallensham 11</t>
  </si>
  <si>
    <t>48.4867464</t>
  </si>
  <si>
    <t>13.5030928</t>
  </si>
  <si>
    <t>+43771236086</t>
  </si>
  <si>
    <t>info@tischlerdesign.at</t>
  </si>
  <si>
    <t>https://bilder.dasschnelle.at/DasSchnelle/50/5000/9926/042304/G_042304_P_906332051.adn.gif</t>
  </si>
  <si>
    <t>Brandstötter, Angelika, Frisiersalon • Schärding • Oberösterreich</t>
  </si>
  <si>
    <t>Friseure • Brandstötter, Angelika, Unterer Stadtplatz 15, Schärding • Kontakt über aktuelle Telefonnummern ☎ und Adressen ⚑ mit Karte, Routing, Öffnungszeiten, Homepage, E-Mail, vCard und Firmendaten.</t>
  </si>
  <si>
    <t>Unterer Stadtplatz 15</t>
  </si>
  <si>
    <t>48.4703</t>
  </si>
  <si>
    <t>13.44468</t>
  </si>
  <si>
    <t>+4377123091</t>
  </si>
  <si>
    <t>friseur_angelika@yahoo.com</t>
  </si>
  <si>
    <t>https://bilder.dasschnelle.at/DasSchnelle/50/5000/9926/042797/G_042797_P_906332017.adn.gif</t>
  </si>
  <si>
    <t>MCC Miedler Car Competence, Kfz-Technik • Gmünd • Niederösterreich</t>
  </si>
  <si>
    <t>Kfz-Werkstätte, Technische Büros • MCC Miedler Car Competence, Industriestraße 15, Gmünd • Kontakt über aktuelle Telefonnummern ☎ und Adressen ⚑ mit Karte, Routing, Öffnungszeiten, Homepage, E-Mail, vCard und Firmendaten.</t>
  </si>
  <si>
    <t>Kastner Hermann GesmbH, Eisenwaren • Zwettl • Niederösterreich</t>
  </si>
  <si>
    <t>Eisenwaren • Kastner Hermann GesmbH, Landstraße 3, Zwettl • Kontakt über aktuelle Telefonnummern ☎ und Adressen ⚑ mit Karte, Routing, Öffnungszeiten, Homepage, E-Mail, vCard und Firmendaten.</t>
  </si>
  <si>
    <t>Landstraße 3</t>
  </si>
  <si>
    <t>48.60297</t>
  </si>
  <si>
    <t>15.16804</t>
  </si>
  <si>
    <t>+43282252843;+436642665767</t>
  </si>
  <si>
    <t>+4328225284340</t>
  </si>
  <si>
    <t>office@kastner-zwettl.at</t>
  </si>
  <si>
    <t>Schweinzer, Gerald, Dachdeckerei Spenglerei • Loipersdorf bei Fürstenfeld • Steiermark</t>
  </si>
  <si>
    <t>Spenglereien • Schweinzer, Gerald, Höhenstraße 2, Loipersdorf bei Fürstenfeld • Kontakt über aktuelle Telefonnummern ☎ und Adressen ⚑ mit Karte, Routing, Öffnungszeiten, Homepage, E-Mail, vCard und Firmendaten.</t>
  </si>
  <si>
    <t>Höhenstraße 2</t>
  </si>
  <si>
    <t>47.0120308</t>
  </si>
  <si>
    <t>16.0953100</t>
  </si>
  <si>
    <t>+4333828867</t>
  </si>
  <si>
    <t>schweinzer.dach@aon.at</t>
  </si>
  <si>
    <t>Spröba Alutechnik • D-Neukirchen am Inn • Oberösterreich</t>
  </si>
  <si>
    <t>Fenster u. Türen • Spröba Alutechnik, Hauptstraße 50, D-Neukirchen am Inn • Kontakt über aktuelle Telefonnummern ☎ und Adressen ⚑ mit Karte, Routing, Öffnungszeiten, Homepage, E-Mail, vCard und Firmendaten.</t>
  </si>
  <si>
    <t>Hauptstraße 50</t>
  </si>
  <si>
    <t>94127</t>
  </si>
  <si>
    <t>D-Neukirchen am Inn</t>
  </si>
  <si>
    <t>48.5261600</t>
  </si>
  <si>
    <t>13.3803600</t>
  </si>
  <si>
    <t>info@sproeba.de</t>
  </si>
  <si>
    <t>Gassner Rainer Dr. &amp; Partner Gruppenpraxis, Ärzte / Fachärzte f. Frauenheilkunde u. Geburtshilfe • Klosterneuburg • Niederösterreich</t>
  </si>
  <si>
    <t>Ärzte / Fachärzte f. Frauenheilkunde u. Geburtshilfe • Gassner Rainer Dr. &amp; Partner Gruppenpraxis, Stadtplatz 10 -11-11 Stg 1, Klosterneuburg • Kontakt über aktuelle Telefonnummern ☎ und Adressen ⚑ mit Karte, Routing, Öffnungszeiten, Homepage, E-Mail, vCard und Firmendaten.</t>
  </si>
  <si>
    <t>PÖLZ baukultur GmbH • Mondsee • Oberösterreich</t>
  </si>
  <si>
    <t>Bauunternehmen, Ingenieurbüros, Zimmereien • PÖLZ baukultur GmbH, Rainerstraße 17, Mondsee • Kontakt über aktuelle Telefonnummern ☎ und Adressen ⚑ mit Karte, Routing, Öffnungszeiten, Homepage, E-Mail, vCard und Firmendaten.</t>
  </si>
  <si>
    <t>Rainerstraße 17</t>
  </si>
  <si>
    <t>47.85471</t>
  </si>
  <si>
    <t>13.34772</t>
  </si>
  <si>
    <t>+4362322206</t>
  </si>
  <si>
    <t>office@poelz-baukultur.at</t>
  </si>
  <si>
    <t>Gruber, Sebastian, Zimmerei • Großarl • Salzburg</t>
  </si>
  <si>
    <t>Holzbau, Zimmereien • Gruber, Sebastian, Achengasse 7, Großarl • Kontakt über aktuelle Telefonnummern ☎ und Adressen ⚑ mit Karte, Routing, Öffnungszeiten, Homepage, E-Mail, vCard und Firmendaten.</t>
  </si>
  <si>
    <t>Achengasse 7</t>
  </si>
  <si>
    <t>47.23306</t>
  </si>
  <si>
    <t>13.19664</t>
  </si>
  <si>
    <t>+4364143860</t>
  </si>
  <si>
    <t>office@sebastiangruber.at</t>
  </si>
  <si>
    <t>https://bilder.dasschnelle.at/DasSchnelle/50/5000/9919/043344/I_043344_P_906085054_L_0036008108_1.png</t>
  </si>
  <si>
    <t>https://bilder.dasschnelle.at/DasSchnelle/50/5000/9919/043344/I_043344_P_906085054_B_0036008108_1.gal.png?height=595&amp;width=795;https://bilder.dasschnelle.at/DasSchnelle/50/5000/9919/043344/I_043344_P_906085054_B_0036008108_2.gal.png?height=589&amp;width=775;https://bilder.dasschnelle.at/DasSchnelle/50/5000/9919/043344/I_043344_P_906085054_B_0036008108_3.gal.png?height=593&amp;width=796;https://bilder.dasschnelle.at/DasSchnelle/50/5000/9919/043344/I_043344_P_906085054_B_0036008108_4.gal.png?height=411&amp;width=551</t>
  </si>
  <si>
    <t>Kastler Autohaus GmbH, Autohaus • Freistadt • Oberösterreich</t>
  </si>
  <si>
    <t>Autohäuser • Kastler Autohaus GmbH, Linzer Straße 67, Freistadt • Kontakt über aktuelle Telefonnummern ☎ und Adressen ⚑ mit Karte, Routing, Öffnungszeiten, Homepage, E-Mail, vCard und Firmendaten.</t>
  </si>
  <si>
    <t>Linzer Straße 67</t>
  </si>
  <si>
    <t>48.49488</t>
  </si>
  <si>
    <t>14.50336</t>
  </si>
  <si>
    <t>+43794274229</t>
  </si>
  <si>
    <t>+4379427422922</t>
  </si>
  <si>
    <t>nissan@autohaus-kastler.at</t>
  </si>
  <si>
    <t>https://bilder.dasschnelle.at/DasSchnelle/50/5000/9882/044815/G_044815_P_906085431.adn.gif</t>
  </si>
  <si>
    <t>Kastner Gabriele, Dr.in, MSc, Psychologin • Zwettl • Niederösterreich</t>
  </si>
  <si>
    <t>Psychologie • Kastner Gabriele, Dr.in, MSc, Stift Zwettl 1, Zwettl • Kontakt über aktuelle Telefonnummern ☎ und Adressen ⚑ mit Karte, Routing, Öffnungszeiten, Homepage, E-Mail, vCard und Firmendaten.</t>
  </si>
  <si>
    <t>Stift Zwettl 1</t>
  </si>
  <si>
    <t>48.76807</t>
  </si>
  <si>
    <t>14.98544</t>
  </si>
  <si>
    <t>+43720986622</t>
  </si>
  <si>
    <t>kastner@psy4you.at</t>
  </si>
  <si>
    <t>https://bilder.dasschnelle.at/DasSchnelle/50/5000/9950/044545/G_044545_P_906139626.adn.gif</t>
  </si>
  <si>
    <t>LackundSpengler.at, Lackwerkstatt • Leibnitz • Steiermark</t>
  </si>
  <si>
    <t>Lackierereien • LackundSpengler.at, Wasserwerkstraße 71 A, Leibnitz • Kontakt über aktuelle Telefonnummern ☎ und Adressen ⚑ mit Karte, Routing, Öffnungszeiten, Homepage, E-Mail, vCard und Firmendaten.</t>
  </si>
  <si>
    <t>Wasserwerkstraße 71 A</t>
  </si>
  <si>
    <t>46.7982600</t>
  </si>
  <si>
    <t>15.5590000</t>
  </si>
  <si>
    <t>+436642499999</t>
  </si>
  <si>
    <t>leibnitz@lackundspengler.at</t>
  </si>
  <si>
    <t>https://bilder.dasschnelle.at/DasSchnelle/50/5000/9904/061363/G_061363_P_906331487.adn.gif</t>
  </si>
  <si>
    <t>Kinberger Johann GesmbH • Hörsching • Oberösterreich</t>
  </si>
  <si>
    <t>Transportunternehmen • Kinberger Johann GesmbH, Forellenweg 6, Hörsching • Kontakt über aktuelle Telefonnummern ☎ und Adressen ⚑ mit Karte, Routing, Öffnungszeiten, Homepage, E-Mail, vCard und Firmendaten.</t>
  </si>
  <si>
    <t>Forellenweg 6</t>
  </si>
  <si>
    <t>48.19699</t>
  </si>
  <si>
    <t>14.15654</t>
  </si>
  <si>
    <t>+4369910390796</t>
  </si>
  <si>
    <t>office@kinberger.eu</t>
  </si>
  <si>
    <t>https://bilder.dasschnelle.at/DasSchnelle/50/5000/9907/046107/G_046107_P_906201756.adn.gif</t>
  </si>
  <si>
    <t>Land-Fleischerei Sturm OG • Eggenburg • Niederösterreich</t>
  </si>
  <si>
    <t>Fleischhandel • Land-Fleischerei Sturm OG, Hauptplatz 5, Eggenburg • Kontakt über aktuelle Telefonnummern ☎ und Adressen ⚑ mit Karte, Routing, Öffnungszeiten, Homepage, E-Mail, vCard und Firmendaten.</t>
  </si>
  <si>
    <t>48.6424600</t>
  </si>
  <si>
    <t>15.8166200</t>
  </si>
  <si>
    <t>+43298422370</t>
  </si>
  <si>
    <t>info@landfleischerei-sturm.at</t>
  </si>
  <si>
    <t>https://bilder.dasschnelle.at/DasSchnelle/50/5000/9893/041389/G_041389_P_906194851.adn.gif</t>
  </si>
  <si>
    <t>Niedermayer, Herbert, Mag., Wirtschaftstreuhänder, Steuerberater • Schärding • Oberösterreich</t>
  </si>
  <si>
    <t>Steuerberater • Niedermayer, Herbert, Mag., Passauer Straße 13, Schärding • Kontakt über aktuelle Telefonnummern ☎ und Adressen ⚑ mit Karte, Routing, Öffnungszeiten, Homepage, E-Mail, vCard und Firmendaten.</t>
  </si>
  <si>
    <t>Passauer Straße 13</t>
  </si>
  <si>
    <t>48.4603600</t>
  </si>
  <si>
    <t>13.4325500</t>
  </si>
  <si>
    <t>+43771254540</t>
  </si>
  <si>
    <t>office@niedermayer.co.at</t>
  </si>
  <si>
    <t>https://bilder.dasschnelle.at/DasSchnelle/50/5000/9926/042797/G_042797_P_906326637.adn.gif</t>
  </si>
  <si>
    <t>Maurer, Anton, Dr. • Kirchbichl • Tirol</t>
  </si>
  <si>
    <t>Ärzte / f Allgemeinmedizin • Maurer, Anton, Dr., Oberndorferstraße 46, Kirchbichl • Kontakt über aktuelle Telefonnummern ☎ und Adressen ⚑ mit Karte, Routing, Öffnungszeiten, Homepage, E-Mail, vCard und Firmendaten.</t>
  </si>
  <si>
    <t>Oberndorferstraße 46</t>
  </si>
  <si>
    <t>6322</t>
  </si>
  <si>
    <t>Kirchbichl</t>
  </si>
  <si>
    <t>47.5067868</t>
  </si>
  <si>
    <t>12.0850769</t>
  </si>
  <si>
    <t>+43533287127</t>
  </si>
  <si>
    <t>praxis@doktor-maurer.at</t>
  </si>
  <si>
    <t>https://bilder.dasschnelle.at/DasSchnelle/50/5000/9901/046152/G_046152_P_906083457.adn.gif</t>
  </si>
  <si>
    <t>Mayr, Markus, Dr.med., FA f Urologie • Perg • Oberösterreich</t>
  </si>
  <si>
    <t>Ärzte / Fachärzte f. Urologie • Mayr, Markus, Dr.med., Dirnbergerstraße 8, Perg • Kontakt über aktuelle Telefonnummern ☎ und Adressen ⚑ mit Karte, Routing, Öffnungszeiten, Homepage, E-Mail, vCard und Firmendaten.</t>
  </si>
  <si>
    <t>Dirnbergerstraße 8</t>
  </si>
  <si>
    <t>48.24683</t>
  </si>
  <si>
    <t>14.6347</t>
  </si>
  <si>
    <t>+43726257090</t>
  </si>
  <si>
    <t>office@uropraxis-mayr.at</t>
  </si>
  <si>
    <t>https://bilder.dasschnelle.at/DasSchnelle/50/5000/9882/044815/G_044815_P_906328254.adn.gif</t>
  </si>
  <si>
    <t>Mayr Bustouristik GmbH, Mietwagen • Enzenkirchen • Oberösterreich</t>
  </si>
  <si>
    <t>Autovermietung, Mietautos • Mayr Bustouristik GmbH, Jagern 10, Enzenkirchen • Kontakt über aktuelle Telefonnummern ☎ und Adressen ⚑ mit Karte, Routing, Öffnungszeiten, Homepage, E-Mail, vCard und Firmendaten.</t>
  </si>
  <si>
    <t>Jagern 10</t>
  </si>
  <si>
    <t>48.3781202</t>
  </si>
  <si>
    <t>13.6378713</t>
  </si>
  <si>
    <t>+4377623213</t>
  </si>
  <si>
    <t>info@bustouristik-mayr.at</t>
  </si>
  <si>
    <t>https://bilder.dasschnelle.at/DasSchnelle/50/5000/9926/042783/G_042783_P_906141663.adn.gif</t>
  </si>
  <si>
    <t>Mader, Manuel, Rauchfangkehrer • Riedau • Oberösterreich</t>
  </si>
  <si>
    <t>Rauchfangkehrermeister • Mader, Manuel, Achleiten 155, Riedau • Kontakt über aktuelle Telefonnummern ☎ und Adressen ⚑ mit Karte, Routing, Öffnungszeiten, Homepage, E-Mail, vCard und Firmendaten.</t>
  </si>
  <si>
    <t>Achleiten 155</t>
  </si>
  <si>
    <t>48.3002817</t>
  </si>
  <si>
    <t>13.6345562</t>
  </si>
  <si>
    <t>+4377648358</t>
  </si>
  <si>
    <t>kaminsosloeger@aon.at</t>
  </si>
  <si>
    <t>https://bilder.dasschnelle.at/DasSchnelle/50/5000/9926/042791/G_042791_P_906093690.adn.gif</t>
  </si>
  <si>
    <t>Bottesch, Martin, Ing., Alarmanlagen u Sicherheitssysteme • Klosterneuburg • Niederösterreich</t>
  </si>
  <si>
    <t>Alarmanlagen u. Sicherheitssysteme, Fernsehservice • Bottesch, Martin, Ing., Albrechtstraße 22 1, Klosterneuburg • Kontakt über aktuelle Telefonnummern ☎ und Adressen ⚑ mit Karte, Routing, Öffnungszeiten, Homepage, E-Mail, vCard und Firmendaten.</t>
  </si>
  <si>
    <t>Albrechtstraße 22 1</t>
  </si>
  <si>
    <t>48.3090400</t>
  </si>
  <si>
    <t>16.3216000</t>
  </si>
  <si>
    <t>+43224336469</t>
  </si>
  <si>
    <t>+43224335510</t>
  </si>
  <si>
    <t>office@bottesch.at</t>
  </si>
  <si>
    <t>https://bilder.dasschnelle.at/DasSchnelle/50/5000/9897/061492/G_061492_P_906093684.adn.gif</t>
  </si>
  <si>
    <t>Brunnenbau Aichinger, Günter • Frankenmarkt • Oberösterreich</t>
  </si>
  <si>
    <t>Brunnen u. Brunnenbau • Brunnenbau Aichinger, Günter, Hauchhorn 6, Frankenmarkt • Kontakt über aktuelle Telefonnummern ☎ und Adressen ⚑ mit Karte, Routing, Öffnungszeiten, Homepage, E-Mail, vCard und Firmendaten.</t>
  </si>
  <si>
    <t>Hauchhorn 6</t>
  </si>
  <si>
    <t>47.9817886</t>
  </si>
  <si>
    <t>13.4238420</t>
  </si>
  <si>
    <t>+4376846428;+4376846428</t>
  </si>
  <si>
    <t>+4376846215</t>
  </si>
  <si>
    <t>office@aichinger-brunnenbau.at</t>
  </si>
  <si>
    <t>https://bilder.dasschnelle.at/DasSchnelle/50/5000/9881/043076/G_043076_P_906326684.adn.gif</t>
  </si>
  <si>
    <t>Bad Zeller Bauunternehmen GesmbH • Bad Zell • Oberösterreich</t>
  </si>
  <si>
    <t>Bauunternehmen • Bad Zeller Bauunternehmen GesmbH, Linzer Straße 15, Bad Zell • Kontakt über aktuelle Telefonnummern ☎ und Adressen ⚑ mit Karte, Routing, Öffnungszeiten, Homepage, E-Mail, vCard und Firmendaten.</t>
  </si>
  <si>
    <t>Linzer Straße 15</t>
  </si>
  <si>
    <t>48.3469</t>
  </si>
  <si>
    <t>14.66728</t>
  </si>
  <si>
    <t>+43726376600</t>
  </si>
  <si>
    <t>office@bbu.at</t>
  </si>
  <si>
    <t>Steinhuber, Thomas, Mag., Öffentlicher Notar • Mondsee • Oberösterreich</t>
  </si>
  <si>
    <t>Notare • Steinhuber, Thomas, Mag., Meinrad Guggenbichler-Straße 2, Mondsee • Kontakt über aktuelle Telefonnummern ☎ und Adressen ⚑ mit Karte, Routing, Öffnungszeiten, Homepage, E-Mail, vCard und Firmendaten.</t>
  </si>
  <si>
    <t>Meinrad Guggenbichler-Straße 2</t>
  </si>
  <si>
    <t>47.8547866</t>
  </si>
  <si>
    <t>13.3491129</t>
  </si>
  <si>
    <t>+43623222130</t>
  </si>
  <si>
    <t>office@notar-steinhuber.at</t>
  </si>
  <si>
    <t>https://bilder.dasschnelle.at/DasSchnelle/50/5000/9909/043081/I_043081_P_906326149_L_0035993436_1.png</t>
  </si>
  <si>
    <t>https://bilder.dasschnelle.at/DasSchnelle/50/5000/9909/043081/I_043081_P_906326149_B_0035993436_1.gal.png?height=165&amp;width=128;https://bilder.dasschnelle.at/DasSchnelle/50/5000/9909/043081/G_043081_P_906326149.adn.gif</t>
  </si>
  <si>
    <t>Wucherer Energietechnik GmbH • Landeck • Tirol</t>
  </si>
  <si>
    <t>Energietechnik • Wucherer Energietechnik GmbH, Malserstraße 84, Landeck • Kontakt über aktuelle Telefonnummern ☎ und Adressen ⚑ mit Karte, Routing, Öffnungszeiten, Homepage, E-Mail, vCard und Firmendaten.</t>
  </si>
  <si>
    <t>Malserstraße 84</t>
  </si>
  <si>
    <t>47.14273</t>
  </si>
  <si>
    <t>10.5681</t>
  </si>
  <si>
    <t>+43544262660</t>
  </si>
  <si>
    <t>wucherer@wucherer-energie.at</t>
  </si>
  <si>
    <t>https://bilder.dasschnelle.at/DasSchnelle/50/5000/9903/044584/I_044584_P_906164953_L_0037097963_1.png</t>
  </si>
  <si>
    <t>https://bilder.dasschnelle.at/DasSchnelle/50/5000/9903/044584/I_044584_P_906164953_B_0037097963_1.gal.png?height=467&amp;width=720;https://bilder.dasschnelle.at/DasSchnelle/50/5000/9903/044584/I_044584_P_906164953_B_0037097963_2.gal.png?height=467&amp;width=720;https://bilder.dasschnelle.at/DasSchnelle/50/5000/9903/044584/I_044584_P_906164953_B_0037097963_3.gal.png?height=467&amp;width=720;https://bilder.dasschnelle.at/DasSchnelle/50/5000/9903/044584/I_044584_P_906164953_B_0037097963_4.gal.png?height=467&amp;width=720</t>
  </si>
  <si>
    <t>Speer GesmbH, Dachdeckereien • Innerschwand • Oberösterreich</t>
  </si>
  <si>
    <t>Dachdeckereien • Speer GesmbH, Wangau 20, Innerschwand • Kontakt über aktuelle Telefonnummern ☎ und Adressen ⚑ mit Karte, Routing, Öffnungszeiten, Homepage, E-Mail, vCard und Firmendaten.</t>
  </si>
  <si>
    <t>Wangau 20</t>
  </si>
  <si>
    <t>47.83877</t>
  </si>
  <si>
    <t>13.42642</t>
  </si>
  <si>
    <t>+43623379988</t>
  </si>
  <si>
    <t>office@speer-dach.at</t>
  </si>
  <si>
    <t>https://bilder.dasschnelle.at/DasSchnelle/50/5000/9909/043078/I_043078_P_906110969_B_0035974355_1.gal.png?height=268&amp;width=268;https://bilder.dasschnelle.at/DasSchnelle/50/5000/9909/043078/I_043078_P_906110969_B_0035974355_2.gal.png?height=268&amp;width=268;https://bilder.dasschnelle.at/DasSchnelle/50/5000/9909/043078/I_043078_P_906110969_B_0035974355_3.gal.png?height=268&amp;width=268;https://bilder.dasschnelle.at/DasSchnelle/50/5000/9909/043078/I_043078_P_906110969_B_0035974355_4.gal.png?height=268&amp;width=268</t>
  </si>
  <si>
    <t>herger weilguny steuerberatung wirtschaftsprüfung GmbH • Pregarten • Oberösterreich</t>
  </si>
  <si>
    <t>Steuerberater • herger weilguny steuerberatung wirtschaftsprüfung GmbH, Tragweiner Straße 30, Pregarten • Kontakt über aktuelle Telefonnummern ☎ und Adressen ⚑ mit Karte, Routing, Öffnungszeiten, Homepage, E-Mail, vCard und Firmendaten.</t>
  </si>
  <si>
    <t>+43723620628</t>
  </si>
  <si>
    <t>https://bilder.dasschnelle.at/DasSchnelle/50/5000/9882/044815/G_044815_P_906329483.adn.gif</t>
  </si>
  <si>
    <t>Grabdesign Haberl, Steinmetzbetrieb • St. Andrä-Wördern • Niederösterreich</t>
  </si>
  <si>
    <t>Steinmetzbetriebe • Grabdesign Haberl, Kirchenplatz 1, St. Andrä-Wördern • Kontakt über aktuelle Telefonnummern ☎ und Adressen ⚑ mit Karte, Routing, Öffnungszeiten, Homepage, E-Mail, vCard und Firmendaten.</t>
  </si>
  <si>
    <t>48.3213431</t>
  </si>
  <si>
    <t>16.2067414</t>
  </si>
  <si>
    <t>+43224233034</t>
  </si>
  <si>
    <t>office@grabdesign-haberl.at</t>
  </si>
  <si>
    <t>https://bilder.dasschnelle.at/DasSchnelle/50/5000/9938/044251/I_044251_P_906086258_L_0035994410_1.png</t>
  </si>
  <si>
    <t>https://bilder.dasschnelle.at/DasSchnelle/50/5000/9938/044251/I_044251_P_906086258_B_0035994410_1.gal.png?height=715&amp;width=720;https://bilder.dasschnelle.at/DasSchnelle/50/5000/9938/044251/I_044251_P_906086258_B_0035994410_2.gal.png?height=720&amp;width=720;https://bilder.dasschnelle.at/DasSchnelle/50/5000/9938/044251/I_044251_P_906086258_B_0035994410_3.gal.png?height=482&amp;width=720;https://bilder.dasschnelle.at/DasSchnelle/50/5000/9938/044251/I_044251_P_906086258_B_0035994410_4.gal.png?height=742&amp;width=720</t>
  </si>
  <si>
    <t>Fahrschule My Friends • Ottensheim • Oberösterreich</t>
  </si>
  <si>
    <t>Fahrschulen • Fahrschule My Friends, Hostauerstraße 87, Ottensheim • Kontakt über aktuelle Telefonnummern ☎ und Adressen ⚑ mit Karte, Routing, Öffnungszeiten, Homepage, E-Mail, vCard und Firmendaten.</t>
  </si>
  <si>
    <t>Hostauerstraße 87</t>
  </si>
  <si>
    <t>48.3399</t>
  </si>
  <si>
    <t>14.16701</t>
  </si>
  <si>
    <t>+43723486064</t>
  </si>
  <si>
    <t>https://bilder.dasschnelle.at/DasSchnelle/50/5000/9939/043056/G_043056_P_906137219.adn.gif</t>
  </si>
  <si>
    <t>Floristik Grossegger • Semriach • Steiermark</t>
  </si>
  <si>
    <t>Floristik • Floristik Grossegger, Kirchengasse 1, Semriach • Kontakt über aktuelle Telefonnummern ☎ und Adressen ⚑ mit Karte, Routing, Öffnungszeiten, Homepage, E-Mail, vCard und Firmendaten.</t>
  </si>
  <si>
    <t>Kirchengasse 1</t>
  </si>
  <si>
    <t>47.2169500</t>
  </si>
  <si>
    <t>15.4021300</t>
  </si>
  <si>
    <t>+4331278294</t>
  </si>
  <si>
    <t>floristik.grossegger@gmail.com</t>
  </si>
  <si>
    <t>https://bilder.dasschnelle.at/DasSchnelle/50/5000/9883/042353/I_042353_P_906014391_B_0035999360_1.gal.png?height=630&amp;width=831;https://bilder.dasschnelle.at/DasSchnelle/50/5000/9883/042353/I_042353_P_906014391_B_0035999360_2.gal.png?height=957&amp;width=478;https://bilder.dasschnelle.at/DasSchnelle/50/5000/9883/042353/I_042353_P_906014391_B_0035999360_3.gal.png?height=625&amp;width=956;https://bilder.dasschnelle.at/DasSchnelle/50/5000/9883/042353/I_042353_P_906014391_B_0035999360_4.gal.png?height=994&amp;width=742</t>
  </si>
  <si>
    <t>Doneus, Ingrid, Dr.med.univ., FÄ f. Zahn-, Mund- u. Kieferheilkunde • Wartberg ob der Aist • Oberösterreich</t>
  </si>
  <si>
    <t>Ärzte / Fachärzte f. Zahn-, Mund u. Kieferheilkunde • Doneus, Ingrid, Dr.med.univ., Hauptstraße 29, Wartberg ob der Aist • Kontakt über aktuelle Telefonnummern ☎ und Adressen ⚑ mit Karte, Routing, Öffnungszeiten, Homepage, E-Mail, vCard und Firmendaten.</t>
  </si>
  <si>
    <t>48.3511466</t>
  </si>
  <si>
    <t>14.5087108</t>
  </si>
  <si>
    <t>+43723676100</t>
  </si>
  <si>
    <t>ingrid@doneus.at</t>
  </si>
  <si>
    <t>https://bilder.dasschnelle.at/DasSchnelle/50/5000/9882/041784/G_041784_P_906331457.adn.gif</t>
  </si>
  <si>
    <t>Greindl GmbH, Kachelofen &amp; Fliesen • Wartberg ob der Aist • Oberösterreich</t>
  </si>
  <si>
    <t>Kachelöfen • Greindl GmbH, Obervisnitz 7, Wartberg ob der Aist • Kontakt über aktuelle Telefonnummern ☎ und Adressen ⚑ mit Karte, Routing, Öffnungszeiten, Homepage, E-Mail, vCard und Firmendaten.</t>
  </si>
  <si>
    <t>Obervisnitz 7</t>
  </si>
  <si>
    <t>48.3610300</t>
  </si>
  <si>
    <t>14.4889100</t>
  </si>
  <si>
    <t>+4372362349</t>
  </si>
  <si>
    <t>office@fliesen-greindl.at</t>
  </si>
  <si>
    <t>https://bilder.dasschnelle.at/DasSchnelle/50/5000/9882/041764/G_041764_P_906312521.adn.gif</t>
  </si>
  <si>
    <t>Glas Deixler GmbH • Pichl bei Wels • Oberösterreich</t>
  </si>
  <si>
    <t>Glasdach- u. Glaswandbau • Glas Deixler GmbH, Franzing 8, Pichl bei Wels • Kontakt über aktuelle Telefonnummern ☎ und Adressen ⚑ mit Karte, Routing, Öffnungszeiten, Homepage, E-Mail, vCard und Firmendaten.</t>
  </si>
  <si>
    <t>Franzing 8</t>
  </si>
  <si>
    <t>48.1878684</t>
  </si>
  <si>
    <t>13.8768201</t>
  </si>
  <si>
    <t>+4372478394</t>
  </si>
  <si>
    <t>+43724720204</t>
  </si>
  <si>
    <t>office@glas-deixler.at</t>
  </si>
  <si>
    <t>https://bilder.dasschnelle.at/DasSchnelle/50/5000/9945/043577/G_043577_P_906171828.adn.gif</t>
  </si>
  <si>
    <t>Reindl, Christian, Tischlerei • Perg • Oberösterreich</t>
  </si>
  <si>
    <t>Tischlereien • Reindl, Christian, Aisthofen 4, Perg • Kontakt über aktuelle Telefonnummern ☎ und Adressen ⚑ mit Karte, Routing, Öffnungszeiten, Homepage, E-Mail, vCard und Firmendaten.</t>
  </si>
  <si>
    <t>Aisthofen 4</t>
  </si>
  <si>
    <t>48.2587900</t>
  </si>
  <si>
    <t>14.5925900</t>
  </si>
  <si>
    <t>+43726263079;+436608609887;+436888609885;+436888609886;+4369918609888</t>
  </si>
  <si>
    <t>+437262630794</t>
  </si>
  <si>
    <t>office@tischlerei-reindl.at</t>
  </si>
  <si>
    <t>https://bilder.dasschnelle.at/DasSchnelle/50/5000/9916/042528/G_042528_P_906088291.adn.gif</t>
  </si>
  <si>
    <t>RIEDER Landtechnik- u Handels-GmbH, Landtechnik • Andorf • Oberösterreich</t>
  </si>
  <si>
    <t>Landtechnik • RIEDER Landtechnik- u Handels-GmbH, Radlern 4, Andorf • Kontakt über aktuelle Telefonnummern ☎ und Adressen ⚑ mit Karte, Routing, Öffnungszeiten, Homepage, E-Mail, vCard und Firmendaten.</t>
  </si>
  <si>
    <t>Radlern 4</t>
  </si>
  <si>
    <t>48.3720199</t>
  </si>
  <si>
    <t>13.5465910</t>
  </si>
  <si>
    <t>+43776626160;+436641037375</t>
  </si>
  <si>
    <t>office@riedermax.at</t>
  </si>
  <si>
    <t>https://bilder.dasschnelle.at/DasSchnelle/50/5000/9926/042303/G_042303_P_906092855.adn.gif</t>
  </si>
  <si>
    <t>Schnaitl, Helmut • Almdorf • Salzburg</t>
  </si>
  <si>
    <t>Vollwärmeschutz • Schnaitl, Helmut, Almdorf 13, Almdorf • Kontakt über aktuelle Telefonnummern ☎ und Adressen ⚑ mit Karte, Routing, Öffnungszeiten, Homepage, E-Mail, vCard und Firmendaten.</t>
  </si>
  <si>
    <t>Almdorf 13</t>
  </si>
  <si>
    <t>Almdorf</t>
  </si>
  <si>
    <t>47.4093398</t>
  </si>
  <si>
    <t>12.8722465</t>
  </si>
  <si>
    <t>+43658270684;+436641319807</t>
  </si>
  <si>
    <t>h.schnaitl@aon.at</t>
  </si>
  <si>
    <t>https://bilder.dasschnelle.at/DasSchnelle/50/5000/9918/045578/I_045578_P_906189378_L_0036000339_1.png</t>
  </si>
  <si>
    <t>https://bilder.dasschnelle.at/DasSchnelle/50/5000/9918/045578/I_045578_P_906189378_B_0036000339_1.gal.png?height=240&amp;width=320;https://bilder.dasschnelle.at/DasSchnelle/50/5000/9918/045578/I_045578_P_906189378_B_0036000339_2.gal.png?height=451&amp;width=600;https://bilder.dasschnelle.at/DasSchnelle/50/5000/9918/045578/I_045578_P_906189378_B_0036000339_3.gal.png?height=240&amp;width=320;https://bilder.dasschnelle.at/DasSchnelle/50/5000/9918/045578/I_045578_P_906189378_B_0036000339_4.gal.png?height=451&amp;width=600</t>
  </si>
  <si>
    <t>Oberschmidleithner GmbH &amp; Co KG, Steinmetzmeister • Peuerbach • Oberösterreich</t>
  </si>
  <si>
    <t>Steinmetzbetriebe • Oberschmidleithner GmbH &amp; Co KG, Passauer Straße 16, Peuerbach • Kontakt über aktuelle Telefonnummern ☎ und Adressen ⚑ mit Karte, Routing, Öffnungszeiten, Homepage, E-Mail, vCard und Firmendaten.</t>
  </si>
  <si>
    <t>Passauer Straße 16</t>
  </si>
  <si>
    <t>48.3464</t>
  </si>
  <si>
    <t>13.76927</t>
  </si>
  <si>
    <t>+43727623240</t>
  </si>
  <si>
    <t>steininfo@aon.at</t>
  </si>
  <si>
    <t>https://bilder.dasschnelle.at/DasSchnelle/50/5000/9926/042797/G_042797_P_906227492.adn.gif</t>
  </si>
  <si>
    <t>Pirker GmbH, Autohaus • Feldkirchen • Kärnten</t>
  </si>
  <si>
    <t>Autohandel • Pirker GmbH, Dr. A. Lemischstraße 6, Feldkirchen • Kontakt über aktuelle Telefonnummern ☎ und Adressen ⚑ mit Karte, Routing, Öffnungszeiten, Homepage, E-Mail, vCard und Firmendaten.</t>
  </si>
  <si>
    <t>Dr. A. Lemischstraße 6</t>
  </si>
  <si>
    <t>46.8508788</t>
  </si>
  <si>
    <t>14.1684186</t>
  </si>
  <si>
    <t>+4342762345</t>
  </si>
  <si>
    <t>office@auto-pirker.at</t>
  </si>
  <si>
    <t>https://bilder.dasschnelle.at/DasSchnelle/50/5000/9880/042048/G_042048_P_906098332.adn.gif</t>
  </si>
  <si>
    <t>Schrottenbaum, Johannes, Bestattung • Schwaz • Tirol</t>
  </si>
  <si>
    <t>Bestattungsunternehmen • Schrottenbaum, Johannes, Husslstraße 1, Schwaz • Kontakt über aktuelle Telefonnummern ☎ und Adressen ⚑ mit Karte, Routing, Öffnungszeiten, Homepage, E-Mail, vCard und Firmendaten.</t>
  </si>
  <si>
    <t>Husslstraße 1</t>
  </si>
  <si>
    <t>47.34822</t>
  </si>
  <si>
    <t>11.71079</t>
  </si>
  <si>
    <t>+43524222275</t>
  </si>
  <si>
    <t>office@derbestatter.at</t>
  </si>
  <si>
    <t>https://bilder.dasschnelle.at/DasSchnelle/50/5000/9929/042636/G_042636_P_906194812.adn.gif</t>
  </si>
  <si>
    <t>Rachbauer Autohaus GmbH, Autohäuser • Ried im Innkreis • Oberösterreich</t>
  </si>
  <si>
    <t>Autohäuser, Autoreparaturen • Rachbauer Autohaus GmbH, Grillparzerstraße 3, Ried im Innkreis • Kontakt über aktuelle Telefonnummern ☎ und Adressen ⚑ mit Karte, Routing, Öffnungszeiten, Homepage, E-Mail, vCard und Firmendaten.</t>
  </si>
  <si>
    <t>Grillparzerstraße 3</t>
  </si>
  <si>
    <t>48.21536</t>
  </si>
  <si>
    <t>13.48347</t>
  </si>
  <si>
    <t>+437752879790;+4377528797917;+4377528797922;+4377528797918</t>
  </si>
  <si>
    <t>+4377528797940</t>
  </si>
  <si>
    <t>info@autohaus-rachbauer.at</t>
  </si>
  <si>
    <t>https://bilder.dasschnelle.at/DasSchnelle/50/5000/9922/042563/G_042563_P_906130244.adn.gif</t>
  </si>
  <si>
    <t>1a Installateur Edler, Installationen • Voitsberg • Steiermark</t>
  </si>
  <si>
    <t>Installationsunternehmen • 1a Installateur Edler, Grazer Vorstadt 142, Voitsberg • Kontakt über aktuelle Telefonnummern ☎ und Adressen ⚑ mit Karte, Routing, Öffnungszeiten, Homepage, E-Mail, vCard und Firmendaten.</t>
  </si>
  <si>
    <t>Grazer Vorstadt 142</t>
  </si>
  <si>
    <t>47.03648</t>
  </si>
  <si>
    <t>15.17174</t>
  </si>
  <si>
    <t>+43314223036</t>
  </si>
  <si>
    <t>+433142230366</t>
  </si>
  <si>
    <t>office@edler-vo.at</t>
  </si>
  <si>
    <t>https://bilder.dasschnelle.at/DasSchnelle/50/5000/9941/045375/G_045375_P_906218252.adn.gif</t>
  </si>
  <si>
    <t>Autohaus Mürzl GmbH • Bärnbach • Steiermark</t>
  </si>
  <si>
    <t>Autohäuser • Autohaus Mürzl GmbH, Hauptstraße 5, Bärnbach • Kontakt über aktuelle Telefonnummern ☎ und Adressen ⚑ mit Karte, Routing, Öffnungszeiten, Homepage, E-Mail, vCard und Firmendaten.</t>
  </si>
  <si>
    <t>47.07157</t>
  </si>
  <si>
    <t>15.12778</t>
  </si>
  <si>
    <t>+433142625490;+436766182052</t>
  </si>
  <si>
    <t>+4331426254919</t>
  </si>
  <si>
    <t>maria.kollegger@muerzl.at</t>
  </si>
  <si>
    <t>https://bilder.dasschnelle.at/DasSchnelle/50/5000/9941/061376/G_061376_P_906183514.adn.gif</t>
  </si>
  <si>
    <t>Autohaus Pirsch • Gratkorn</t>
  </si>
  <si>
    <t>Autohandel • Autohaus Pirsch, Sportplatzgasse 4, Gratkorn • Kontakt über aktuelle Telefonnummern ☎ und Adressen ⚑ mit Karte, Routing, Öffnungszeiten, Homepage, E-Mail, vCard und Firmendaten.</t>
  </si>
  <si>
    <t>Sportplatzgasse 4</t>
  </si>
  <si>
    <t>47.13139</t>
  </si>
  <si>
    <t>15.33895</t>
  </si>
  <si>
    <t>+43312422196</t>
  </si>
  <si>
    <t>office@pirsch.at</t>
  </si>
  <si>
    <t>https://bilder.dasschnelle.at/DasSchnelle/50/5000/9883/042322/G_042322_P_906316407.adn.gif</t>
  </si>
  <si>
    <t>Bodlos Josef GesmbH, Gas-Wasser-Heizung • Lieboch • Steiermark</t>
  </si>
  <si>
    <t>Gasinstallationen • Bodlos Josef GesmbH, Dorfstraße 6, Lieboch • Kontakt über aktuelle Telefonnummern ☎ und Adressen ⚑ mit Karte, Routing, Öffnungszeiten, Homepage, E-Mail, vCard und Firmendaten.</t>
  </si>
  <si>
    <t>Dorfstraße 6</t>
  </si>
  <si>
    <t>46.97512</t>
  </si>
  <si>
    <t>15.33389</t>
  </si>
  <si>
    <t>+4331272237</t>
  </si>
  <si>
    <t>office@bodlos.at</t>
  </si>
  <si>
    <t>https://bilder.dasschnelle.at/DasSchnelle/50/5000/9941/042338/G_042338_P_906328285.adn.gif</t>
  </si>
  <si>
    <t>Damböck, Martin, Tischlerei • Waldneukirchen • Oberösterreich</t>
  </si>
  <si>
    <t>Tischlereien • Damböck, Martin, Eggmairstraße 1, Waldneukirchen • Kontakt über aktuelle Telefonnummern ☎ und Adressen ⚑ mit Karte, Routing, Öffnungszeiten, Homepage, E-Mail, vCard und Firmendaten.</t>
  </si>
  <si>
    <t>Eggmairstraße 1</t>
  </si>
  <si>
    <t>48.00031</t>
  </si>
  <si>
    <t>14.24678</t>
  </si>
  <si>
    <t>+43725870300;+436765422068</t>
  </si>
  <si>
    <t>buero@tischlerei-damboeck.at</t>
  </si>
  <si>
    <t>https://bilder.dasschnelle.at/DasSchnelle/50/5000/9867/042823/G_042823_P_906251506.adn.gif</t>
  </si>
  <si>
    <t>Falk, Wolfgang, Heilmasseur • Sankt Gallen • Steiermark</t>
  </si>
  <si>
    <t>Physiotherapie • Falk, Wolfgang, Am Spitzenberg 60, Sankt Gallen • Kontakt über aktuelle Telefonnummern ☎ und Adressen ⚑ mit Karte, Routing, Öffnungszeiten, Homepage, E-Mail, vCard und Firmendaten.</t>
  </si>
  <si>
    <t>Am Spitzenberg 60</t>
  </si>
  <si>
    <t>47.6981620</t>
  </si>
  <si>
    <t>14.6228393</t>
  </si>
  <si>
    <t>+436642621298</t>
  </si>
  <si>
    <t>falk.st.gallen@aon.at</t>
  </si>
  <si>
    <t>Rauscher Bau GmbH, Bauunternehmen • Gars am Kamp • Niederösterreich</t>
  </si>
  <si>
    <t>Bauunternehmen • Rauscher Bau GmbH, Villengasse 255, Gars am Kamp • Kontakt über aktuelle Telefonnummern ☎ und Adressen ⚑ mit Karte, Routing, Öffnungszeiten, Homepage, E-Mail, vCard und Firmendaten.</t>
  </si>
  <si>
    <t>Villengasse 255</t>
  </si>
  <si>
    <t>48.59646</t>
  </si>
  <si>
    <t>15.65504</t>
  </si>
  <si>
    <t>+4329852366</t>
  </si>
  <si>
    <t>office@rr-rauscher.at</t>
  </si>
  <si>
    <t>https://bilder.dasschnelle.at/DasSchnelle/50/5000/9893/041390/G_041390_P_906123887.adn.gif</t>
  </si>
  <si>
    <t>Holzbau Schwarz • Waldburg • Oberösterreich</t>
  </si>
  <si>
    <t>Holzbau • Holzbau Schwarz, Freudenthal 22, Waldburg • Kontakt über aktuelle Telefonnummern ☎ und Adressen ⚑ mit Karte, Routing, Öffnungszeiten, Homepage, E-Mail, vCard und Firmendaten.</t>
  </si>
  <si>
    <t>Freudenthal 22</t>
  </si>
  <si>
    <t>48.5334709</t>
  </si>
  <si>
    <t>14.4364467</t>
  </si>
  <si>
    <t>+436649297800</t>
  </si>
  <si>
    <t>office@holzbau-schwarz.at</t>
  </si>
  <si>
    <t>https://bilder.dasschnelle.at/DasSchnelle/50/5000/9882/041783/I_041783_P_906073941_L_0037073428_1.png</t>
  </si>
  <si>
    <t>https://bilder.dasschnelle.at/DasSchnelle/50/5000/9882/041783/I_041783_P_906073941_B_0037073428_1.gal.png?height=527&amp;width=757;https://bilder.dasschnelle.at/DasSchnelle/50/5000/9882/041783/I_041783_P_906073941_B_0037073428_2.gal.png?height=566&amp;width=761;https://bilder.dasschnelle.at/DasSchnelle/50/5000/9882/041783/I_041783_P_906073941_B_0037073428_3.gal.png?height=427&amp;width=756;https://bilder.dasschnelle.at/DasSchnelle/50/5000/9882/041783/I_041783_P_906073941_B_0037073428_4.gal.png?height=562&amp;width=753</t>
  </si>
  <si>
    <t>Streicher, Herbert, Hausruckschmiede • Frankenburg am Hausruck • Oberösterreich</t>
  </si>
  <si>
    <t>Schmieden • Streicher, Herbert, Frein 29, Frankenburg am Hausruck • Kontakt über aktuelle Telefonnummern ☎ und Adressen ⚑ mit Karte, Routing, Öffnungszeiten, Homepage, E-Mail, vCard und Firmendaten.</t>
  </si>
  <si>
    <t>Frein 29</t>
  </si>
  <si>
    <t>48.06873</t>
  </si>
  <si>
    <t>13.48039</t>
  </si>
  <si>
    <t>+43768382850</t>
  </si>
  <si>
    <t>+43768382855</t>
  </si>
  <si>
    <t>kunstsschmiede.streicher@nusurf.at</t>
  </si>
  <si>
    <t>https://bilder.dasschnelle.at/DasSchnelle/50/5000/9940/043075/G_043075_P_906314874.adn.gif</t>
  </si>
  <si>
    <t>Landgasthof zum Betenmacher • Unterdorf • Salzburg</t>
  </si>
  <si>
    <t>Gastgewerbe - Gasthöfe • Landgasthof zum Betenmacher, Brunnbachweg 14, Unterdorf • Kontakt über aktuelle Telefonnummern ☎ und Adressen ⚑ mit Karte, Routing, Öffnungszeiten, Homepage, E-Mail, vCard und Firmendaten.</t>
  </si>
  <si>
    <t>Brunnbachweg 14</t>
  </si>
  <si>
    <t>47.84186</t>
  </si>
  <si>
    <t>13.24018</t>
  </si>
  <si>
    <t>+43623573280</t>
  </si>
  <si>
    <t>gasthof@betenmacher.at</t>
  </si>
  <si>
    <t>https://bilder.dasschnelle.at/DasSchnelle/50/5000/9909/043331/G_043331_P_906310132.adn.gif</t>
  </si>
  <si>
    <t>Reichl, Wolfgang, Bohr + Säge-Wolf • Thalgau • Salzburg</t>
  </si>
  <si>
    <t>Betonbohr- u. -schneidedienst • Reichl, Wolfgang, Bohr + Säge-Wolf, Brandstattstraße 16, Thalgau • Kontakt über aktuelle Telefonnummern ☎ und Adressen ⚑ mit Karte, Routing, Öffnungszeiten, Homepage, E-Mail, vCard und Firmendaten.</t>
  </si>
  <si>
    <t>Brandstattstraße 16</t>
  </si>
  <si>
    <t>47.84846</t>
  </si>
  <si>
    <t>13.23593</t>
  </si>
  <si>
    <t>+436641747041</t>
  </si>
  <si>
    <t>saegewolf@gmx.at</t>
  </si>
  <si>
    <t>https://bilder.dasschnelle.at/DasSchnelle/50/5000/9909/043331/G_043331_P_906323700.adn.gif</t>
  </si>
  <si>
    <t>Graser, Marina, Kosmetik &amp; Fußpflege • Marbach am Walde • Niederösterreich</t>
  </si>
  <si>
    <t>Kosmetik • Graser, Marina, Marbach am Walde 63, Marbach am Walde • Kontakt über aktuelle Telefonnummern ☎ und Adressen ⚑ mit Karte, Routing, Öffnungszeiten, Homepage, E-Mail, vCard und Firmendaten.</t>
  </si>
  <si>
    <t>Marbach am Walde 63</t>
  </si>
  <si>
    <t>Marbach am Walde</t>
  </si>
  <si>
    <t>48.5478518</t>
  </si>
  <si>
    <t>15.0887899</t>
  </si>
  <si>
    <t>+436644304229</t>
  </si>
  <si>
    <t>marina.graser@aon.at</t>
  </si>
  <si>
    <t>https://bilder.dasschnelle.at/DasSchnelle/50/5000/9950/044545/G_044545_P_906324702.adn.gif</t>
  </si>
  <si>
    <t>Ortner, Thomas, MMag., Psychotherapeutische Praxis • St. Florian am Inn • Oberösterreich</t>
  </si>
  <si>
    <t>Psychologie • Ortner, Thomas, MMag., Bubing 192, St. Florian am Inn • Kontakt über aktuelle Telefonnummern ☎ und Adressen ⚑ mit Karte, Routing, Öffnungszeiten, Homepage, E-Mail, vCard und Firmendaten.</t>
  </si>
  <si>
    <t>Bubing 192</t>
  </si>
  <si>
    <t>48.45613</t>
  </si>
  <si>
    <t>13.43125</t>
  </si>
  <si>
    <t>+436507323919</t>
  </si>
  <si>
    <t>praxis@thomas-ortner.at</t>
  </si>
  <si>
    <t>https://bilder.dasschnelle.at/DasSchnelle/50/5000/9926/042797/I_042797_P_906109292_L_0035992955_1.png</t>
  </si>
  <si>
    <t>https://bilder.dasschnelle.at/DasSchnelle/50/5000/9926/042797/I_042797_P_906109292_B_0035992955_1.gal.png?height=333&amp;width=596;https://bilder.dasschnelle.at/DasSchnelle/50/5000/9926/042797/I_042797_P_906109292_B_0035992955_2.gal.png?height=336&amp;width=597;https://bilder.dasschnelle.at/DasSchnelle/50/5000/9926/042797/I_042797_P_906109292_B_0035992955_3.gal.png?height=334&amp;width=598;https://bilder.dasschnelle.at/DasSchnelle/50/5000/9926/042797/I_042797_P_906109292_B_0035992955_4.gal.png?height=332&amp;width=595</t>
  </si>
  <si>
    <t>Pointecker, Michael, Gase, Werkzeuge • Altendorf • Oberösterreich</t>
  </si>
  <si>
    <t>Gasinstallationen • Pointecker, Michael, Altendorf 60, Altendorf • Kontakt über aktuelle Telefonnummern ☎ und Adressen ⚑ mit Karte, Routing, Öffnungszeiten, Homepage, E-Mail, vCard und Firmendaten.</t>
  </si>
  <si>
    <t>Altendorf 60</t>
  </si>
  <si>
    <t>Altendorf</t>
  </si>
  <si>
    <t>48.4826420</t>
  </si>
  <si>
    <t>13.6086888</t>
  </si>
  <si>
    <t>+4377166877</t>
  </si>
  <si>
    <t>info@pointecker.at</t>
  </si>
  <si>
    <t>https://bilder.dasschnelle.at/DasSchnelle/50/5000/9926/042795/G_042795_P_906324704.adn.gif</t>
  </si>
  <si>
    <t>Pro-Boot GmbH, Boote • Steinbach am Attersee • Oberösterreich</t>
  </si>
  <si>
    <t>Boote u. Bootszubehör • Pro-Boot GmbH, Seefeld 70, Steinbach am Attersee • Kontakt über aktuelle Telefonnummern ☎ und Adressen ⚑ mit Karte, Routing, Öffnungszeiten, Homepage, E-Mail, vCard und Firmendaten.</t>
  </si>
  <si>
    <t>Seefeld 70</t>
  </si>
  <si>
    <t>4853</t>
  </si>
  <si>
    <t>Steinbach am Attersee</t>
  </si>
  <si>
    <t>47.8387235</t>
  </si>
  <si>
    <t>13.5472962</t>
  </si>
  <si>
    <t>+43766320082</t>
  </si>
  <si>
    <t>pro-boot@aon.at</t>
  </si>
  <si>
    <t>https://bilder.dasschnelle.at/DasSchnelle/50/5000/9940/043106/G_043106_P_906324705.adn.gif</t>
  </si>
  <si>
    <t>Mühlbacher Wärmepumpentechnik GmbH, Wärmepumpen • Weyregg am Attersee • Oberösterreich</t>
  </si>
  <si>
    <t>Wärmepumpen • Mühlbacher Wärmepumpentechnik GmbH, Weyregger Straße 48, Weyregg am Attersee • Kontakt über aktuelle Telefonnummern ☎ und Adressen ⚑ mit Karte, Routing, Öffnungszeiten, Homepage, E-Mail, vCard und Firmendaten.</t>
  </si>
  <si>
    <t>Weyregger Straße 48</t>
  </si>
  <si>
    <t>4852</t>
  </si>
  <si>
    <t>Weyregg am Attersee</t>
  </si>
  <si>
    <t>47.90226</t>
  </si>
  <si>
    <t>13.57086</t>
  </si>
  <si>
    <t>+43766420930</t>
  </si>
  <si>
    <t>office@muehlbacher-waerme.at</t>
  </si>
  <si>
    <t>https://bilder.dasschnelle.at/DasSchnelle/50/5000/9940/043558/G_043558_P_906324706.adn.gif</t>
  </si>
  <si>
    <t>Wasinger, Erwin, Tischlerei • Kematen • Niederösterreich</t>
  </si>
  <si>
    <t>Tischlereimaschinen u. -bedarf • Wasinger, Erwin, 33. Straße 2, Kematen • Kontakt über aktuelle Telefonnummern ☎ und Adressen ⚑ mit Karte, Routing, Öffnungszeiten, Homepage, E-Mail, vCard und Firmendaten.</t>
  </si>
  <si>
    <t>33. Straße 2</t>
  </si>
  <si>
    <t>3331</t>
  </si>
  <si>
    <t>Kematen</t>
  </si>
  <si>
    <t>48.0359300</t>
  </si>
  <si>
    <t>14.7760300</t>
  </si>
  <si>
    <t>+4374482402</t>
  </si>
  <si>
    <t>office@wasinger.at</t>
  </si>
  <si>
    <t>https://bilder.dasschnelle.at/DasSchnelle/50/5000/9866/041694/G_041694_P_906123961.adn.gif</t>
  </si>
  <si>
    <t>Smetanig, Claudia, Bilanzbuchhalterin • Kühnsdorf • Kärnten</t>
  </si>
  <si>
    <t>Buchhaltungs- u. Wirtschaftsbüros • Smetanig, Claudia, Seebach 27, Kühnsdorf • Kontakt über aktuelle Telefonnummern ☎ und Adressen ⚑ mit Karte, Routing, Öffnungszeiten, Homepage, E-Mail, vCard und Firmendaten.</t>
  </si>
  <si>
    <t>Seebach 27</t>
  </si>
  <si>
    <t>46.6273078</t>
  </si>
  <si>
    <t>14.6072381</t>
  </si>
  <si>
    <t>+436649262468</t>
  </si>
  <si>
    <t>claudia.smetanig@gmail.com</t>
  </si>
  <si>
    <t>https://bilder.dasschnelle.at/DasSchnelle/50/5000/9942/042035/G_042035_P_906225875.adn.gif</t>
  </si>
  <si>
    <t>Giezinger, Georgel, Tischlerei • Braunau am Inn • Oberösterreich</t>
  </si>
  <si>
    <t>Tischlereien • Giezinger, Georgel, Mattigstraße 15, Braunau am Inn • Kontakt über aktuelle Telefonnummern ☎ und Adressen ⚑ mit Karte, Routing, Öffnungszeiten, Homepage, E-Mail, vCard und Firmendaten.</t>
  </si>
  <si>
    <t>Mattigstraße 15</t>
  </si>
  <si>
    <t>48.2548687</t>
  </si>
  <si>
    <t>13.0669982</t>
  </si>
  <si>
    <t>+436763441088</t>
  </si>
  <si>
    <t>office@geosholzwerk.at</t>
  </si>
  <si>
    <t>Brandtner, Erich • Semriach • Steiermark</t>
  </si>
  <si>
    <t>Autohandel, Autoreparaturen • Brandtner, Erich, Kirchengasse 22, Semriach • Kontakt über aktuelle Telefonnummern ☎ und Adressen ⚑ mit Karte, Routing, Öffnungszeiten, Homepage, E-Mail, vCard und Firmendaten.</t>
  </si>
  <si>
    <t>Kirchengasse 22</t>
  </si>
  <si>
    <t>47.2176246</t>
  </si>
  <si>
    <t>15.398211</t>
  </si>
  <si>
    <t>+43312782520;+436641108252</t>
  </si>
  <si>
    <t>info@autohaus-brandtner.at</t>
  </si>
  <si>
    <t>https://bilder.dasschnelle.at/DasSchnelle/50/5000/9883/042353/G_042353_P_906310995.adn.gif</t>
  </si>
  <si>
    <t>Hainzl, Johann, Isolierungen • Obertiefenbach • Steiermark</t>
  </si>
  <si>
    <t>Isolierungen • Hainzl, Johann, Obertiefenbach • Kontakt über aktuelle Telefonnummern ☎ und Adressen ⚑ mit Karte, Routing, Öffnungszeiten, Homepage, E-Mail, vCard und Firmendaten.</t>
  </si>
  <si>
    <t>8224</t>
  </si>
  <si>
    <t>Obertiefenbach</t>
  </si>
  <si>
    <t>47.2234720</t>
  </si>
  <si>
    <t>15.8488080</t>
  </si>
  <si>
    <t>+436644821517</t>
  </si>
  <si>
    <t>johann.hainzl@aon.at</t>
  </si>
  <si>
    <t>https://bilder.dasschnelle.at/DasSchnelle/50/5000/9890/061403/G_061403_P_906323690.adn.gif</t>
  </si>
  <si>
    <t>Antik-Stadl • Bad Leonfelden • Oberösterreich</t>
  </si>
  <si>
    <t>Antiquitäten • Antik-Stadl, Unterlaimbach 19, Bad Leonfelden • Kontakt über aktuelle Telefonnummern ☎ und Adressen ⚑ mit Karte, Routing, Öffnungszeiten, Homepage, E-Mail, vCard und Firmendaten.</t>
  </si>
  <si>
    <t>Unterlaimbach 19</t>
  </si>
  <si>
    <t>48.5338379</t>
  </si>
  <si>
    <t>14.2957512</t>
  </si>
  <si>
    <t>+4372136503</t>
  </si>
  <si>
    <t>office@antikstadl.at</t>
  </si>
  <si>
    <t>https://bilder.dasschnelle.at/DasSchnelle/50/5000/9939/042828/I_042828_P_906104174_L_0035971107_1.png</t>
  </si>
  <si>
    <t>https://bilder.dasschnelle.at/DasSchnelle/50/5000/9939/042828/I_042828_P_906104174_B_0035971107_1.gal.png?height=221&amp;width=831;https://bilder.dasschnelle.at/DasSchnelle/50/5000/9939/042828/I_042828_P_906104174_B_0035971107_2.gal.png?height=237&amp;width=831;https://bilder.dasschnelle.at/DasSchnelle/50/5000/9939/042828/I_042828_P_906104174_B_0035971107_3.gal.png?height=221&amp;width=831;https://bilder.dasschnelle.at/DasSchnelle/50/5000/9939/042828/I_042828_P_906104174_B_0035971107_4.gal.png?height=570&amp;width=831</t>
  </si>
  <si>
    <t>Eder Wolfgang, Tischler • Gundersheim • Kärnten</t>
  </si>
  <si>
    <t>Möbelwerkstätte • Eder Wolfgang, Griminitzen 32, Gundersheim • Kontakt über aktuelle Telefonnummern ☎ und Adressen ⚑ mit Karte, Routing, Öffnungszeiten, Homepage, E-Mail, vCard und Firmendaten.</t>
  </si>
  <si>
    <t>Griminitzen 32</t>
  </si>
  <si>
    <t>Gundersheim</t>
  </si>
  <si>
    <t>46.6430720</t>
  </si>
  <si>
    <t>13.1200073</t>
  </si>
  <si>
    <t>+436507025900</t>
  </si>
  <si>
    <t>office@moebel-eder.at</t>
  </si>
  <si>
    <t>https://bilder.dasschnelle.at/DasSchnelle/50/5000/9891/042085/G_042085_P_906323478.adn.gif</t>
  </si>
  <si>
    <t>Rath, Willi, Heizung - Sanitär • Gersdorf an der Feistritz</t>
  </si>
  <si>
    <t>Heizungen • Rath, Willi, Gersdorf an der Feistritz • Kontakt über aktuelle Telefonnummern ☎ und Adressen ⚑ mit Karte, Routing, Öffnungszeiten, Homepage, E-Mail, vCard und Firmendaten.</t>
  </si>
  <si>
    <t>Gersdorf an der Feistritz</t>
  </si>
  <si>
    <t>47.1552241</t>
  </si>
  <si>
    <t>15.8454074</t>
  </si>
  <si>
    <t>+43311330968;+436642618025;+436641248504</t>
  </si>
  <si>
    <t>rath.installation@aon.at</t>
  </si>
  <si>
    <t>https://bilder.dasschnelle.at/DasSchnelle/50/5000/9944/061422/I_061422_P_905948563_L_0036252692_1.png</t>
  </si>
  <si>
    <t>https://bilder.dasschnelle.at/DasSchnelle/50/5000/9944/061422/I_061422_P_905948563_B_0036252692_1.gal.png?height=405&amp;width=1000;https://bilder.dasschnelle.at/DasSchnelle/50/5000/9944/061422/I_061422_P_905948563_B_0036252692_2.gal.png?height=405&amp;width=1000;https://bilder.dasschnelle.at/DasSchnelle/50/5000/9944/061422/I_061422_P_905948563_B_0036252692_3.gal.png?height=405&amp;width=1000;https://bilder.dasschnelle.at/DasSchnelle/50/5000/9944/061422/I_061422_P_905948563_B_0036252692_4.gal.png?height=500&amp;width=1000</t>
  </si>
  <si>
    <t>Bischel Philipp GesmbH, Optik • Traiskirchen • Niederösterreich</t>
  </si>
  <si>
    <t>Optik • Bischel Philipp GesmbH, Dr. Karl Renner-Platz 2, Traiskirchen • Kontakt über aktuelle Telefonnummern ☎ und Adressen ⚑ mit Karte, Routing, Öffnungszeiten, Homepage, E-Mail, vCard und Firmendaten.</t>
  </si>
  <si>
    <t>Dr. Karl Renner-Platz 2</t>
  </si>
  <si>
    <t>48.01446</t>
  </si>
  <si>
    <t>16.29382</t>
  </si>
  <si>
    <t>+43225255644</t>
  </si>
  <si>
    <t>optik@bischel.net</t>
  </si>
  <si>
    <t>https://bilder.dasschnelle.at/DasSchnelle/50/5000/9870/041362/G_041362_P_906255837.adn.gif</t>
  </si>
  <si>
    <t>Seidl, Heike, Friseur • Althofen • Kärnten</t>
  </si>
  <si>
    <t>Friseure • Seidl, Heike, 10.-Oktober-Straße 20, Althofen • Kontakt über aktuelle Telefonnummern ☎ und Adressen ⚑ mit Karte, Routing, Öffnungszeiten, Homepage, E-Mail, vCard und Firmendaten.</t>
  </si>
  <si>
    <t>10.-Oktober-Straße 20</t>
  </si>
  <si>
    <t>46.87204</t>
  </si>
  <si>
    <t>14.46715</t>
  </si>
  <si>
    <t>+4342622276</t>
  </si>
  <si>
    <t>heikeseidl@aon.at</t>
  </si>
  <si>
    <t>https://bilder.dasschnelle.at/DasSchnelle/50/5000/9925/042109/G_042109_P_906314803.adn.gif</t>
  </si>
  <si>
    <t>Gstöttner KG, Malerei • Timelkam • Oberösterreich</t>
  </si>
  <si>
    <t>Malereibetriebe • Gstöttner KG, Stiftergasse 7, Timelkam • Kontakt über aktuelle Telefonnummern ☎ und Adressen ⚑ mit Karte, Routing, Öffnungszeiten, Homepage, E-Mail, vCard und Firmendaten.</t>
  </si>
  <si>
    <t>https://bilder.dasschnelle.at/DasSchnelle/50/5000/9940/043552/G_043552_P_906314945.adn.gif</t>
  </si>
  <si>
    <t>Blumenecke Patricia • Matrei am Brenner • Tirol</t>
  </si>
  <si>
    <t>Blumenhandel • Blumenecke Patricia, Matrei am Brenner 43, Matrei am Brenner • Kontakt über aktuelle Telefonnummern ☎ und Adressen ⚑ mit Karte, Routing, Öffnungszeiten, Homepage, E-Mail, vCard und Firmendaten.</t>
  </si>
  <si>
    <t>Matrei am Brenner 43</t>
  </si>
  <si>
    <t>47.1293007</t>
  </si>
  <si>
    <t>11.4526838</t>
  </si>
  <si>
    <t>+436649735884</t>
  </si>
  <si>
    <t>p.kerschbaumer@live.de</t>
  </si>
  <si>
    <t>https://bilder.dasschnelle.at/DasSchnelle/50/5000/9948/045890/G_045890_P_906325535.adn.gif</t>
  </si>
  <si>
    <t>Faltheiner, Gerhard, Holzbau • Kötschach-Mauthen • Kärnten</t>
  </si>
  <si>
    <t>Holzbau, Zimmereien • Faltheiner, Gerhard, Kötschach 548, Kötschach-Mauthen • Kontakt über aktuelle Telefonnummern ☎ und Adressen ⚑ mit Karte, Routing, Öffnungszeiten, Homepage, E-Mail, vCard und Firmendaten.</t>
  </si>
  <si>
    <t>Kötschach 548</t>
  </si>
  <si>
    <t>46.6738689</t>
  </si>
  <si>
    <t>12.9948454</t>
  </si>
  <si>
    <t>+434284315;+436643720345</t>
  </si>
  <si>
    <t>office@holzbau-faltheiner.at</t>
  </si>
  <si>
    <t>https://bilder.dasschnelle.at/DasSchnelle/50/5000/9891/042086/G_042086_P_906326162.adn.gif</t>
  </si>
  <si>
    <t>Zipf-Reisen GmbH • Zipf • Oberösterreich</t>
  </si>
  <si>
    <t>Autobusunternehmen • Zipf-Reisen GmbH, Zeiling 18, Zipf • Kontakt über aktuelle Telefonnummern ☎ und Adressen ⚑ mit Karte, Routing, Öffnungszeiten, Homepage, E-Mail, vCard und Firmendaten.</t>
  </si>
  <si>
    <t>Zeiling 18</t>
  </si>
  <si>
    <t>4871</t>
  </si>
  <si>
    <t>Zipf</t>
  </si>
  <si>
    <t>48.0243043</t>
  </si>
  <si>
    <t>13.5216117</t>
  </si>
  <si>
    <t>+43768221504</t>
  </si>
  <si>
    <t>office@zipf-reisen.at</t>
  </si>
  <si>
    <t>https://bilder.dasschnelle.at/DasSchnelle/50/5000/9940/043077/G_043077_P_906314895.adn.gif</t>
  </si>
  <si>
    <t>Kollroß, Robert, Tischlerei • Attersee • Oberösterreich</t>
  </si>
  <si>
    <t>Küchenstudios, Tischlereien • Kollroß, Robert, Attergaustraße 6, Attersee • Kontakt über aktuelle Telefonnummern ☎ und Adressen ⚑ mit Karte, Routing, Öffnungszeiten, Homepage, E-Mail, vCard und Firmendaten.</t>
  </si>
  <si>
    <t>Attergaustraße 6</t>
  </si>
  <si>
    <t>47.91541</t>
  </si>
  <si>
    <t>13.53492</t>
  </si>
  <si>
    <t>+4376667857</t>
  </si>
  <si>
    <t>+4376667054</t>
  </si>
  <si>
    <t>office@atterseewerkstaetten.at</t>
  </si>
  <si>
    <t>https://bilder.dasschnelle.at/DasSchnelle/50/5000/9940/043068/G_043068_P_906324714.adn.gif</t>
  </si>
  <si>
    <t>HBT - Holzbau Team GmbH, Holzbau • Kötschach • Kärnten</t>
  </si>
  <si>
    <t>Holzbau • HBT - Holzbau Team GmbH, Kötschach 404, Kötschach • Kontakt über aktuelle Telefonnummern ☎ und Adressen ⚑ mit Karte, Routing, Öffnungszeiten, Homepage, E-Mail, vCard und Firmendaten.</t>
  </si>
  <si>
    <t>Kötschach 404</t>
  </si>
  <si>
    <t>46.6704867</t>
  </si>
  <si>
    <t>13.0092550</t>
  </si>
  <si>
    <t>+43471586710</t>
  </si>
  <si>
    <t>office@holzbauteam.at</t>
  </si>
  <si>
    <t>https://bilder.dasschnelle.at/DasSchnelle/50/5000/9891/042086/G_042086_P_906324689.adn.gif</t>
  </si>
  <si>
    <t>Moser, Roman, Dachdeckerei • Tröpolach • Kärnten</t>
  </si>
  <si>
    <t>Dachdeckereien • Moser, Roman, Tröpolach 173, Tröpolach • Kontakt über aktuelle Telefonnummern ☎ und Adressen ⚑ mit Karte, Routing, Öffnungszeiten, Homepage, E-Mail, vCard und Firmendaten.</t>
  </si>
  <si>
    <t>Tröpolach 173</t>
  </si>
  <si>
    <t>9631</t>
  </si>
  <si>
    <t>Tröpolach</t>
  </si>
  <si>
    <t>46.6138923</t>
  </si>
  <si>
    <t>13.2762337</t>
  </si>
  <si>
    <t>+436607668874</t>
  </si>
  <si>
    <t>moser.dach@outlook.com</t>
  </si>
  <si>
    <t>https://bilder.dasschnelle.at/DasSchnelle/50/5000/9891/042084/G_042084_P_906324691.adn.gif</t>
  </si>
  <si>
    <t>Preundler, Andreas, Kranarbeiten • Neukirchen an der Vöckla • Oberösterreich</t>
  </si>
  <si>
    <t>Kranservice • Preundler, Andreas, Lichtenegg 14, Neukirchen an der Vöckla • Kontakt über aktuelle Telefonnummern ☎ und Adressen ⚑ mit Karte, Routing, Öffnungszeiten, Homepage, E-Mail, vCard und Firmendaten.</t>
  </si>
  <si>
    <t>Lichtenegg 14</t>
  </si>
  <si>
    <t>48.0429946</t>
  </si>
  <si>
    <t>13.5346839</t>
  </si>
  <si>
    <t>+436648227732</t>
  </si>
  <si>
    <t>andreas.preundler@gmx.at</t>
  </si>
  <si>
    <t>https://bilder.dasschnelle.at/DasSchnelle/50/5000/9940/043082/I_043082_P_906110935_L_0035999250_1.png</t>
  </si>
  <si>
    <t>https://bilder.dasschnelle.at/DasSchnelle/50/5000/9940/043082/I_043082_P_906110935_B_0035999250_1.gal.png?height=596&amp;width=444;https://bilder.dasschnelle.at/DasSchnelle/50/5000/9940/043082/I_043082_P_906110935_B_0035999250_2.gal.png?height=384&amp;width=791;https://bilder.dasschnelle.at/DasSchnelle/50/5000/9940/043082/I_043082_P_906110935_B_0035999250_3.gal.png?height=385&amp;width=720</t>
  </si>
  <si>
    <t>Hierzmann, Christine, Cafe • Gratwein • Steiermark</t>
  </si>
  <si>
    <t>Cafés • Hierzmann, Christine, Hauptplatz 2, Gratwein • Kontakt über aktuelle Telefonnummern ☎ und Adressen ⚑ mit Karte, Routing, Öffnungszeiten, Homepage, E-Mail, vCard und Firmendaten.</t>
  </si>
  <si>
    <t>47.12922</t>
  </si>
  <si>
    <t>15.31873</t>
  </si>
  <si>
    <t>+436643486280</t>
  </si>
  <si>
    <t>office@m-hierzmann.at</t>
  </si>
  <si>
    <t>https://bilder.dasschnelle.at/DasSchnelle/50/5000/9883/061359/G_061359_P_906297264.adn.gif</t>
  </si>
  <si>
    <t>Home &amp; Garden HandelsgesmbH, Raumausstattung • Schwanenstadt • Oberösterreich</t>
  </si>
  <si>
    <t>Gartenmöbel • Home &amp; Garden HandelsgesmbH, Berggasse 2, Schwanenstadt • Kontakt über aktuelle Telefonnummern ☎ und Adressen ⚑ mit Karte, Routing, Öffnungszeiten, Homepage, E-Mail, vCard und Firmendaten.</t>
  </si>
  <si>
    <t>48.0559368</t>
  </si>
  <si>
    <t>13.7747051</t>
  </si>
  <si>
    <t>+43767375420</t>
  </si>
  <si>
    <t>andrea.swoboda@gmx.net</t>
  </si>
  <si>
    <t>https://bilder.dasschnelle.at/DasSchnelle/50/5000/9940/043104/G_043104_P_906325537.adn.gif</t>
  </si>
  <si>
    <t>K &amp; E GmbH, Malerei • Tulln an der Donau • Niederösterreich</t>
  </si>
  <si>
    <t>Malereibetriebe • K &amp; E GmbH, Wilhelmstraße 14, Tulln an der Donau • Kontakt über aktuelle Telefonnummern ☎ und Adressen ⚑ mit Karte, Routing, Öffnungszeiten, Homepage, E-Mail, vCard und Firmendaten.</t>
  </si>
  <si>
    <t>Wilhelmstraße 14</t>
  </si>
  <si>
    <t>48.32973</t>
  </si>
  <si>
    <t>16.05676</t>
  </si>
  <si>
    <t>+43227281506</t>
  </si>
  <si>
    <t>office@malerei-werbetechnik.at</t>
  </si>
  <si>
    <t>https://bilder.dasschnelle.at/DasSchnelle/50/5000/9938/044247/G_044247_P_906325539.adn.gif</t>
  </si>
  <si>
    <t>Zoubek, Anna, Gärtnerei u Blumengeschäft • Tulln an der Donau • Niederösterreich</t>
  </si>
  <si>
    <t>Gärtnereien • Zoubek, Anna, Langenlebarner Straße 58, Tulln an der Donau • Kontakt über aktuelle Telefonnummern ☎ und Adressen ⚑ mit Karte, Routing, Öffnungszeiten, Homepage, E-Mail, vCard und Firmendaten.</t>
  </si>
  <si>
    <t>Langenlebarner Straße 58</t>
  </si>
  <si>
    <t>48.32987</t>
  </si>
  <si>
    <t>16.06715</t>
  </si>
  <si>
    <t>+43227262359</t>
  </si>
  <si>
    <t>office@zoubek-blumen.at</t>
  </si>
  <si>
    <t>https://bilder.dasschnelle.at/DasSchnelle/50/5000/9938/044247/G_044247_P_906325540.adn.gif</t>
  </si>
  <si>
    <t>Fritz Armin, Landmaschinen und KFZ Technik • Althofen • Kärnten</t>
  </si>
  <si>
    <t>Landmaschinen • Fritz Armin, Marktsraße 1, Althofen • Kontakt über aktuelle Telefonnummern ☎ und Adressen ⚑ mit Karte, Routing, Öffnungszeiten, Homepage, E-Mail, vCard und Firmendaten.</t>
  </si>
  <si>
    <t>Marktsraße 1</t>
  </si>
  <si>
    <t>+436644406022</t>
  </si>
  <si>
    <t>landtechnik@armin-fritz.at</t>
  </si>
  <si>
    <t>https://bilder.dasschnelle.at/DasSchnelle/50/5000/9925/042109/G_042109_P_906314811.adn.gif</t>
  </si>
  <si>
    <t>Eichhorn, Roland, Rauchfangkehrer • Straß im Attergau • Oberösterreich</t>
  </si>
  <si>
    <t>Rauchfangkehrer • Eichhorn, Roland, Erlat 80, Straß im Attergau • Kontakt über aktuelle Telefonnummern ☎ und Adressen ⚑ mit Karte, Routing, Öffnungszeiten, Homepage, E-Mail, vCard und Firmendaten.</t>
  </si>
  <si>
    <t>Erlat 80</t>
  </si>
  <si>
    <t>47.9106167</t>
  </si>
  <si>
    <t>13.4768609</t>
  </si>
  <si>
    <t>+43766772735;+436644640002</t>
  </si>
  <si>
    <t>rfk.eichhorn@a1.net</t>
  </si>
  <si>
    <t>https://bilder.dasschnelle.at/DasSchnelle/50/5000/9940/043107/G_043107_P_906327026.adn.gif</t>
  </si>
  <si>
    <t>Stadler, Sonja, Dr.med.univ., FA f HNO • Schörfling • Oberösterreich</t>
  </si>
  <si>
    <t>Ärzte / Fachärzte f. Hals-, Nasen u. Ohrenkrankheiten • Stadler, Sonja, Dr.med.univ., Hauptstraße 7 B, Schörfling • Kontakt über aktuelle Telefonnummern ☎ und Adressen ⚑ mit Karte, Routing, Öffnungszeiten, Homepage, E-Mail, vCard und Firmendaten.</t>
  </si>
  <si>
    <t>+43766283747</t>
  </si>
  <si>
    <t>office@hno-stadler.at</t>
  </si>
  <si>
    <t>https://bilder.dasschnelle.at/DasSchnelle/50/5000/9940/043103/G_043103_P_906327028.adn.gif</t>
  </si>
  <si>
    <t>Mani's Gastronomie GmbH • Kirchbach • Kärnten</t>
  </si>
  <si>
    <t>Gastronomiebetriebe • Mani's Gastronomie GmbH, Kirchbach 125, Kirchbach • Kontakt über aktuelle Telefonnummern ☎ und Adressen ⚑ mit Karte, Routing, Öffnungszeiten, Homepage, E-Mail, vCard und Firmendaten.</t>
  </si>
  <si>
    <t>Kirchbach 125</t>
  </si>
  <si>
    <t>46.6412156</t>
  </si>
  <si>
    <t>13.1857657</t>
  </si>
  <si>
    <t>+43428425108</t>
  </si>
  <si>
    <t>manis-kirchbach@hotmail.com</t>
  </si>
  <si>
    <t>https://bilder.dasschnelle.at/DasSchnelle/50/5000/9891/042085/G_042085_P_906327329.adn.gif</t>
  </si>
  <si>
    <t>Elektro Vogelsberg GmbH • Navis • Tirol</t>
  </si>
  <si>
    <t>Elektrounternehmen • Elektro Vogelsberg GmbH, Außerweg 185, Navis • Kontakt über aktuelle Telefonnummern ☎ und Adressen ⚑ mit Karte, Routing, Öffnungszeiten, Homepage, E-Mail, vCard und Firmendaten.</t>
  </si>
  <si>
    <t>Außerweg 185</t>
  </si>
  <si>
    <t>47.0379818</t>
  </si>
  <si>
    <t>11.4788802</t>
  </si>
  <si>
    <t>+436643424004</t>
  </si>
  <si>
    <t>+43527487599</t>
  </si>
  <si>
    <t>elektro.vogelsberger@aon.at</t>
  </si>
  <si>
    <t>https://bilder.dasschnelle.at/DasSchnelle/50/5000/9948/045896/G_045896_P_906327030.adn.gif</t>
  </si>
  <si>
    <t>Gasthaus Olpererblick • Schmirn • Tirol</t>
  </si>
  <si>
    <t>Gastgewerbe - Gasthöfe • Gasthaus Olpererblick, Toldern 11, Schmirn • Kontakt über aktuelle Telefonnummern ☎ und Adressen ⚑ mit Karte, Routing, Öffnungszeiten, Homepage, E-Mail, vCard und Firmendaten.</t>
  </si>
  <si>
    <t>Toldern 11</t>
  </si>
  <si>
    <t>Schmirn</t>
  </si>
  <si>
    <t>47.08847</t>
  </si>
  <si>
    <t>11.58037</t>
  </si>
  <si>
    <t>+43527920120</t>
  </si>
  <si>
    <t>info@olpererblick.at</t>
  </si>
  <si>
    <t>https://bilder.dasschnelle.at/DasSchnelle/50/5000/9948/045912/G_045912_P_906327032.adn.gif</t>
  </si>
  <si>
    <t>Heiztechnik Holzmann GmbH • Navis • Tirol</t>
  </si>
  <si>
    <t>Heizungen • Heiztechnik Holzmann GmbH, Navis 8, Navis • Kontakt über aktuelle Telefonnummern ☎ und Adressen ⚑ mit Karte, Routing, Öffnungszeiten, Homepage, E-Mail, vCard und Firmendaten.</t>
  </si>
  <si>
    <t>Navis 8</t>
  </si>
  <si>
    <t>47.1156664</t>
  </si>
  <si>
    <t>11.4595575</t>
  </si>
  <si>
    <t>+43527320122</t>
  </si>
  <si>
    <t>ht.holzmann@aon.at</t>
  </si>
  <si>
    <t>https://bilder.dasschnelle.at/DasSchnelle/50/5000/9948/045896/G_045896_P_906327033.adn.gif</t>
  </si>
  <si>
    <t>Kanalservice Knaus Stefan, Kanalreinigung • Navis • Tirol</t>
  </si>
  <si>
    <t>Kanal- u. Grubendienste • Kanalservice Knaus Stefan, Oberweg 44, Navis • Kontakt über aktuelle Telefonnummern ☎ und Adressen ⚑ mit Karte, Routing, Öffnungszeiten, Homepage, E-Mail, vCard und Firmendaten.</t>
  </si>
  <si>
    <t>Oberweg 44</t>
  </si>
  <si>
    <t>47.1226953</t>
  </si>
  <si>
    <t>11.4903371</t>
  </si>
  <si>
    <t>+436645061823</t>
  </si>
  <si>
    <t>info@kanalreinigung-knaus.at</t>
  </si>
  <si>
    <t>https://bilder.dasschnelle.at/DasSchnelle/50/5000/9948/045896/G_045896_P_906327034.adn.gif</t>
  </si>
  <si>
    <t>KP KFZ-Technik OG, KFZ Werkstätte • Matrei am Brenner • Tirol</t>
  </si>
  <si>
    <t>Autohandel, Kfz-Werkstätte • KP KFZ-Technik OG, Waldfrieden 29, Matrei am Brenner • Kontakt über aktuelle Telefonnummern ☎ und Adressen ⚑ mit Karte, Routing, Öffnungszeiten, Homepage, E-Mail, vCard und Firmendaten.</t>
  </si>
  <si>
    <t>Waldfrieden 29</t>
  </si>
  <si>
    <t>47.13888</t>
  </si>
  <si>
    <t>11.46021</t>
  </si>
  <si>
    <t>+436645990637;+436643835221</t>
  </si>
  <si>
    <t>kp-kfz@outlook.com</t>
  </si>
  <si>
    <t>https://bilder.dasschnelle.at/DasSchnelle/50/5000/9948/045890/G_045890_P_906327035.adn.gif</t>
  </si>
  <si>
    <t>Konditorei Wagner KG • Matrei am Brenner • Tirol</t>
  </si>
  <si>
    <t>Konditoreien • Konditorei Wagner KG, Brennerstraße 58, Matrei am Brenner • Kontakt über aktuelle Telefonnummern ☎ und Adressen ⚑ mit Karte, Routing, Öffnungszeiten, Homepage, E-Mail, vCard und Firmendaten.</t>
  </si>
  <si>
    <t>Brennerstraße 58</t>
  </si>
  <si>
    <t>47.1314174</t>
  </si>
  <si>
    <t>11.4529602</t>
  </si>
  <si>
    <t>+4352736254</t>
  </si>
  <si>
    <t>konditorei_wagner@aon.at</t>
  </si>
  <si>
    <t>https://bilder.dasschnelle.at/DasSchnelle/50/5000/9948/045890/G_045890_P_906327037.adn.gif</t>
  </si>
  <si>
    <t>Auer, Alois, Autoreparatur • Navis • Tirol</t>
  </si>
  <si>
    <t>Autoreparaturen • Auer, Alois, Navis • Kontakt über aktuelle Telefonnummern ☎ und Adressen ⚑ mit Karte, Routing, Öffnungszeiten, Homepage, E-Mail, vCard und Firmendaten.</t>
  </si>
  <si>
    <t>47.1305528</t>
  </si>
  <si>
    <t>11.5364018</t>
  </si>
  <si>
    <t>+43527320083;+436644572286</t>
  </si>
  <si>
    <t>kfz-auer@aon.at</t>
  </si>
  <si>
    <t>https://bilder.dasschnelle.at/DasSchnelle/50/5000/9948/045896/G_045896_P_906327038.adn.gif</t>
  </si>
  <si>
    <t>Mair, Robert, Tischlerei • Steinach • Tirol</t>
  </si>
  <si>
    <t>Tischlereien • Mair, Robert, Siegreith 30, Steinach • Kontakt über aktuelle Telefonnummern ☎ und Adressen ⚑ mit Karte, Routing, Öffnungszeiten, Homepage, E-Mail, vCard und Firmendaten.</t>
  </si>
  <si>
    <t>Siegreith 30</t>
  </si>
  <si>
    <t>47.0611912</t>
  </si>
  <si>
    <t>11.486059</t>
  </si>
  <si>
    <t>+4352795158;+436641008700</t>
  </si>
  <si>
    <t>info@die-tischlerei.at</t>
  </si>
  <si>
    <t>https://bilder.dasschnelle.at/DasSchnelle/50/5000/9948/045879/G_045879_P_906327040.adn.gif</t>
  </si>
  <si>
    <t>Peer Hubert, Hubert • Steinach am Brenner • Tirol</t>
  </si>
  <si>
    <t>Spenglereien • Peer Hubert, Hubert, Padasterweg 2, Steinach am Brenner • Kontakt über aktuelle Telefonnummern ☎ und Adressen ⚑ mit Karte, Routing, Öffnungszeiten, Homepage, E-Mail, vCard und Firmendaten.</t>
  </si>
  <si>
    <t>Padasterweg 2</t>
  </si>
  <si>
    <t>47.08442</t>
  </si>
  <si>
    <t>11.47345</t>
  </si>
  <si>
    <t>+4352722171</t>
  </si>
  <si>
    <t>office@spenglerei-peer.at</t>
  </si>
  <si>
    <t>https://bilder.dasschnelle.at/DasSchnelle/50/5000/9948/045918/G_045918_P_906327042.adn.gif</t>
  </si>
  <si>
    <t>Kunstschmiede Hofer GmbH, Kunstschmiede • Fulpmes • Tirol</t>
  </si>
  <si>
    <t>Kunstschmieden • Kunstschmiede Hofer GmbH, Industriegebiet 12, Fulpmes • Kontakt über aktuelle Telefonnummern ☎ und Adressen ⚑ mit Karte, Routing, Öffnungszeiten, Homepage, E-Mail, vCard und Firmendaten.</t>
  </si>
  <si>
    <t>Industriegebiet 12</t>
  </si>
  <si>
    <t>47.1338547</t>
  </si>
  <si>
    <t>11.3450538</t>
  </si>
  <si>
    <t>+43522562866</t>
  </si>
  <si>
    <t>info@kunstschmiede-hofer.at</t>
  </si>
  <si>
    <t>https://bilder.dasschnelle.at/DasSchnelle/50/5000/9948/045876/G_045876_P_906327043.adn.gif</t>
  </si>
  <si>
    <t>Wagner, Martha, Heilmasseurin u. Wahltherapeutin • Munderfing • Oberösterreich</t>
  </si>
  <si>
    <t>Massagen • Wagner, Martha, Achtal 22, Munderfing • Kontakt über aktuelle Telefonnummern ☎ und Adressen ⚑ mit Karte, Routing, Öffnungszeiten, Homepage, E-Mail, vCard und Firmendaten.</t>
  </si>
  <si>
    <t>Achtal 22</t>
  </si>
  <si>
    <t>48.0531879</t>
  </si>
  <si>
    <t>13.2024092</t>
  </si>
  <si>
    <t>+436645453369</t>
  </si>
  <si>
    <t>franz.wagner.5222@gmail.com</t>
  </si>
  <si>
    <t>https://bilder.dasschnelle.at/DasSchnelle/50/5000/9872/044782/G_044782_P_906252470.adn.gif</t>
  </si>
  <si>
    <t>Steuerberater Dr. Mag. Peter Zirps • Braunau • Oberösterreich</t>
  </si>
  <si>
    <t>Wirtschaftstreuhänder / Steuerberater • Steuerberater Dr. Mag. Peter Zirps, Stadtplatz 36, Braunau • Kontakt über aktuelle Telefonnummern ☎ und Adressen ⚑ mit Karte, Routing, Öffnungszeiten, Homepage, E-Mail, vCard und Firmendaten.</t>
  </si>
  <si>
    <t>48.2576563</t>
  </si>
  <si>
    <t>13.0355847</t>
  </si>
  <si>
    <t>+43772263401</t>
  </si>
  <si>
    <t>office@dr.zirps.at</t>
  </si>
  <si>
    <t>https://bilder.dasschnelle.at/DasSchnelle/50/5000/9872/044551/I_044551_P_906048986_L_0036031517_1.png</t>
  </si>
  <si>
    <t>Greimel, Franz, Autohandel • Loipersdorf bei Fürstenfeld • Steiermark</t>
  </si>
  <si>
    <t>Autoreparaturen, KFZ-Werkstätte u. Handel • Greimel, Franz, Oberbergstraße 65 A, Loipersdorf bei Fürstenfeld • Kontakt über aktuelle Telefonnummern ☎ und Adressen ⚑ mit Karte, Routing, Öffnungszeiten, Homepage, E-Mail, vCard und Firmendaten.</t>
  </si>
  <si>
    <t>Oberbergstraße 65 A</t>
  </si>
  <si>
    <t>47.0102</t>
  </si>
  <si>
    <t>16.09132</t>
  </si>
  <si>
    <t>+4333828450;+436644822869</t>
  </si>
  <si>
    <t>kfz-handel-greimel@aon.at</t>
  </si>
  <si>
    <t>https://bilder.dasschnelle.at/DasSchnelle/50/5000/9884/061394/G_061394_P_906310151.adn.gif</t>
  </si>
  <si>
    <t>Pflasterei Gül KG • Freistadt • Oberösterreich</t>
  </si>
  <si>
    <t>Pflaster u. Pflasterungen • Pflasterei Gül KG, Baumannstraße 1, Freistadt • Kontakt über aktuelle Telefonnummern ☎ und Adressen ⚑ mit Karte, Routing, Öffnungszeiten, Homepage, E-Mail, vCard und Firmendaten.</t>
  </si>
  <si>
    <t>Baumannstraße 1</t>
  </si>
  <si>
    <t>48.4999800</t>
  </si>
  <si>
    <t>14.4953369</t>
  </si>
  <si>
    <t>+436641167465</t>
  </si>
  <si>
    <t>info@pflasterei-gul.at</t>
  </si>
  <si>
    <t>https://bilder.dasschnelle.at/DasSchnelle/50/5000/9882/044815/G_044815_P_906299977.adn.gif</t>
  </si>
  <si>
    <t>Stöffler, Hannes, Sanitär-, Heizungs- und Elektrotechnik • Hermagor • Kärnten</t>
  </si>
  <si>
    <t>Elektrotechnik • Stöffler, Hannes, Kraß 7, Hermagor • Kontakt über aktuelle Telefonnummern ☎ und Adressen ⚑ mit Karte, Routing, Öffnungszeiten, Homepage, E-Mail, vCard und Firmendaten.</t>
  </si>
  <si>
    <t>Kraß 7</t>
  </si>
  <si>
    <t>46.6347334</t>
  </si>
  <si>
    <t>13.3659008</t>
  </si>
  <si>
    <t>+4342824029</t>
  </si>
  <si>
    <t>service@stoeffler.at</t>
  </si>
  <si>
    <t>https://bilder.dasschnelle.at/DasSchnelle/50/5000/9891/042084/G_042084_P_906330362.adn.gif</t>
  </si>
  <si>
    <t>Johanna's Geschenks Oase • Kötschach-Mauthen • Kärnten</t>
  </si>
  <si>
    <t>Geschenkartikel, Mode • Johanna's Geschenks Oase, Kötschach 7, Kötschach-Mauthen • Kontakt über aktuelle Telefonnummern ☎ und Adressen ⚑ mit Karte, Routing, Öffnungszeiten, Homepage, E-Mail, vCard und Firmendaten.</t>
  </si>
  <si>
    <t>Kötschach 7</t>
  </si>
  <si>
    <t>46.6769102</t>
  </si>
  <si>
    <t>13.0035145</t>
  </si>
  <si>
    <t>+43471520983</t>
  </si>
  <si>
    <t>office@geschenksoase.at</t>
  </si>
  <si>
    <t>https://bilder.dasschnelle.at/DasSchnelle/50/5000/9891/042086/G_042086_P_906329915.adn.gif</t>
  </si>
  <si>
    <t>Holzbau Winkler GmbH, Holzbau • Wieselburg • Niederösterreich</t>
  </si>
  <si>
    <t>Holzbau • Holzbau Winkler GmbH, Breiteneicher Straße 1, Wieselburg • Kontakt über aktuelle Telefonnummern ☎ und Adressen ⚑ mit Karte, Routing, Öffnungszeiten, Homepage, E-Mail, vCard und Firmendaten.</t>
  </si>
  <si>
    <t>Breiteneicher Straße 1</t>
  </si>
  <si>
    <t>48.12926</t>
  </si>
  <si>
    <t>15.14622</t>
  </si>
  <si>
    <t>+437416524330</t>
  </si>
  <si>
    <t>k.essletzbichler@holzbau-winkler.at</t>
  </si>
  <si>
    <t>https://bilder.dasschnelle.at/DasSchnelle/50/5000/9927/041937/G_041937_P_906137864.adn.gif</t>
  </si>
  <si>
    <t>Zoidl, Thomas, Radsport • Vorchdorf • Oberösterreich</t>
  </si>
  <si>
    <t>Radsport • Zoidl, Thomas, Schloßplatz 10 18, Vorchdorf • Kontakt über aktuelle Telefonnummern ☎ und Adressen ⚑ mit Karte, Routing, Öffnungszeiten, Homepage, E-Mail, vCard und Firmendaten.</t>
  </si>
  <si>
    <t>Schloßplatz 10 18</t>
  </si>
  <si>
    <t>48.0026800</t>
  </si>
  <si>
    <t>13.9226600</t>
  </si>
  <si>
    <t>+43761421273</t>
  </si>
  <si>
    <t>office@crw-sports.at</t>
  </si>
  <si>
    <t>https://bilder.dasschnelle.at/DasSchnelle/50/5000/9943/041807/G_041807_P_906314801.adn.gif</t>
  </si>
  <si>
    <t>Schrattenecker, Alexander, Elektronik • Gaspoltshofen • Oberösterreich</t>
  </si>
  <si>
    <t>Elektronik • Schrattenecker, Alexander, Hauptstraße 37, Gaspoltshofen • Kontakt über aktuelle Telefonnummern ☎ und Adressen ⚑ mit Karte, Routing, Öffnungszeiten, Homepage, E-Mail, vCard und Firmendaten.</t>
  </si>
  <si>
    <t>48.14083</t>
  </si>
  <si>
    <t>13.73677</t>
  </si>
  <si>
    <t>+437735202500</t>
  </si>
  <si>
    <t>office@schratti.at</t>
  </si>
  <si>
    <t>https://bilder.dasschnelle.at/DasSchnelle/50/5000/9887/041813/G_041813_P_906183906.adn.gif</t>
  </si>
  <si>
    <t>Oberhuber, Clemens, Mag., Kleintierordination • Kremsmünster • Oberösterreich</t>
  </si>
  <si>
    <t>Tierärzte • Oberhuber, Clemens, Mag., Hauptstraße 13, Kremsmünster • Kontakt über aktuelle Telefonnummern ☎ und Adressen ⚑ mit Karte, Routing, Öffnungszeiten, Homepage, E-Mail, vCard und Firmendaten.</t>
  </si>
  <si>
    <t>48.05317</t>
  </si>
  <si>
    <t>14.1294</t>
  </si>
  <si>
    <t>+43758378280</t>
  </si>
  <si>
    <t>clemens.oberhuber@gmx.at</t>
  </si>
  <si>
    <t>https://bilder.dasschnelle.at/DasSchnelle/50/5000/9900/046084/G_046084_P_906203800.adn.gif</t>
  </si>
  <si>
    <t>Korak GmbH, Installationsunternehmen • Langenwang • Steiermark</t>
  </si>
  <si>
    <t>Installationsunternehmen • Korak GmbH, Grazer Straße 23, Langenwang • Kontakt über aktuelle Telefonnummern ☎ und Adressen ⚑ mit Karte, Routing, Öffnungszeiten, Homepage, E-Mail, vCard und Firmendaten.</t>
  </si>
  <si>
    <t>Grazer Straße 23</t>
  </si>
  <si>
    <t>47.5655263</t>
  </si>
  <si>
    <t>15.6143224</t>
  </si>
  <si>
    <t>+4338542809</t>
  </si>
  <si>
    <t>info@korak-installateur.at</t>
  </si>
  <si>
    <t>https://bilder.dasschnelle.at/DasSchnelle/50/5000/9911/044891/I_044891_P_905980106_L_0035970910_1.png</t>
  </si>
  <si>
    <t>https://bilder.dasschnelle.at/DasSchnelle/50/5000/9911/044891/I_044891_P_905980106_B_0035970910_1.gal.png?height=450&amp;width=600;https://bilder.dasschnelle.at/DasSchnelle/50/5000/9911/044891/I_044891_P_905980106_B_0035970910_2.gal.png?height=187&amp;width=300;https://bilder.dasschnelle.at/DasSchnelle/50/5000/9911/044891/I_044891_P_905980106_B_0035970910_3.gal.png?height=188&amp;width=299;https://bilder.dasschnelle.at/DasSchnelle/50/5000/9911/044891/I_044891_P_905980106_B_0035970910_4.gal.png?height=504&amp;width=600;https://bilder.dasschnelle.at/DasSchnelle/50/5000/9911/044891/G_044891_P_906216913.adn.gif</t>
  </si>
  <si>
    <t>Hindinger, Verena Maria, Tattoo • Micheldorf • Oberösterreich</t>
  </si>
  <si>
    <t>Tattoostudio • Hindinger, Verena Maria, Pyhrnstraße 10, Micheldorf • Kontakt über aktuelle Telefonnummern ☎ und Adressen ⚑ mit Karte, Routing, Öffnungszeiten, Homepage, E-Mail, vCard und Firmendaten.</t>
  </si>
  <si>
    <t>Pyhrnstraße 10</t>
  </si>
  <si>
    <t>48.1389298</t>
  </si>
  <si>
    <t>14.2295964</t>
  </si>
  <si>
    <t>+436603701092</t>
  </si>
  <si>
    <t>verena.hindinger@gmx.at</t>
  </si>
  <si>
    <t>https://bilder.dasschnelle.at/DasSchnelle/50/5000/9912/046113/G_046113_P_906216917.adn.gif</t>
  </si>
  <si>
    <t>Gruber Textilreinigung • Eferding • Oberösterreich</t>
  </si>
  <si>
    <t>Färbereien, Gerbereien • Gruber Textilreinigung, Ledererstraße 9, Eferding • Kontakt über aktuelle Telefonnummern ☎ und Adressen ⚑ mit Karte, Routing, Öffnungszeiten, Homepage, E-Mail, vCard und Firmendaten.</t>
  </si>
  <si>
    <t>Ledererstraße 9</t>
  </si>
  <si>
    <t>+4372722454</t>
  </si>
  <si>
    <t>https://bilder.dasschnelle.at/DasSchnelle/50/5000/9876/044805/I_044805_P_906284603_L_0036252733_1.png</t>
  </si>
  <si>
    <t>https://bilder.dasschnelle.at/DasSchnelle/50/5000/9876/044805/I_044805_P_906284603_B_0036252733_1.gal.png?height=467&amp;width=700</t>
  </si>
  <si>
    <t>Dr. med. Omid Sabbaghian, FA für Chirurgie u. Gefäßchiurgie • Mining • Oberösterreich</t>
  </si>
  <si>
    <t>Ärzte / Fachärzte f. Chirurgie • Dr. med. Omid Sabbaghian, Stifterstraße 12, Mining • Kontakt über aktuelle Telefonnummern ☎ und Adressen ⚑ mit Karte, Routing, Öffnungszeiten, Homepage, E-Mail, vCard und Firmendaten.</t>
  </si>
  <si>
    <t>+43772222076</t>
  </si>
  <si>
    <t>doc@arzt-braunau.at</t>
  </si>
  <si>
    <t>https://bilder.dasschnelle.at/DasSchnelle/50/5000/9872/044779/I_044779_P_906257440_B_0035969766_1.gal.png?height=333&amp;width=500;https://bilder.dasschnelle.at/DasSchnelle/50/5000/9872/044779/I_044779_P_906257440_B_0035969766_2.gal.png?height=333&amp;width=500;https://bilder.dasschnelle.at/DasSchnelle/50/5000/9872/044779/I_044779_P_906257440_B_0035969766_3.gal.png?height=500&amp;width=500;https://bilder.dasschnelle.at/DasSchnelle/50/5000/9872/044779/I_044779_P_906257440_B_0035969766_4.gal.png?height=333&amp;width=500</t>
  </si>
  <si>
    <t>Tischlerei Ehebruster GmbH, Tischlerei • Allhartsberg • Niederösterreich</t>
  </si>
  <si>
    <t>Tischlereien • Tischlerei Ehebruster GmbH, Wachtberg 3, Allhartsberg • Kontakt über aktuelle Telefonnummern ☎ und Adressen ⚑ mit Karte, Routing, Öffnungszeiten, Homepage, E-Mail, vCard und Firmendaten.</t>
  </si>
  <si>
    <t>Wachtberg 3</t>
  </si>
  <si>
    <t>48.02935</t>
  </si>
  <si>
    <t>14.79565</t>
  </si>
  <si>
    <t>+43744822870</t>
  </si>
  <si>
    <t>barbara.knoll@ehebruster.com</t>
  </si>
  <si>
    <t>https://bilder.dasschnelle.at/DasSchnelle/50/5000/9866/042061/G_042061_P_906310940.adn.gif</t>
  </si>
  <si>
    <t>KOSAN Pharma GmbH, Pharmazeutische Präparate • Seewalchen am Attersee • Oberösterreich</t>
  </si>
  <si>
    <t>Apotheken • KOSAN Pharma GmbH, Anton-Bruckner-Straße 5, Seewalchen am Attersee • Kontakt über aktuelle Telefonnummern ☎ und Adressen ⚑ mit Karte, Routing, Öffnungszeiten, Homepage, E-Mail, vCard und Firmendaten.</t>
  </si>
  <si>
    <t>Anton-Bruckner-Straße 5</t>
  </si>
  <si>
    <t>+43766222070</t>
  </si>
  <si>
    <t>info@rosenwind-apotheke.at</t>
  </si>
  <si>
    <t>https://bilder.dasschnelle.at/DasSchnelle/50/5000/9940/043105/G_043105_P_906093756.adn.gif</t>
  </si>
  <si>
    <t>Mario Pachler, Fliesenleger • Vöcklamarkt • Oberösterreich</t>
  </si>
  <si>
    <t>Fliesen, Fliesenfachhandel, Fliesen u. Plattenverlegungen, Öfen u. Herde • Mario Pachler, Blumenstrasse 4, Vöcklamarkt • Kontakt über aktuelle Telefonnummern ☎ und Adressen ⚑ mit Karte, Routing, Öffnungszeiten, Homepage, E-Mail, vCard und Firmendaten.</t>
  </si>
  <si>
    <t>Blumenstrasse 4</t>
  </si>
  <si>
    <t>48.00358</t>
  </si>
  <si>
    <t>13.48866</t>
  </si>
  <si>
    <t>+4376826347</t>
  </si>
  <si>
    <t>office@fliesi.at</t>
  </si>
  <si>
    <t>https://bilder.dasschnelle.at/DasSchnelle/50/5000/9940/043556/G_043556_P_906137198.adn.gif</t>
  </si>
  <si>
    <t>Hauptsache Markus Steiner, Markus, Steiner, Friseur • Bischofshofen • Salzburg</t>
  </si>
  <si>
    <t>Friseure • Hauptsache Markus Steiner, Markus, Steiner, Salzburger Straße 37, Bischofshofen • Kontakt über aktuelle Telefonnummern ☎ und Adressen ⚑ mit Karte, Routing, Öffnungszeiten, Homepage, E-Mail, vCard und Firmendaten.</t>
  </si>
  <si>
    <t>Salzburger Straße 37</t>
  </si>
  <si>
    <t>47.4214400</t>
  </si>
  <si>
    <t>13.2179100</t>
  </si>
  <si>
    <t>+4364622177</t>
  </si>
  <si>
    <t>friseur@hauptsache-steiner.at</t>
  </si>
  <si>
    <t>https://bilder.dasschnelle.at/DasSchnelle/50/5000/9919/043337/G_043337_P_906137832.adn.gif</t>
  </si>
  <si>
    <t>EISL &amp; Söhne GmbH, Autoreparatur &amp; Schlosserei • St. Wolfgang im Salzkammergut • Oberösterreich</t>
  </si>
  <si>
    <t>Autoreparaturen • EISL &amp; Söhne GmbH, Au 31, St. Wolfgang im Salzkammergut • Kontakt über aktuelle Telefonnummern ☎ und Adressen ⚑ mit Karte, Routing, Öffnungszeiten, Homepage, E-Mail, vCard und Firmendaten.</t>
  </si>
  <si>
    <t>Au 31</t>
  </si>
  <si>
    <t>47.7347486</t>
  </si>
  <si>
    <t>13.4577654</t>
  </si>
  <si>
    <t>+43613825270;+436642867248</t>
  </si>
  <si>
    <t>office@eisl-soehne.at</t>
  </si>
  <si>
    <t>https://bilder.dasschnelle.at/DasSchnelle/50/5000/9868/041804/I_041804_P_906144527_L_0036242927_1.png</t>
  </si>
  <si>
    <t>https://bilder.dasschnelle.at/DasSchnelle/50/5000/9868/041804/I_041804_P_906144527_B_0036242927_1.gal.png?height=449&amp;width=449;https://bilder.dasschnelle.at/DasSchnelle/50/5000/9868/041804/I_041804_P_906144527_B_0036242927_2.gal.png?height=150&amp;width=150;https://bilder.dasschnelle.at/DasSchnelle/50/5000/9868/041804/I_041804_P_906144527_B_0036242927_3.gal.png?height=150&amp;width=150;https://bilder.dasschnelle.at/DasSchnelle/50/5000/9868/041804/I_041804_P_906144527_B_0036242927_4.gal.png?height=150&amp;width=150</t>
  </si>
  <si>
    <t>Siller, Günter, Malerei • Hallein • Salzburg</t>
  </si>
  <si>
    <t>Malereibetriebe • Siller, Günter, Struberweg 8, Hallein • Kontakt über aktuelle Telefonnummern ☎ und Adressen ⚑ mit Karte, Routing, Öffnungszeiten, Homepage, E-Mail, vCard und Firmendaten.</t>
  </si>
  <si>
    <t>Struberweg 8</t>
  </si>
  <si>
    <t>47.69384</t>
  </si>
  <si>
    <t>13.08609</t>
  </si>
  <si>
    <t>+43624574089</t>
  </si>
  <si>
    <t>malerei.siller@aon.at</t>
  </si>
  <si>
    <t>https://bilder.dasschnelle.at/DasSchnelle/50/5000/9889/043591/G_043591_P_906209756.adn.gif</t>
  </si>
  <si>
    <t>Jacksch Möbel e.U. • Pichl bei Wels • Oberösterreich</t>
  </si>
  <si>
    <t>Tischlereien • Jacksch Möbel e.U., Etzelsdorf 35, Pichl bei Wels • Kontakt über aktuelle Telefonnummern ☎ und Adressen ⚑ mit Karte, Routing, Öffnungszeiten, Homepage, E-Mail, vCard und Firmendaten.</t>
  </si>
  <si>
    <t>Etzelsdorf 35</t>
  </si>
  <si>
    <t>48.1809264</t>
  </si>
  <si>
    <t>13.8926702</t>
  </si>
  <si>
    <t>+4372478250</t>
  </si>
  <si>
    <t>office@jacksch-moebel.at</t>
  </si>
  <si>
    <t>https://bilder.dasschnelle.at/DasSchnelle/50/5000/9915/043577/I_043577_P_906265026_L_0035971198_1.png</t>
  </si>
  <si>
    <t>https://bilder.dasschnelle.at/DasSchnelle/50/5000/9915/043577/I_043577_P_906265026_B_0035971198_1.gal.png?height=481&amp;width=720;https://bilder.dasschnelle.at/DasSchnelle/50/5000/9915/043577/I_043577_P_906265026_B_0035971198_2.gal.png?height=478&amp;width=720;https://bilder.dasschnelle.at/DasSchnelle/50/5000/9915/043577/I_043577_P_906265026_B_0035971198_3.gal.png?height=478&amp;width=720;https://bilder.dasschnelle.at/DasSchnelle/50/5000/9915/043577/I_043577_P_906265026_B_0035971198_4.gal.png?height=478&amp;width=720</t>
  </si>
  <si>
    <t>Marchel Transport GmbH • Gratwein • Steiermark</t>
  </si>
  <si>
    <t>Transportunternehmen • Marchel Transport GmbH, Austraße 16, Gratwein • Kontakt über aktuelle Telefonnummern ☎ und Adressen ⚑ mit Karte, Routing, Öffnungszeiten, Homepage, E-Mail, vCard und Firmendaten.</t>
  </si>
  <si>
    <t>Austraße 16</t>
  </si>
  <si>
    <t>47.1371</t>
  </si>
  <si>
    <t>15.31805</t>
  </si>
  <si>
    <t>+43312451946</t>
  </si>
  <si>
    <t>office@marchel-transporte.at</t>
  </si>
  <si>
    <t>https://bilder.dasschnelle.at/DasSchnelle/50/5000/9883/061359/I_061359_P_906324203_B_0035999637_1.gal.png?height=495&amp;width=720;https://bilder.dasschnelle.at/DasSchnelle/50/5000/9883/061359/I_061359_P_906324203_B_0035999637_2.gal.png?height=404&amp;width=720;https://bilder.dasschnelle.at/DasSchnelle/50/5000/9883/061359/G_061359_P_906324203.adn.gif</t>
  </si>
  <si>
    <t>Engelhart, Werner, Installationen • Groß Gerungs • Niederösterreich</t>
  </si>
  <si>
    <t>Installationsunternehmen • Engelhart, Werner, Zwettler Straße 94, Groß Gerungs • Kontakt über aktuelle Telefonnummern ☎ und Adressen ⚑ mit Karte, Routing, Öffnungszeiten, Homepage, E-Mail, vCard und Firmendaten.</t>
  </si>
  <si>
    <t>Zwettler Straße 94</t>
  </si>
  <si>
    <t>48.5736600</t>
  </si>
  <si>
    <t>14.9605500</t>
  </si>
  <si>
    <t>+43281251317</t>
  </si>
  <si>
    <t>engelhart.installationen@aon.at</t>
  </si>
  <si>
    <t>https://bilder.dasschnelle.at/DasSchnelle/50/5000/9950/044528/G_044528_P_906327322.adn.gif</t>
  </si>
  <si>
    <t>St. Michael-Apotheke u Drogerie Isabel Mag. • Andorf • Oberösterreich</t>
  </si>
  <si>
    <t>Apotheken • St. Michael-Apotheke u Drogerie Isabel Mag., Hauptstraße 20, Andorf • Kontakt über aktuelle Telefonnummern ☎ und Adressen ⚑ mit Karte, Routing, Öffnungszeiten, Homepage, E-Mail, vCard und Firmendaten.</t>
  </si>
  <si>
    <t>48.37184</t>
  </si>
  <si>
    <t>13.57677</t>
  </si>
  <si>
    <t>+4377662020</t>
  </si>
  <si>
    <t>apostmichael@speed.at</t>
  </si>
  <si>
    <t>https://bilder.dasschnelle.at/DasSchnelle/50/5000/9926/042303/I_998334_P_906327711_L_0035993074_1.png</t>
  </si>
  <si>
    <t>https://bilder.dasschnelle.at/DasSchnelle/50/5000/9926/042303/I_998334_P_906327711_B_0035993074_1.gal.png?height=404&amp;width=642;https://bilder.dasschnelle.at/DasSchnelle/50/5000/9926/042303/I_998334_P_906327711_B_0035993074_2.gal.png?height=287&amp;width=599;https://bilder.dasschnelle.at/DasSchnelle/50/5000/9926/042303/I_998334_P_906327711_B_0035993074_3.gal.png?height=317&amp;width=597</t>
  </si>
  <si>
    <t>Stocker OHG Betonwerk, Georg und Gabriele Stocker, Kies- u. Fertigbetonwerk, Transport • Neuhaus</t>
  </si>
  <si>
    <t>Beton- u. Kieswerke, Betonsteinwerke, Kieswerke • Stocker OHG Betonwerk, Georg und Gabriele Stocker, Redinger Straße 30, Neuhaus • Kontakt über aktuelle Telefonnummern ☎ und Adressen ⚑ mit Karte, Routing, Öffnungszeiten, Homepage, E-Mail, vCard und Firmendaten.</t>
  </si>
  <si>
    <t>Redinger Straße 30</t>
  </si>
  <si>
    <t>48.4237400</t>
  </si>
  <si>
    <t>13.3971000</t>
  </si>
  <si>
    <t>+438503684</t>
  </si>
  <si>
    <t>georg.stocker@gmx.net</t>
  </si>
  <si>
    <t>https://bilder.dasschnelle.at/DasSchnelle/50/5000/9926/506075/I_506075_P_906331996_L_0035993071_1.png</t>
  </si>
  <si>
    <t>https://bilder.dasschnelle.at/DasSchnelle/50/5000/9926/506075/I_506075_P_906331996_B_0035993071_1.gal.png?height=539&amp;width=720</t>
  </si>
  <si>
    <t>Auto Wechtitsch GmbH, Autohäuser • Leibnitz • Steiermark</t>
  </si>
  <si>
    <t>Autohäuser • Auto Wechtitsch GmbH, Wasserwerkstraße 73, Leibnitz • Kontakt über aktuelle Telefonnummern ☎ und Adressen ⚑ mit Karte, Routing, Öffnungszeiten, Homepage, E-Mail, vCard und Firmendaten.</t>
  </si>
  <si>
    <t>Wasserwerkstraße 73</t>
  </si>
  <si>
    <t>46.79888</t>
  </si>
  <si>
    <t>15.55949</t>
  </si>
  <si>
    <t>+433452737730;+436765124180</t>
  </si>
  <si>
    <t>+433452737736</t>
  </si>
  <si>
    <t>office@wechtitsch.com</t>
  </si>
  <si>
    <t>https://bilder.dasschnelle.at/DasSchnelle/50/5000/9904/061363/I_061363_P_906333222_B_0036031540_1.gal.png?height=634&amp;width=862;https://bilder.dasschnelle.at/DasSchnelle/50/5000/9904/061363/I_061363_P_906333222_B_0036031540_2.gal.png?height=669&amp;width=495</t>
  </si>
  <si>
    <t>Glas Käferböck GmbH, Glaserei • Weitersfelden • Oberösterreich</t>
  </si>
  <si>
    <t>Glasereien • Glas Käferböck GmbH, Weitersfelden 115, Weitersfelden • Kontakt über aktuelle Telefonnummern ☎ und Adressen ⚑ mit Karte, Routing, Öffnungszeiten, Homepage, E-Mail, vCard und Firmendaten.</t>
  </si>
  <si>
    <t>Weitersfelden 115</t>
  </si>
  <si>
    <t>48.4778651</t>
  </si>
  <si>
    <t>14.7227111</t>
  </si>
  <si>
    <t>+43795220008</t>
  </si>
  <si>
    <t>office@glas-kaeferboeck.at</t>
  </si>
  <si>
    <t>https://bilder.dasschnelle.at/DasSchnelle/50/5000/9882/041785/I_041785_P_906332668_L_0035993107_1.png</t>
  </si>
  <si>
    <t>https://bilder.dasschnelle.at/DasSchnelle/50/5000/9882/041785/I_041785_P_906332668_B_0035993107_1.gal.png?height=616&amp;width=831;https://bilder.dasschnelle.at/DasSchnelle/50/5000/9882/041785/I_041785_P_906332668_B_0035993107_2.gal.png?height=503&amp;width=831;https://bilder.dasschnelle.at/DasSchnelle/50/5000/9882/041785/I_041785_P_906332668_B_0035993107_3.gal.png?height=736&amp;width=989;https://bilder.dasschnelle.at/DasSchnelle/50/5000/9882/041785/I_041785_P_906332668_B_0035993107_4.gal.png?height=953&amp;width=545</t>
  </si>
  <si>
    <t>Brodschneider Zaubergärten • Hasendorf an der Mur • Steiermark</t>
  </si>
  <si>
    <t>Garten- u. Landschaftsgestaltung • Brodschneider Zaubergärten, Elfenweg 2, Hasendorf an der Mur • Kontakt über aktuelle Telefonnummern ☎ und Adressen ⚑ mit Karte, Routing, Öffnungszeiten, Homepage, E-Mail, vCard und Firmendaten.</t>
  </si>
  <si>
    <t>Elfenweg 2</t>
  </si>
  <si>
    <t>8435</t>
  </si>
  <si>
    <t>Hasendorf an der Mur</t>
  </si>
  <si>
    <t>46.7954204</t>
  </si>
  <si>
    <t>15.5710272</t>
  </si>
  <si>
    <t>+43345276900</t>
  </si>
  <si>
    <t>zaubergarten@brodschneider.at</t>
  </si>
  <si>
    <t>https://bilder.dasschnelle.at/DasSchnelle/50/5000/9904/044322/I_044322_P_906332867_L_0036000320_1.png</t>
  </si>
  <si>
    <t>https://bilder.dasschnelle.at/DasSchnelle/50/5000/9904/044322/I_044322_P_906332867_B_0036000320_1.gal.png?height=718&amp;width=720;https://bilder.dasschnelle.at/DasSchnelle/50/5000/9904/044322/I_044322_P_906332867_B_0036000320_2.gal.png?height=718&amp;width=720;https://bilder.dasschnelle.at/DasSchnelle/50/5000/9904/044322/I_044322_P_906332867_B_0036000320_3.gal.png?height=720&amp;width=720;https://bilder.dasschnelle.at/DasSchnelle/50/5000/9904/044322/I_044322_P_906332867_B_0036000320_4.gal.png?height=720&amp;width=720</t>
  </si>
  <si>
    <t>Mulder, Frans, Physiotherapeut • Gratkorn • Steiermark</t>
  </si>
  <si>
    <t>Physiotherapie • Mulder, Frans, Harter Straße 29, Gratkorn • Kontakt über aktuelle Telefonnummern ☎ und Adressen ⚑ mit Karte, Routing, Öffnungszeiten, Homepage, E-Mail, vCard und Firmendaten.</t>
  </si>
  <si>
    <t>Harter Straße 29</t>
  </si>
  <si>
    <t>47.1224300</t>
  </si>
  <si>
    <t>15.3610300</t>
  </si>
  <si>
    <t>+4369911519948</t>
  </si>
  <si>
    <t>office@fransmulder-physiotherapie.at</t>
  </si>
  <si>
    <t>Mayerhofer, Reinhard, Maler • Lengenfeld • Niederösterreich</t>
  </si>
  <si>
    <t>Farben u. Lacke • Mayerhofer, Reinhard, Gewerbepark 4, Lengenfeld • Kontakt über aktuelle Telefonnummern ☎ und Adressen ⚑ mit Karte, Routing, Öffnungszeiten, Homepage, E-Mail, vCard und Firmendaten.</t>
  </si>
  <si>
    <t>Gewerbepark 4</t>
  </si>
  <si>
    <t>48.4769600</t>
  </si>
  <si>
    <t>15.5875300</t>
  </si>
  <si>
    <t>+43271978578</t>
  </si>
  <si>
    <t>maler.mayerhofer@aon.at</t>
  </si>
  <si>
    <t>https://bilder.dasschnelle.at/DasSchnelle/50/5000/9899/041498/G_041498_P_906227518.adn.gif</t>
  </si>
  <si>
    <t>Mayer, Walter, Bestattungsunternehmen • Sigharting • Oberösterreich</t>
  </si>
  <si>
    <t>Bestattungsunternehmen • Mayer, Walter, Hauptstraße 6, Sigharting • Kontakt über aktuelle Telefonnummern ☎ und Adressen ⚑ mit Karte, Routing, Öffnungszeiten, Homepage, E-Mail, vCard und Firmendaten.</t>
  </si>
  <si>
    <t>+436643327233</t>
  </si>
  <si>
    <t>office@bestattung-mayer.at</t>
  </si>
  <si>
    <t>https://bilder.dasschnelle.at/DasSchnelle/50/5000/9887/041815/G_041815_P_906109294.adn.gif</t>
  </si>
  <si>
    <t>Muhammed Celepci, Estrich • Schlüßlberg • Oberösterreich</t>
  </si>
  <si>
    <t>Taxi • Muhammed Celepci, Rosenau 27 B, Schlüßlberg • Kontakt über aktuelle Telefonnummern ☎ und Adressen ⚑ mit Karte, Routing, Öffnungszeiten, Homepage, E-Mail, vCard und Firmendaten.</t>
  </si>
  <si>
    <t>Rosenau 27 B</t>
  </si>
  <si>
    <t>47.55344</t>
  </si>
  <si>
    <t>13.64239</t>
  </si>
  <si>
    <t>+436644433674;+436764227453</t>
  </si>
  <si>
    <t>office@celepci-estrich.at</t>
  </si>
  <si>
    <t>https://bilder.dasschnelle.at/DasSchnelle/50/5000/9887/041973/I_041796_P_906224032_L_0036233334_1.png</t>
  </si>
  <si>
    <t>https://bilder.dasschnelle.at/DasSchnelle/50/5000/9887/041973/I_041796_P_906224032_B_0036233334_1.gal.png?height=540&amp;width=720;https://bilder.dasschnelle.at/DasSchnelle/50/5000/9887/041973/I_041796_P_906224032_B_0036233334_2.gal.png?height=540&amp;width=720;https://bilder.dasschnelle.at/DasSchnelle/50/5000/9887/041973/I_041796_P_906224032_B_0036233334_3.gal.png?height=540&amp;width=720;https://bilder.dasschnelle.at/DasSchnelle/50/5000/9887/041973/I_041796_P_906224032_B_0036233334_4.gal.png?height=480&amp;width=720</t>
  </si>
  <si>
    <t>Neulinger &amp; Leidinger Transporte GesmbH • Raab • Oberösterreich</t>
  </si>
  <si>
    <t>Transportunternehmen • Neulinger &amp; Leidinger Transporte GesmbH, Gewerbestraße 12, Raab • Kontakt über aktuelle Telefonnummern ☎ und Adressen ⚑ mit Karte, Routing, Öffnungszeiten, Homepage, E-Mail, vCard und Firmendaten.</t>
  </si>
  <si>
    <t>Gewerbestraße 12</t>
  </si>
  <si>
    <t>48.3569500</t>
  </si>
  <si>
    <t>13.6357600</t>
  </si>
  <si>
    <t>+4377622238</t>
  </si>
  <si>
    <t>office@neulinger-leidinger.at</t>
  </si>
  <si>
    <t>https://bilder.dasschnelle.at/DasSchnelle/50/5000/9926/042789/G_042789_P_906131224.adn.gif</t>
  </si>
  <si>
    <t>Prommer, Siegfried, M.Sc.  • Lieboch • Steiermark</t>
  </si>
  <si>
    <t>Badplanung • Prommer, Siegfried, M.Sc., Weidengasse 37, Lieboch • Kontakt über aktuelle Telefonnummern ☎ und Adressen ⚑ mit Karte, Routing, Öffnungszeiten, Homepage, E-Mail, vCard und Firmendaten.</t>
  </si>
  <si>
    <t>Weidengasse 37</t>
  </si>
  <si>
    <t>46.98182</t>
  </si>
  <si>
    <t>15.32279</t>
  </si>
  <si>
    <t>+436641007857</t>
  </si>
  <si>
    <t>siegfried.prommer@bazuba.at</t>
  </si>
  <si>
    <t>https://bilder.dasschnelle.at/DasSchnelle/50/5000/9941/042338/G_042338_P_906177187.adn.gif</t>
  </si>
  <si>
    <t>Reiter, Anna, Friseur • St.Peter am Wimberg • Oberösterreich</t>
  </si>
  <si>
    <t>Kosmetik, Mobilfriseure • Reiter, Anna, Teufelsberg 2 1, St.Peter am Wimberg • Kontakt über aktuelle Telefonnummern ☎ und Adressen ⚑ mit Karte, Routing, Öffnungszeiten, Homepage, E-Mail, vCard und Firmendaten.</t>
  </si>
  <si>
    <t>Teufelsberg 2 1</t>
  </si>
  <si>
    <t>+4367761351739</t>
  </si>
  <si>
    <t>meisterfriseurin.ar@gmail.com</t>
  </si>
  <si>
    <t>https://bilder.dasschnelle.at/DasSchnelle/50/5000/9923/042293/G_042293_P_906194853.adn.gif</t>
  </si>
  <si>
    <t>Schneeberger Karl KG, Fenster • Haus • Steiermark</t>
  </si>
  <si>
    <t>Fenster u. Türen • Schneeberger Karl KG, Höhenfeld 86, Haus • Kontakt über aktuelle Telefonnummern ☎ und Adressen ⚑ mit Karte, Routing, Öffnungszeiten, Homepage, E-Mail, vCard und Firmendaten.</t>
  </si>
  <si>
    <t>Höhenfeld 86</t>
  </si>
  <si>
    <t>47.4169100</t>
  </si>
  <si>
    <t>13.8020600</t>
  </si>
  <si>
    <t>+4336864840</t>
  </si>
  <si>
    <t>info@triumph-fenster.at</t>
  </si>
  <si>
    <t>https://bilder.dasschnelle.at/DasSchnelle/50/5000/9905/044850/I_044850_P_906133311_L_0036234876_1.png</t>
  </si>
  <si>
    <t>https://bilder.dasschnelle.at/DasSchnelle/50/5000/9905/044850/I_044850_P_906133311_B_0036234876_1.gal.png?height=305&amp;width=304;https://bilder.dasschnelle.at/DasSchnelle/50/5000/9905/044850/I_044850_P_906133311_B_0036234876_2.gal.png?height=304&amp;width=303;https://bilder.dasschnelle.at/DasSchnelle/50/5000/9905/044850/I_044850_P_906133311_B_0036234876_3.gal.png?height=303&amp;width=301;https://bilder.dasschnelle.at/DasSchnelle/50/5000/9905/044850/I_044850_P_906133311_B_0036234876_4.gal.png?height=303&amp;width=305</t>
  </si>
  <si>
    <t>SHK Schönegger GmbH • Aschach an der Steyr • Oberösterreich</t>
  </si>
  <si>
    <t>Installationsunternehmen • SHK Schönegger GmbH, August-Bachmayr-Straße 8, Aschach an der Steyr • Kontakt über aktuelle Telefonnummern ☎ und Adressen ⚑ mit Karte, Routing, Öffnungszeiten, Homepage, E-Mail, vCard und Firmendaten.</t>
  </si>
  <si>
    <t>August-Bachmayr-Straße 8</t>
  </si>
  <si>
    <t>48.00787</t>
  </si>
  <si>
    <t>14.32808</t>
  </si>
  <si>
    <t>+436766802960</t>
  </si>
  <si>
    <t>office@shk-schoenegger.at</t>
  </si>
  <si>
    <t>https://bilder.dasschnelle.at/DasSchnelle/50/5000/9867/046097/G_046097_P_906253077.adn.gif</t>
  </si>
  <si>
    <t>Rössl Holzbau GmbH Büro • Krottendorf-Gaisfeld • Steiermark</t>
  </si>
  <si>
    <t>Holzbau • Rössl Holzbau GmbH Büro:, Gaisfeld 15, Krottendorf-Gaisfeld • Kontakt über aktuelle Telefonnummern ☎ und Adressen ⚑ mit Karte, Routing, Öffnungszeiten, Homepage, E-Mail, vCard und Firmendaten.</t>
  </si>
  <si>
    <t>Gaisfeld 15</t>
  </si>
  <si>
    <t>Krottendorf-Gaisfeld</t>
  </si>
  <si>
    <t>47.0191211</t>
  </si>
  <si>
    <t>15.2004726</t>
  </si>
  <si>
    <t>+4331432924;+4331432266</t>
  </si>
  <si>
    <t>bau@roessl-holzbau.at</t>
  </si>
  <si>
    <t>https://bilder.dasschnelle.at/DasSchnelle/50/5000/9941/045361/G_045361_P_906182621.adn.gif</t>
  </si>
  <si>
    <t>TVM Versicherungsmakler GmbH • Vorchdorf • Oberösterreich</t>
  </si>
  <si>
    <t>Versicherungsmakler • TVM Versicherungsmakler GmbH, Talbachweg 4, Vorchdorf • Kontakt über aktuelle Telefonnummern ☎ und Adressen ⚑ mit Karte, Routing, Öffnungszeiten, Homepage, E-Mail, vCard und Firmendaten.</t>
  </si>
  <si>
    <t>Talbachweg 4</t>
  </si>
  <si>
    <t>47.97053</t>
  </si>
  <si>
    <t>13.97651</t>
  </si>
  <si>
    <t>+436765797966</t>
  </si>
  <si>
    <t>https://bilder.dasschnelle.at/DasSchnelle/50/5000/9943/041807/G_041807_P_906164888.adn.gif</t>
  </si>
  <si>
    <t>Strompuls GmbH, Elektrotechnik • Geboltskirchen • Oberösterreich</t>
  </si>
  <si>
    <t>Elektrotechnik • Strompuls GmbH, Scheiben 3, Geboltskirchen • Kontakt über aktuelle Telefonnummern ☎ und Adressen ⚑ mit Karte, Routing, Öffnungszeiten, Homepage, E-Mail, vCard und Firmendaten.</t>
  </si>
  <si>
    <t>Scheiben 3</t>
  </si>
  <si>
    <t>4682</t>
  </si>
  <si>
    <t>Geboltskirchen</t>
  </si>
  <si>
    <t>48.1410500</t>
  </si>
  <si>
    <t>13.6265500</t>
  </si>
  <si>
    <t>+436644555672</t>
  </si>
  <si>
    <t>office@strompuls.at</t>
  </si>
  <si>
    <t>https://bilder.dasschnelle.at/DasSchnelle/50/5000/9887/041814/G_041814_P_906216418.adn.gif</t>
  </si>
  <si>
    <t>Wibner, Peter, Zimmerei • Semriach • Steiermark</t>
  </si>
  <si>
    <t>Holzbau, Zimmereien • Wibner, Peter, Dreihöfenstraße 2, Semriach • Kontakt über aktuelle Telefonnummern ☎ und Adressen ⚑ mit Karte, Routing, Öffnungszeiten, Homepage, E-Mail, vCard und Firmendaten.</t>
  </si>
  <si>
    <t>Dreihöfenstraße 2</t>
  </si>
  <si>
    <t>47.24516</t>
  </si>
  <si>
    <t>15.4087</t>
  </si>
  <si>
    <t>+43312788689</t>
  </si>
  <si>
    <t>peter@wibner.at</t>
  </si>
  <si>
    <t>https://bilder.dasschnelle.at/DasSchnelle/50/5000/9883/042353/I_042353_P_906329866_L_0035999092_1.png</t>
  </si>
  <si>
    <t>Zum schwarzen Elefanten, Restaurants • Scheibbs • Niederösterreich</t>
  </si>
  <si>
    <t>Restaurants • Zum schwarzen Elefanten, Schulgasse 13, Scheibbs • Kontakt über aktuelle Telefonnummern ☎ und Adressen ⚑ mit Karte, Routing, Öffnungszeiten, Homepage, E-Mail, vCard und Firmendaten.</t>
  </si>
  <si>
    <t>Schulgasse 13</t>
  </si>
  <si>
    <t>48.00563</t>
  </si>
  <si>
    <t>15.16788</t>
  </si>
  <si>
    <t>+43748243130</t>
  </si>
  <si>
    <t>+43748243093</t>
  </si>
  <si>
    <t>office@zumschwarzenelefanten.at</t>
  </si>
  <si>
    <t>https://bilder.dasschnelle.at/DasSchnelle/50/5000/9927/041934/G_041934_P_906242062.adn.gif</t>
  </si>
  <si>
    <t>Vogtmann &amp; Co Ges.m.b.H. Schlosserei, Tresore • Wien</t>
  </si>
  <si>
    <t>Metallbau, Schlossereien • Vogtmann &amp; Co Ges.m.b.H. Schlosserei, Tresore, Heiligenstädter Straße 82, Wien • Kontakt über aktuelle Telefonnummern ☎ und Adressen ⚑ mit Karte, Routing, Öffnungszeiten, Homepage, E-Mail, vCard und Firmendaten.</t>
  </si>
  <si>
    <t>Heiligenstädter Straße 82</t>
  </si>
  <si>
    <t>48.24674</t>
  </si>
  <si>
    <t>16.36253</t>
  </si>
  <si>
    <t>+4313682661</t>
  </si>
  <si>
    <t>office@vogtmann.at</t>
  </si>
  <si>
    <t>https://bilder.dasschnelle.at/DasSchnelle/50/5000/9897/061492/G_061492_P_906304842.adn.gif</t>
  </si>
  <si>
    <t>Bruderhofer, Thomas • Vorchdorf • Oberösterreich</t>
  </si>
  <si>
    <t>Schwimmbäder • Bruderhofer, Thomas, Lambacherstraße 41, Vorchdorf • Kontakt über aktuelle Telefonnummern ☎ und Adressen ⚑ mit Karte, Routing, Öffnungszeiten, Homepage, E-Mail, vCard und Firmendaten.</t>
  </si>
  <si>
    <t>Lambacherstraße 41</t>
  </si>
  <si>
    <t>13.9168100</t>
  </si>
  <si>
    <t>+43761451885</t>
  </si>
  <si>
    <t>office@sps-bruderhofer.at</t>
  </si>
  <si>
    <t>https://bilder.dasschnelle.at/DasSchnelle/50/5000/9943/041807/I_041807_P_906085603_L_0036261626_1.png</t>
  </si>
  <si>
    <t>https://bilder.dasschnelle.at/DasSchnelle/50/5000/9943/041807/I_041807_P_906085603_B_0036261626_1.gal.png?height=659&amp;width=992;https://bilder.dasschnelle.at/DasSchnelle/50/5000/9943/041807/I_041807_P_906085603_B_0036261626_2.gal.png?height=664&amp;width=992;https://bilder.dasschnelle.at/DasSchnelle/50/5000/9943/041807/I_041807_P_906085603_B_0036261626_3.gal.png?height=661&amp;width=985;https://bilder.dasschnelle.at/DasSchnelle/50/5000/9943/041807/I_041807_P_906085603_B_0036261626_4.gal.png?height=660&amp;width=990</t>
  </si>
  <si>
    <t>ECuSol GmbH, Elektrotechnik • Windischgarsten • Oberösterreich</t>
  </si>
  <si>
    <t>Elektrotechnik • ECuSol GmbH, Angerhofweg 1, Windischgarsten • Kontakt über aktuelle Telefonnummern ☎ und Adressen ⚑ mit Karte, Routing, Öffnungszeiten, Homepage, E-Mail, vCard und Firmendaten.</t>
  </si>
  <si>
    <t>Angerhofweg 1</t>
  </si>
  <si>
    <t>47.72238</t>
  </si>
  <si>
    <t>14.32942</t>
  </si>
  <si>
    <t>+436643550718</t>
  </si>
  <si>
    <t>office@ecusol.at</t>
  </si>
  <si>
    <t>https://bilder.dasschnelle.at/DasSchnelle/50/5000/9947/046100/I_046078_P_906256598_L_0036261557_1.png</t>
  </si>
  <si>
    <t>Dr. Gerhard Miksch • Stadtschlaining • Burgenland</t>
  </si>
  <si>
    <t>Ärzte / Fachärzte f. Psychiatrie • Dr. Gerhard Miksch, Hauptplatz 14, Stadtschlaining • Kontakt über aktuelle Telefonnummern ☎ und Adressen ⚑ mit Karte, Routing, Öffnungszeiten, Homepage, E-Mail, vCard und Firmendaten.</t>
  </si>
  <si>
    <t>7461</t>
  </si>
  <si>
    <t>Stadtschlaining</t>
  </si>
  <si>
    <t>47.3238700</t>
  </si>
  <si>
    <t>16.2793900</t>
  </si>
  <si>
    <t>+436642428616</t>
  </si>
  <si>
    <t>g.miksch@aon.at</t>
  </si>
  <si>
    <t>https://bilder.dasschnelle.at/DasSchnelle/50/5000/9951/042071/I_042071_P_906297907_L_0039971941_1.png</t>
  </si>
  <si>
    <t>https://bilder.dasschnelle.at/DasSchnelle/50/5000/9951/042071/I_042071_P_906297907_B_0039971941_1.gal.png?height=300&amp;width=480;https://bilder.dasschnelle.at/DasSchnelle/50/5000/9951/042071/I_042071_P_906297907_B_0039971941_2.gal.png?height=300&amp;width=480;https://bilder.dasschnelle.at/DasSchnelle/50/5000/9951/042071/I_042071_P_906297907_B_0039971941_3.gal.png?height=435&amp;width=720;https://bilder.dasschnelle.at/DasSchnelle/50/5000/9951/042071/I_042071_P_906297907_B_0039971941_4.gal.png?height=480&amp;width=720</t>
  </si>
  <si>
    <t>Damm Heinrich und Johanna, Tierarztpraxis • Frohnleiten • Steiermark</t>
  </si>
  <si>
    <t>Tierärzte • Damm Heinrich und Johanna, Weingartenweg 2 a, Frohnleiten • Kontakt über aktuelle Telefonnummern ☎ und Adressen ⚑ mit Karte, Routing, Öffnungszeiten, Homepage, E-Mail, vCard und Firmendaten.</t>
  </si>
  <si>
    <t>Weingartenweg 2 a</t>
  </si>
  <si>
    <t>47.2713215</t>
  </si>
  <si>
    <t>15.3162273</t>
  </si>
  <si>
    <t>+43312648000</t>
  </si>
  <si>
    <t>tierarztpraxis-damm@frohnleiten.at</t>
  </si>
  <si>
    <t>https://bilder.dasschnelle.at/DasSchnelle/50/5000/9883/998315/G_998315_P_906139472.adn.gif</t>
  </si>
  <si>
    <t>Eisernes Tor • Baden • Niederösterreich</t>
  </si>
  <si>
    <t>Tourismusinformation • Eisernes Tor, Hoher Lindkogel, Baden • Kontakt über aktuelle Telefonnummern ☎ und Adressen ⚑ mit Karte, Routing, Öffnungszeiten, Homepage, E-Mail, vCard und Firmendaten.</t>
  </si>
  <si>
    <t>Hoher Lindkogel</t>
  </si>
  <si>
    <t>48.0000000</t>
  </si>
  <si>
    <t>16.1500000</t>
  </si>
  <si>
    <t>+43225248640</t>
  </si>
  <si>
    <t>https://bilder.dasschnelle.at/DasSchnelle/50/5000/9870/041336/I_041336_P_906302285_B_0038377967_1.gal.png?height=360&amp;width=720;https://bilder.dasschnelle.at/DasSchnelle/50/5000/9870/041336/I_041336_P_906302285_B_0038377967_2.gal.png?height=403&amp;width=720;https://bilder.dasschnelle.at/DasSchnelle/50/5000/9870/041336/I_041336_P_906302285_B_0038377967_3.gal.png?height=445&amp;width=720</t>
  </si>
  <si>
    <t>Drack Elektrotechnik • Grünau im Almtal • Oberösterreich</t>
  </si>
  <si>
    <t>Elektrotechnik • Drack Elektrotechnik, Redlmühle 5, Grünau im Almtal • Kontakt über aktuelle Telefonnummern ☎ und Adressen ⚑ mit Karte, Routing, Öffnungszeiten, Homepage, E-Mail, vCard und Firmendaten.</t>
  </si>
  <si>
    <t>Redlmühle 5</t>
  </si>
  <si>
    <t>47.86689</t>
  </si>
  <si>
    <t>13.94326</t>
  </si>
  <si>
    <t>+43761682080</t>
  </si>
  <si>
    <t>office@drackstrom.at</t>
  </si>
  <si>
    <t>https://bilder.dasschnelle.at/DasSchnelle/50/5000/9917/041794/G_041794_P_906277129.adn.gif</t>
  </si>
  <si>
    <t>Klinger-Lehner, Barbara, Dr.med., FA f Zahn-, Mund- u Kieferheilkunde • Petzenkirchen • Niederösterreich</t>
  </si>
  <si>
    <t>Ärzte / Fachärzte f. Zahn-, Mund u. Kieferheilkunde • Klinger-Lehner, Barbara, Dr.med., Kornfeldstraße 1, Petzenkirchen • Kontakt über aktuelle Telefonnummern ☎ und Adressen ⚑ mit Karte, Routing, Öffnungszeiten, Homepage, E-Mail, vCard und Firmendaten.</t>
  </si>
  <si>
    <t>Kornfeldstraße 1</t>
  </si>
  <si>
    <t>48.1411</t>
  </si>
  <si>
    <t>+43741654307</t>
  </si>
  <si>
    <t>barbaraklinger1@gmx.at</t>
  </si>
  <si>
    <t>https://bilder.dasschnelle.at/DasSchnelle/50/5000/9908/041634/G_041634_P_906162660.adn.gif</t>
  </si>
  <si>
    <t>Malchus Apotheke Mag.Pharm.Uta Fink e.U., Apotheken • Spittal • Kärnten</t>
  </si>
  <si>
    <t>Apotheken • Malchus Apotheke Mag.Pharm.Uta Fink e.U., Villacher Straße 15, Spittal • Kontakt über aktuelle Telefonnummern ☎ und Adressen ⚑ mit Karte, Routing, Öffnungszeiten, Homepage, E-Mail, vCard und Firmendaten.</t>
  </si>
  <si>
    <t>Villacher Straße 15</t>
  </si>
  <si>
    <t>46.7950629</t>
  </si>
  <si>
    <t>13.5035318</t>
  </si>
  <si>
    <t>+43476243940</t>
  </si>
  <si>
    <t>+434762439416</t>
  </si>
  <si>
    <t>office@malchus-apotheke.at</t>
  </si>
  <si>
    <t>https://bilder.dasschnelle.at/DasSchnelle/50/5000/9933/042153/G_042153_P_906088120.adn.gif</t>
  </si>
  <si>
    <t>Malerbetrieb Zmugg • Deutschlandsberg • Steiermark</t>
  </si>
  <si>
    <t>Malereibetriebe • Malerbetrieb Zmugg, Dr.-Viktor-Verdroß-Straße 34, Deutschlandsberg • Kontakt über aktuelle Telefonnummern ☎ und Adressen ⚑ mit Karte, Routing, Öffnungszeiten, Homepage, E-Mail, vCard und Firmendaten.</t>
  </si>
  <si>
    <t>Dr.-Viktor-Verdroß-Straße 34</t>
  </si>
  <si>
    <t>46.811</t>
  </si>
  <si>
    <t>15.22969</t>
  </si>
  <si>
    <t>+436644948187</t>
  </si>
  <si>
    <t>office@malerbetrieb-zmugg.at</t>
  </si>
  <si>
    <t>https://bilder.dasschnelle.at/DasSchnelle/50/5000/9875/061379/I_061379_P_906289259_L_0036262308_1.png</t>
  </si>
  <si>
    <t>https://bilder.dasschnelle.at/DasSchnelle/50/5000/9875/061379/I_061379_P_906289259_B_0036262308_1.gal.png?height=332&amp;width=500;https://bilder.dasschnelle.at/DasSchnelle/50/5000/9875/061379/I_061379_P_906289259_B_0036262308_2.gal.png?height=900&amp;width=600;https://bilder.dasschnelle.at/DasSchnelle/50/5000/9875/061379/I_061379_P_906289259_B_0036262308_3.gal.png?height=900&amp;width=600;https://bilder.dasschnelle.at/DasSchnelle/50/5000/9875/061379/I_061379_P_906289259_B_0036262308_4.gal.png?height=720&amp;width=576</t>
  </si>
  <si>
    <t>MIEHL Gerhard GmbH, Tischlereien • Pöchlarn • Niederösterreich</t>
  </si>
  <si>
    <t>Tischlereien • MIEHL Gerhard GmbH, Wienerstraße 60, Pöchlarn • Kontakt über aktuelle Telefonnummern ☎ und Adressen ⚑ mit Karte, Routing, Öffnungszeiten, Homepage, E-Mail, vCard und Firmendaten.</t>
  </si>
  <si>
    <t>Wienerstraße 60</t>
  </si>
  <si>
    <t>15.22448</t>
  </si>
  <si>
    <t>+43275721372;+436643583347</t>
  </si>
  <si>
    <t>+432757213724</t>
  </si>
  <si>
    <t>info@miehl.at</t>
  </si>
  <si>
    <t>https://bilder.dasschnelle.at/DasSchnelle/50/5000/9908/041635/G_041635_P_906241362.adn.gif</t>
  </si>
  <si>
    <t>MOVE GmbH &amp; Co KG, Immobilienverwaltungen • Gmunden • Oberösterreich</t>
  </si>
  <si>
    <t>Immobilienverwaltungen • MOVE GmbH &amp; Co KG, Druckereistraße 7, Gmunden • Kontakt über aktuelle Telefonnummern ☎ und Adressen ⚑ mit Karte, Routing, Öffnungszeiten, Homepage, E-Mail, vCard und Firmendaten.</t>
  </si>
  <si>
    <t>Druckereistraße 7</t>
  </si>
  <si>
    <t>47.9258700</t>
  </si>
  <si>
    <t>13.7887600</t>
  </si>
  <si>
    <t>+43761263231</t>
  </si>
  <si>
    <t>+4376126323120</t>
  </si>
  <si>
    <t>marketing@sep.at</t>
  </si>
  <si>
    <t>https://bilder.dasschnelle.at/DasSchnelle/50/5000/9886/041792/G_041792_P_906033826.adn.gif</t>
  </si>
  <si>
    <t>IVETA  BINDEROVA, REINIGUNGSSERVICE • Weißenbach • Tirol</t>
  </si>
  <si>
    <t>Reinigungsanstalten • IVETA  BINDEROVA, LECHTAL GEWERBEPARK 3, Weißenbach • Kontakt über aktuelle Telefonnummern ☎ und Adressen ⚑ mit Karte, Routing, Öffnungszeiten, Homepage, E-Mail, vCard und Firmendaten.</t>
  </si>
  <si>
    <t>LECHTAL GEWERBEPARK 3</t>
  </si>
  <si>
    <t>47.4401912</t>
  </si>
  <si>
    <t>10.6371344</t>
  </si>
  <si>
    <t>+436765106002</t>
  </si>
  <si>
    <t>iwett.binder@gmail.com</t>
  </si>
  <si>
    <t>https://bilder.dasschnelle.at/DasSchnelle/50/5000/9921/042611/G_042611_P_906273316.adn.gif</t>
  </si>
  <si>
    <t>Joachim Krammer, Sonnenschutz • Voitsberg • Steiermark</t>
  </si>
  <si>
    <t>Raumausstatter • Joachim Krammer, Moosgasse 1a, Voitsberg • Kontakt über aktuelle Telefonnummern ☎ und Adressen ⚑ mit Karte, Routing, Öffnungszeiten, Homepage, E-Mail, vCard und Firmendaten.</t>
  </si>
  <si>
    <t>Moosgasse 1a</t>
  </si>
  <si>
    <t>47.04022</t>
  </si>
  <si>
    <t>15.16516</t>
  </si>
  <si>
    <t>+43314263246</t>
  </si>
  <si>
    <t>office@krammer-bts.at</t>
  </si>
  <si>
    <t>https://bilder.dasschnelle.at/DasSchnelle/50/5000/9874/061453/G_061453_P_906194650.adn.gif</t>
  </si>
  <si>
    <t>Hartweger GesmbH &amp; Co KG, Schotterwerk-Erdbau • Haus • Steiermark</t>
  </si>
  <si>
    <t>Bauunternehmen, Sand u. Schotter • Hartweger GesmbH &amp; Co KG, Weißenbach 167, Haus • Kontakt über aktuelle Telefonnummern ☎ und Adressen ⚑ mit Karte, Routing, Öffnungszeiten, Homepage, E-Mail, vCard und Firmendaten.</t>
  </si>
  <si>
    <t>Weißenbach 167</t>
  </si>
  <si>
    <t>47.4220960</t>
  </si>
  <si>
    <t>13.7817414</t>
  </si>
  <si>
    <t>+4336865510;+436641139309</t>
  </si>
  <si>
    <t>info@hartweger-schotter.at</t>
  </si>
  <si>
    <t>https://bilder.dasschnelle.at/DasSchnelle/50/5000/9905/044850/G_044850_P_906129996.adn.gif</t>
  </si>
  <si>
    <t>Kfz-Bogner GmbH • Vorchdorf • Oberösterreich</t>
  </si>
  <si>
    <t>Autohandel • Kfz-Bogner GmbH, Lambacherstraße 41 A, Vorchdorf • Kontakt über aktuelle Telefonnummern ☎ und Adressen ⚑ mit Karte, Routing, Öffnungszeiten, Homepage, E-Mail, vCard und Firmendaten.</t>
  </si>
  <si>
    <t>Lambacherstraße 41 A</t>
  </si>
  <si>
    <t>48.00895</t>
  </si>
  <si>
    <t>13.91681</t>
  </si>
  <si>
    <t>+43761451864</t>
  </si>
  <si>
    <t>kfz-bogner@gmx.at</t>
  </si>
  <si>
    <t>Krammer, Gerhard, Reifen • Bärnbach • Steiermark</t>
  </si>
  <si>
    <t>Reifendienste • Krammer, Gerhard, Dr. Niederdorfer Straße 24, Bärnbach • Kontakt über aktuelle Telefonnummern ☎ und Adressen ⚑ mit Karte, Routing, Öffnungszeiten, Homepage, E-Mail, vCard und Firmendaten.</t>
  </si>
  <si>
    <t>Dr. Niederdorfer Straße 24</t>
  </si>
  <si>
    <t>47.06194</t>
  </si>
  <si>
    <t>15.12703</t>
  </si>
  <si>
    <t>+43314262476</t>
  </si>
  <si>
    <t>office@krammer-reifen.at</t>
  </si>
  <si>
    <t>Maier, Bruno, Dachdeckerei u Spenglerei • Liezen • Steiermark</t>
  </si>
  <si>
    <t>Dachdeckerei u. Spenglerei • Maier, Bruno, Grimminggasse 5, Liezen • Kontakt über aktuelle Telefonnummern ☎ und Adressen ⚑ mit Karte, Routing, Öffnungszeiten, Homepage, E-Mail, vCard und Firmendaten.</t>
  </si>
  <si>
    <t>Grimminggasse 5</t>
  </si>
  <si>
    <t>47.56741</t>
  </si>
  <si>
    <t>14.23889</t>
  </si>
  <si>
    <t>+4336127683</t>
  </si>
  <si>
    <t>info@maierdach.at</t>
  </si>
  <si>
    <t>https://bilder.dasschnelle.at/DasSchnelle/50/5000/9905/061443/I_061443_P_906182708_L_0036233216_1.png</t>
  </si>
  <si>
    <t>https://bilder.dasschnelle.at/DasSchnelle/50/5000/9905/061443/I_061443_P_906182708_B_0036233216_1.gal.png?height=337&amp;width=450;https://bilder.dasschnelle.at/DasSchnelle/50/5000/9905/061443/I_061443_P_906182708_B_0036233216_2.gal.png?height=302&amp;width=450;https://bilder.dasschnelle.at/DasSchnelle/50/5000/9905/061443/I_061443_P_906182708_B_0036233216_3.gal.png?height=337&amp;width=450;https://bilder.dasschnelle.at/DasSchnelle/50/5000/9905/061443/I_061443_P_906182708_B_0036233216_4.gal.png?height=337&amp;width=450</t>
  </si>
  <si>
    <t>Letmaier Baumarkt GesmbH • Gröbming • Steiermark</t>
  </si>
  <si>
    <t>Baumärkte, Baustoffhandel • Letmaier Baumarkt GesmbH, Stoderstraße 548, Gröbming • Kontakt über aktuelle Telefonnummern ☎ und Adressen ⚑ mit Karte, Routing, Öffnungszeiten, Homepage, E-Mail, vCard und Firmendaten.</t>
  </si>
  <si>
    <t>Stoderstraße 548</t>
  </si>
  <si>
    <t>13.89628</t>
  </si>
  <si>
    <t>+433685243140</t>
  </si>
  <si>
    <t>+433685243144</t>
  </si>
  <si>
    <t>baumarkt@baumarkt-letmaier.at</t>
  </si>
  <si>
    <t>Beck Natursteine, Naturstein Beck • Breitenaich</t>
  </si>
  <si>
    <t>Natursteine u. -platten • Beck Natursteine, Naturstein Beck, Gewerbezeile Nord 2, Breitenaich • Kontakt über aktuelle Telefonnummern ☎ und Adressen ⚑ mit Karte, Routing, Öffnungszeiten, Homepage, E-Mail, vCard und Firmendaten.</t>
  </si>
  <si>
    <t>Gewerbezeile Nord 2</t>
  </si>
  <si>
    <t>Breitenaich</t>
  </si>
  <si>
    <t>48.2717222</t>
  </si>
  <si>
    <t>13.9898901</t>
  </si>
  <si>
    <t>+4369910413671</t>
  </si>
  <si>
    <t>info@beck-natursteine.at</t>
  </si>
  <si>
    <t>https://bilder.dasschnelle.at/DasSchnelle/50/5000/9876/044805/I_044805_P_906304259_L_0039976024_1.png</t>
  </si>
  <si>
    <t>https://bilder.dasschnelle.at/DasSchnelle/50/5000/9876/044805/I_044805_P_906304259_B_0039976024_1.gal.png?height=562&amp;width=720;https://bilder.dasschnelle.at/DasSchnelle/50/5000/9876/044805/I_044805_P_906304259_B_0039976024_2.gal.png?height=562&amp;width=720;https://bilder.dasschnelle.at/DasSchnelle/50/5000/9876/044805/I_044805_P_906304259_B_0039976024_3.gal.png?height=561&amp;width=720;https://bilder.dasschnelle.at/DasSchnelle/50/5000/9876/044805/I_044805_P_906304259_B_0039976024_4.gal.png?height=562&amp;width=720</t>
  </si>
  <si>
    <t>Glaserei Wachtler • Neusiedl am See • Burgenland</t>
  </si>
  <si>
    <t>Glasereien • Glaserei Wachtler, Saliterhof 12, Neusiedl am See • Kontakt über aktuelle Telefonnummern ☎ und Adressen ⚑ mit Karte, Routing, Öffnungszeiten, Homepage, E-Mail, vCard und Firmendaten.</t>
  </si>
  <si>
    <t>Saliterhof 12</t>
  </si>
  <si>
    <t>47.9515187</t>
  </si>
  <si>
    <t>16.8356193</t>
  </si>
  <si>
    <t>+4321678546;+436643406855</t>
  </si>
  <si>
    <t>office@glas-wachtler.at</t>
  </si>
  <si>
    <t>https://bilder.dasschnelle.at/DasSchnelle/50/5000/9873/041704/I_041704_P_906221376_L_0037511134_1.png</t>
  </si>
  <si>
    <t>https://bilder.dasschnelle.at/DasSchnelle/50/5000/9873/041704/I_041704_P_906221376_B_0037511134_1.gal.png?height=540&amp;width=720;https://bilder.dasschnelle.at/DasSchnelle/50/5000/9873/041704/I_041704_P_906221376_B_0037511134_2.gal.png?height=960&amp;width=720;https://bilder.dasschnelle.at/DasSchnelle/50/5000/9873/041704/I_041704_P_906221376_B_0037511134_3.gal.png?height=540&amp;width=720;https://bilder.dasschnelle.at/DasSchnelle/50/5000/9873/041704/I_041704_P_906221376_B_0037511134_4.gal.png?height=540&amp;width=720</t>
  </si>
  <si>
    <t>Bauconstruct, Planung u Baumanagement e.U. • Alland • Niederösterreich</t>
  </si>
  <si>
    <t>Architekten • Bauconstruct, Planung u Baumanagement e.U., Parkgasse 25, Alland • Kontakt über aktuelle Telefonnummern ☎ und Adressen ⚑ mit Karte, Routing, Öffnungszeiten, Homepage, E-Mail, vCard und Firmendaten.</t>
  </si>
  <si>
    <t>Parkgasse 25</t>
  </si>
  <si>
    <t>48.0585000</t>
  </si>
  <si>
    <t>16.0750200</t>
  </si>
  <si>
    <t>+4322582670</t>
  </si>
  <si>
    <t>baumeister.wagenhofer@aon.at</t>
  </si>
  <si>
    <t>https://bilder.dasschnelle.at/DasSchnelle/50/5000/9870/041336/G_041336_P_906303966.adn.gif</t>
  </si>
  <si>
    <t>OÖ Gesundheitsholding GmbH Salzkammergut Klinikum VB, Klinikum • Vöcklabruck • Oberösterreich</t>
  </si>
  <si>
    <t>Gesundheitswesen • OÖ Gesundheitsholding GmbH Salzkammergut Klinikum VB, Dr.-Wilhelm-Bock-Straße 1, Vöcklabruck • Kontakt über aktuelle Telefonnummern ☎ und Adressen ⚑ mit Karte, Routing, Öffnungszeiten, Homepage, E-Mail, vCard und Firmendaten.</t>
  </si>
  <si>
    <t>Dr.-Wilhelm-Bock-Straße 1</t>
  </si>
  <si>
    <t>47.7123805</t>
  </si>
  <si>
    <t>13.6209459</t>
  </si>
  <si>
    <t>+4350554710</t>
  </si>
  <si>
    <t>sabine.janka@ooeg.at</t>
  </si>
  <si>
    <t>https://bilder.dasschnelle.at/DasSchnelle/50/5000/9886/041790/G_041790_P_906205554.adn.gif</t>
  </si>
  <si>
    <t>Autohaus Eigenthaler GmbH, Autohaus • Pöchlarn • Niederösterreich</t>
  </si>
  <si>
    <t>Autohandel • Autohaus Eigenthaler GmbH, Reichsstraße 10, Pöchlarn • Kontakt über aktuelle Telefonnummern ☎ und Adressen ⚑ mit Karte, Routing, Öffnungszeiten, Homepage, E-Mail, vCard und Firmendaten.</t>
  </si>
  <si>
    <t>Reichsstraße 10</t>
  </si>
  <si>
    <t>48.19742</t>
  </si>
  <si>
    <t>15.21951</t>
  </si>
  <si>
    <t>+4327574555</t>
  </si>
  <si>
    <t>office@eigenthaler.at</t>
  </si>
  <si>
    <t>https://bilder.dasschnelle.at/DasSchnelle/50/5000/9908/041635/G_041635_P_906224906.adn.gif</t>
  </si>
  <si>
    <t>Sailer GmbH, Bäckerei • Mauerkirchen • Oberösterreich</t>
  </si>
  <si>
    <t>Bäckereien • Sailer GmbH, Obermarkt 18, Mauerkirchen • Kontakt über aktuelle Telefonnummern ☎ und Adressen ⚑ mit Karte, Routing, Öffnungszeiten, Homepage, E-Mail, vCard und Firmendaten.</t>
  </si>
  <si>
    <t>Obermarkt 18</t>
  </si>
  <si>
    <t>48.1905521</t>
  </si>
  <si>
    <t>13.1356085</t>
  </si>
  <si>
    <t>+4377242947</t>
  </si>
  <si>
    <t>info@baeckerei-sailer.at</t>
  </si>
  <si>
    <t>https://bilder.dasschnelle.at/DasSchnelle/50/5000/9872/044778/G_044778_P_906196488.adn.gif</t>
  </si>
  <si>
    <t>Hiermann Lambert, Gas-Wasser-Heizung-Klima • Zurndorf • Burgenland</t>
  </si>
  <si>
    <t>Installateure, Gas, Heizung u. Sanitär, Klimatechnik • Hiermann Lambert, Obere Hauptstraße 63, Zurndorf • Kontakt über aktuelle Telefonnummern ☎ und Adressen ⚑ mit Karte, Routing, Öffnungszeiten, Homepage, E-Mail, vCard und Firmendaten.</t>
  </si>
  <si>
    <t>Obere Hauptstraße 63</t>
  </si>
  <si>
    <t>47.9832646</t>
  </si>
  <si>
    <t>17.0026830</t>
  </si>
  <si>
    <t>+436608233144</t>
  </si>
  <si>
    <t>office@hl-gwhk.at</t>
  </si>
  <si>
    <t>https://bilder.dasschnelle.at/DasSchnelle/50/5000/9873/041715/I_041715_P_906216499_L_0039043766_1.png</t>
  </si>
  <si>
    <t>https://bilder.dasschnelle.at/DasSchnelle/50/5000/9873/041715/I_041715_P_906216499_B_0039043766_1.gal.png?height=420&amp;width=315;https://bilder.dasschnelle.at/DasSchnelle/50/5000/9873/041715/I_041715_P_906216499_B_0039043766_2.gal.png?height=420&amp;width=315;https://bilder.dasschnelle.at/DasSchnelle/50/5000/9873/041715/I_041715_P_906216499_B_0039043766_3.gal.png?height=420&amp;width=315;https://bilder.dasschnelle.at/DasSchnelle/50/5000/9873/041715/I_041715_P_906216499_B_0039043766_4.gal.png?height=420&amp;width=315</t>
  </si>
  <si>
    <t>Hackl, Werner, Versicherungsunternehmen • Bruck an der Leitha • Niederösterreich</t>
  </si>
  <si>
    <t>Versicherungsunternehmen • Hackl, Werner, Wiener Gasse 7, Bruck an der Leitha • Kontakt über aktuelle Telefonnummern ☎ und Adressen ⚑ mit Karte, Routing, Öffnungszeiten, Homepage, E-Mail, vCard und Firmendaten.</t>
  </si>
  <si>
    <t>Wiener Gasse 7</t>
  </si>
  <si>
    <t>48.0249820</t>
  </si>
  <si>
    <t>16.7769640</t>
  </si>
  <si>
    <t>+43216262647</t>
  </si>
  <si>
    <t>werner2.hackl@uniqa.at</t>
  </si>
  <si>
    <t>https://bilder.dasschnelle.at/DasSchnelle/50/5000/9873/041435/I_041435_P_906189338_L_0037275442_1.png</t>
  </si>
  <si>
    <t>https://bilder.dasschnelle.at/DasSchnelle/50/5000/9873/041435/I_041435_P_906189338_B_0037275442_1.gal.png?height=410&amp;width=720;https://bilder.dasschnelle.at/DasSchnelle/50/5000/9873/041435/I_041435_P_906189338_B_0037275442_2.gal.png?height=432&amp;width=720</t>
  </si>
  <si>
    <t>Funeral Service GmbH, Bestattung • Schwechat • Niederösterreich</t>
  </si>
  <si>
    <t>Bestattungsunternehmen • Funeral Service GmbH, Brauhausstraße 2a, Schwechat • Kontakt über aktuelle Telefonnummern ☎ und Adressen ⚑ mit Karte, Routing, Öffnungszeiten, Homepage, E-Mail, vCard und Firmendaten.</t>
  </si>
  <si>
    <t>Brauhausstraße 2a</t>
  </si>
  <si>
    <t>48.1424200</t>
  </si>
  <si>
    <t>16.4734700</t>
  </si>
  <si>
    <t>https://bilder.dasschnelle.at/DasSchnelle/50/5000/9930/506180/I_506180_P_906217545_L_0037276946_1.png</t>
  </si>
  <si>
    <t>https://bilder.dasschnelle.at/DasSchnelle/50/5000/9930/506180/I_506180_P_906217545_B_0037276946_1.gal.png?height=480&amp;width=720;https://bilder.dasschnelle.at/DasSchnelle/50/5000/9930/506180/I_506180_P_906217545_B_0037276946_2.gal.png?height=480&amp;width=720;https://bilder.dasschnelle.at/DasSchnelle/50/5000/9930/506180/I_506180_P_906217545_B_0037276946_3.gal.png?height=550&amp;width=733;https://bilder.dasschnelle.at/DasSchnelle/50/5000/9930/506180/I_506180_P_906217545_B_0037276946_4.gal.png?height=480&amp;width=720</t>
  </si>
  <si>
    <t>Innendorfer Josef GesmbH, Baustoffe - Transporte • Neumarkt im Mühlkreis • Oberösterreich</t>
  </si>
  <si>
    <t>Baggerungen u. Transporte, Transportunternehmen • Innendorfer Josef GesmbH, Lamm 33, Neumarkt im Mühlkreis • Kontakt über aktuelle Telefonnummern ☎ und Adressen ⚑ mit Karte, Routing, Öffnungszeiten, Homepage, E-Mail, vCard und Firmendaten.</t>
  </si>
  <si>
    <t>Lamm 33</t>
  </si>
  <si>
    <t>48.4429100</t>
  </si>
  <si>
    <t>14.4328600</t>
  </si>
  <si>
    <t>+436605599306</t>
  </si>
  <si>
    <t>office@innendorfer.co.at</t>
  </si>
  <si>
    <t>https://bilder.dasschnelle.at/DasSchnelle/50/5000/9882/041772/G_041772_P_906332662.adn.gif</t>
  </si>
  <si>
    <t>Haslauer, Karl-Heinz, Elektrounternehmen • Hallein • Salzburg</t>
  </si>
  <si>
    <t>Elektrounternehmen • Haslauer, Karl-Heinz, Gamperstraße 4, Hallein • Kontakt über aktuelle Telefonnummern ☎ und Adressen ⚑ mit Karte, Routing, Öffnungszeiten, Homepage, E-Mail, vCard und Firmendaten.</t>
  </si>
  <si>
    <t>Gamperstraße 4</t>
  </si>
  <si>
    <t>47.67895</t>
  </si>
  <si>
    <t>13.0938</t>
  </si>
  <si>
    <t>+43624583361</t>
  </si>
  <si>
    <t>eth1@utanet.at</t>
  </si>
  <si>
    <t>https://bilder.dasschnelle.at/DasSchnelle/50/5000/9889/043591/I_043591_P_906207706_L_0037073480_1.png</t>
  </si>
  <si>
    <t>https://bilder.dasschnelle.at/DasSchnelle/50/5000/9889/043591/I_043591_P_906207706_B_0037073480_1.gal.png?height=512&amp;width=720;https://bilder.dasschnelle.at/DasSchnelle/50/5000/9889/043591/I_043591_P_906207706_B_0037073480_2.gal.png?height=446&amp;width=720;https://bilder.dasschnelle.at/DasSchnelle/50/5000/9889/043591/I_043591_P_906207706_B_0037073480_3.gal.png?height=511&amp;width=720;https://bilder.dasschnelle.at/DasSchnelle/50/5000/9889/043591/I_043591_P_906207706_B_0037073480_4.gal.png?height=512&amp;width=720</t>
  </si>
  <si>
    <t>Farben u. Malerei Vieselthaler • Straßwalchen • Salzburg</t>
  </si>
  <si>
    <t>Farben u. Lacke • Farben u. Malerei Vieselthaler, Neumarkterstraße 6, Straßwalchen • Kontakt über aktuelle Telefonnummern ☎ und Adressen ⚑ mit Karte, Routing, Öffnungszeiten, Homepage, E-Mail, vCard und Firmendaten.</t>
  </si>
  <si>
    <t>Neumarkterstraße 6</t>
  </si>
  <si>
    <t>47.95817</t>
  </si>
  <si>
    <t>13.23581</t>
  </si>
  <si>
    <t>+43621520173</t>
  </si>
  <si>
    <t>office@farben-vieselthaler.at</t>
  </si>
  <si>
    <t>https://bilder.dasschnelle.at/DasSchnelle/50/5000/9935/043329/G_043329_P_906240585.adn.gif</t>
  </si>
  <si>
    <t>Radstädter Kebap, Imbiss • Radstadt • Salzburg</t>
  </si>
  <si>
    <t>Imbiß • Radstädter Kebap, Schernbergstraße 6, Radstadt • Kontakt über aktuelle Telefonnummern ☎ und Adressen ⚑ mit Karte, Routing, Öffnungszeiten, Homepage, E-Mail, vCard und Firmendaten.</t>
  </si>
  <si>
    <t>Schernbergstraße 6</t>
  </si>
  <si>
    <t>47.3847</t>
  </si>
  <si>
    <t>13.46376</t>
  </si>
  <si>
    <t>+4364525755</t>
  </si>
  <si>
    <t>parkash@gmx.at</t>
  </si>
  <si>
    <t>https://bilder.dasschnelle.at/DasSchnelle/50/5000/9919/043350/G_043350_P_906332851.adn.gif</t>
  </si>
  <si>
    <t>Pirstner, Jürgen, Steinmetz • Frohnleiten • Steiermark</t>
  </si>
  <si>
    <t>Steinmetzbetriebe • Pirstner, Jürgen, Römerstraße 31, Frohnleiten • Kontakt über aktuelle Telefonnummern ☎ und Adressen ⚑ mit Karte, Routing, Öffnungszeiten, Homepage, E-Mail, vCard und Firmendaten.</t>
  </si>
  <si>
    <t>Römerstraße 31</t>
  </si>
  <si>
    <t>47.26562</t>
  </si>
  <si>
    <t>15.31647</t>
  </si>
  <si>
    <t>+43312650780</t>
  </si>
  <si>
    <t>+433126507820</t>
  </si>
  <si>
    <t>mail@pirstner.at</t>
  </si>
  <si>
    <t>https://bilder.dasschnelle.at/DasSchnelle/50/5000/9883/061362/I_061362_P_906324125_L_0035999562_1.png</t>
  </si>
  <si>
    <t>https://bilder.dasschnelle.at/DasSchnelle/50/5000/9883/061362/I_061362_P_906324125_B_0035999562_1.gal.png?height=479&amp;width=720;https://bilder.dasschnelle.at/DasSchnelle/50/5000/9883/061362/I_061362_P_906324125_B_0035999562_2.gal.png?height=720&amp;width=479;https://bilder.dasschnelle.at/DasSchnelle/50/5000/9883/061362/I_061362_P_906324125_B_0035999562_3.gal.png?height=720&amp;width=480;https://bilder.dasschnelle.at/DasSchnelle/50/5000/9883/061362/I_061362_P_906324125_B_0035999562_4.gal.png?height=480&amp;width=720;https://bilder.dasschnelle.at/DasSchnelle/50/5000/9883/061362/G_061362_P_906324125.adn.gif</t>
  </si>
  <si>
    <t>Kasberger Peter Baustoff GmbH • St. Florian am Inn • Oberösterreich</t>
  </si>
  <si>
    <t>Baustoffhandel • Kasberger Peter Baustoff GmbH, Haid 43, St. Florian am Inn • Kontakt über aktuelle Telefonnummern ☎ und Adressen ⚑ mit Karte, Routing, Öffnungszeiten, Homepage, E-Mail, vCard und Firmendaten.</t>
  </si>
  <si>
    <t>Haid 43</t>
  </si>
  <si>
    <t>48.4267700</t>
  </si>
  <si>
    <t>13.4450000</t>
  </si>
  <si>
    <t>+4377124646</t>
  </si>
  <si>
    <t>+437712464639</t>
  </si>
  <si>
    <t>info@kasberger.de</t>
  </si>
  <si>
    <t>https://bilder.dasschnelle.at/DasSchnelle/50/5000/9926/042793/G_042793_P_906328097.adn.gif</t>
  </si>
  <si>
    <t>Mahringer, Wolfgang, Steinmetz • Weitra • Niederösterreich</t>
  </si>
  <si>
    <t>Steinmetzbetriebe • Mahringer, Wolfgang, Schützenberger Straße 458, Weitra • Kontakt über aktuelle Telefonnummern ☎ und Adressen ⚑ mit Karte, Routing, Öffnungszeiten, Homepage, E-Mail, vCard und Firmendaten.</t>
  </si>
  <si>
    <t>Schützenberger Straße 458</t>
  </si>
  <si>
    <t>48.69697</t>
  </si>
  <si>
    <t>14.8794</t>
  </si>
  <si>
    <t>+436642556523</t>
  </si>
  <si>
    <t>wolfgang@steinmetzmahringer.at</t>
  </si>
  <si>
    <t>https://bilder.dasschnelle.at/DasSchnelle/50/5000/9885/045541/G_045541_P_906328908.adn.gif</t>
  </si>
  <si>
    <t>Immo Zelzer GmbH • Wagna • Steiermark</t>
  </si>
  <si>
    <t>Immobilien • Immo Zelzer GmbH, Marburger Straße 42, Wagna • Kontakt über aktuelle Telefonnummern ☎ und Adressen ⚑ mit Karte, Routing, Öffnungszeiten, Homepage, E-Mail, vCard und Firmendaten.</t>
  </si>
  <si>
    <t>Wagna</t>
  </si>
  <si>
    <t>+43345282341</t>
  </si>
  <si>
    <t>office@remax-leibnitz.at</t>
  </si>
  <si>
    <t>https://bilder.dasschnelle.at/DasSchnelle/50/5000/9904/044322/G_044322_P_906332056.adn.gif</t>
  </si>
  <si>
    <t>Bestattung Reiterer, Gernot • Pölfing-Brunn • Steiermark</t>
  </si>
  <si>
    <t>48.3153108</t>
  </si>
  <si>
    <t>14.2803169</t>
  </si>
  <si>
    <t>https://bilder.dasschnelle.at/DasSchnelle/50/5000/9904/061363/G_061363_P_906331489.adn.gif</t>
  </si>
  <si>
    <t>Auto SCHMID GesmbH, Autohandel • Freinberg • Oberösterreich</t>
  </si>
  <si>
    <t>Autohandel • Auto SCHMID GesmbH, Haibach 57, Freinberg • Kontakt über aktuelle Telefonnummern ☎ und Adressen ⚑ mit Karte, Routing, Öffnungszeiten, Homepage, E-Mail, vCard und Firmendaten.</t>
  </si>
  <si>
    <t>Haibach 57</t>
  </si>
  <si>
    <t>48.5571487</t>
  </si>
  <si>
    <t>13.4966650</t>
  </si>
  <si>
    <t>+43771385750;+436641169130;+436646568693</t>
  </si>
  <si>
    <t>info@auto-schmid.com</t>
  </si>
  <si>
    <t>https://bilder.dasschnelle.at/DasSchnelle/50/5000/9926/042785/G_042785_P_906332648.adn.gif</t>
  </si>
  <si>
    <t>Blaas Passaublick GmbH, Café, Restaurant • Freinberg • Oberösterreich</t>
  </si>
  <si>
    <t>Gastgewerbe - Gasthöfe, Restaurants • Blaas Passaublick GmbH, Hinding 38, Freinberg • Kontakt über aktuelle Telefonnummern ☎ und Adressen ⚑ mit Karte, Routing, Öffnungszeiten, Homepage, E-Mail, vCard und Firmendaten.</t>
  </si>
  <si>
    <t>Hinding 38</t>
  </si>
  <si>
    <t>48.5751450</t>
  </si>
  <si>
    <t>13.5142248</t>
  </si>
  <si>
    <t>+4377138107</t>
  </si>
  <si>
    <t>info@restaurant-blaas.at</t>
  </si>
  <si>
    <t>https://bilder.dasschnelle.at/DasSchnelle/50/5000/9926/042785/G_042785_P_906333205.adn.gif</t>
  </si>
  <si>
    <t>Labmayer, Gasthof, Pension • Suben • Oberösterreich</t>
  </si>
  <si>
    <t>Gastgewerbe - Gasthöfe • Labmayer, Suben 19, Suben • Kontakt über aktuelle Telefonnummern ☎ und Adressen ⚑ mit Karte, Routing, Öffnungszeiten, Homepage, E-Mail, vCard und Firmendaten.</t>
  </si>
  <si>
    <t>Suben 19</t>
  </si>
  <si>
    <t>48.4116449</t>
  </si>
  <si>
    <t>13.4307190</t>
  </si>
  <si>
    <t>+4377112820</t>
  </si>
  <si>
    <t>office@gasthof-labmayer.at</t>
  </si>
  <si>
    <t>https://bilder.dasschnelle.at/DasSchnelle/50/5000/9926/042800/G_042800_P_906333209.adn.gif</t>
  </si>
  <si>
    <t>A&amp;K Installationen GmbH, Installationen • Andorf • Oberösterreich</t>
  </si>
  <si>
    <t>Installationsunternehmen • A&amp;K Installationen GmbH, Hörzberg 4, Andorf • Kontakt über aktuelle Telefonnummern ☎ und Adressen ⚑ mit Karte, Routing, Öffnungszeiten, Homepage, E-Mail, vCard und Firmendaten.</t>
  </si>
  <si>
    <t>Hörzberg 4</t>
  </si>
  <si>
    <t>48.3607242</t>
  </si>
  <si>
    <t>13.5738309</t>
  </si>
  <si>
    <t>+436764700866;+436507268815</t>
  </si>
  <si>
    <t>office@auk-installationen.at</t>
  </si>
  <si>
    <t>https://bilder.dasschnelle.at/DasSchnelle/50/5000/9926/042303/G_042303_P_906333213.adn.gif</t>
  </si>
  <si>
    <t>Atteneder Schuhhaus e.U., Schuhgeschäft • Unterweißenbach • Oberösterreich</t>
  </si>
  <si>
    <t>Schuhfachgeschäft • Atteneder Schuhhaus e.U., Obermühl 1, Unterweißenbach • Kontakt über aktuelle Telefonnummern ☎ und Adressen ⚑ mit Karte, Routing, Öffnungszeiten, Homepage, E-Mail, vCard und Firmendaten.</t>
  </si>
  <si>
    <t>+4379567352</t>
  </si>
  <si>
    <t>office@schuhe-atteneder.at</t>
  </si>
  <si>
    <t>https://bilder.dasschnelle.at/DasSchnelle/50/5000/9882/041781/G_041781_P_906333199.adn.gif</t>
  </si>
  <si>
    <t>Goldmann, Mode &amp; Tracht fürs Leben • Gnas • Steiermark</t>
  </si>
  <si>
    <t>Bekleidung • Goldmann, Gnas 40, Gnas • Kontakt über aktuelle Telefonnummern ☎ und Adressen ⚑ mit Karte, Routing, Öffnungszeiten, Homepage, E-Mail, vCard und Firmendaten.</t>
  </si>
  <si>
    <t>+4331512275;+4331524180</t>
  </si>
  <si>
    <t>https://bilder.dasschnelle.at/DasSchnelle/50/5000/9879/061351/G_061351_P_906333301.adn.gif</t>
  </si>
  <si>
    <t>Deutsch, Reinhard, Malerwerkstatt • Jennersdorf • Burgenland</t>
  </si>
  <si>
    <t>Malereibetriebe • Deutsch, Reinhard, Körblereck 21, Jennersdorf • Kontakt über aktuelle Telefonnummern ☎ und Adressen ⚑ mit Karte, Routing, Öffnungszeiten, Homepage, E-Mail, vCard und Firmendaten.</t>
  </si>
  <si>
    <t>Körblereck 21</t>
  </si>
  <si>
    <t>46.9568900</t>
  </si>
  <si>
    <t>16.1506200</t>
  </si>
  <si>
    <t>+43332945867;+436641138955</t>
  </si>
  <si>
    <t>malerwerkstatt.deutsch@aon.at</t>
  </si>
  <si>
    <t>https://bilder.dasschnelle.at/DasSchnelle/50/5000/9884/061368/G_061368_P_906333303.adn.gif</t>
  </si>
  <si>
    <t>Gasthaus Bauer GmbH &amp; Co KG, Gastgewerbe - Gasthöfe • Schardenberg • Oberösterreich</t>
  </si>
  <si>
    <t>Gastgewerbe - Gasthöfe • Gasthaus Bauer GmbH &amp; Co KG, Steinbrunn 2, Schardenberg • Kontakt über aktuelle Telefonnummern ☎ und Adressen ⚑ mit Karte, Routing, Öffnungszeiten, Homepage, E-Mail, vCard und Firmendaten.</t>
  </si>
  <si>
    <t>Steinbrunn 2</t>
  </si>
  <si>
    <t>48.52595</t>
  </si>
  <si>
    <t>13.50386</t>
  </si>
  <si>
    <t>+43771367440</t>
  </si>
  <si>
    <t>wirt-in-steinbrunn@aon.at</t>
  </si>
  <si>
    <t>https://bilder.dasschnelle.at/DasSchnelle/50/5000/9926/042798/G_042798_P_906333232.adn.gif</t>
  </si>
  <si>
    <t>Glatz GmbH • Andorf • Oberösterreich</t>
  </si>
  <si>
    <t>Landwirtschaftliche Produkte • Glatz GmbH, Großschörgern 36, Andorf • Kontakt über aktuelle Telefonnummern ☎ und Adressen ⚑ mit Karte, Routing, Öffnungszeiten, Homepage, E-Mail, vCard und Firmendaten.</t>
  </si>
  <si>
    <t>Großschörgern 36</t>
  </si>
  <si>
    <t>48.3557713</t>
  </si>
  <si>
    <t>13.5794320</t>
  </si>
  <si>
    <t>+43776636100</t>
  </si>
  <si>
    <t>andorfer@glatz.co.at</t>
  </si>
  <si>
    <t>https://bilder.dasschnelle.at/DasSchnelle/50/5000/9926/042303/G_042303_P_906333238.adn.gif</t>
  </si>
  <si>
    <t>Installationstechnik Wirth, Installationstechnik • Schardenberg • Oberösterreich</t>
  </si>
  <si>
    <t>Installationsunternehmen • Installationstechnik Wirth, Luck 9, Schardenberg • Kontakt über aktuelle Telefonnummern ☎ und Adressen ⚑ mit Karte, Routing, Öffnungszeiten, Homepage, E-Mail, vCard und Firmendaten.</t>
  </si>
  <si>
    <t>Luck 9</t>
  </si>
  <si>
    <t>48.5206734</t>
  </si>
  <si>
    <t>13.4957225</t>
  </si>
  <si>
    <t>+436641257111</t>
  </si>
  <si>
    <t>info@installationstechnik-wirth.at</t>
  </si>
  <si>
    <t>https://bilder.dasschnelle.at/DasSchnelle/50/5000/9926/042798/G_042798_P_906333240.adn.gif</t>
  </si>
  <si>
    <t>Umwelttechnik M. Wurzer, Rauchfangkehrer • Bad Hall • Oberösterreich</t>
  </si>
  <si>
    <t>Rauchfangkehrermeister • Umwelttechnik M. Wurzer, Adlwangerstraße 31, Bad Hall • Kontakt über aktuelle Telefonnummern ☎ und Adressen ⚑ mit Karte, Routing, Öffnungszeiten, Homepage, E-Mail, vCard und Firmendaten.</t>
  </si>
  <si>
    <t>Adlwangerstraße 31</t>
  </si>
  <si>
    <t>48.02372</t>
  </si>
  <si>
    <t>14.22018</t>
  </si>
  <si>
    <t>+436642205424</t>
  </si>
  <si>
    <t>m.wurzer@umwelttechnik-wurzer.at</t>
  </si>
  <si>
    <t>https://bilder.dasschnelle.at/DasSchnelle/50/5000/9867/042808/G_042808_P_906228814.adn.gif</t>
  </si>
  <si>
    <t>Taxi Kleiner GmbH • Neumarkt am Wallersee • Salzburg</t>
  </si>
  <si>
    <t>Taxi • Taxi Kleiner GmbH, Wallbachstraße 22, Neumarkt am Wallersee • Kontakt über aktuelle Telefonnummern ☎ und Adressen ⚑ mit Karte, Routing, Öffnungszeiten, Homepage, E-Mail, vCard und Firmendaten.</t>
  </si>
  <si>
    <t>https://bilder.dasschnelle.at/DasSchnelle/50/5000/9881/043092/G_043092_P_906330366.adn.gif</t>
  </si>
  <si>
    <t>Steinmetzmeisterbetrieb Fantoni • Bleiburg • Kärnten</t>
  </si>
  <si>
    <t>Steinmetzbetriebe • Steinmetzmeisterbetrieb Fantoni, Bahnhofstraße 32, Bleiburg • Kontakt über aktuelle Telefonnummern ☎ und Adressen ⚑ mit Karte, Routing, Öffnungszeiten, Homepage, E-Mail, vCard und Firmendaten.</t>
  </si>
  <si>
    <t>Bahnhofstraße 32</t>
  </si>
  <si>
    <t>46.58464</t>
  </si>
  <si>
    <t>14.79647</t>
  </si>
  <si>
    <t>+43423531590</t>
  </si>
  <si>
    <t>+43423531594</t>
  </si>
  <si>
    <t>info@fantoni.cc</t>
  </si>
  <si>
    <t>https://bilder.dasschnelle.at/DasSchnelle/50/5000/9942/042025/G_042025_P_906257421.adn.gif</t>
  </si>
  <si>
    <t>Zadruga Market GmbH • Bleiburg • Kärnten</t>
  </si>
  <si>
    <t>Baumärkte, Gartenbedarf u. -geräte • Zadruga Market GmbH, Völkermarkter Straße 1, Bleiburg • Kontakt über aktuelle Telefonnummern ☎ und Adressen ⚑ mit Karte, Routing, Öffnungszeiten, Homepage, E-Mail, vCard und Firmendaten.</t>
  </si>
  <si>
    <t>Völkermarkter Straße 1</t>
  </si>
  <si>
    <t>46.5913800</t>
  </si>
  <si>
    <t>14.7946300</t>
  </si>
  <si>
    <t>+4342352039</t>
  </si>
  <si>
    <t>office@zadruga.at</t>
  </si>
  <si>
    <t>https://bilder.dasschnelle.at/DasSchnelle/50/5000/9942/042025/G_042025_P_906252115.adn.gif</t>
  </si>
  <si>
    <t>Röntgen Diagnoseteam Gmünd OG • Gmünd • Niederösterreich</t>
  </si>
  <si>
    <t>Ärzte / Fachärzte f. Radiologie • Röntgen Diagnoseteam Gmünd OG, Conrathstraße 15 A, Gmünd • Kontakt über aktuelle Telefonnummern ☎ und Adressen ⚑ mit Karte, Routing, Öffnungszeiten, Homepage, E-Mail, vCard und Firmendaten.</t>
  </si>
  <si>
    <t>Conrathstraße 15 A</t>
  </si>
  <si>
    <t>48.76206</t>
  </si>
  <si>
    <t>14.97573</t>
  </si>
  <si>
    <t>+43285254588</t>
  </si>
  <si>
    <t>ordi@dtgmuend.at</t>
  </si>
  <si>
    <t>https://bilder.dasschnelle.at/DasSchnelle/50/5000/9885/045075/G_045075_P_906332685.adn.gif</t>
  </si>
  <si>
    <t>Neuber, Benedikt, Dr., FA für Frauenheilkunde • Vöcklabruck • Oberösterreich</t>
  </si>
  <si>
    <t>Ärzte / Fachärzte f. Frauenheilkunde u. Geburtshilfe • Neuber, Benedikt, Dr., Salzburger Straße 1, Vöcklabruck • Kontakt über aktuelle Telefonnummern ☎ und Adressen ⚑ mit Karte, Routing, Öffnungszeiten, Homepage, E-Mail, vCard und Firmendaten.</t>
  </si>
  <si>
    <t>Salzburger Straße 1</t>
  </si>
  <si>
    <t>48.00688</t>
  </si>
  <si>
    <t>13.65298</t>
  </si>
  <si>
    <t>+43767225624</t>
  </si>
  <si>
    <t>ordi@drneuber.at</t>
  </si>
  <si>
    <t>https://bilder.dasschnelle.at/DasSchnelle/50/5000/9940/043555/G_043555_P_906085362.adn.gif</t>
  </si>
  <si>
    <t>Simon´s Gerüste Verleih GmbH • Waidring • Tirol</t>
  </si>
  <si>
    <t>Gerüstebau u. -verleih • Simon´s Gerüste Verleih GmbH, Unterwasser 77, Waidring • Kontakt über aktuelle Telefonnummern ☎ und Adressen ⚑ mit Karte, Routing, Öffnungszeiten, Homepage, E-Mail, vCard und Firmendaten.</t>
  </si>
  <si>
    <t>Unterwasser 77</t>
  </si>
  <si>
    <t>47.58464</t>
  </si>
  <si>
    <t>12.59115</t>
  </si>
  <si>
    <t>+43535320076;+436643417476</t>
  </si>
  <si>
    <t>office@sgv.at</t>
  </si>
  <si>
    <t>https://bilder.dasschnelle.at/DasSchnelle/50/5000/9896/046143/I_046143_P_906333207_L_0036233331_1.png</t>
  </si>
  <si>
    <t>https://bilder.dasschnelle.at/DasSchnelle/50/5000/9896/046143/I_046143_P_906333207_B_0036233331_1.gal.png?height=450&amp;width=600;https://bilder.dasschnelle.at/DasSchnelle/50/5000/9896/046143/I_046143_P_906333207_B_0036233331_2.gal.png?height=600&amp;width=399;https://bilder.dasschnelle.at/DasSchnelle/50/5000/9896/046143/I_046143_P_906333207_B_0036233331_3.gal.png?height=600&amp;width=399;https://bilder.dasschnelle.at/DasSchnelle/50/5000/9896/046143/I_046143_P_906333207_B_0036233331_4.gal.png?height=399&amp;width=600</t>
  </si>
  <si>
    <t>Mostviertler Bauernladen Christa Dorner • Aschbach-Markt • Niederösterreich</t>
  </si>
  <si>
    <t>Bauernmärkte, Landhandel, Naturprodukte • Mostviertler Bauernladen Christa Dorner, Mittlerer Markt 1, Aschbach-Markt • Kontakt über aktuelle Telefonnummern ☎ und Adressen ⚑ mit Karte, Routing, Öffnungszeiten, Homepage, E-Mail, vCard und Firmendaten.</t>
  </si>
  <si>
    <t>Mittlerer Markt 1</t>
  </si>
  <si>
    <t>3361</t>
  </si>
  <si>
    <t>Aschbach-Markt</t>
  </si>
  <si>
    <t>48.07274</t>
  </si>
  <si>
    <t>14.75041</t>
  </si>
  <si>
    <t>josef.christa.dorner@aon.at</t>
  </si>
  <si>
    <t>https://bilder.dasschnelle.at/DasSchnelle/50/5000/9866/042064/G_042064_P_906141886.adn.gif</t>
  </si>
  <si>
    <t>Fleidl Helmut GesmbH, Spenglerei u. Dachdeckerei • Ramsau im Zillertal • Tirol</t>
  </si>
  <si>
    <t>Dachdeckereien, Fassadenbau, Isolierungen, Spenglereien • Fleidl Helmut GesmbH, Bichl 488, Ramsau im Zillertal • Kontakt über aktuelle Telefonnummern ☎ und Adressen ⚑ mit Karte, Routing, Öffnungszeiten, Homepage, E-Mail, vCard und Firmendaten.</t>
  </si>
  <si>
    <t>Bichl 488</t>
  </si>
  <si>
    <t>47.19663</t>
  </si>
  <si>
    <t>11.87148</t>
  </si>
  <si>
    <t>+43528235950</t>
  </si>
  <si>
    <t>+4352822600</t>
  </si>
  <si>
    <t>info@fleidldach.at</t>
  </si>
  <si>
    <t>https://bilder.dasschnelle.at/DasSchnelle/50/5000/9929/042632/G_042632_P_906147261.adn.gif</t>
  </si>
  <si>
    <t>Ortbauer, Gerhard, Malermeister • Peuerbach • Oberösterreich</t>
  </si>
  <si>
    <t>Malereibetriebe • Ortbauer, Gerhard, Mühlbrenning 6, Peuerbach • Kontakt über aktuelle Telefonnummern ☎ und Adressen ⚑ mit Karte, Routing, Öffnungszeiten, Homepage, E-Mail, vCard und Firmendaten.</t>
  </si>
  <si>
    <t>Mühlbrenning 6</t>
  </si>
  <si>
    <t>48.3174700</t>
  </si>
  <si>
    <t>13.7487400</t>
  </si>
  <si>
    <t>+4372763267</t>
  </si>
  <si>
    <t>ortbauer.gerhard@utanet.at</t>
  </si>
  <si>
    <t>https://bilder.dasschnelle.at/DasSchnelle/50/5000/9887/041965/G_041965_P_906198658.adn.gif</t>
  </si>
  <si>
    <t>TERROIR HandelsgesmbH, Weine • Mank • Niederösterreich</t>
  </si>
  <si>
    <t>Vinotheken • TERROIR HandelsgesmbH, Loosdorferstraße 19, Mank • Kontakt über aktuelle Telefonnummern ☎ und Adressen ⚑ mit Karte, Routing, Öffnungszeiten, Homepage, E-Mail, vCard und Firmendaten.</t>
  </si>
  <si>
    <t>Loosdorferstraße 19</t>
  </si>
  <si>
    <t>48.11544</t>
  </si>
  <si>
    <t>15.34118</t>
  </si>
  <si>
    <t>+4327558315</t>
  </si>
  <si>
    <t>e.bouton@aon.at</t>
  </si>
  <si>
    <t>https://bilder.dasschnelle.at/DasSchnelle/50/5000/9908/041626/G_041626_P_906199351.adn.gif</t>
  </si>
  <si>
    <t>Weingut Hainzl-Jauk KG • Frauental • Steiermark</t>
  </si>
  <si>
    <t>Weingüter • Weingut Hainzl-Jauk KG, Grazer Straße 231, Frauental • Kontakt über aktuelle Telefonnummern ☎ und Adressen ⚑ mit Karte, Routing, Öffnungszeiten, Homepage, E-Mail, vCard und Firmendaten.</t>
  </si>
  <si>
    <t>Grazer Straße 231</t>
  </si>
  <si>
    <t>46.8224370</t>
  </si>
  <si>
    <t>15.2544099</t>
  </si>
  <si>
    <t>+4334622852</t>
  </si>
  <si>
    <t>kontakt@hainzl-jauk.at</t>
  </si>
  <si>
    <t>https://bilder.dasschnelle.at/DasSchnelle/50/5000/9875/045296/G_045296_P_906214494.adn.gif</t>
  </si>
  <si>
    <t>Bayrhammer, Sonja, Kerzen • Seekirchen • Salzburg</t>
  </si>
  <si>
    <t>Kerzen u. Wachswaren • Bayrhammer, Sonja, Weinbergstiege 5, Seekirchen • Kontakt über aktuelle Telefonnummern ☎ und Adressen ⚑ mit Karte, Routing, Öffnungszeiten, Homepage, E-Mail, vCard und Firmendaten.</t>
  </si>
  <si>
    <t>Weinbergstiege 5</t>
  </si>
  <si>
    <t>47.8953188</t>
  </si>
  <si>
    <t>13.1385149</t>
  </si>
  <si>
    <t>+4369912361765</t>
  </si>
  <si>
    <t>sonja.bayrhammer@sbg.at</t>
  </si>
  <si>
    <t>https://bilder.dasschnelle.at/DasSchnelle/50/5000/9931/043333/I_043333_P_905999448_L_0035970016_1.png</t>
  </si>
  <si>
    <t>https://bilder.dasschnelle.at/DasSchnelle/50/5000/9931/043333/I_043333_P_905999448_B_0035970016_1.gal.png?height=336&amp;width=448</t>
  </si>
  <si>
    <t>Andreas Janisch GmbH, Installationsunternehmen • Weigelsdorf • Niederösterreich</t>
  </si>
  <si>
    <t>Installationsunternehmen • Andreas Janisch GmbH, Boschanstraße 3, Weigelsdorf • Kontakt über aktuelle Telefonnummern ☎ und Adressen ⚑ mit Karte, Routing, Öffnungszeiten, Homepage, E-Mail, vCard und Firmendaten.</t>
  </si>
  <si>
    <t>Boschanstraße 3</t>
  </si>
  <si>
    <t>Weigelsdorf</t>
  </si>
  <si>
    <t>47.94387</t>
  </si>
  <si>
    <t>16.39403</t>
  </si>
  <si>
    <t>+436642434490</t>
  </si>
  <si>
    <t>gas.wasser.waerme@aon.at</t>
  </si>
  <si>
    <t>https://bilder.dasschnelle.at/DasSchnelle/50/5000/9870/041341/G_041341_P_906249224.adn.gif</t>
  </si>
  <si>
    <t>Tischlerei Jaidl GmbH, Tischlerei • Bürmoos • Salzburg</t>
  </si>
  <si>
    <t>Tischlereien • Tischlerei Jaidl GmbH, Werner Bader Straße 9, Bürmoos • Kontakt über aktuelle Telefonnummern ☎ und Adressen ⚑ mit Karte, Routing, Öffnungszeiten, Homepage, E-Mail, vCard und Firmendaten.</t>
  </si>
  <si>
    <t>Werner Bader Straße 9</t>
  </si>
  <si>
    <t>47.98975</t>
  </si>
  <si>
    <t>12.93158</t>
  </si>
  <si>
    <t>+4362746588</t>
  </si>
  <si>
    <t>tischlerei.jaidl@sbg.at</t>
  </si>
  <si>
    <t>https://bilder.dasschnelle.at/DasSchnelle/50/5000/9914/043604/G_043604_P_906289347.adn.gif</t>
  </si>
  <si>
    <t>Hundesalon Fellwechsel • Gratwein-Straßengel • Steiermark</t>
  </si>
  <si>
    <t>Hundesalon • Hundesalon Fellwechsel, Murfeldstraße 10, Gratwein-Straßengel • Kontakt über aktuelle Telefonnummern ☎ und Adressen ⚑ mit Karte, Routing, Öffnungszeiten, Homepage, E-Mail, vCard und Firmendaten.</t>
  </si>
  <si>
    <t>Murfeldstraße 10</t>
  </si>
  <si>
    <t>47.1334800</t>
  </si>
  <si>
    <t>15.3218800</t>
  </si>
  <si>
    <t>+436801567071</t>
  </si>
  <si>
    <t>office@hundesalon-fellwechsel.at</t>
  </si>
  <si>
    <t>https://bilder.dasschnelle.at/DasSchnelle/50/5000/9883/061359/G_061359_P_906302643.adn.gif</t>
  </si>
  <si>
    <t>Jaritz, Birgit, Dr., Anästhesiologie • Liezen • Steiermark</t>
  </si>
  <si>
    <t>Therapien • Jaritz, Birgit, Dr., Hauptstraße 2, Liezen • Kontakt über aktuelle Telefonnummern ☎ und Adressen ⚑ mit Karte, Routing, Öffnungszeiten, Homepage, E-Mail, vCard und Firmendaten.</t>
  </si>
  <si>
    <t>47.5680406</t>
  </si>
  <si>
    <t>14.2055347</t>
  </si>
  <si>
    <t>+436643911956</t>
  </si>
  <si>
    <t>birgitjaritz@yahoo.com</t>
  </si>
  <si>
    <t>https://bilder.dasschnelle.at/DasSchnelle/50/5000/9905/998126/G_998126_P_906171769.adn.gif</t>
  </si>
  <si>
    <t>Mitterberger, Peter, Maler • Matrei am Brenner • Tirol</t>
  </si>
  <si>
    <t>Malereibetriebe • Mitterberger, Peter, Am Brenner 104, Matrei am Brenner • Kontakt über aktuelle Telefonnummern ☎ und Adressen ⚑ mit Karte, Routing, Öffnungszeiten, Homepage, E-Mail, vCard und Firmendaten.</t>
  </si>
  <si>
    <t>Am Brenner 104</t>
  </si>
  <si>
    <t>+436642044959;+4352736265</t>
  </si>
  <si>
    <t>info@malerteam.at</t>
  </si>
  <si>
    <t>https://bilder.dasschnelle.at/DasSchnelle/50/5000/9948/045890/G_045890_P_906123814.adn.gif</t>
  </si>
  <si>
    <t>Zamberger Mario, Kaminbau, Kaminsanierung • Glanegg • Kärnten</t>
  </si>
  <si>
    <t>Kamine u. Kaminbau, Kaminsanierung • Zamberger Mario, Glanegg 55, Glanegg • Kontakt über aktuelle Telefonnummern ☎ und Adressen ⚑ mit Karte, Routing, Öffnungszeiten, Homepage, E-Mail, vCard und Firmendaten.</t>
  </si>
  <si>
    <t>Glanegg 55</t>
  </si>
  <si>
    <t>46.7173646</t>
  </si>
  <si>
    <t>14.2152008</t>
  </si>
  <si>
    <t>+4366475062402</t>
  </si>
  <si>
    <t>zamberger.mario@gmail.com</t>
  </si>
  <si>
    <t>https://bilder.dasschnelle.at/DasSchnelle/50/5000/9880/042049/I_042049_P_905873945_L_0038472121_1.png</t>
  </si>
  <si>
    <t>https://bilder.dasschnelle.at/DasSchnelle/50/5000/9880/042049/I_042049_P_905873945_B_0038472121_1.gal.png?height=600&amp;width=337;https://bilder.dasschnelle.at/DasSchnelle/50/5000/9880/042049/I_042049_P_905873945_B_0038472121_2.gal.png?height=600&amp;width=337;https://bilder.dasschnelle.at/DasSchnelle/50/5000/9880/042049/I_042049_P_905873945_B_0038472121_3.gal.png?height=600&amp;width=337;https://bilder.dasschnelle.at/DasSchnelle/50/5000/9880/042049/I_042049_P_905873945_B_0038472121_4.gal.png?height=600&amp;width=337</t>
  </si>
  <si>
    <t>Werner Huter Installationen • Navis • Tirol</t>
  </si>
  <si>
    <t>Installationen • Werner Huter Installationen, Unterweg 54, Navis • Kontakt über aktuelle Telefonnummern ☎ und Adressen ⚑ mit Karte, Routing, Öffnungszeiten, Homepage, E-Mail, vCard und Firmendaten.</t>
  </si>
  <si>
    <t>Unterweg 54</t>
  </si>
  <si>
    <t>+436764466770</t>
  </si>
  <si>
    <t>huter.huwe@gmail.com</t>
  </si>
  <si>
    <t>https://bilder.dasschnelle.at/DasSchnelle/50/5000/9948/045896/G_045896_P_906124080.adn.gif</t>
  </si>
  <si>
    <t>Blumen Irmi, Ernst Irmgard • Mauterndorf • Salzburg</t>
  </si>
  <si>
    <t>Blumenhandel • Blumen Irmi, Ernst Irmgard, Markt 102, Mauterndorf • Kontakt über aktuelle Telefonnummern ☎ und Adressen ⚑ mit Karte, Routing, Öffnungszeiten, Homepage, E-Mail, vCard und Firmendaten.</t>
  </si>
  <si>
    <t>Markt 102</t>
  </si>
  <si>
    <t>47.13226</t>
  </si>
  <si>
    <t>13.68393</t>
  </si>
  <si>
    <t>+4364727582</t>
  </si>
  <si>
    <t>iernst@gmx.at</t>
  </si>
  <si>
    <t>https://bilder.dasschnelle.at/DasSchnelle/50/5000/9936/043362/G_043362_P_906151771.adn.gif</t>
  </si>
  <si>
    <t>Dirlinger, Franz, Fliesenlegermeister • Waizenkirchen • Oberösterreich</t>
  </si>
  <si>
    <t>Einrichtungshäuser • Dirlinger, Franz, Bahnhofstraße 6, Waizenkirchen • Kontakt über aktuelle Telefonnummern ☎ und Adressen ⚑ mit Karte, Routing, Öffnungszeiten, Homepage, E-Mail, vCard und Firmendaten.</t>
  </si>
  <si>
    <t>+43727727740</t>
  </si>
  <si>
    <t>+4372772774044</t>
  </si>
  <si>
    <t>franz@fliesen-dirlinger.at</t>
  </si>
  <si>
    <t>https://bilder.dasschnelle.at/DasSchnelle/50/5000/9887/041977/I_041977_P_905952163_L_0036237661_1.png</t>
  </si>
  <si>
    <t>https://bilder.dasschnelle.at/DasSchnelle/50/5000/9887/041977/I_041977_P_905952163_B_0036237661_1.gal.png?height=437&amp;width=1200;https://bilder.dasschnelle.at/DasSchnelle/50/5000/9887/041977/I_041977_P_905952163_B_0036237661_2.gal.png?height=437&amp;width=1200;https://bilder.dasschnelle.at/DasSchnelle/50/5000/9887/041977/I_041977_P_905952163_B_0036237661_3.gal.png?height=364&amp;width=1000;https://bilder.dasschnelle.at/DasSchnelle/50/5000/9887/041977/G_041977_P_906192381.adn.gif</t>
  </si>
  <si>
    <t>Yousef Elahi, Soheila, Dr., Fachärztin für Dermatologie • Melk • Niederösterreich</t>
  </si>
  <si>
    <t>Ärzte / Fachärzte f. Haut u. Geschlechtskrankheiten • Yousef Elahi, Soheila, Dr., Josef Adlmanseder-Straße 7, Melk • Kontakt über aktuelle Telefonnummern ☎ und Adressen ⚑ mit Karte, Routing, Öffnungszeiten, Homepage, E-Mail, vCard und Firmendaten.</t>
  </si>
  <si>
    <t>+43275251117</t>
  </si>
  <si>
    <t>info@dr-elahi.at</t>
  </si>
  <si>
    <t>https://bilder.dasschnelle.at/DasSchnelle/50/5000/9908/041629/G_041629_P_906203799.adn.gif</t>
  </si>
  <si>
    <t>Mantona, Isidor, Rauchfangkehrermeister • Sankt Michael im Lungau • Salzburg</t>
  </si>
  <si>
    <t>Rauchfangkehrermeister • Mantona, Isidor, Leitnergasse 105, Sankt Michael im Lungau • Kontakt über aktuelle Telefonnummern ☎ und Adressen ⚑ mit Karte, Routing, Öffnungszeiten, Homepage, E-Mail, vCard und Firmendaten.</t>
  </si>
  <si>
    <t>Leitnergasse 105</t>
  </si>
  <si>
    <t>47.09981</t>
  </si>
  <si>
    <t>13.63875</t>
  </si>
  <si>
    <t>+4364778247</t>
  </si>
  <si>
    <t>maria@mantona.at</t>
  </si>
  <si>
    <t>https://bilder.dasschnelle.at/DasSchnelle/50/5000/9936/043803/G_043803_P_906216908.adn.gif</t>
  </si>
  <si>
    <t>Kathi´s Landhaus • Mattsee • Salzburg</t>
  </si>
  <si>
    <t>Blumenbinder, Dekoration u. Geschenke • Kathi´s Landhaus, Ochsenharing 1, Mattsee • Kontakt über aktuelle Telefonnummern ☎ und Adressen ⚑ mit Karte, Routing, Öffnungszeiten, Homepage, E-Mail, vCard und Firmendaten.</t>
  </si>
  <si>
    <t>Ochsenharing 1</t>
  </si>
  <si>
    <t>47.9652300</t>
  </si>
  <si>
    <t>13.0995700</t>
  </si>
  <si>
    <t>+436641437846</t>
  </si>
  <si>
    <t>katherina.lang@gmx.at</t>
  </si>
  <si>
    <t>https://bilder.dasschnelle.at/DasSchnelle/50/5000/9931/043319/G_043319_P_906222813.adn.gif</t>
  </si>
  <si>
    <t>Zöger, Johann, Elektrowaren • Neunkirchen • Niederösterreich</t>
  </si>
  <si>
    <t>Elektrohandel, Elektrowaren • Zöger, Johann, Herrengasse 13, Neunkirchen • Kontakt über aktuelle Telefonnummern ☎ und Adressen ⚑ mit Karte, Routing, Öffnungszeiten, Homepage, E-Mail, vCard und Firmendaten.</t>
  </si>
  <si>
    <t>Herrengasse 13</t>
  </si>
  <si>
    <t>47.72117</t>
  </si>
  <si>
    <t>16.0797</t>
  </si>
  <si>
    <t>+43263564626</t>
  </si>
  <si>
    <t>zoeger.elektro@telering.at</t>
  </si>
  <si>
    <t>https://bilder.dasschnelle.at/DasSchnelle/50/5000/9913/041844/G_041844_P_906222343.adn.gif</t>
  </si>
  <si>
    <t>Bäder fürs Leben GmbH, Badezimmer • Liezen • Steiermark</t>
  </si>
  <si>
    <t>Badezimmer u. Badezimmereinrichtungen • Bäder fürs Leben GmbH, Hauptstraße 16, Liezen • Kontakt über aktuelle Telefonnummern ☎ und Adressen ⚑ mit Karte, Routing, Öffnungszeiten, Homepage, E-Mail, vCard und Firmendaten.</t>
  </si>
  <si>
    <t>47.56704</t>
  </si>
  <si>
    <t>14.24333</t>
  </si>
  <si>
    <t>+43361222999</t>
  </si>
  <si>
    <t>info@b-f-l.at</t>
  </si>
  <si>
    <t>https://bilder.dasschnelle.at/DasSchnelle/50/5000/9905/061443/I_061443_P_905997304_L_0036244088_1.png</t>
  </si>
  <si>
    <t>https://bilder.dasschnelle.at/DasSchnelle/50/5000/9905/061443/I_061443_P_905997304_B_0036244088_1.gal.png?height=666&amp;width=1000;https://bilder.dasschnelle.at/DasSchnelle/50/5000/9905/061443/I_061443_P_905997304_B_0036244088_2.gal.png?height=750&amp;width=960;https://bilder.dasschnelle.at/DasSchnelle/50/5000/9905/061443/I_061443_P_905997304_B_0036244088_3.gal.png?height=750&amp;width=960;https://bilder.dasschnelle.at/DasSchnelle/50/5000/9905/061443/I_061443_P_905997304_B_0036244088_4.gal.png?height=750&amp;width=960</t>
  </si>
  <si>
    <t>M.Hirnschal Installationen GRP Team • Felixdorf • Niederösterreich</t>
  </si>
  <si>
    <t>Installationsunternehmen, Sanitäranlagen u. -einrichtungen • M.Hirnschal Installationen GRP Team, Hauptstrasse 23, Felixdorf • Kontakt über aktuelle Telefonnummern ☎ und Adressen ⚑ mit Karte, Routing, Öffnungszeiten, Homepage, E-Mail, vCard und Firmendaten.</t>
  </si>
  <si>
    <t>Hauptstrasse 23</t>
  </si>
  <si>
    <t>2603</t>
  </si>
  <si>
    <t>Felixdorf</t>
  </si>
  <si>
    <t>47.88268</t>
  </si>
  <si>
    <t>16.24363</t>
  </si>
  <si>
    <t>+43676609742</t>
  </si>
  <si>
    <t>markus.hirnschal@live.com</t>
  </si>
  <si>
    <t>https://bilder.dasschnelle.at/DasSchnelle/50/5000/9946/044273/G_044273_P_906236037.adn.gif</t>
  </si>
  <si>
    <t>Malermeister, Manfred Gigerl • Eibiswald • Steiermark</t>
  </si>
  <si>
    <t>Malereibetriebe • Malermeister, Manfred Gigerl, Aichberg 77, Eibiswald • Kontakt über aktuelle Telefonnummern ☎ und Adressen ⚑ mit Karte, Routing, Öffnungszeiten, Homepage, E-Mail, vCard und Firmendaten.</t>
  </si>
  <si>
    <t>Aichberg 77</t>
  </si>
  <si>
    <t>46.6923300</t>
  </si>
  <si>
    <t>15.2334600</t>
  </si>
  <si>
    <t>+436604665035</t>
  </si>
  <si>
    <t>office@malerbetrieb-gigerl.at</t>
  </si>
  <si>
    <t>https://bilder.dasschnelle.at/DasSchnelle/50/5000/9875/061447/G_061447_P_906240615.adn.gif</t>
  </si>
  <si>
    <t>Mösl, Thomas, Reitschule • Wimm • Salzburg</t>
  </si>
  <si>
    <t>Reitschulen • Mösl, Thomas, Wimm • Kontakt über aktuelle Telefonnummern ☎ und Adressen ⚑ mit Karte, Routing, Öffnungszeiten, Homepage, E-Mail, vCard und Firmendaten.</t>
  </si>
  <si>
    <t>Wimm</t>
  </si>
  <si>
    <t>47.9019135</t>
  </si>
  <si>
    <t>13.0951692</t>
  </si>
  <si>
    <t>+4362124036;+436766829060</t>
  </si>
  <si>
    <t>reitschule@moesl.com</t>
  </si>
  <si>
    <t>https://bilder.dasschnelle.at/DasSchnelle/50/5000/9931/043333/I_043333_P_906015181_L_0037078628_1.png</t>
  </si>
  <si>
    <t>https://bilder.dasschnelle.at/DasSchnelle/50/5000/9931/043333/I_043333_P_906015181_B_0037078628_1.gal.png?height=450&amp;width=600;https://bilder.dasschnelle.at/DasSchnelle/50/5000/9931/043333/I_043333_P_906015181_B_0037078628_2.gal.png?height=450&amp;width=600;https://bilder.dasschnelle.at/DasSchnelle/50/5000/9931/043333/I_043333_P_906015181_B_0037078628_3.gal.png?height=400&amp;width=600;https://bilder.dasschnelle.at/DasSchnelle/50/5000/9931/043333/I_043333_P_906015181_B_0037078628_4.gal.png?height=450&amp;width=600</t>
  </si>
  <si>
    <t>Fleischerei Franz Fritz • St. Stefan • Steiermark</t>
  </si>
  <si>
    <t>Fleischhauereien • Fleischerei Franz Fritz, St Stefan 16, St. Stefan • Kontakt über aktuelle Telefonnummern ☎ und Adressen ⚑ mit Karte, Routing, Öffnungszeiten, Homepage, E-Mail, vCard und Firmendaten.</t>
  </si>
  <si>
    <t>St Stefan 16</t>
  </si>
  <si>
    <t>8511</t>
  </si>
  <si>
    <t>46.9294455</t>
  </si>
  <si>
    <t>15.2545742</t>
  </si>
  <si>
    <t>+436644025154</t>
  </si>
  <si>
    <t>https://bilder.dasschnelle.at/DasSchnelle/50/5000/9875/061385/G_061385_P_906251337.adn.gif</t>
  </si>
  <si>
    <t>Red Zac Pauli, Elektrohandel • Theresienfeld • Niederösterreich</t>
  </si>
  <si>
    <t>Elektrohandel • Red Zac Pauli, Flugfeldstrasse 3 Top 4a, Theresienfeld • Kontakt über aktuelle Telefonnummern ☎ und Adressen ⚑ mit Karte, Routing, Öffnungszeiten, Homepage, E-Mail, vCard und Firmendaten.</t>
  </si>
  <si>
    <t>Flugfeldstrasse 3 Top 4a</t>
  </si>
  <si>
    <t>2604</t>
  </si>
  <si>
    <t>Theresienfeld</t>
  </si>
  <si>
    <t>47.84676</t>
  </si>
  <si>
    <t>16.24283</t>
  </si>
  <si>
    <t>+43262271571</t>
  </si>
  <si>
    <t>info@redzac-pauli.at</t>
  </si>
  <si>
    <t>https://bilder.dasschnelle.at/DasSchnelle/50/5000/9946/044294/I_044294_P_906026446_L_0038720073_1.png</t>
  </si>
  <si>
    <t>https://bilder.dasschnelle.at/DasSchnelle/50/5000/9946/044294/I_044294_P_906026446_B_0038720073_1.gal.png?height=2758&amp;width=4346;https://bilder.dasschnelle.at/DasSchnelle/50/5000/9946/044294/I_044294_P_906026446_B_0038720073_2.gal.png?height=414&amp;width=720;https://bilder.dasschnelle.at/DasSchnelle/50/5000/9946/044294/I_044294_P_906026446_B_0038720073_3.gal.png?height=2832&amp;width=4256;https://bilder.dasschnelle.at/DasSchnelle/50/5000/9946/044294/I_044294_P_906026446_B_0038720073_4.gal.png?height=477&amp;width=720</t>
  </si>
  <si>
    <t>Keplinger Siegfried • Steyr • Oberösterreich</t>
  </si>
  <si>
    <t>Tischlereien • Keplinger Siegfried, Aschacherstraße 38, Steyr • Kontakt über aktuelle Telefonnummern ☎ und Adressen ⚑ mit Karte, Routing, Öffnungszeiten, Homepage, E-Mail, vCard und Firmendaten.</t>
  </si>
  <si>
    <t>Aschacherstraße 38</t>
  </si>
  <si>
    <t>48.05648</t>
  </si>
  <si>
    <t>14.45147</t>
  </si>
  <si>
    <t>+436644029935</t>
  </si>
  <si>
    <t>siegfried.keplinger@gmail.com</t>
  </si>
  <si>
    <t>https://bilder.dasschnelle.at/DasSchnelle/50/5000/9878/044546/G_044546_P_906274680.adn.gif</t>
  </si>
  <si>
    <t>Uhrenschmuck Winkler • Völkermarkt • Kärnten</t>
  </si>
  <si>
    <t>Uhren u. Schmuck • Uhrenschmuck Winkler, Hauptplatz 28, Völkermarkt • Kontakt über aktuelle Telefonnummern ☎ und Adressen ⚑ mit Karte, Routing, Öffnungszeiten, Homepage, E-Mail, vCard und Firmendaten.</t>
  </si>
  <si>
    <t>Hauptplatz 28</t>
  </si>
  <si>
    <t>46.6599800</t>
  </si>
  <si>
    <t>14.6335000</t>
  </si>
  <si>
    <t>+4343323600</t>
  </si>
  <si>
    <t>winklergold@gmx.at</t>
  </si>
  <si>
    <t>https://bilder.dasschnelle.at/DasSchnelle/50/5000/9942/042037/G_042037_P_906274681.adn.gif</t>
  </si>
  <si>
    <t>Weikos Versicherungsagentur, Martina Weinmüllner • Aspang Markt • Niederösterreich</t>
  </si>
  <si>
    <t>Versicherungsagentur • Weikos Versicherungsagentur, Martina Weinmüllner, Andreas Hofer-Straße 40, Aspang Markt • Kontakt über aktuelle Telefonnummern ☎ und Adressen ⚑ mit Karte, Routing, Öffnungszeiten, Homepage, E-Mail, vCard und Firmendaten.</t>
  </si>
  <si>
    <t>Andreas Hofer-Straße 40</t>
  </si>
  <si>
    <t>Aspang Markt</t>
  </si>
  <si>
    <t>47.5682200</t>
  </si>
  <si>
    <t>16.0993600</t>
  </si>
  <si>
    <t>+43264251440</t>
  </si>
  <si>
    <t>office@weikos.at</t>
  </si>
  <si>
    <t>https://bilder.dasschnelle.at/DasSchnelle/50/5000/9913/042011/G_042011_P_906277483.adn.gif</t>
  </si>
  <si>
    <t>Augusti, Susanna, Bioresonanztherapie • Kottingbrunn • Niederösterreich</t>
  </si>
  <si>
    <t>Bioresonanz • Augusti, Susanna, Weidengasse 10, Kottingbrunn • Kontakt über aktuelle Telefonnummern ☎ und Adressen ⚑ mit Karte, Routing, Öffnungszeiten, Homepage, E-Mail, vCard und Firmendaten.</t>
  </si>
  <si>
    <t>Weidengasse 10</t>
  </si>
  <si>
    <t>47.9615</t>
  </si>
  <si>
    <t>16.23606</t>
  </si>
  <si>
    <t>+432252790426</t>
  </si>
  <si>
    <t>susannaaugusti@hotmail.de</t>
  </si>
  <si>
    <t>https://bilder.dasschnelle.at/DasSchnelle/50/5000/9870/041349/G_041349_P_906281384.adn.gif</t>
  </si>
  <si>
    <t>Installationen Fossler • Würnitz • Niederösterreich</t>
  </si>
  <si>
    <t>Installationsunternehmen • Installationen Fossler, Friedhofstraße 31, Würnitz • Kontakt über aktuelle Telefonnummern ☎ und Adressen ⚑ mit Karte, Routing, Öffnungszeiten, Homepage, E-Mail, vCard und Firmendaten.</t>
  </si>
  <si>
    <t>Friedhofstraße 31</t>
  </si>
  <si>
    <t>2112</t>
  </si>
  <si>
    <t>Würnitz</t>
  </si>
  <si>
    <t>48.42755</t>
  </si>
  <si>
    <t>16.42041</t>
  </si>
  <si>
    <t>+436644238869</t>
  </si>
  <si>
    <t>gerald.fossler@aon.at</t>
  </si>
  <si>
    <t>https://bilder.dasschnelle.at/DasSchnelle/50/5000/9898/041411/I_041411_P_906065302_L_0038796825_1.png</t>
  </si>
  <si>
    <t>https://bilder.dasschnelle.at/DasSchnelle/50/5000/9898/041411/I_041411_P_906065302_B_0038796825_1.gal.png?height=600&amp;width=450;https://bilder.dasschnelle.at/DasSchnelle/50/5000/9898/041411/I_041411_P_906065302_B_0038796825_2.gal.png?height=600&amp;width=450;https://bilder.dasschnelle.at/DasSchnelle/50/5000/9898/041411/G_041411_P_906304806.adn.gif</t>
  </si>
  <si>
    <t>Kofler, Tanja, Bauernladen • Dellach • Kärnten</t>
  </si>
  <si>
    <t>Landhandel, Naturkost • Kofler, Tanja, St. Daniel 53, Dellach • Kontakt über aktuelle Telefonnummern ☎ und Adressen ⚑ mit Karte, Routing, Öffnungszeiten, Homepage, E-Mail, vCard und Firmendaten.</t>
  </si>
  <si>
    <t>St. Daniel 53</t>
  </si>
  <si>
    <t>46.6625892</t>
  </si>
  <si>
    <t>13.0570593</t>
  </si>
  <si>
    <t>+4347188857</t>
  </si>
  <si>
    <t>kaesehof@aon.at</t>
  </si>
  <si>
    <t>https://bilder.dasschnelle.at/DasSchnelle/50/5000/9891/042083/I_042083_P_906084892_B_0037078582_1.gal.png?height=576&amp;width=1024;https://bilder.dasschnelle.at/DasSchnelle/50/5000/9891/042083/I_042083_P_906084892_B_0037078582_2.gal.png?height=480&amp;width=480;https://bilder.dasschnelle.at/DasSchnelle/50/5000/9891/042083/G_042083_P_906300399.adn.gif</t>
  </si>
  <si>
    <t>Kaburek, Mario, Malereibetrieb • Göpfritz an der Wild • Niederösterreich</t>
  </si>
  <si>
    <t>Malereibetriebe • Kaburek, Mario, Scheideldorf 86, Göpfritz an der Wild • Kontakt über aktuelle Telefonnummern ☎ und Adressen ⚑ mit Karte, Routing, Öffnungszeiten, Homepage, E-Mail, vCard und Firmendaten.</t>
  </si>
  <si>
    <t>Scheideldorf 86</t>
  </si>
  <si>
    <t>48.7380167</t>
  </si>
  <si>
    <t>15.3389035</t>
  </si>
  <si>
    <t>+436643115746;+436643115746</t>
  </si>
  <si>
    <t>malerei.kaburek@gmx.at</t>
  </si>
  <si>
    <t>https://bilder.dasschnelle.at/DasSchnelle/50/5000/9950/044526/G_044526_P_906308543.adn.gif</t>
  </si>
  <si>
    <t>Guri, Ferdinant, Taxiunternehmen • Gmunden • Oberösterreich</t>
  </si>
  <si>
    <t>Taxi • Guri, Ferdinant, Cumberlandpark 85, Gmunden • Kontakt über aktuelle Telefonnummern ☎ und Adressen ⚑ mit Karte, Routing, Öffnungszeiten, Homepage, E-Mail, vCard und Firmendaten.</t>
  </si>
  <si>
    <t>Cumberlandpark 85</t>
  </si>
  <si>
    <t>47.9280600</t>
  </si>
  <si>
    <t>13.8027400</t>
  </si>
  <si>
    <t>+43761272444</t>
  </si>
  <si>
    <t>+43761274236</t>
  </si>
  <si>
    <t>ferdinant.guri@aon.at</t>
  </si>
  <si>
    <t>https://bilder.dasschnelle.at/DasSchnelle/50/5000/9886/041792/G_041792_P_906269876.adn.gif</t>
  </si>
  <si>
    <t>Gaston Giefing e.U. • Klosterneuburg • Niederösterreich</t>
  </si>
  <si>
    <t>Kunstschlossereien • Gaston Giefing e.U., Aufeldgasse 64, Klosterneuburg • Kontakt über aktuelle Telefonnummern ☎ und Adressen ⚑ mit Karte, Routing, Öffnungszeiten, Homepage, E-Mail, vCard und Firmendaten.</t>
  </si>
  <si>
    <t>Aufeldgasse 64</t>
  </si>
  <si>
    <t>48.29055</t>
  </si>
  <si>
    <t>16.3396</t>
  </si>
  <si>
    <t>+43224333600</t>
  </si>
  <si>
    <t>schlosserei-giefing@aon.at</t>
  </si>
  <si>
    <t>https://bilder.dasschnelle.at/DasSchnelle/50/5000/9897/061492/I_061492_P_906080864_L_0037332562_1.png</t>
  </si>
  <si>
    <t>https://bilder.dasschnelle.at/DasSchnelle/50/5000/9897/061492/I_061492_P_906080864_B_0037332562_1.gal.png?height=391&amp;width=391;https://bilder.dasschnelle.at/DasSchnelle/50/5000/9897/061492/I_061492_P_906080864_B_0037332562_2.gal.png?height=391&amp;width=391;https://bilder.dasschnelle.at/DasSchnelle/50/5000/9897/061492/I_061492_P_906080864_B_0037332562_3.gal.png?height=391&amp;width=391;https://bilder.dasschnelle.at/DasSchnelle/50/5000/9897/061492/I_061492_P_906080864_B_0037332562_4.gal.png?height=391&amp;width=391</t>
  </si>
  <si>
    <t>Mohamed Salah Tlig, Installateur und Haustechnik • St. Andrä-Wördern • Niederösterreich</t>
  </si>
  <si>
    <t>Installationen • Mohamed Salah Tlig, Römerstraße 6, St. Andrä-Wördern • Kontakt über aktuelle Telefonnummern ☎ und Adressen ⚑ mit Karte, Routing, Öffnungszeiten, Homepage, E-Mail, vCard und Firmendaten.</t>
  </si>
  <si>
    <t>48.3308000</t>
  </si>
  <si>
    <t>16.2219100</t>
  </si>
  <si>
    <t>+436767510033</t>
  </si>
  <si>
    <t>m.tlig@aon.at</t>
  </si>
  <si>
    <t>https://bilder.dasschnelle.at/DasSchnelle/50/5000/9938/044251/G_044251_P_906123888.adn.gif</t>
  </si>
  <si>
    <t>Riegler, Richard, Dr.med., Arzt für Allgemeinmedizin • Pöllau • Steiermark</t>
  </si>
  <si>
    <t>Allgemeinmedizin • Riegler, Richard, Dr.med., Lamberggasse 8, Pöllau • Kontakt über aktuelle Telefonnummern ☎ und Adressen ⚑ mit Karte, Routing, Öffnungszeiten, Homepage, E-Mail, vCard und Firmendaten.</t>
  </si>
  <si>
    <t>Lamberggasse 8</t>
  </si>
  <si>
    <t>47.29976</t>
  </si>
  <si>
    <t>15.83396</t>
  </si>
  <si>
    <t>+43333540506</t>
  </si>
  <si>
    <t>+433335405064</t>
  </si>
  <si>
    <t>dr.riegler@medway.at</t>
  </si>
  <si>
    <t>https://bilder.dasschnelle.at/DasSchnelle/50/5000/9890/061400/G_061400_P_906183883.adn.gif</t>
  </si>
  <si>
    <t>Pickem, Reinhard, Sonnenschutz • Mautern • Niederösterreich</t>
  </si>
  <si>
    <t>Sonnenschutz • Pickem, Reinhard, Austraße 49, Mautern • Kontakt über aktuelle Telefonnummern ☎ und Adressen ⚑ mit Karte, Routing, Öffnungszeiten, Homepage, E-Mail, vCard und Firmendaten.</t>
  </si>
  <si>
    <t>Austraße 49</t>
  </si>
  <si>
    <t>48.37818</t>
  </si>
  <si>
    <t>15.60949</t>
  </si>
  <si>
    <t>+436641101298</t>
  </si>
  <si>
    <t>office@pickemsonne.at</t>
  </si>
  <si>
    <t>https://bilder.dasschnelle.at/DasSchnelle/50/5000/9899/041501/G_041501_P_906186510.adn.gif</t>
  </si>
  <si>
    <t>Monis Grillhendl • Kirchham • Oberösterreich</t>
  </si>
  <si>
    <t>Imbiß • Monis Grillhendl, Kirchham 24, Kirchham • Kontakt über aktuelle Telefonnummern ☎ und Adressen ⚑ mit Karte, Routing, Öffnungszeiten, Homepage, E-Mail, vCard und Firmendaten.</t>
  </si>
  <si>
    <t>Kirchham 24</t>
  </si>
  <si>
    <t>47.9709495</t>
  </si>
  <si>
    <t>13.8979729</t>
  </si>
  <si>
    <t>+4369912651007</t>
  </si>
  <si>
    <t>monishendlgrill@gmail.com</t>
  </si>
  <si>
    <t>https://bilder.dasschnelle.at/DasSchnelle/50/5000/9943/041797/I_041797_P_905958337_L_0036261532_1.png</t>
  </si>
  <si>
    <t>https://bilder.dasschnelle.at/DasSchnelle/50/5000/9943/041797/I_041797_P_905958337_B_0036261532_1.gal.png?height=600&amp;width=450;https://bilder.dasschnelle.at/DasSchnelle/50/5000/9943/041797/I_041797_P_905958337_B_0036261532_2.gal.png?height=600&amp;width=600;https://bilder.dasschnelle.at/DasSchnelle/50/5000/9943/041797/I_041797_P_905958337_B_0036261532_3.gal.png?height=600&amp;width=600;https://bilder.dasschnelle.at/DasSchnelle/50/5000/9943/041797/I_041797_P_905958337_B_0036261532_4.gal.png?height=337&amp;width=600</t>
  </si>
  <si>
    <t>Obermüller, Rudolf, Malerbetrieb • Neufelden • Oberösterreich</t>
  </si>
  <si>
    <t>Malereibetriebe • Obermüller, Rudolf, Gärtnerweg 1, Neufelden • Kontakt über aktuelle Telefonnummern ☎ und Adressen ⚑ mit Karte, Routing, Öffnungszeiten, Homepage, E-Mail, vCard und Firmendaten.</t>
  </si>
  <si>
    <t>Gärtnerweg 1</t>
  </si>
  <si>
    <t>48.4728278</t>
  </si>
  <si>
    <t>13.8362732</t>
  </si>
  <si>
    <t>+436643559163</t>
  </si>
  <si>
    <t>office@malerei-obermueller.at</t>
  </si>
  <si>
    <t>https://bilder.dasschnelle.at/DasSchnelle/50/5000/9923/042280/G_042280_P_906203528.adn.gif</t>
  </si>
  <si>
    <t>Plischke, Sandra, Dr.med., FA f Frauenheilkunde u Geburtshilfe • Kitzbühel • Tirol</t>
  </si>
  <si>
    <t>Frauenheilkunde u. Geburtshilfe • Plischke, Sandra, Dr.med., Achenweg 16, Kitzbühel • Kontakt über aktuelle Telefonnummern ☎ und Adressen ⚑ mit Karte, Routing, Öffnungszeiten, Homepage, E-Mail, vCard und Firmendaten.</t>
  </si>
  <si>
    <t>Achenweg 16</t>
  </si>
  <si>
    <t>47.45098</t>
  </si>
  <si>
    <t>12.39125</t>
  </si>
  <si>
    <t>+43535673300</t>
  </si>
  <si>
    <t>praxis@dr-plischke.at</t>
  </si>
  <si>
    <t>https://bilder.dasschnelle.at/DasSchnelle/50/5000/9896/046135/G_046135_P_906222815.adn.gif</t>
  </si>
  <si>
    <t>Pizzeria OSSI • St. Stefan ob Stainz • Steiermark</t>
  </si>
  <si>
    <t>Pizzerias • Pizzeria OSSI, St.Stefan ob Stainz 134, St. Stefan ob Stainz • Kontakt über aktuelle Telefonnummern ☎ und Adressen ⚑ mit Karte, Routing, Öffnungszeiten, Homepage, E-Mail, vCard und Firmendaten.</t>
  </si>
  <si>
    <t>St.Stefan ob Stainz 134</t>
  </si>
  <si>
    <t>St. Stefan ob Stainz</t>
  </si>
  <si>
    <t>46.9305932</t>
  </si>
  <si>
    <t>15.2500383</t>
  </si>
  <si>
    <t>+43346382170</t>
  </si>
  <si>
    <t>https://bilder.dasschnelle.at/DasSchnelle/50/5000/9875/061385/G_061385_P_906257683.adn.gif</t>
  </si>
  <si>
    <t>VERSFINANZ Mag. Lasch &amp; Partner Gesellschaft mbH • Eferding • Oberösterreich</t>
  </si>
  <si>
    <t>Versicherungsunternehmen • VERSFINANZ Mag. Lasch &amp; Partner Gesellschaft mbH, Polsenz 17, Eferding • Kontakt über aktuelle Telefonnummern ☎ und Adressen ⚑ mit Karte, Routing, Öffnungszeiten, Homepage, E-Mail, vCard und Firmendaten.</t>
  </si>
  <si>
    <t>Polsenz 17</t>
  </si>
  <si>
    <t>48.2995415</t>
  </si>
  <si>
    <t>14.0116367</t>
  </si>
  <si>
    <t>+4372726198;+4372726199;+43727270239;+43727270237</t>
  </si>
  <si>
    <t>eferding@versfinanz.at</t>
  </si>
  <si>
    <t>https://bilder.dasschnelle.at/DasSchnelle/50/5000/9876/044809/G_044809_P_906269896.adn.gif</t>
  </si>
  <si>
    <t>Physiotherapie Meusburger • Mieming • Tirol</t>
  </si>
  <si>
    <t>Physiotherapie • Physiotherapie Meusburger, Dr.Siegfried Gapp Weg 7, Mieming • Kontakt über aktuelle Telefonnummern ☎ und Adressen ⚑ mit Karte, Routing, Öffnungszeiten, Homepage, E-Mail, vCard und Firmendaten.</t>
  </si>
  <si>
    <t>Dr.Siegfried Gapp Weg 7</t>
  </si>
  <si>
    <t>6414</t>
  </si>
  <si>
    <t>Mieming</t>
  </si>
  <si>
    <t>47.3063</t>
  </si>
  <si>
    <t>10.96564</t>
  </si>
  <si>
    <t>+436502808023</t>
  </si>
  <si>
    <t>info@dryneedling.at</t>
  </si>
  <si>
    <t>https://bilder.dasschnelle.at/DasSchnelle/50/5000/9903/044584/G_044584_P_906319716.adn.gif</t>
  </si>
  <si>
    <t>Mitterer, Tamara, Friseur • Greifenburg • Kärnten</t>
  </si>
  <si>
    <t>Friseure • Mitterer, Tamara, Hauptstraße 52, Greifenburg • Kontakt über aktuelle Telefonnummern ☎ und Adressen ⚑ mit Karte, Routing, Öffnungszeiten, Homepage, E-Mail, vCard und Firmendaten.</t>
  </si>
  <si>
    <t>9761</t>
  </si>
  <si>
    <t>Greifenburg</t>
  </si>
  <si>
    <t>46.7507</t>
  </si>
  <si>
    <t>13.18069</t>
  </si>
  <si>
    <t>+434712370</t>
  </si>
  <si>
    <t>frisuer@stylingteam-tamara.at</t>
  </si>
  <si>
    <t>https://bilder.dasschnelle.at/DasSchnelle/50/5000/9933/042136/G_042136_P_906294828.adn.gif</t>
  </si>
  <si>
    <t>Stepan, Hannes, Elektrounternehmen • Jennersdorf • Burgenland</t>
  </si>
  <si>
    <t>Landesprodukte • Stepan, Hannes, Hauptstraße 8, Jennersdorf • Kontakt über aktuelle Telefonnummern ☎ und Adressen ⚑ mit Karte, Routing, Öffnungszeiten, Homepage, E-Mail, vCard und Firmendaten.</t>
  </si>
  <si>
    <t>Hauptstraße 8</t>
  </si>
  <si>
    <t>46.93774</t>
  </si>
  <si>
    <t>16.11042</t>
  </si>
  <si>
    <t>+43332945327</t>
  </si>
  <si>
    <t>+43332946286</t>
  </si>
  <si>
    <t>office@elektro-stepan.at</t>
  </si>
  <si>
    <t>https://bilder.dasschnelle.at/DasSchnelle/50/5000/9884/041575/G_041575_P_906310154.adn.gif</t>
  </si>
  <si>
    <t>Gartenbau Langer • Fürstenfeld • Steiermark</t>
  </si>
  <si>
    <t>Garten- u. Landschaftsgestaltung • Gartenbau Langer, Stadtbergenweg 8, Fürstenfeld • Kontakt über aktuelle Telefonnummern ☎ und Adressen ⚑ mit Karte, Routing, Öffnungszeiten, Homepage, E-Mail, vCard und Firmendaten.</t>
  </si>
  <si>
    <t>Stadtbergenweg 8</t>
  </si>
  <si>
    <t>47.05149</t>
  </si>
  <si>
    <t>16.06719</t>
  </si>
  <si>
    <t>+436764201762</t>
  </si>
  <si>
    <t>office@blumen-langer.at</t>
  </si>
  <si>
    <t>https://bilder.dasschnelle.at/DasSchnelle/50/5000/9884/061368/G_061368_P_906310157.adn.gif</t>
  </si>
  <si>
    <t>Spar Markt • Reidling • Niederösterreich</t>
  </si>
  <si>
    <t>Einkaufszentren, Lebensmittel • Spar Markt, Leopold-Figl-Platz 8, Reidling • Kontakt über aktuelle Telefonnummern ☎ und Adressen ⚑ mit Karte, Routing, Öffnungszeiten, Homepage, E-Mail, vCard und Firmendaten.</t>
  </si>
  <si>
    <t>Leopold-Figl-Platz 8</t>
  </si>
  <si>
    <t>3454</t>
  </si>
  <si>
    <t>Reidling</t>
  </si>
  <si>
    <t>48.31899</t>
  </si>
  <si>
    <t>15.818</t>
  </si>
  <si>
    <t>+43227622160</t>
  </si>
  <si>
    <t>spar.andert@aon.at</t>
  </si>
  <si>
    <t>https://bilder.dasschnelle.at/DasSchnelle/50/5000/9938/044245/G_044245_P_906320184.adn.gif</t>
  </si>
  <si>
    <t>Schwaiger, Optik-Kontaktlinsen • Schwanenstadt • Oberösterreich</t>
  </si>
  <si>
    <t>Gesundheitsberatung, Optik • Schwaiger, Sparkassenplatz 1, Schwanenstadt • Kontakt über aktuelle Telefonnummern ☎ und Adressen ⚑ mit Karte, Routing, Öffnungszeiten, Homepage, E-Mail, vCard und Firmendaten.</t>
  </si>
  <si>
    <t>Sparkassenplatz 1</t>
  </si>
  <si>
    <t>48.05502</t>
  </si>
  <si>
    <t>13.77626</t>
  </si>
  <si>
    <t>+4376732337</t>
  </si>
  <si>
    <t>+43767323373</t>
  </si>
  <si>
    <t>office@optik-schwaiger.at</t>
  </si>
  <si>
    <t>https://bilder.dasschnelle.at/DasSchnelle/50/5000/9940/043104/G_043104_P_906320186.adn.gif</t>
  </si>
  <si>
    <t>Strasser-Markt HandelsGmbH, Lebensmittel • Perg • Oberösterreich</t>
  </si>
  <si>
    <t>Lebensmittel • Strasser-Markt HandelsGmbH, Bahnhofstraße 16, Perg • Kontakt über aktuelle Telefonnummern ☎ und Adressen ⚑ mit Karte, Routing, Öffnungszeiten, Homepage, E-Mail, vCard und Firmendaten.</t>
  </si>
  <si>
    <t>48.24908</t>
  </si>
  <si>
    <t>14.63038</t>
  </si>
  <si>
    <t>+437262525780;+4372625257811;+4372625257812;+4372625257813;+4372625257816</t>
  </si>
  <si>
    <t>+437262579974</t>
  </si>
  <si>
    <t>info@strasser-markt.at</t>
  </si>
  <si>
    <t>https://bilder.dasschnelle.at/DasSchnelle/50/5000/9916/042528/G_042528_P_906320188.adn.gif</t>
  </si>
  <si>
    <t>Stoll, Matthias, Dr.med. • Gmunden • Oberösterreich</t>
  </si>
  <si>
    <t>Zahnärzte • Stoll, Matthias, Dr.med., Am Graben 7, Gmunden • Kontakt über aktuelle Telefonnummern ☎ und Adressen ⚑ mit Karte, Routing, Öffnungszeiten, Homepage, E-Mail, vCard und Firmendaten.</t>
  </si>
  <si>
    <t>Am Graben 7</t>
  </si>
  <si>
    <t>47.91842</t>
  </si>
  <si>
    <t>13.798</t>
  </si>
  <si>
    <t>+43761270017</t>
  </si>
  <si>
    <t>https://bilder.dasschnelle.at/DasSchnelle/50/5000/9886/041792/G_041792_P_906198651.adn.gif</t>
  </si>
  <si>
    <t>Riegler Brüder GmbH, Schlosserei • Enns • Oberösterreich</t>
  </si>
  <si>
    <t>Schlossereien • Riegler Brüder GmbH, Mainstraße 2, Enns • Kontakt über aktuelle Telefonnummern ☎ und Adressen ⚑ mit Karte, Routing, Öffnungszeiten, Homepage, E-Mail, vCard und Firmendaten.</t>
  </si>
  <si>
    <t>Mainstraße 2</t>
  </si>
  <si>
    <t>48.2274400</t>
  </si>
  <si>
    <t>14.4911800</t>
  </si>
  <si>
    <t>+43722381321</t>
  </si>
  <si>
    <t>office@b-riegler.at</t>
  </si>
  <si>
    <t>https://bilder.dasschnelle.at/DasSchnelle/50/5000/9877/046105/G_046105_P_906173411.adn.gif</t>
  </si>
  <si>
    <t>W &amp; G Montageprofi, Fenster &amp; Türen • Füssen</t>
  </si>
  <si>
    <t>Fenster u. Türen • W &amp; G Montageprofi, Kemptenerstraße 85 a, Füssen • Kontakt über aktuelle Telefonnummern ☎ und Adressen ⚑ mit Karte, Routing, Öffnungszeiten, Homepage, E-Mail, vCard und Firmendaten.</t>
  </si>
  <si>
    <t>Kemptenerstraße 85 a</t>
  </si>
  <si>
    <t>87629</t>
  </si>
  <si>
    <t>Füssen</t>
  </si>
  <si>
    <t>47.5681048</t>
  </si>
  <si>
    <t>10.6768565</t>
  </si>
  <si>
    <t>+436763383694</t>
  </si>
  <si>
    <t>info@wug-montageprofi.at</t>
  </si>
  <si>
    <t>https://bilder.dasschnelle.at/DasSchnelle/50/5000/9921/042589/I_042589_P_906021647_L_0035970101_1.png</t>
  </si>
  <si>
    <t>https://bilder.dasschnelle.at/DasSchnelle/50/5000/9921/042589/I_042589_P_906021647_B_0035970101_1.gal.png?height=480&amp;width=720;https://bilder.dasschnelle.at/DasSchnelle/50/5000/9921/042589/I_042589_P_906021647_B_0035970101_2.gal.png?height=540&amp;width=720;https://bilder.dasschnelle.at/DasSchnelle/50/5000/9921/042589/I_042589_P_906021647_B_0035970101_3.gal.png?height=540&amp;width=720;https://bilder.dasschnelle.at/DasSchnelle/50/5000/9921/042589/I_042589_P_906021647_B_0035970101_4.gal.png?height=540&amp;width=720</t>
  </si>
  <si>
    <t>Kleissner J. Spengler u Dachdecker GmbH • Tillmitsch • Steiermark</t>
  </si>
  <si>
    <t>Dachdeckereien, Spenglereien • Kleissner J. Spengler u Dachdecker GmbH, Gewerbepark 3, Tillmitsch • Kontakt über aktuelle Telefonnummern ☎ und Adressen ⚑ mit Karte, Routing, Öffnungszeiten, Homepage, E-Mail, vCard und Firmendaten.</t>
  </si>
  <si>
    <t>Gewerbepark 3</t>
  </si>
  <si>
    <t>46.81453</t>
  </si>
  <si>
    <t>15.53183</t>
  </si>
  <si>
    <t>+43345286455</t>
  </si>
  <si>
    <t>josef@kleissner-dach.at</t>
  </si>
  <si>
    <t>https://bilder.dasschnelle.at/DasSchnelle/50/5000/9904/044320/G_044320_P_906298003.adn.gif</t>
  </si>
  <si>
    <t>Bestattung Ploberger • Vöcklabruck • Oberösterreich</t>
  </si>
  <si>
    <t>Bestattungsunternehmen • Bestattung Ploberger, Vorstadt 7, Vöcklabruck • Kontakt über aktuelle Telefonnummern ☎ und Adressen ⚑ mit Karte, Routing, Öffnungszeiten, Homepage, E-Mail, vCard und Firmendaten.</t>
  </si>
  <si>
    <t>Vorstadt 7</t>
  </si>
  <si>
    <t>48.00949</t>
  </si>
  <si>
    <t>13.65657</t>
  </si>
  <si>
    <t>+437672244210</t>
  </si>
  <si>
    <t>wploberger@tmo.at</t>
  </si>
  <si>
    <t>https://bilder.dasschnelle.at/DasSchnelle/50/5000/9940/043555/I_043555_P_906089639_L_0036008167_1.png</t>
  </si>
  <si>
    <t>https://bilder.dasschnelle.at/DasSchnelle/50/5000/9940/043555/G_043555_P_906314917.adn.gif</t>
  </si>
  <si>
    <t>Preinfalk, Peter, dr.med.univ., Wahlarzt f. Dermatologie-Allergologe • Freistadt • Oberösterreich</t>
  </si>
  <si>
    <t>Ärzte / Fachärzte f. Haut u. Geschlechtskrankheiten • Preinfalk, Peter, dr.med.univ., Promenade 11, Freistadt • Kontakt über aktuelle Telefonnummern ☎ und Adressen ⚑ mit Karte, Routing, Öffnungszeiten, Homepage, E-Mail, vCard und Firmendaten.</t>
  </si>
  <si>
    <t>Promenade 11</t>
  </si>
  <si>
    <t>48.51074</t>
  </si>
  <si>
    <t>14.50124</t>
  </si>
  <si>
    <t>+43794273666</t>
  </si>
  <si>
    <t>https://bilder.dasschnelle.at/DasSchnelle/50/5000/9882/044815/G_044815_P_906323676.adn.gif</t>
  </si>
  <si>
    <t>Mayrhofer Lisa  • Kefermarkt • Oberösterreich</t>
  </si>
  <si>
    <t>Friseure • Mayrhofer Lisa, Am Bahnhof 3, Kefermarkt • Kontakt über aktuelle Telefonnummern ☎ und Adressen ⚑ mit Karte, Routing, Öffnungszeiten, Homepage, E-Mail, vCard und Firmendaten.</t>
  </si>
  <si>
    <t>Am Bahnhof 3</t>
  </si>
  <si>
    <t>4292</t>
  </si>
  <si>
    <t>Kefermarkt</t>
  </si>
  <si>
    <t>48.43942</t>
  </si>
  <si>
    <t>14.53802</t>
  </si>
  <si>
    <t>+43794774097</t>
  </si>
  <si>
    <t>schnittpunktlisa@gmx.at</t>
  </si>
  <si>
    <t>https://bilder.dasschnelle.at/DasSchnelle/50/5000/9882/041767/G_041767_P_906323678.adn.gif</t>
  </si>
  <si>
    <t>Süß Transporte GmbH &amp; Co KG • Haid • Oberösterreich</t>
  </si>
  <si>
    <t>Transportunternehmen • Süß Transporte GmbH &amp; Co KG, Haid 26, Haid • Kontakt über aktuelle Telefonnummern ☎ und Adressen ⚑ mit Karte, Routing, Öffnungszeiten, Homepage, E-Mail, vCard und Firmendaten.</t>
  </si>
  <si>
    <t>Haid 26</t>
  </si>
  <si>
    <t>48.5308430</t>
  </si>
  <si>
    <t>14.2670178</t>
  </si>
  <si>
    <t>+4372136408;+436645156054</t>
  </si>
  <si>
    <t>+43721364084</t>
  </si>
  <si>
    <t>office@transporte-suess.at</t>
  </si>
  <si>
    <t>https://bilder.dasschnelle.at/DasSchnelle/50/5000/9939/042828/G_042828_P_906323679.adn.gif</t>
  </si>
  <si>
    <t>Mitterecker Bau- und Fachmarkt GmbH • Zell an der Pram • Oberösterreich</t>
  </si>
  <si>
    <t>Baustoffhandel, Bauunternehmen • Mitterecker Bau- und Fachmarkt GmbH, Andorfer Straße 13, Zell an der Pram • Kontakt über aktuelle Telefonnummern ☎ und Adressen ⚑ mit Karte, Routing, Öffnungszeiten, Homepage, E-Mail, vCard und Firmendaten.</t>
  </si>
  <si>
    <t>Andorfer Straße 13</t>
  </si>
  <si>
    <t>48.31917</t>
  </si>
  <si>
    <t>13.62668</t>
  </si>
  <si>
    <t>+43776468380</t>
  </si>
  <si>
    <t>+4377646839</t>
  </si>
  <si>
    <t>buero@mitterecker.at</t>
  </si>
  <si>
    <t>https://bilder.dasschnelle.at/DasSchnelle/50/5000/9926/042805/G_042805_P_906323682.adn.gif</t>
  </si>
  <si>
    <t>BRANTSCH ELEKTROTECHNIK GMBH • Peggau • Steiermark</t>
  </si>
  <si>
    <t>Elektrohandel • BRANTSCH ELEKTROTECHNIK GMBH, Hinterbergstraße 8, Peggau • Kontakt über aktuelle Telefonnummern ☎ und Adressen ⚑ mit Karte, Routing, Öffnungszeiten, Homepage, E-Mail, vCard und Firmendaten.</t>
  </si>
  <si>
    <t>Hinterbergstraße 8</t>
  </si>
  <si>
    <t>47.1988200</t>
  </si>
  <si>
    <t>15.3494300</t>
  </si>
  <si>
    <t>+43312720908;+436643944191</t>
  </si>
  <si>
    <t>+4331272090847</t>
  </si>
  <si>
    <t>office@brantsch-elektrotechnik.at</t>
  </si>
  <si>
    <t>https://bilder.dasschnelle.at/DasSchnelle/50/5000/9883/042341/G_042341_P_906323684.adn.gif</t>
  </si>
  <si>
    <t>Schönegger GmbH, Orthopädie • St. Peter in der Au-Mark • Niederösterreich</t>
  </si>
  <si>
    <t>Orthopädie • Schönegger GmbH, Betriebsgebiet-West 7, St. Peter in der Au-Mark • Kontakt über aktuelle Telefonnummern ☎ und Adressen ⚑ mit Karte, Routing, Öffnungszeiten, Homepage, E-Mail, vCard und Firmendaten.</t>
  </si>
  <si>
    <t>Betriebsgebiet-West 7</t>
  </si>
  <si>
    <t>48.04216</t>
  </si>
  <si>
    <t>14.60967</t>
  </si>
  <si>
    <t>+43747743684</t>
  </si>
  <si>
    <t>eva@bessergehen.at</t>
  </si>
  <si>
    <t>https://bilder.dasschnelle.at/DasSchnelle/50/5000/9924/041324/G_041324_P_906323687.adn.gif</t>
  </si>
  <si>
    <t>Hufnagl, Agnes, Mag., Kleintierordination • Groß-Siegharts • Niederösterreich</t>
  </si>
  <si>
    <t>Tierärzte • Hufnagl, Agnes, Mag., Lange Gasse 2, Groß-Siegharts • Kontakt über aktuelle Telefonnummern ☎ und Adressen ⚑ mit Karte, Routing, Öffnungszeiten, Homepage, E-Mail, vCard und Firmendaten.</t>
  </si>
  <si>
    <t>Lange Gasse 2</t>
  </si>
  <si>
    <t>48.7906229</t>
  </si>
  <si>
    <t>15.4007088</t>
  </si>
  <si>
    <t>+4328472612</t>
  </si>
  <si>
    <t>office@tierarzt-hufnagl.at</t>
  </si>
  <si>
    <t>https://bilder.dasschnelle.at/DasSchnelle/50/5000/9885/998318/G_998318_P_906324359.adn.gif</t>
  </si>
  <si>
    <t>UNIMET Metallverarbeitung GmbH &amp; Co KG • Ungenach • Oberösterreich</t>
  </si>
  <si>
    <t>Metallbau, Metallbe- u. -verarbeitung • UNIMET Metallverarbeitung GmbH &amp; Co KG, Ungenach 63, Ungenach • Kontakt über aktuelle Telefonnummern ☎ und Adressen ⚑ mit Karte, Routing, Öffnungszeiten, Homepage, E-Mail, vCard und Firmendaten.</t>
  </si>
  <si>
    <t>Ungenach 63</t>
  </si>
  <si>
    <t>4841</t>
  </si>
  <si>
    <t>Ungenach</t>
  </si>
  <si>
    <t>48.0423339</t>
  </si>
  <si>
    <t>13.6107470</t>
  </si>
  <si>
    <t>+43767284777;+436643300155</t>
  </si>
  <si>
    <t>+4376728477713</t>
  </si>
  <si>
    <t>office@unimet.at</t>
  </si>
  <si>
    <t>https://bilder.dasschnelle.at/DasSchnelle/50/5000/9940/043553/G_043553_P_906323691.adn.gif</t>
  </si>
  <si>
    <t>PURETRANS Language Services e.U., Übersetzungsbüros • Zell am Pettenfirst • Oberösterreich</t>
  </si>
  <si>
    <t>Übersetzungsbüros • PURETRANS Language Services e.U., Bruck 9, Zell am Pettenfirst • Kontakt über aktuelle Telefonnummern ☎ und Adressen ⚑ mit Karte, Routing, Öffnungszeiten, Homepage, E-Mail, vCard und Firmendaten.</t>
  </si>
  <si>
    <t>Bruck 9</t>
  </si>
  <si>
    <t>48.0723589</t>
  </si>
  <si>
    <t>13.5782756</t>
  </si>
  <si>
    <t>+43767539518</t>
  </si>
  <si>
    <t>info@puretrans.com</t>
  </si>
  <si>
    <t>https://bilder.dasschnelle.at/DasSchnelle/50/5000/9940/043561/G_043561_P_906323694.adn.gif</t>
  </si>
  <si>
    <t>Gsth Zur Post • Schörfling • Oberösterreich</t>
  </si>
  <si>
    <t>Gastgewerbe - Gasthöfe • Gsth Zur Post, Marktplatz 22, Schörfling • Kontakt über aktuelle Telefonnummern ☎ und Adressen ⚑ mit Karte, Routing, Öffnungszeiten, Homepage, E-Mail, vCard und Firmendaten.</t>
  </si>
  <si>
    <t>Marktplatz 22</t>
  </si>
  <si>
    <t>47.9464704</t>
  </si>
  <si>
    <t>13.6043736</t>
  </si>
  <si>
    <t>+4376622595;+436642348812</t>
  </si>
  <si>
    <t>gerhard.koderhold@gmx.at</t>
  </si>
  <si>
    <t>https://bilder.dasschnelle.at/DasSchnelle/50/5000/9940/043103/G_043103_P_906323695.adn.gif</t>
  </si>
  <si>
    <t>Kienast, Johannes, Mag., Öffentlicher Notar • Zwettl • Niederösterreich</t>
  </si>
  <si>
    <t>Notare • Kienast, Johannes, Mag., Hamerlingstraße 12, Zwettl • Kontakt über aktuelle Telefonnummern ☎ und Adressen ⚑ mit Karte, Routing, Öffnungszeiten, Homepage, E-Mail, vCard und Firmendaten.</t>
  </si>
  <si>
    <t>Hamerlingstraße 12</t>
  </si>
  <si>
    <t>48.60554</t>
  </si>
  <si>
    <t>15.16785</t>
  </si>
  <si>
    <t>+432822524300</t>
  </si>
  <si>
    <t>+43282253836</t>
  </si>
  <si>
    <t>notar.kienast@notariat.zwettl.at</t>
  </si>
  <si>
    <t>https://bilder.dasschnelle.at/DasSchnelle/50/5000/9950/044545/G_044545_P_906323697.adn.gif</t>
  </si>
  <si>
    <t>Kury, Georg, Uhrmacher • Hermagor • Kärnten</t>
  </si>
  <si>
    <t>Uhrmacher • Kury, Georg, Hauptstraße 6, Hermagor • Kontakt über aktuelle Telefonnummern ☎ und Adressen ⚑ mit Karte, Routing, Öffnungszeiten, Homepage, E-Mail, vCard und Firmendaten.</t>
  </si>
  <si>
    <t>46.62742</t>
  </si>
  <si>
    <t>13.36997</t>
  </si>
  <si>
    <t>+4342822122</t>
  </si>
  <si>
    <t>+43428225000</t>
  </si>
  <si>
    <t>anfrage@kury.eu</t>
  </si>
  <si>
    <t>https://bilder.dasschnelle.at/DasSchnelle/50/5000/9891/042084/G_042084_P_906294829.adn.gif</t>
  </si>
  <si>
    <t>Enzi, Wolfgang, Maler • Ebbs • Tirol</t>
  </si>
  <si>
    <t>Maler, Anstreicher u. Lackierer • Enzi, Wolfgang, Kleinfeld 8 B, Ebbs • Kontakt über aktuelle Telefonnummern ☎ und Adressen ⚑ mit Karte, Routing, Öffnungszeiten, Homepage, E-Mail, vCard und Firmendaten.</t>
  </si>
  <si>
    <t>Kleinfeld 8 B</t>
  </si>
  <si>
    <t>47.62279</t>
  </si>
  <si>
    <t>12.21028</t>
  </si>
  <si>
    <t>+436508113087</t>
  </si>
  <si>
    <t>info@malerei-enzi.at</t>
  </si>
  <si>
    <t>https://bilder.dasschnelle.at/DasSchnelle/50/5000/9901/046151/G_046151_P_906294838.adn.gif</t>
  </si>
  <si>
    <t>Schweighofer, Franz, B.Ac., Haustechnik • Mondsee • Oberösterreich</t>
  </si>
  <si>
    <t>Haustechnik • Schweighofer, Franz, B.Ac., Keuschen 120, Mondsee • Kontakt über aktuelle Telefonnummern ☎ und Adressen ⚑ mit Karte, Routing, Öffnungszeiten, Homepage, E-Mail, vCard und Firmendaten.</t>
  </si>
  <si>
    <t>Keuschen 120</t>
  </si>
  <si>
    <t>+43623236083;+436645101510;+436645101610</t>
  </si>
  <si>
    <t>info@schweighofer-haustechnik.at</t>
  </si>
  <si>
    <t>https://bilder.dasschnelle.at/DasSchnelle/50/5000/9909/043101/G_043101_P_906312522.adn.gif</t>
  </si>
  <si>
    <t>Wastian-Gitschtal Reisen GmbH, Reisebüro • Weißbriach • Kärnten</t>
  </si>
  <si>
    <t>Reisebüros • Wastian-Gitschtal Reisen GmbH, Weißbriach 202, Weißbriach • Kontakt über aktuelle Telefonnummern ☎ und Adressen ⚑ mit Karte, Routing, Öffnungszeiten, Homepage, E-Mail, vCard und Firmendaten.</t>
  </si>
  <si>
    <t>Weißbriach 202</t>
  </si>
  <si>
    <t>9622</t>
  </si>
  <si>
    <t>Weißbriach</t>
  </si>
  <si>
    <t>46.6868257</t>
  </si>
  <si>
    <t>13.2531933</t>
  </si>
  <si>
    <t>+434286230</t>
  </si>
  <si>
    <t>+434286201</t>
  </si>
  <si>
    <t>info@gitschtalreisen-wastian.at</t>
  </si>
  <si>
    <t>https://bilder.dasschnelle.at/DasSchnelle/50/5000/9891/042088/G_042088_P_906311163.adn.gif</t>
  </si>
  <si>
    <t>Stiftstaverne Rein • Rein • Steiermark</t>
  </si>
  <si>
    <t>Gastgewerbe - Gasthöfe • Stiftstaverne Rein, Rein 4, Rein • Kontakt über aktuelle Telefonnummern ☎ und Adressen ⚑ mit Karte, Routing, Öffnungszeiten, Homepage, E-Mail, vCard und Firmendaten.</t>
  </si>
  <si>
    <t>Rein 4</t>
  </si>
  <si>
    <t>47.1364873</t>
  </si>
  <si>
    <t>15.2850030</t>
  </si>
  <si>
    <t>+43312453218</t>
  </si>
  <si>
    <t>stiftstaverne@stift-rein.at</t>
  </si>
  <si>
    <t>https://bilder.dasschnelle.at/DasSchnelle/50/5000/9883/061359/G_061359_P_906297555.adn.gif</t>
  </si>
  <si>
    <t>Versicherungsbüro Premm GmbH • Korneuburg • Niederösterreich</t>
  </si>
  <si>
    <t>Versicherungsunternehmen • Versicherungsbüro Premm GmbH, Hauptplatz 4, Korneuburg • Kontakt über aktuelle Telefonnummern ☎ und Adressen ⚑ mit Karte, Routing, Öffnungszeiten, Homepage, E-Mail, vCard und Firmendaten.</t>
  </si>
  <si>
    <t>48.3449000</t>
  </si>
  <si>
    <t>16.3335000</t>
  </si>
  <si>
    <t>+43226262265;+4366473760502;+4366473760518</t>
  </si>
  <si>
    <t>+43226262266</t>
  </si>
  <si>
    <t>office@premm.at</t>
  </si>
  <si>
    <t>https://bilder.dasschnelle.at/DasSchnelle/50/5000/9898/041413/G_041413_P_906304809.adn.gif</t>
  </si>
  <si>
    <t>PEHN Bootsbau GmbH • St. Georgen im Attergau • Oberösterreich</t>
  </si>
  <si>
    <t>Bootsbau • PEHN Bootsbau GmbH, Attergaustraße 84, St. Georgen im Attergau • Kontakt über aktuelle Telefonnummern ☎ und Adressen ⚑ mit Karte, Routing, Öffnungszeiten, Homepage, E-Mail, vCard und Firmendaten.</t>
  </si>
  <si>
    <t>Attergaustraße 84</t>
  </si>
  <si>
    <t>47.9371566</t>
  </si>
  <si>
    <t>13.4775087</t>
  </si>
  <si>
    <t>+43766780028;+436805533220</t>
  </si>
  <si>
    <t>office@pehn-bootsbau.at</t>
  </si>
  <si>
    <t>https://bilder.dasschnelle.at/DasSchnelle/50/5000/9940/043100/G_043100_P_906314965.adn.gif</t>
  </si>
  <si>
    <t>Manfred Mayrhofer e.U., Energie-Technik • Timelkam • Oberösterreich</t>
  </si>
  <si>
    <t>Installationsunternehmen • Manfred Mayrhofer e.U., Linzer Straße 49, Timelkam • Kontakt über aktuelle Telefonnummern ☎ und Adressen ⚑ mit Karte, Routing, Öffnungszeiten, Homepage, E-Mail, vCard und Firmendaten.</t>
  </si>
  <si>
    <t>Linzer Straße 49</t>
  </si>
  <si>
    <t>48.00278</t>
  </si>
  <si>
    <t>13.6144</t>
  </si>
  <si>
    <t>+4376729204713</t>
  </si>
  <si>
    <t>office@mayrhofer-heizung.at</t>
  </si>
  <si>
    <t>https://bilder.dasschnelle.at/DasSchnelle/50/5000/9940/043552/I_043552_P_906112242_L_0035999741_1.png</t>
  </si>
  <si>
    <t>Oberndorfer, Johann, Einrichtungsberater • Straß im Attergau • Oberösterreich</t>
  </si>
  <si>
    <t>Inneneinrichtungen • Oberndorfer, Johann, Sagerer 11, Straß im Attergau • Kontakt über aktuelle Telefonnummern ☎ und Adressen ⚑ mit Karte, Routing, Öffnungszeiten, Homepage, E-Mail, vCard und Firmendaten.</t>
  </si>
  <si>
    <t>Sagerer 11</t>
  </si>
  <si>
    <t>47.8999166</t>
  </si>
  <si>
    <t>13.4652959</t>
  </si>
  <si>
    <t>+43766720617</t>
  </si>
  <si>
    <t>go-einrichten@aon.at</t>
  </si>
  <si>
    <t>https://bilder.dasschnelle.at/DasSchnelle/50/5000/9940/043107/G_043107_P_906327046.adn.gif</t>
  </si>
  <si>
    <t>Mühlbauer Optiker GesmbH, Brillen-Kontaktlinsen-Hörgeräte • Vöcklabruck • Oberösterreich</t>
  </si>
  <si>
    <t>Kontaktlinsen, Optik • Mühlbauer Optiker GesmbH, Dr. Anton Bruckner-Straße 2, Vöcklabruck • Kontakt über aktuelle Telefonnummern ☎ und Adressen ⚑ mit Karte, Routing, Öffnungszeiten, Homepage, E-Mail, vCard und Firmendaten.</t>
  </si>
  <si>
    <t>Dr. Anton Bruckner-Straße 2</t>
  </si>
  <si>
    <t>48.00664</t>
  </si>
  <si>
    <t>13.65299</t>
  </si>
  <si>
    <t>+43767272831</t>
  </si>
  <si>
    <t>service@optiker-muehlbauer.at</t>
  </si>
  <si>
    <t>https://bilder.dasschnelle.at/DasSchnelle/50/5000/9940/043555/G_043555_P_906123867.adn.gif</t>
  </si>
  <si>
    <t>Heigl Holzbau GmbH, Säge- u Hobelwerke • Lunz • Niederösterreich</t>
  </si>
  <si>
    <t>Säge- u. Hobelwerke, Zimmereien • Heigl Holzbau GmbH, Pramelreith 1, Lunz • Kontakt über aktuelle Telefonnummern ☎ und Adressen ⚑ mit Karte, Routing, Öffnungszeiten, Homepage, E-Mail, vCard und Firmendaten.</t>
  </si>
  <si>
    <t>Pramelreith 1</t>
  </si>
  <si>
    <t>3293</t>
  </si>
  <si>
    <t>Lunz</t>
  </si>
  <si>
    <t>47.8697600</t>
  </si>
  <si>
    <t>15.0107000</t>
  </si>
  <si>
    <t>+43748683130;+436641908709;+436641855961</t>
  </si>
  <si>
    <t>+437486831320</t>
  </si>
  <si>
    <t>office@heigl-holz.at</t>
  </si>
  <si>
    <t>https://bilder.dasschnelle.at/DasSchnelle/50/5000/9927/041926/G_041926_P_906135871.adn.gif</t>
  </si>
  <si>
    <t>Kirchleitner, Sonja, Friseure • Gresten • Niederösterreich</t>
  </si>
  <si>
    <t>Friseure • Kirchleitner, Sonja, Friedhofgasse 5/1, Gresten • Kontakt über aktuelle Telefonnummern ☎ und Adressen ⚑ mit Karte, Routing, Öffnungszeiten, Homepage, E-Mail, vCard und Firmendaten.</t>
  </si>
  <si>
    <t>Friedhofgasse 5/1</t>
  </si>
  <si>
    <t>47.98491</t>
  </si>
  <si>
    <t>15.02457</t>
  </si>
  <si>
    <t>+4374872292</t>
  </si>
  <si>
    <t>s.kirchleitner88@gmail.com</t>
  </si>
  <si>
    <t>https://bilder.dasschnelle.at/DasSchnelle/50/5000/9927/041924/G_041924_P_906141884.adn.gif</t>
  </si>
  <si>
    <t>Tischlerei Ecker GesmbH, Tischlerei • Sierning • Oberösterreich</t>
  </si>
  <si>
    <t>Einrichtungsstudios, Tischlereien • Tischlerei Ecker GesmbH, Mühlberg 21, Sierning • Kontakt über aktuelle Telefonnummern ☎ und Adressen ⚑ mit Karte, Routing, Öffnungszeiten, Homepage, E-Mail, vCard und Firmendaten.</t>
  </si>
  <si>
    <t>Mühlberg 21</t>
  </si>
  <si>
    <t>48.0470600</t>
  </si>
  <si>
    <t>14.3111300</t>
  </si>
  <si>
    <t>+43725922350;+436508616168;+436605862185;+436803131819</t>
  </si>
  <si>
    <t>+437259223510</t>
  </si>
  <si>
    <t>office@ecker-tischlerei.at</t>
  </si>
  <si>
    <t>https://bilder.dasschnelle.at/DasSchnelle/50/5000/9932/042821/G_042821_P_906162775.adn.gif</t>
  </si>
  <si>
    <t>Niederkappler Versicherung Versicherungsverein auf Gegenseitigkeit • Sarleinsbach • Oberösterreich</t>
  </si>
  <si>
    <t>Versicherungsunternehmen • Niederkappler Versicherung Versicherungsverein auf Gegenseitigkeit, Marktplatz 9, Sarleinsbach • Kontakt über aktuelle Telefonnummern ☎ und Adressen ⚑ mit Karte, Routing, Öffnungszeiten, Homepage, E-Mail, vCard und Firmendaten.</t>
  </si>
  <si>
    <t>Marktplatz 9</t>
  </si>
  <si>
    <t>48.5461700</t>
  </si>
  <si>
    <t>13.9052900</t>
  </si>
  <si>
    <t>+43728380253</t>
  </si>
  <si>
    <t>office@niederkappler.at</t>
  </si>
  <si>
    <t>https://bilder.dasschnelle.at/DasSchnelle/50/5000/9923/042297/G_042297_P_906163974.adn.gif</t>
  </si>
  <si>
    <t>Pizza Service Hollywood, Pizzeria • Amstetten • Niederösterreich</t>
  </si>
  <si>
    <t>Pizzerias • Pizza Service Hollywood, Bahnhofstraße 24, Amstetten • Kontakt über aktuelle Telefonnummern ☎ und Adressen ⚑ mit Karte, Routing, Öffnungszeiten, Homepage, E-Mail, vCard und Firmendaten.</t>
  </si>
  <si>
    <t>48.12417</t>
  </si>
  <si>
    <t>14.87819</t>
  </si>
  <si>
    <t>+43747225951</t>
  </si>
  <si>
    <t>pizza-hollywood@gmx.at</t>
  </si>
  <si>
    <t>https://bilder.dasschnelle.at/DasSchnelle/50/5000/9866/042062/I_042062_P_906090646_L_0035994524_1.png</t>
  </si>
  <si>
    <t>https://bilder.dasschnelle.at/DasSchnelle/50/5000/9866/042062/I_042062_P_906090646_B_0035994524_1.gal.png?height=254&amp;width=720;https://bilder.dasschnelle.at/DasSchnelle/50/5000/9866/042062/I_042062_P_906090646_B_0035994524_2.gal.png?height=254&amp;width=720;https://bilder.dasschnelle.at/DasSchnelle/50/5000/9866/042062/I_042062_P_906090646_B_0035994524_3.gal.png?height=254&amp;width=720;https://bilder.dasschnelle.at/DasSchnelle/50/5000/9866/042062/I_042062_P_906090646_B_0035994524_4.gal.png?height=254&amp;width=720</t>
  </si>
  <si>
    <t>Abschlepp- u Bergedienst Wiesler • Amstetten • Niederösterreich</t>
  </si>
  <si>
    <t>Abschleppdienste • Abschlepp- u Bergedienst Wiesler, Peter-Mitterhofer-Straße 3, Amstetten • Kontakt über aktuelle Telefonnummern ☎ und Adressen ⚑ mit Karte, Routing, Öffnungszeiten, Homepage, E-Mail, vCard und Firmendaten.</t>
  </si>
  <si>
    <t>48.10889</t>
  </si>
  <si>
    <t>14.87902</t>
  </si>
  <si>
    <t>+43747223440</t>
  </si>
  <si>
    <t>office@abschlepp-wiesler.at</t>
  </si>
  <si>
    <t>https://bilder.dasschnelle.at/DasSchnelle/50/5000/9866/042062/I_042062_P_906091829_L_0035994280_1.png</t>
  </si>
  <si>
    <t>https://bilder.dasschnelle.at/DasSchnelle/50/5000/9866/042062/I_042062_P_906091829_B_0035994280_1.gal.png?height=669&amp;width=624;https://bilder.dasschnelle.at/DasSchnelle/50/5000/9866/042062/I_042062_P_906091829_B_0035994280_2.gal.png?height=484&amp;width=831;https://bilder.dasschnelle.at/DasSchnelle/50/5000/9866/042062/I_042062_P_906091829_B_0035994280_3.gal.png?height=413&amp;width=831;https://bilder.dasschnelle.at/DasSchnelle/50/5000/9866/042062/I_042062_P_906091829_B_0035994280_4.gal.png?height=405&amp;width=831</t>
  </si>
  <si>
    <t>Eder, Edith, Kosmetik u Fußpflege • Klam • Oberösterreich</t>
  </si>
  <si>
    <t>Fußpflege, Kosmetik, Kosmetik u. Fußpflege, Massagen • Eder, Edith, Oberhörnbach 11, Klam • Kontakt über aktuelle Telefonnummern ☎ und Adressen ⚑ mit Karte, Routing, Öffnungszeiten, Homepage, E-Mail, vCard und Firmendaten.</t>
  </si>
  <si>
    <t>Oberhörnbach 11</t>
  </si>
  <si>
    <t>4352</t>
  </si>
  <si>
    <t>Klam</t>
  </si>
  <si>
    <t>48.2281842</t>
  </si>
  <si>
    <t>14.7921746</t>
  </si>
  <si>
    <t>+4372697222</t>
  </si>
  <si>
    <t>office@kosmetik-eder.at</t>
  </si>
  <si>
    <t>https://bilder.dasschnelle.at/DasSchnelle/50/5000/9916/042519/G_042519_P_906310144.adn.gif</t>
  </si>
  <si>
    <t>Gasth Hahnwirt • Grein • Oberösterreich</t>
  </si>
  <si>
    <t>Gastgewerbe - Gasthöfe • Gasth Hahnwirt, Lehen 34, Grein • Kontakt über aktuelle Telefonnummern ☎ und Adressen ⚑ mit Karte, Routing, Öffnungszeiten, Homepage, E-Mail, vCard und Firmendaten.</t>
  </si>
  <si>
    <t>Lehen 34</t>
  </si>
  <si>
    <t>48.2441599</t>
  </si>
  <si>
    <t>14.8479751</t>
  </si>
  <si>
    <t>+43726870000</t>
  </si>
  <si>
    <t>gasthof@hahnwirt.at</t>
  </si>
  <si>
    <t>https://bilder.dasschnelle.at/DasSchnelle/50/5000/9916/042517/G_042517_P_906310145.adn.gif</t>
  </si>
  <si>
    <t>Fohr, Monika, Dr., FA f Haut u Geschlechtskrankenheiten • Klosterneuburg • Niederösterreich</t>
  </si>
  <si>
    <t>Ärzte / Fachärzte f. Haut u. Geschlechtskrankheiten • Fohr, Monika, Dr., Stadtplatz 4, Klosterneuburg • Kontakt über aktuelle Telefonnummern ☎ und Adressen ⚑ mit Karte, Routing, Öffnungszeiten, Homepage, E-Mail, vCard und Firmendaten.</t>
  </si>
  <si>
    <t>Stadtplatz 4</t>
  </si>
  <si>
    <t>48.30878</t>
  </si>
  <si>
    <t>16.32242</t>
  </si>
  <si>
    <t>+4369910801691</t>
  </si>
  <si>
    <t>monika.fohr@aon.at</t>
  </si>
  <si>
    <t>https://bilder.dasschnelle.at/DasSchnelle/50/5000/9897/061492/G_061492_P_906310146.adn.gif</t>
  </si>
  <si>
    <t>Semper, Fritz, Cafe-Restaurant • Gmünd • Niederösterreich</t>
  </si>
  <si>
    <t>Gastgewerbe - Gasthöfe, Weine, Cafe-Restaurants • Semper, Fritz, Weitraer Straße 96, Gmünd • Kontakt über aktuelle Telefonnummern ☎ und Adressen ⚑ mit Karte, Routing, Öffnungszeiten, Homepage, E-Mail, vCard und Firmendaten.</t>
  </si>
  <si>
    <t>Weitraer Straße 96</t>
  </si>
  <si>
    <t>48.76311</t>
  </si>
  <si>
    <t>14.97057</t>
  </si>
  <si>
    <t>+43285252955</t>
  </si>
  <si>
    <t>semper@nickis.at</t>
  </si>
  <si>
    <t>https://bilder.dasschnelle.at/DasSchnelle/50/5000/9885/045075/G_045075_P_906310134.adn.gif</t>
  </si>
  <si>
    <t>Figaro Sada • Ried im Innkreis • Oberösterreich</t>
  </si>
  <si>
    <t>Friseure • Figaro Sada, Schwangthalerstraße 6, Ried im Innkreis • Kontakt über aktuelle Telefonnummern ☎ und Adressen ⚑ mit Karte, Routing, Öffnungszeiten, Homepage, E-Mail, vCard und Firmendaten.</t>
  </si>
  <si>
    <t>Schwangthalerstraße 6</t>
  </si>
  <si>
    <t>48.2086</t>
  </si>
  <si>
    <t>13.48816</t>
  </si>
  <si>
    <t>+43775282469</t>
  </si>
  <si>
    <t>sadaarnaut1@gmail.com</t>
  </si>
  <si>
    <t>Shafe, Olga Karin, Dr.med.univ., Allgemeinmedizin • Mayrhofen • Tirol</t>
  </si>
  <si>
    <t>Ärzte / f Allgemeinmedizin • Shafe, Olga Karin, Dr.med.univ., Hauptstraße 485, Mayrhofen • Kontakt über aktuelle Telefonnummern ☎ und Adressen ⚑ mit Karte, Routing, Öffnungszeiten, Homepage, E-Mail, vCard und Firmendaten.</t>
  </si>
  <si>
    <t>Hauptstraße 485</t>
  </si>
  <si>
    <t>47.16214</t>
  </si>
  <si>
    <t>11.86103</t>
  </si>
  <si>
    <t>+43528563189</t>
  </si>
  <si>
    <t>praxis@olga-shafe.at</t>
  </si>
  <si>
    <t>https://bilder.dasschnelle.at/DasSchnelle/50/5000/9929/042630/G_042630_P_906141888.adn.gif</t>
  </si>
  <si>
    <t>Rohrmoser, Myriam, Friseur • Schladming • Steiermark</t>
  </si>
  <si>
    <t>Friseure • Rohrmoser, Myriam, Siedergasse 268, Schladming • Kontakt über aktuelle Telefonnummern ☎ und Adressen ⚑ mit Karte, Routing, Öffnungszeiten, Homepage, E-Mail, vCard und Firmendaten.</t>
  </si>
  <si>
    <t>+43368723332</t>
  </si>
  <si>
    <t>office@friseur-rohrmoser.at</t>
  </si>
  <si>
    <t>https://bilder.dasschnelle.at/DasSchnelle/50/5000/9928/061454/G_061454_P_906179605.adn.gif</t>
  </si>
  <si>
    <t>Steidl, Wolfgang, Malerei • Schwaz • Tirol</t>
  </si>
  <si>
    <t>Malereibetriebe • Steidl, Wolfgang, Oberer Feldweg 32 b, Schwaz • Kontakt über aktuelle Telefonnummern ☎ und Adressen ⚑ mit Karte, Routing, Öffnungszeiten, Homepage, E-Mail, vCard und Firmendaten.</t>
  </si>
  <si>
    <t>Oberer Feldweg 32 b</t>
  </si>
  <si>
    <t>47.35255</t>
  </si>
  <si>
    <t>11.72036</t>
  </si>
  <si>
    <t>+436765048852</t>
  </si>
  <si>
    <t>info@malerei-steidl.com</t>
  </si>
  <si>
    <t>https://bilder.dasschnelle.at/DasSchnelle/50/5000/9929/042636/G_042636_P_906185813.adn.gif</t>
  </si>
  <si>
    <t>Zeiler GmbH, Innen- u. Außenputze • Sankt Lambrecht • Steiermark</t>
  </si>
  <si>
    <t>Putzereien • Zeiler GmbH, Thajagraben 10, Sankt Lambrecht • Kontakt über aktuelle Telefonnummern ☎ und Adressen ⚑ mit Karte, Routing, Öffnungszeiten, Homepage, E-Mail, vCard und Firmendaten.</t>
  </si>
  <si>
    <t>Thajagraben 10</t>
  </si>
  <si>
    <t>47.08741</t>
  </si>
  <si>
    <t>14.31785</t>
  </si>
  <si>
    <t>+4335852434</t>
  </si>
  <si>
    <t>office@zeilerputze.at</t>
  </si>
  <si>
    <t>https://bilder.dasschnelle.at/DasSchnelle/50/5000/9910/061471/G_061471_P_906198680.adn.gif</t>
  </si>
  <si>
    <t>Schöfl, Sven, Dr., FA für Zahn-, Mund- und Kieferheilkunde • Traun • Oberösterreich</t>
  </si>
  <si>
    <t>Ärzte / Fachärzte f. Zahn-, Mund u. Kieferheilkunde • Schöfl, Sven, Dr., Steinweg 16, Traun • Kontakt über aktuelle Telefonnummern ☎ und Adressen ⚑ mit Karte, Routing, Öffnungszeiten, Homepage, E-Mail, vCard und Firmendaten.</t>
  </si>
  <si>
    <t>Steinweg 16</t>
  </si>
  <si>
    <t>48.2104588</t>
  </si>
  <si>
    <t>14.2093020</t>
  </si>
  <si>
    <t>+43722966077</t>
  </si>
  <si>
    <t>sven.schoefl@gmx.at</t>
  </si>
  <si>
    <t>https://bilder.dasschnelle.at/DasSchnelle/50/5000/9937/046120/G_046120_P_906227583.adn.gif</t>
  </si>
  <si>
    <t>Topay, Sandor, Dr., FA f Unfallchirurgie • Kitzbühel • Tirol</t>
  </si>
  <si>
    <t>Unfallchirurgie • Topay, Sandor, Dr., Hornweg 9, Kitzbühel • Kontakt über aktuelle Telefonnummern ☎ und Adressen ⚑ mit Karte, Routing, Öffnungszeiten, Homepage, E-Mail, vCard und Firmendaten.</t>
  </si>
  <si>
    <t>Hornweg 9</t>
  </si>
  <si>
    <t>47.44916</t>
  </si>
  <si>
    <t>12.39204</t>
  </si>
  <si>
    <t>+435356668660;+43535663876;+436644331568</t>
  </si>
  <si>
    <t>+4353566686616</t>
  </si>
  <si>
    <t>sandor@dr-topay.at</t>
  </si>
  <si>
    <t>https://bilder.dasschnelle.at/DasSchnelle/50/5000/9896/046135/G_046135_P_906232908.adn.gif</t>
  </si>
  <si>
    <t>Trojer, Martin, Tischler • Gratkorn • Steiermark</t>
  </si>
  <si>
    <t>Tischlereien • Trojer, Martin, Grussach 13, Gratkorn • Kontakt über aktuelle Telefonnummern ☎ und Adressen ⚑ mit Karte, Routing, Öffnungszeiten, Homepage, E-Mail, vCard und Firmendaten.</t>
  </si>
  <si>
    <t>Grussach 13</t>
  </si>
  <si>
    <t>47.14715</t>
  </si>
  <si>
    <t>15.36099</t>
  </si>
  <si>
    <t>+436644710886</t>
  </si>
  <si>
    <t>martin-trojer@gmx.at</t>
  </si>
  <si>
    <t>https://bilder.dasschnelle.at/DasSchnelle/50/5000/9883/042322/G_042322_P_906297272.adn.gif</t>
  </si>
  <si>
    <t>Toplerhof, Gasthaus • Wies • Steiermark</t>
  </si>
  <si>
    <t>Gastgewerbe - Gasthöfe • Toplerhof, Steyeregg 158, Wies • Kontakt über aktuelle Telefonnummern ☎ und Adressen ⚑ mit Karte, Routing, Öffnungszeiten, Homepage, E-Mail, vCard und Firmendaten.</t>
  </si>
  <si>
    <t>Steyeregg 158</t>
  </si>
  <si>
    <t>46.734</t>
  </si>
  <si>
    <t>15.2432</t>
  </si>
  <si>
    <t>+4334652657</t>
  </si>
  <si>
    <t>gasthof@toplerhof.com</t>
  </si>
  <si>
    <t>https://bilder.dasschnelle.at/DasSchnelle/50/5000/9875/061464/G_061464_P_906252472.adn.gif</t>
  </si>
  <si>
    <t>Wolf, Hans Peter, Dr. med. univ., FA f Zahn-, Mund- u Kieferheilkunde • Oberndorf bei Salzburg • Salzburg</t>
  </si>
  <si>
    <t>Ärzte / Fachärzte f. Zahn-, Mund u. Kieferheilkunde • Wolf, Hans Peter, Dr. med. univ., Paracelsusstraße 13, Oberndorf bei Salzburg • Kontakt über aktuelle Telefonnummern ☎ und Adressen ⚑ mit Karte, Routing, Öffnungszeiten, Homepage, E-Mail, vCard und Firmendaten.</t>
  </si>
  <si>
    <t>Paracelsusstraße 13</t>
  </si>
  <si>
    <t>47.94003</t>
  </si>
  <si>
    <t>12.94514</t>
  </si>
  <si>
    <t>+4362724000</t>
  </si>
  <si>
    <t>office@dr-hp-wolf.at</t>
  </si>
  <si>
    <t>https://bilder.dasschnelle.at/DasSchnelle/50/5000/9914/043322/G_043322_P_906268556.adn.gif</t>
  </si>
  <si>
    <t>Stibal, Iris, Dr., FA f Orthopädie u. Orthopäd. Chir. • Eferding • Oberösterreich</t>
  </si>
  <si>
    <t>Orthopädie • Stibal, Iris, Dr., Unterer Graben 2, Eferding • Kontakt über aktuelle Telefonnummern ☎ und Adressen ⚑ mit Karte, Routing, Öffnungszeiten, Homepage, E-Mail, vCard und Firmendaten.</t>
  </si>
  <si>
    <t>Unterer Graben 2</t>
  </si>
  <si>
    <t>48.3068047</t>
  </si>
  <si>
    <t>14.0239412</t>
  </si>
  <si>
    <t>+43727267137</t>
  </si>
  <si>
    <t>https://bilder.dasschnelle.at/DasSchnelle/50/5000/9876/044805/G_044805_P_906269892.adn.gif</t>
  </si>
  <si>
    <t>Szlezak, Richard, Dr., Arzt f Allgemeinmedizin • Kottingbrunn • Niederösterreich</t>
  </si>
  <si>
    <t>Ärzte / f Allgemeinmedizin • Szlezak, Richard, Dr., Schloß 4, Kottingbrunn • Kontakt über aktuelle Telefonnummern ☎ und Adressen ⚑ mit Karte, Routing, Öffnungszeiten, Homepage, E-Mail, vCard und Firmendaten.</t>
  </si>
  <si>
    <t>Schloß 4</t>
  </si>
  <si>
    <t>47.95175</t>
  </si>
  <si>
    <t>16.22946</t>
  </si>
  <si>
    <t>+43225276103</t>
  </si>
  <si>
    <t>richard.szlezak@gmx.at</t>
  </si>
  <si>
    <t>https://bilder.dasschnelle.at/DasSchnelle/50/5000/9870/041349/G_041349_P_906270901.adn.gif</t>
  </si>
  <si>
    <t>Windsteig, Ulrike, Ing., Blumen • Friesach • Kärnten</t>
  </si>
  <si>
    <t>Blumenhandel, Garten- u. Landschaftsgestaltung • Windsteig, Ulrike, Ing., Hubert-Hauser-Straße 6, Friesach • Kontakt über aktuelle Telefonnummern ☎ und Adressen ⚑ mit Karte, Routing, Öffnungszeiten, Homepage, E-Mail, vCard und Firmendaten.</t>
  </si>
  <si>
    <t>Hubert-Hauser-Straße 6</t>
  </si>
  <si>
    <t>46.94839</t>
  </si>
  <si>
    <t>14.41254</t>
  </si>
  <si>
    <t>+4342682332</t>
  </si>
  <si>
    <t>windsteig@aon.at</t>
  </si>
  <si>
    <t>https://bilder.dasschnelle.at/DasSchnelle/50/5000/9925/042113/G_042113_P_906314834.adn.gif</t>
  </si>
  <si>
    <t>Hettegger, Alois, Installationen • Großarl • Salzburg</t>
  </si>
  <si>
    <t>Installationsunternehmen • Hettegger, Alois, Achengasse 6, Großarl • Kontakt über aktuelle Telefonnummern ☎ und Adressen ⚑ mit Karte, Routing, Öffnungszeiten, Homepage, E-Mail, vCard und Firmendaten.</t>
  </si>
  <si>
    <t>Achengasse 6</t>
  </si>
  <si>
    <t>47.23273</t>
  </si>
  <si>
    <t>13.19699</t>
  </si>
  <si>
    <t>+4364143470</t>
  </si>
  <si>
    <t>+43641434716</t>
  </si>
  <si>
    <t>office@installationen-hettegger.at</t>
  </si>
  <si>
    <t>https://bilder.dasschnelle.at/DasSchnelle/50/5000/9919/043344/G_043344_P_906299026.adn.gif</t>
  </si>
  <si>
    <t>Preßnig, Willfried, Bauunternehmen • Jenig • Kärnten</t>
  </si>
  <si>
    <t>Bauunternehmen • Preßnig, Willfried, Waidegg 38, Jenig • Kontakt über aktuelle Telefonnummern ☎ und Adressen ⚑ mit Karte, Routing, Öffnungszeiten, Homepage, E-Mail, vCard und Firmendaten.</t>
  </si>
  <si>
    <t>Waidegg 38</t>
  </si>
  <si>
    <t>Jenig</t>
  </si>
  <si>
    <t>46.6335448</t>
  </si>
  <si>
    <t>13.2309611</t>
  </si>
  <si>
    <t>+436508103004</t>
  </si>
  <si>
    <t>pressnigwillfried@gmx.at</t>
  </si>
  <si>
    <t>https://bilder.dasschnelle.at/DasSchnelle/50/5000/9891/042085/G_042085_P_906337438.adn.gif</t>
  </si>
  <si>
    <t>Seibert, Helmut, Elektrotechnik • Langenzersdorf • Niederösterreich</t>
  </si>
  <si>
    <t>Elektrotechnik • Seibert, Helmut, Korneuburgerstraße 12, Langenzersdorf • Kontakt über aktuelle Telefonnummern ☎ und Adressen ⚑ mit Karte, Routing, Öffnungszeiten, Homepage, E-Mail, vCard und Firmendaten.</t>
  </si>
  <si>
    <t>Korneuburgerstraße 12</t>
  </si>
  <si>
    <t>48.3107</t>
  </si>
  <si>
    <t>16.35703</t>
  </si>
  <si>
    <t>+4322442327;+436643364809</t>
  </si>
  <si>
    <t>https://bilder.dasschnelle.at/DasSchnelle/50/5000/9898/041414/I_041414_P_906080984_L_0035970103_1.png</t>
  </si>
  <si>
    <t>https://bilder.dasschnelle.at/DasSchnelle/50/5000/9898/041414/I_041414_P_906080984_B_0035970103_1.gal.png?height=395&amp;width=809;https://bilder.dasschnelle.at/DasSchnelle/50/5000/9898/041414/I_041414_P_906080984_B_0035970103_2.gal.png?height=282&amp;width=810;https://bilder.dasschnelle.at/DasSchnelle/50/5000/9898/041414/I_041414_P_906080984_B_0035970103_3.gal.png?height=397&amp;width=421;https://bilder.dasschnelle.at/DasSchnelle/50/5000/9898/041414/I_041414_P_906080984_B_0035970103_4.gal.png?height=398&amp;width=414</t>
  </si>
  <si>
    <t>Haiztinger Bootsbau • Attersee • Oberösterreich</t>
  </si>
  <si>
    <t>Boote u. Bootszubehör • Haiztinger Bootsbau, Aufham 13, Attersee • Kontakt über aktuelle Telefonnummern ☎ und Adressen ⚑ mit Karte, Routing, Öffnungszeiten, Homepage, E-Mail, vCard und Firmendaten.</t>
  </si>
  <si>
    <t>Aufham 13</t>
  </si>
  <si>
    <t>47.9069121</t>
  </si>
  <si>
    <t>13.5281721</t>
  </si>
  <si>
    <t>+4376667812</t>
  </si>
  <si>
    <t>office@bootbau-haitzinger.at</t>
  </si>
  <si>
    <t>https://bilder.dasschnelle.at/DasSchnelle/50/5000/9940/043068/G_043068_P_906314978.adn.gif</t>
  </si>
  <si>
    <t>BM Fuchs GmbH, Bau • Klosterneuburg • Niederösterreich</t>
  </si>
  <si>
    <t>Baumeister, Bauunternehmen • BM Fuchs GmbH, Buchberggasse 63, Klosterneuburg • Kontakt über aktuelle Telefonnummern ☎ und Adressen ⚑ mit Karte, Routing, Öffnungszeiten, Homepage, E-Mail, vCard und Firmendaten.</t>
  </si>
  <si>
    <t>Buchberggasse 63</t>
  </si>
  <si>
    <t>48.30647</t>
  </si>
  <si>
    <t>16.3156</t>
  </si>
  <si>
    <t>+43224336314</t>
  </si>
  <si>
    <t>office@baumeister-fuchs.at</t>
  </si>
  <si>
    <t>https://bilder.dasschnelle.at/DasSchnelle/50/5000/9897/061492/G_061492_P_906304851.adn.gif</t>
  </si>
  <si>
    <t>StRu-Bau GmbH, Baufirma • Neustift im Stubaital • Tirol</t>
  </si>
  <si>
    <t>Bauunternehmen • StRu-Bau GmbH, Stackler 1, Neustift im Stubaital • Kontakt über aktuelle Telefonnummern ☎ und Adressen ⚑ mit Karte, Routing, Öffnungszeiten, Homepage, E-Mail, vCard und Firmendaten.</t>
  </si>
  <si>
    <t>Stackler 1</t>
  </si>
  <si>
    <t>47.10467</t>
  </si>
  <si>
    <t>11.30151</t>
  </si>
  <si>
    <t>+436641312887</t>
  </si>
  <si>
    <t>strubau@a1.net</t>
  </si>
  <si>
    <t>https://bilder.dasschnelle.at/DasSchnelle/50/5000/9948/045897/G_045897_P_906139607.adn.gif</t>
  </si>
  <si>
    <t>Vogelsberger, Manfred, Versicherungen • Schöfens • Tirol</t>
  </si>
  <si>
    <t>Versicherungsagentur • Vogelsberger, Manfred, Bergstein 25 A, Schöfens • Kontakt über aktuelle Telefonnummern ☎ und Adressen ⚑ mit Karte, Routing, Öffnungszeiten, Homepage, E-Mail, vCard und Firmendaten.</t>
  </si>
  <si>
    <t>Bergstein 25 A</t>
  </si>
  <si>
    <t>Schöfens</t>
  </si>
  <si>
    <t>47.13235</t>
  </si>
  <si>
    <t>11.45397</t>
  </si>
  <si>
    <t>+43527320088</t>
  </si>
  <si>
    <t>+43527320099</t>
  </si>
  <si>
    <t>agentur.vogelsberger@allianz.at</t>
  </si>
  <si>
    <t>https://bilder.dasschnelle.at/DasSchnelle/50/5000/9948/045890/G_045890_P_906143355.adn.gif</t>
  </si>
  <si>
    <t>Tierambulatorium Mannswörth • Schwechat • Niederösterreich</t>
  </si>
  <si>
    <t>Tierärzte • Tierambulatorium Mannswörth, Mannswörther Straße 63, Schwechat • Kontakt über aktuelle Telefonnummern ☎ und Adressen ⚑ mit Karte, Routing, Öffnungszeiten, Homepage, E-Mail, vCard und Firmendaten.</t>
  </si>
  <si>
    <t>Mannswörther Straße 63</t>
  </si>
  <si>
    <t>48.14786</t>
  </si>
  <si>
    <t>16.51326</t>
  </si>
  <si>
    <t>+4317072822</t>
  </si>
  <si>
    <t>tierambulatorium@mannswoerth.at</t>
  </si>
  <si>
    <t>https://bilder.dasschnelle.at/DasSchnelle/50/5000/9930/506180/G_998133_P_906166263.adn.gif</t>
  </si>
  <si>
    <t>Höckner, Fritz, Baumschule • Utzenaich • Oberösterreich</t>
  </si>
  <si>
    <t>Baumschulen • Höckner, Fritz, Murau 8, Utzenaich • Kontakt über aktuelle Telefonnummern ☎ und Adressen ⚑ mit Karte, Routing, Öffnungszeiten, Homepage, E-Mail, vCard und Firmendaten.</t>
  </si>
  <si>
    <t>Murau 8</t>
  </si>
  <si>
    <t>48.2744425</t>
  </si>
  <si>
    <t>13.4851555</t>
  </si>
  <si>
    <t>+43775185020</t>
  </si>
  <si>
    <t>baum-hoeckner@gmx.at</t>
  </si>
  <si>
    <t>https://bilder.dasschnelle.at/DasSchnelle/50/5000/9922/042256/G_042256_P_906145723.adn.gif</t>
  </si>
  <si>
    <t>Alpen-Druck Egger Josef jun, Druckerei • Imst • Tirol</t>
  </si>
  <si>
    <t>Druckereien • Alpen-Druck Egger Josef jun, Floriangasse 24, Imst • Kontakt über aktuelle Telefonnummern ☎ und Adressen ⚑ mit Karte, Routing, Öffnungszeiten, Homepage, E-Mail, vCard und Firmendaten.</t>
  </si>
  <si>
    <t>Floriangasse 24</t>
  </si>
  <si>
    <t>47.2395372</t>
  </si>
  <si>
    <t>10.7415098</t>
  </si>
  <si>
    <t>+43541263800</t>
  </si>
  <si>
    <t>info@alpendruck.at</t>
  </si>
  <si>
    <t>https://bilder.dasschnelle.at/DasSchnelle/50/5000/9894/045638/G_045638_P_906226720.adn.gif</t>
  </si>
  <si>
    <t>Dr. Armin Ranner &amp; Dr. Gunther Schuller, Praxis für Lungenheilkunde OG • Steyr • Oberösterreich</t>
  </si>
  <si>
    <t>Ärzte / Fachärzte f. Lungenkrankheiten • Dr. Armin Ranner &amp; Dr. Gunther Schuller, Praxis für Lungenheilkunde OG, Pachergasse 15a, Steyr • Kontakt über aktuelle Telefonnummern ☎ und Adressen ⚑ mit Karte, Routing, Öffnungszeiten, Homepage, E-Mail, vCard und Firmendaten.</t>
  </si>
  <si>
    <t>Pachergasse 15a</t>
  </si>
  <si>
    <t>48.0413425</t>
  </si>
  <si>
    <t>14.4254242</t>
  </si>
  <si>
    <t>+43725243888</t>
  </si>
  <si>
    <t>ranner-schuller@lungenordi.at</t>
  </si>
  <si>
    <t>https://bilder.dasschnelle.at/DasSchnelle/50/5000/9878/044546/G_044546_P_906319679.adn.gif</t>
  </si>
  <si>
    <t>Regenfelder, Bruno, Dachdeckerei u Spenglerei • St. Veit an der Glan • Kärnten</t>
  </si>
  <si>
    <t>Dachdeckerei u. Spenglerei • Regenfelder, Bruno, Klagenfurter Straße 58 A, St. Veit an der Glan • Kontakt über aktuelle Telefonnummern ☎ und Adressen ⚑ mit Karte, Routing, Öffnungszeiten, Homepage, E-Mail, vCard und Firmendaten.</t>
  </si>
  <si>
    <t>Klagenfurter Straße 58 A</t>
  </si>
  <si>
    <t>St. Veit an der Glan</t>
  </si>
  <si>
    <t>46.7627357</t>
  </si>
  <si>
    <t>14.3639006</t>
  </si>
  <si>
    <t>+43421271378</t>
  </si>
  <si>
    <t>b.regenfelder@aon.at</t>
  </si>
  <si>
    <t>https://bilder.dasschnelle.at/DasSchnelle/50/5000/9925/042125/G_042125_P_906314810.adn.gif</t>
  </si>
  <si>
    <t>Mosleitner Bau GmbH • Gampern • Oberösterreich</t>
  </si>
  <si>
    <t>Bauunternehmen • Mosleitner Bau GmbH, Gewerbepark 9, Gampern • Kontakt über aktuelle Telefonnummern ☎ und Adressen ⚑ mit Karte, Routing, Öffnungszeiten, Homepage, E-Mail, vCard und Firmendaten.</t>
  </si>
  <si>
    <t>48.0001750</t>
  </si>
  <si>
    <t>13.5586710</t>
  </si>
  <si>
    <t>+43768239070</t>
  </si>
  <si>
    <t>office@mosleitner-bau.at</t>
  </si>
  <si>
    <t>https://bilder.dasschnelle.at/DasSchnelle/50/5000/9940/043077/G_043077_P_906314910.adn.gif</t>
  </si>
  <si>
    <t>LEGAT Automobil GmbH • Seewalchen am Attersee • Oberösterreich</t>
  </si>
  <si>
    <t>Autohandel • LEGAT Automobil GmbH, Gewerbegebiet Ager 1, Seewalchen am Attersee • Kontakt über aktuelle Telefonnummern ☎ und Adressen ⚑ mit Karte, Routing, Öffnungszeiten, Homepage, E-Mail, vCard und Firmendaten.</t>
  </si>
  <si>
    <t>Gewerbegebiet Ager 1</t>
  </si>
  <si>
    <t>47.9555</t>
  </si>
  <si>
    <t>13.60642</t>
  </si>
  <si>
    <t>+4376626200</t>
  </si>
  <si>
    <t>kundendienst@auto-legat.at</t>
  </si>
  <si>
    <t>https://bilder.dasschnelle.at/DasSchnelle/50/5000/9940/043105/G_043105_P_906314919.adn.gif</t>
  </si>
  <si>
    <t>Schiermayr Ernst GmbH &amp; Co KG • Schwanenstadt • Oberösterreich</t>
  </si>
  <si>
    <t>Haustechnik • Schiermayr Ernst GmbH &amp; Co KG, Agersiedlung 15, Schwanenstadt • Kontakt über aktuelle Telefonnummern ☎ und Adressen ⚑ mit Karte, Routing, Öffnungszeiten, Homepage, E-Mail, vCard und Firmendaten.</t>
  </si>
  <si>
    <t>Agersiedlung 15</t>
  </si>
  <si>
    <t>48.0433469</t>
  </si>
  <si>
    <t>13.7738255</t>
  </si>
  <si>
    <t>+4376732066;+4376733847</t>
  </si>
  <si>
    <t>office@schiermayr.at</t>
  </si>
  <si>
    <t>https://bilder.dasschnelle.at/DasSchnelle/50/5000/9940/043096/G_043096_P_906314950.adn.gif</t>
  </si>
  <si>
    <t>Würtl GmbH, Tischlereien • St. Ulrich am Pillersee • Tirol</t>
  </si>
  <si>
    <t>Bodenbeläge, Raumausstatter, Tischlereien • Würtl GmbH, Dorfstraße 43, St. Ulrich am Pillersee • Kontakt über aktuelle Telefonnummern ☎ und Adressen ⚑ mit Karte, Routing, Öffnungszeiten, Homepage, E-Mail, vCard und Firmendaten.</t>
  </si>
  <si>
    <t>Dorfstraße 43</t>
  </si>
  <si>
    <t>47.5272500</t>
  </si>
  <si>
    <t>12.5729700</t>
  </si>
  <si>
    <t>+43535488184</t>
  </si>
  <si>
    <t>+43535488813</t>
  </si>
  <si>
    <t>office@wuertl-tischlerei.at</t>
  </si>
  <si>
    <t>https://bilder.dasschnelle.at/DasSchnelle/50/5000/9896/046141/G_046141_P_906150987.adn.gif</t>
  </si>
  <si>
    <t>Reicher, Gabriele, Dr., FA f Zahn-, Mund- u Kieferheilkunde Ord: Mo, Do, Fr 8-12 u 14-18, Di8- • Lunz • Niederösterreich</t>
  </si>
  <si>
    <t>Ärzte / Fachärzte f. Zahn-, Mund u. Kieferheilkunde • Reicher, Gabriele, Dr., Sonnengasse 12, Lunz • Kontakt über aktuelle Telefonnummern ☎ und Adressen ⚑ mit Karte, Routing, Öffnungszeiten, Homepage, E-Mail, vCard und Firmendaten.</t>
  </si>
  <si>
    <t>Sonnengasse 12</t>
  </si>
  <si>
    <t>47.8590376</t>
  </si>
  <si>
    <t>15.0353708</t>
  </si>
  <si>
    <t>+43748685000</t>
  </si>
  <si>
    <t>praxis@dr-reicher.at</t>
  </si>
  <si>
    <t>https://bilder.dasschnelle.at/DasSchnelle/50/5000/9927/041926/G_041926_P_906198677.adn.gif</t>
  </si>
  <si>
    <t>Elektro Klocker GmbH • Brixen im Thale • Tirol</t>
  </si>
  <si>
    <t>Elektrotechnik • Elektro Klocker GmbH, Brixentaler Straße 1, Brixen im Thale • Kontakt über aktuelle Telefonnummern ☎ und Adressen ⚑ mit Karte, Routing, Öffnungszeiten, Homepage, E-Mail, vCard und Firmendaten.</t>
  </si>
  <si>
    <t>Brixentaler Straße 1</t>
  </si>
  <si>
    <t>47.45017</t>
  </si>
  <si>
    <t>12.2548</t>
  </si>
  <si>
    <t>+43533430720</t>
  </si>
  <si>
    <t>info@elektro-klocker.at</t>
  </si>
  <si>
    <t>https://bilder.dasschnelle.at/DasSchnelle/50/5000/9896/046126/I_046126_P_905986296_L_0036261525_1.png</t>
  </si>
  <si>
    <t>https://bilder.dasschnelle.at/DasSchnelle/50/5000/9896/046126/I_046126_P_905986296_B_0036261525_1.gal.png?height=143&amp;width=500;https://bilder.dasschnelle.at/DasSchnelle/50/5000/9896/046126/I_046126_P_905986296_B_0036261525_2.gal.png?height=143&amp;width=500;https://bilder.dasschnelle.at/DasSchnelle/50/5000/9896/046126/I_046126_P_905986296_B_0036261525_3.gal.png?height=143&amp;width=500;https://bilder.dasschnelle.at/DasSchnelle/50/5000/9896/046126/I_046126_P_905986296_B_0036261525_4.gal.png?height=143&amp;width=500</t>
  </si>
  <si>
    <t>Optik Wolfgang Falb • Leobersdorf • Niederösterreich</t>
  </si>
  <si>
    <t>Optik • Optik Wolfgang Falb, Hauptstraße 28, Leobersdorf • Kontakt über aktuelle Telefonnummern ☎ und Adressen ⚑ mit Karte, Routing, Öffnungszeiten, Homepage, E-Mail, vCard und Firmendaten.</t>
  </si>
  <si>
    <t>47.9276900</t>
  </si>
  <si>
    <t>16.2158500</t>
  </si>
  <si>
    <t>+43225620244</t>
  </si>
  <si>
    <t>optik.falb.wolfgang@speed.at</t>
  </si>
  <si>
    <t>https://bilder.dasschnelle.at/DasSchnelle/50/5000/9870/041350/G_041350_P_906027614.adn.gif</t>
  </si>
  <si>
    <t>Gärtnerei Thellmann, Michael, Gärtnereien • Vöcklamarkt • Oberösterreich</t>
  </si>
  <si>
    <t>Gärtnereien • Gärtnerei Thellmann, Michael, Blumenstraße 1 a, Vöcklamarkt • Kontakt über aktuelle Telefonnummern ☎ und Adressen ⚑ mit Karte, Routing, Öffnungszeiten, Homepage, E-Mail, vCard und Firmendaten.</t>
  </si>
  <si>
    <t>Blumenstraße 1 a</t>
  </si>
  <si>
    <t>48.0034864</t>
  </si>
  <si>
    <t>13.4880181</t>
  </si>
  <si>
    <t>+4376826243</t>
  </si>
  <si>
    <t>tellmann@aon.at</t>
  </si>
  <si>
    <t>https://bilder.dasschnelle.at/DasSchnelle/50/5000/9940/043556/G_043556_P_906314901.adn.gif</t>
  </si>
  <si>
    <t>Oberlercher &amp; Ortner  • Spittal an der Drau • Kärnten</t>
  </si>
  <si>
    <t>Rechtsanwälte • Oberlercher &amp; Ortner, Bernhardtgasse 4, Spittal an der Drau • Kontakt über aktuelle Telefonnummern ☎ und Adressen ⚑ mit Karte, Routing, Öffnungszeiten, Homepage, E-Mail, vCard und Firmendaten.</t>
  </si>
  <si>
    <t>Bernhardtgasse 4</t>
  </si>
  <si>
    <t>46.7986314</t>
  </si>
  <si>
    <t>13.4970466</t>
  </si>
  <si>
    <t>+434762610810</t>
  </si>
  <si>
    <t>kanzlei@oberlercher.com</t>
  </si>
  <si>
    <t>https://bilder.dasschnelle.at/DasSchnelle/50/5000/9933/042153/G_042153_P_906304163.adn.gif</t>
  </si>
  <si>
    <t>Schantl, Manfred, Kfz-Betrieb • Traiskirchen • Niederösterreich</t>
  </si>
  <si>
    <t>Autoreparaturen • Schantl, Manfred, ÖLW-Gasse 1 -3, Traiskirchen • Kontakt über aktuelle Telefonnummern ☎ und Adressen ⚑ mit Karte, Routing, Öffnungszeiten, Homepage, E-Mail, vCard und Firmendaten.</t>
  </si>
  <si>
    <t>ÖLW-Gasse 1 -3</t>
  </si>
  <si>
    <t>48.0231</t>
  </si>
  <si>
    <t>16.28158</t>
  </si>
  <si>
    <t>+43225257191;+436645032618</t>
  </si>
  <si>
    <t>kfz.schantl@gmx.at</t>
  </si>
  <si>
    <t>https://bilder.dasschnelle.at/DasSchnelle/50/5000/9870/041362/I_041362_P_906025430_L_0035970810_1.png</t>
  </si>
  <si>
    <t>https://bilder.dasschnelle.at/DasSchnelle/50/5000/9870/041362/I_041362_P_906025430_B_0035970810_1.gal.png?height=481&amp;width=720;https://bilder.dasschnelle.at/DasSchnelle/50/5000/9870/041362/I_041362_P_906025430_B_0035970810_2.gal.png?height=481&amp;width=720;https://bilder.dasschnelle.at/DasSchnelle/50/5000/9870/041362/I_041362_P_906025430_B_0035970810_3.gal.png?height=481&amp;width=720;https://bilder.dasschnelle.at/DasSchnelle/50/5000/9870/041362/I_041362_P_906025430_B_0035970810_4.gal.png?height=448&amp;width=720;https://bilder.dasschnelle.at/DasSchnelle/50/5000/9870/041362/G_041362_P_906025430.adn.gif</t>
  </si>
  <si>
    <t>Juen, Kathleen, Physiotherapie • Landeck • Tirol</t>
  </si>
  <si>
    <t>Physiotherapie • Juen, Kathleen, Leitenweg 44, Landeck • Kontakt über aktuelle Telefonnummern ☎ und Adressen ⚑ mit Karte, Routing, Öffnungszeiten, Homepage, E-Mail, vCard und Firmendaten.</t>
  </si>
  <si>
    <t>Leitenweg 44</t>
  </si>
  <si>
    <t>47.14349</t>
  </si>
  <si>
    <t>10.55433</t>
  </si>
  <si>
    <t>+436506780650</t>
  </si>
  <si>
    <t>kathleenjuen@gmx.at</t>
  </si>
  <si>
    <t>https://bilder.dasschnelle.at/DasSchnelle/50/5000/9903/044584/G_044584_P_906308548.adn.gif</t>
  </si>
  <si>
    <t>Garhofer, Susanne, Mag., Wirtschaftstreuhänder - Steuerberater • Heidenreichstein • Niederösterreich</t>
  </si>
  <si>
    <t>Wirtschaftstreuhänder / Steuerberater • Garhofer, Susanne, Mag., Waidhofener Straße 20, Heidenreichstein • Kontakt über aktuelle Telefonnummern ☎ und Adressen ⚑ mit Karte, Routing, Öffnungszeiten, Homepage, E-Mail, vCard und Firmendaten.</t>
  </si>
  <si>
    <t>Waidhofener Straße 20</t>
  </si>
  <si>
    <t>48.86311</t>
  </si>
  <si>
    <t>15.12593</t>
  </si>
  <si>
    <t>+432862522490</t>
  </si>
  <si>
    <t>office@garhofer.com</t>
  </si>
  <si>
    <t>https://bilder.dasschnelle.at/DasSchnelle/50/5000/9885/045081/G_045081_P_906308549.adn.gif</t>
  </si>
  <si>
    <t>Thurner, Norbert, Dr. • Gastern • Niederösterreich</t>
  </si>
  <si>
    <t>Ärzte / f Allgemeinmedizin • Thurner, Norbert, Dr., Hauptstrasse 19, Gastern • Kontakt über aktuelle Telefonnummern ☎ und Adressen ⚑ mit Karte, Routing, Öffnungszeiten, Homepage, E-Mail, vCard und Firmendaten.</t>
  </si>
  <si>
    <t>Hauptstrasse 19</t>
  </si>
  <si>
    <t>48.9284783</t>
  </si>
  <si>
    <t>15.2410945</t>
  </si>
  <si>
    <t>+43286426611;+4328642420</t>
  </si>
  <si>
    <t>dr.thurner@medway.at</t>
  </si>
  <si>
    <t>https://bilder.dasschnelle.at/DasSchnelle/50/5000/9885/998317/G_998317_P_906308550.adn.gif</t>
  </si>
  <si>
    <t>Thurner, N., Dr. • Kautzen • Niederösterreich</t>
  </si>
  <si>
    <t>Ärzte / f Allgemeinmedizin • Thurner, N., Dr., Waidhofnerstraße 16, Kautzen • Kontakt über aktuelle Telefonnummern ☎ und Adressen ⚑ mit Karte, Routing, Öffnungszeiten, Homepage, E-Mail, vCard und Firmendaten.</t>
  </si>
  <si>
    <t>Waidhofnerstraße 16</t>
  </si>
  <si>
    <t>Kautzen</t>
  </si>
  <si>
    <t>+4328642420</t>
  </si>
  <si>
    <t>https://bilder.dasschnelle.at/DasSchnelle/50/5000/9885/998317/G_998317_P_906309327.adn.gif</t>
  </si>
  <si>
    <t>Rader, Alfred, Balkon-, Loggien- u Terrassenverbauer • Sankt Aegidi • Oberösterreich</t>
  </si>
  <si>
    <t>Balkon-, Loggien- u. Terrassenverbaue • Rader, Alfred, Lehen 2, Sankt Aegidi • Kontakt über aktuelle Telefonnummern ☎ und Adressen ⚑ mit Karte, Routing, Öffnungszeiten, Homepage, E-Mail, vCard und Firmendaten.</t>
  </si>
  <si>
    <t>Lehen 2</t>
  </si>
  <si>
    <t>Sankt Aegidi</t>
  </si>
  <si>
    <t>48.4709686</t>
  </si>
  <si>
    <t>13.7404937</t>
  </si>
  <si>
    <t>+4377177673</t>
  </si>
  <si>
    <t>office@balkon-rader.com</t>
  </si>
  <si>
    <t>https://bilder.dasschnelle.at/DasSchnelle/50/5000/9926/042792/G_042792_P_906309329.adn.gif</t>
  </si>
  <si>
    <t>Tomsits, Jürgen, Malereibetriebe • Thalgau • Salzburg</t>
  </si>
  <si>
    <t>Malereibetriebe • Tomsits, Jürgen, Fuschler Straße 11, Thalgau • Kontakt über aktuelle Telefonnummern ☎ und Adressen ⚑ mit Karte, Routing, Öffnungszeiten, Homepage, E-Mail, vCard und Firmendaten.</t>
  </si>
  <si>
    <t>Fuschler Straße 11</t>
  </si>
  <si>
    <t>47.8401</t>
  </si>
  <si>
    <t>13.25505</t>
  </si>
  <si>
    <t>+4362355181</t>
  </si>
  <si>
    <t>malerei.tomsits@sbg.at</t>
  </si>
  <si>
    <t>https://bilder.dasschnelle.at/DasSchnelle/50/5000/9909/043331/G_043331_P_906309339.adn.gif</t>
  </si>
  <si>
    <t>Blumen Glatz GmbH, Blumendesign &amp; Ambiente • Klosterneuburg • Niederösterreich</t>
  </si>
  <si>
    <t>Blumenhandel • Blumen Glatz GmbH, Ziegelofengasse 1 A, Klosterneuburg • Kontakt über aktuelle Telefonnummern ☎ und Adressen ⚑ mit Karte, Routing, Öffnungszeiten, Homepage, E-Mail, vCard und Firmendaten.</t>
  </si>
  <si>
    <t>Ziegelofengasse 1 A</t>
  </si>
  <si>
    <t>48.31267</t>
  </si>
  <si>
    <t>16.31781</t>
  </si>
  <si>
    <t>+43224338686;+436641664703</t>
  </si>
  <si>
    <t>office@blumenglatz.at</t>
  </si>
  <si>
    <t>https://bilder.dasschnelle.at/DasSchnelle/50/5000/9897/061492/G_061492_P_906309340.adn.gif</t>
  </si>
  <si>
    <t>Kaindl, Karl, Tankstelle • Baumgartenberg • Oberösterreich</t>
  </si>
  <si>
    <t>Energietechnik, Tankstellen • Kaindl, Karl, Baumgartenberg 40, Baumgartenberg • Kontakt über aktuelle Telefonnummern ☎ und Adressen ⚑ mit Karte, Routing, Öffnungszeiten, Homepage, E-Mail, vCard und Firmendaten.</t>
  </si>
  <si>
    <t>Baumgartenberg 40</t>
  </si>
  <si>
    <t>4342</t>
  </si>
  <si>
    <t>Baumgartenberg</t>
  </si>
  <si>
    <t>48.2090965</t>
  </si>
  <si>
    <t>14.7460770</t>
  </si>
  <si>
    <t>+437269221</t>
  </si>
  <si>
    <t>firma@kaindl-bgb.at</t>
  </si>
  <si>
    <t>https://bilder.dasschnelle.at/DasSchnelle/50/5000/9916/046124/G_046124_P_906309342.adn.gif</t>
  </si>
  <si>
    <t>Fachkosmetik Anni Cihal, Kosmetik • Klosterneuburg • Niederösterreich</t>
  </si>
  <si>
    <t>Kosmetik • Fachkosmetik Anni Cihal, Leopoldstraße 21 Stg 17, Klosterneuburg • Kontakt über aktuelle Telefonnummern ☎ und Adressen ⚑ mit Karte, Routing, Öffnungszeiten, Homepage, E-Mail, vCard und Firmendaten.</t>
  </si>
  <si>
    <t>Leopoldstraße 21 Stg 17</t>
  </si>
  <si>
    <t>48.30355</t>
  </si>
  <si>
    <t>16.32696</t>
  </si>
  <si>
    <t>+43224321141;+436765418956</t>
  </si>
  <si>
    <t>https://bilder.dasschnelle.at/DasSchnelle/50/5000/9897/061492/G_061492_P_906309343.adn.gif</t>
  </si>
  <si>
    <t>Aigner, Gerald, Elektrotechnik • Hüttau • Salzburg</t>
  </si>
  <si>
    <t>Elektrotechnik • Aigner, Gerald, Sonnberg 229, Hüttau • Kontakt über aktuelle Telefonnummern ☎ und Adressen ⚑ mit Karte, Routing, Öffnungszeiten, Homepage, E-Mail, vCard und Firmendaten.</t>
  </si>
  <si>
    <t>Sonnberg 229</t>
  </si>
  <si>
    <t>5521</t>
  </si>
  <si>
    <t>Hüttau</t>
  </si>
  <si>
    <t>47.4300095</t>
  </si>
  <si>
    <t>13.3533609</t>
  </si>
  <si>
    <t>+436642413772</t>
  </si>
  <si>
    <t>et-g.aigner@sbg.at</t>
  </si>
  <si>
    <t>https://bilder.dasschnelle.at/DasSchnelle/50/5000/9919/043345/G_043345_P_906310126.adn.gif</t>
  </si>
  <si>
    <t>Klecka, Michael, Dr, FA f. Innere Medizin • Klosterneuburg • Niederösterreich</t>
  </si>
  <si>
    <t>Ärzte / Fachärzte f. Innere Medizin • Klecka, Michael, Dr, Kreutzergasse 12 -14, Klosterneuburg • Kontakt über aktuelle Telefonnummern ☎ und Adressen ⚑ mit Karte, Routing, Öffnungszeiten, Homepage, E-Mail, vCard und Firmendaten.</t>
  </si>
  <si>
    <t>Kreutzergasse 12 -14</t>
  </si>
  <si>
    <t>48.3038468</t>
  </si>
  <si>
    <t>16.3147997</t>
  </si>
  <si>
    <t>+436763440937</t>
  </si>
  <si>
    <t>michael.klecka@me.com</t>
  </si>
  <si>
    <t>https://bilder.dasschnelle.at/DasSchnelle/50/5000/9897/061492/G_061492_P_906310128.adn.gif</t>
  </si>
  <si>
    <t>Farbencenter Gralla OG • Gralla • Steiermark</t>
  </si>
  <si>
    <t>Farben u. Lacke • Farbencenter Gralla OG, Gewerbepark Nord 19, Gralla • Kontakt über aktuelle Telefonnummern ☎ und Adressen ⚑ mit Karte, Routing, Öffnungszeiten, Homepage, E-Mail, vCard und Firmendaten.</t>
  </si>
  <si>
    <t>Gewerbepark Nord 19</t>
  </si>
  <si>
    <t>46.80673</t>
  </si>
  <si>
    <t>15.56187</t>
  </si>
  <si>
    <t>+43345272854</t>
  </si>
  <si>
    <t>office@farbencenter-gralla.at</t>
  </si>
  <si>
    <t>https://bilder.dasschnelle.at/DasSchnelle/50/5000/9904/044091/I_044091_P_906072595_L_0036000327_1.png</t>
  </si>
  <si>
    <t>https://bilder.dasschnelle.at/DasSchnelle/50/5000/9904/044091/I_044091_P_906072595_B_0036000327_1.gal.png?height=347&amp;width=600;https://bilder.dasschnelle.at/DasSchnelle/50/5000/9904/044091/I_044091_P_906072595_B_0036000327_2.gal.png?height=316&amp;width=600;https://bilder.dasschnelle.at/DasSchnelle/50/5000/9904/044091/I_044091_P_906072595_B_0036000327_3.gal.png?height=310&amp;width=600;https://bilder.dasschnelle.at/DasSchnelle/50/5000/9904/044091/I_044091_P_906072595_B_0036000327_4.gal.png?height=400&amp;width=600</t>
  </si>
  <si>
    <t>Die Haarschneiderei, Friseur • Althofen • Kärnten</t>
  </si>
  <si>
    <t>Friseure • Die Haarschneiderei, Hauptplatz 9, Althofen • Kontakt über aktuelle Telefonnummern ☎ und Adressen ⚑ mit Karte, Routing, Öffnungszeiten, Homepage, E-Mail, vCard und Firmendaten.</t>
  </si>
  <si>
    <t>46.87044</t>
  </si>
  <si>
    <t>14.47027</t>
  </si>
  <si>
    <t>+4342624626</t>
  </si>
  <si>
    <t>office@diehaarschneiderei.at</t>
  </si>
  <si>
    <t>https://bilder.dasschnelle.at/DasSchnelle/50/5000/9925/042109/G_042109_P_906123933.adn.gif</t>
  </si>
  <si>
    <t>Kremnitzer, Bernhard, Hausbetreuung • Altaussee • Steiermark</t>
  </si>
  <si>
    <t>Hausbetreuung • Kremnitzer, Bernhard, Puchen 250, Altaussee • Kontakt über aktuelle Telefonnummern ☎ und Adressen ⚑ mit Karte, Routing, Öffnungszeiten, Homepage, E-Mail, vCard und Firmendaten.</t>
  </si>
  <si>
    <t>Puchen 250</t>
  </si>
  <si>
    <t>47.6337000</t>
  </si>
  <si>
    <t>13.7585700</t>
  </si>
  <si>
    <t>+436644354319</t>
  </si>
  <si>
    <t>bernhard.kremnitzer@gmx.at</t>
  </si>
  <si>
    <t>https://bilder.dasschnelle.at/DasSchnelle/50/5000/9868/044348/G_044348_P_906298984.adn.gif</t>
  </si>
  <si>
    <t>Eggenreitter, Stefan, Ing., Installationstechnik • Obertraun • Oberösterreich</t>
  </si>
  <si>
    <t>Installationstechnik • Eggenreitter, Stefan, Ing., Obertraun 271, Obertraun • Kontakt über aktuelle Telefonnummern ☎ und Adressen ⚑ mit Karte, Routing, Öffnungszeiten, Homepage, E-Mail, vCard und Firmendaten.</t>
  </si>
  <si>
    <t>Obertraun 271</t>
  </si>
  <si>
    <t>47.5551749</t>
  </si>
  <si>
    <t>13.7019036</t>
  </si>
  <si>
    <t>+436642115438;+436608613471</t>
  </si>
  <si>
    <t>waltraud.eggenreitter@gmail.com</t>
  </si>
  <si>
    <t>https://bilder.dasschnelle.at/DasSchnelle/50/5000/9868/041799/G_041799_P_906257909.adn.gif</t>
  </si>
  <si>
    <t>Kirchenwirt Fam Auer GmbH, Gastgewerbe - Gasthöfe • Schottwien • Niederösterreich</t>
  </si>
  <si>
    <t>Gastgewerbe - Gasthöfe • Kirchenwirt Fam Auer GmbH, Maria Schutz 11, Schottwien • Kontakt über aktuelle Telefonnummern ☎ und Adressen ⚑ mit Karte, Routing, Öffnungszeiten, Homepage, E-Mail, vCard und Firmendaten.</t>
  </si>
  <si>
    <t>Maria Schutz 11</t>
  </si>
  <si>
    <t>2641</t>
  </si>
  <si>
    <t>Schottwien</t>
  </si>
  <si>
    <t>47.6418719</t>
  </si>
  <si>
    <t>15.8687109</t>
  </si>
  <si>
    <t>+4326638207</t>
  </si>
  <si>
    <t>hotel.kirchenwirt@klosterkrapfen.at</t>
  </si>
  <si>
    <t>https://bilder.dasschnelle.at/DasSchnelle/50/5000/9913/041855/G_041855_P_906254369.adn.gif</t>
  </si>
  <si>
    <t>Stefan Gailer Landmaschinen, Landwirtschaftliche Maschinen u Geräte • Kötschach • Kärnten</t>
  </si>
  <si>
    <t>Landwirtschaftliche Maschinen u. Geräte • Stefan Gailer Landmaschinen, Kötschach 56, Kötschach • Kontakt über aktuelle Telefonnummern ☎ und Adressen ⚑ mit Karte, Routing, Öffnungszeiten, Homepage, E-Mail, vCard und Firmendaten.</t>
  </si>
  <si>
    <t>Kötschach 56</t>
  </si>
  <si>
    <t>46.6820255</t>
  </si>
  <si>
    <t>13.0021272</t>
  </si>
  <si>
    <t>+434715297</t>
  </si>
  <si>
    <t>info@maschinen-gailer.at</t>
  </si>
  <si>
    <t>https://bilder.dasschnelle.at/DasSchnelle/50/5000/9891/042086/I_042086_P_906328919_L_0035993608_1.png</t>
  </si>
  <si>
    <t>https://bilder.dasschnelle.at/DasSchnelle/50/5000/9891/042086/I_042086_P_906328919_B_0035993608_1.gal.png?height=667&amp;width=1000;https://bilder.dasschnelle.at/DasSchnelle/50/5000/9891/042086/I_042086_P_906328919_B_0035993608_2.gal.png?height=319&amp;width=567;https://bilder.dasschnelle.at/DasSchnelle/50/5000/9891/042086/I_042086_P_906328919_B_0035993608_3.gal.png?height=319&amp;width=567;https://bilder.dasschnelle.at/DasSchnelle/50/5000/9891/042086/I_042086_P_906328919_B_0035993608_4.gal.png?height=470&amp;width=720</t>
  </si>
  <si>
    <t>Spenglerei Dorer GesmbH, Spenglereien • Walchsee • Tirol</t>
  </si>
  <si>
    <t>Dachdeckerei u. Spenglerei • Spenglerei Dorer GesmbH, Moosen 5 B, Walchsee • Kontakt über aktuelle Telefonnummern ☎ und Adressen ⚑ mit Karte, Routing, Öffnungszeiten, Homepage, E-Mail, vCard und Firmendaten.</t>
  </si>
  <si>
    <t>Moosen 5 B</t>
  </si>
  <si>
    <t>47.64652</t>
  </si>
  <si>
    <t>12.30302</t>
  </si>
  <si>
    <t>+4353745757</t>
  </si>
  <si>
    <t>info@dorer-dach.at</t>
  </si>
  <si>
    <t>https://bilder.dasschnelle.at/DasSchnelle/50/5000/9901/044568/G_044568_P_906070118.adn.gif</t>
  </si>
  <si>
    <t>Moser GmbH, Dachdecker • Ebbs • Tirol</t>
  </si>
  <si>
    <t>Dachdeckereien • Moser GmbH, Kleinfeld 3, Ebbs • Kontakt über aktuelle Telefonnummern ☎ und Adressen ⚑ mit Karte, Routing, Öffnungszeiten, Homepage, E-Mail, vCard und Firmendaten.</t>
  </si>
  <si>
    <t>Kleinfeld 3</t>
  </si>
  <si>
    <t>47.62304</t>
  </si>
  <si>
    <t>12.21219</t>
  </si>
  <si>
    <t>+43537343213</t>
  </si>
  <si>
    <t>+43537343223</t>
  </si>
  <si>
    <t>info@spenglerei-moser.at</t>
  </si>
  <si>
    <t>https://bilder.dasschnelle.at/DasSchnelle/50/5000/9901/046151/G_046151_P_906073478.adn.gif</t>
  </si>
  <si>
    <t>Spenglerei Heim e.U. • Schwoich • Tirol</t>
  </si>
  <si>
    <t>Spenglereien • Spenglerei Heim e.U., Egerbach 79, Schwoich • Kontakt über aktuelle Telefonnummern ☎ und Adressen ⚑ mit Karte, Routing, Öffnungszeiten, Homepage, E-Mail, vCard und Firmendaten.</t>
  </si>
  <si>
    <t>Egerbach 79</t>
  </si>
  <si>
    <t>6334</t>
  </si>
  <si>
    <t>Schwoich</t>
  </si>
  <si>
    <t>47.55604</t>
  </si>
  <si>
    <t>12.15621</t>
  </si>
  <si>
    <t>+436641813012</t>
  </si>
  <si>
    <t>office@spenglerei-heim.at</t>
  </si>
  <si>
    <t>https://bilder.dasschnelle.at/DasSchnelle/50/5000/9901/046168/G_046168_P_906078737.adn.gif</t>
  </si>
  <si>
    <t>Z Gerüst GmbH, Gerüstbau &amp; Verleih • Kufstein • Tirol</t>
  </si>
  <si>
    <t>Gerüstebau u. -verleih • Z Gerüst GmbH, Weidach 2, Kufstein • Kontakt über aktuelle Telefonnummern ☎ und Adressen ⚑ mit Karte, Routing, Öffnungszeiten, Homepage, E-Mail, vCard und Firmendaten.</t>
  </si>
  <si>
    <t>Weidach 2</t>
  </si>
  <si>
    <t>47.5755</t>
  </si>
  <si>
    <t>12.15695</t>
  </si>
  <si>
    <t>+43537221485</t>
  </si>
  <si>
    <t>office@z-geruest.at</t>
  </si>
  <si>
    <t>https://bilder.dasschnelle.at/DasSchnelle/50/5000/9901/046156/G_046156_P_906078747.adn.gif</t>
  </si>
  <si>
    <t>Appinger, Markus, Malerei • Enzesfeld-Lindabrunn • Niederösterreich</t>
  </si>
  <si>
    <t>Malereibetriebe • Appinger, Markus, Fabriksstraße 6 A, Enzesfeld-Lindabrunn • Kontakt über aktuelle Telefonnummern ☎ und Adressen ⚑ mit Karte, Routing, Öffnungszeiten, Homepage, E-Mail, vCard und Firmendaten.</t>
  </si>
  <si>
    <t>Fabriksstraße 6 A</t>
  </si>
  <si>
    <t>47.9219606</t>
  </si>
  <si>
    <t>16.1950584</t>
  </si>
  <si>
    <t>+43225682333</t>
  </si>
  <si>
    <t>office@malerei-appinger.at</t>
  </si>
  <si>
    <t>https://bilder.dasschnelle.at/DasSchnelle/50/5000/9871/041342/G_041342_P_906089047.adn.gif</t>
  </si>
  <si>
    <t>Beirer, Benedict, Dr., Ärzte / Fachärzte f Zahn-, Mund-u Kieferheilkunde • Leobersdorf • Niederösterreich</t>
  </si>
  <si>
    <t>Ärzte / Fachärzte f. Zahn-, Mund u. Kieferheilkunde • Beirer, Benedict, Dr., Hauptstraße 37, Leobersdorf • Kontakt über aktuelle Telefonnummern ☎ und Adressen ⚑ mit Karte, Routing, Öffnungszeiten, Homepage, E-Mail, vCard und Firmendaten.</t>
  </si>
  <si>
    <t>+43225662670</t>
  </si>
  <si>
    <t>info@drbeirer.at</t>
  </si>
  <si>
    <t>https://bilder.dasschnelle.at/DasSchnelle/50/5000/9871/041350/I_041350_P_906092887_L_0037080686_1.png</t>
  </si>
  <si>
    <t>https://bilder.dasschnelle.at/DasSchnelle/50/5000/9871/041350/I_041350_P_906092887_B_0037080686_1.gal.png?height=879&amp;width=664;https://bilder.dasschnelle.at/DasSchnelle/50/5000/9871/041350/I_041350_P_906092887_B_0037080686_2.gal.png?height=441&amp;width=699;https://bilder.dasschnelle.at/DasSchnelle/50/5000/9871/041350/I_041350_P_906092887_B_0037080686_3.gal.png?height=333&amp;width=500;https://bilder.dasschnelle.at/DasSchnelle/50/5000/9871/041350/I_041350_P_906092887_B_0037080686_4.gal.png?height=333&amp;width=500</t>
  </si>
  <si>
    <t>Malerei Peter Hofer • Wildschönau • Tirol</t>
  </si>
  <si>
    <t>Pensionen • Malerei Peter Hofer, Schinter, Auffach 374, Wildschönau • Kontakt über aktuelle Telefonnummern ☎ und Adressen ⚑ mit Karte, Routing, Öffnungszeiten, Homepage, E-Mail, vCard und Firmendaten.</t>
  </si>
  <si>
    <t>Schinter, Auffach 374</t>
  </si>
  <si>
    <t>6313</t>
  </si>
  <si>
    <t>Wildschönau</t>
  </si>
  <si>
    <t>47.4205946</t>
  </si>
  <si>
    <t>12.0325384</t>
  </si>
  <si>
    <t>+436649901872</t>
  </si>
  <si>
    <t>https://bilder.dasschnelle.at/DasSchnelle/50/5000/9901/044569/I_044569_P_906101405_L_0038809425_1.png</t>
  </si>
  <si>
    <t>https://bilder.dasschnelle.at/DasSchnelle/50/5000/9901/044569/I_044569_P_906101405_B_0038809425_1.gal.png?height=160&amp;width=320;https://bilder.dasschnelle.at/DasSchnelle/50/5000/9901/044569/I_044569_P_906101405_B_0038809425_2.gal.png?height=160&amp;width=320;https://bilder.dasschnelle.at/DasSchnelle/50/5000/9901/044569/I_044569_P_906101405_B_0038809425_3.gal.png?height=160&amp;width=320;https://bilder.dasschnelle.at/DasSchnelle/50/5000/9901/044569/I_044569_P_906101405_B_0038809425_4.gal.png?height=160&amp;width=320</t>
  </si>
  <si>
    <t>Rainer, Christian, Bau- und Galanteriespenglerei • Fulpmes • Tirol</t>
  </si>
  <si>
    <t>Spenglereien • Rainer, Christian, Herrengasse 12, Fulpmes • Kontakt über aktuelle Telefonnummern ☎ und Adressen ⚑ mit Karte, Routing, Öffnungszeiten, Homepage, E-Mail, vCard und Firmendaten.</t>
  </si>
  <si>
    <t>47.15345</t>
  </si>
  <si>
    <t>11.34716</t>
  </si>
  <si>
    <t>+43522562246;+436641405858</t>
  </si>
  <si>
    <t>spenglerei.rainer@aon.at</t>
  </si>
  <si>
    <t>https://bilder.dasschnelle.at/DasSchnelle/50/5000/9948/045876/G_045876_P_906327044.adn.gif</t>
  </si>
  <si>
    <t>Lenauer-Nastl, Brigitte, Mag., Tierärzte • Berndorf • Niederösterreich</t>
  </si>
  <si>
    <t>Tierärzte • Lenauer-Nastl, Brigitte, Mag., Bachgasse 7, Berndorf • Kontakt über aktuelle Telefonnummern ☎ und Adressen ⚑ mit Karte, Routing, Öffnungszeiten, Homepage, E-Mail, vCard und Firmendaten.</t>
  </si>
  <si>
    <t>Bachgasse 7</t>
  </si>
  <si>
    <t>47.9413900</t>
  </si>
  <si>
    <t>16.1057200</t>
  </si>
  <si>
    <t>+43267282847</t>
  </si>
  <si>
    <t>office@tierarzt-lenauer.at</t>
  </si>
  <si>
    <t>https://bilder.dasschnelle.at/DasSchnelle/50/5000/9871/041340/G_041340_P_906309151.adn.gif</t>
  </si>
  <si>
    <t>ELEKTRO WEDL, Elektrohandel • Berndorf • Niederösterreich</t>
  </si>
  <si>
    <t>Elektrohandel • ELEKTRO WEDL, Hauptstraße 104, Berndorf • Kontakt über aktuelle Telefonnummern ☎ und Adressen ⚑ mit Karte, Routing, Öffnungszeiten, Homepage, E-Mail, vCard und Firmendaten.</t>
  </si>
  <si>
    <t>Hauptstraße 104</t>
  </si>
  <si>
    <t>47.93928</t>
  </si>
  <si>
    <t>16.14436</t>
  </si>
  <si>
    <t>+43267283580</t>
  </si>
  <si>
    <t>+4326728358010</t>
  </si>
  <si>
    <t>info@elektro-wedl.at</t>
  </si>
  <si>
    <t>https://bilder.dasschnelle.at/DasSchnelle/50/5000/9871/041340/I_041340_P_906305157_L_0035971163_1.png</t>
  </si>
  <si>
    <t>https://bilder.dasschnelle.at/DasSchnelle/50/5000/9871/041340/I_041340_P_906305157_B_0035971163_1.gal.png?height=215&amp;width=332;https://bilder.dasschnelle.at/DasSchnelle/50/5000/9871/041340/I_041340_P_906305157_B_0035971163_2.gal.png?height=293&amp;width=218;https://bilder.dasschnelle.at/DasSchnelle/50/5000/9871/041340/I_041340_P_906305157_B_0035971163_3.gal.png?height=193&amp;width=258;https://bilder.dasschnelle.at/DasSchnelle/50/5000/9871/041340/I_041340_P_906305157_B_0035971163_4.gal.png?height=333&amp;width=658</t>
  </si>
  <si>
    <t>Zöchner Erdbau u. Transport GmbH • Altenmarkt an der Triesting • Niederösterreich</t>
  </si>
  <si>
    <t>Erdbau, Transportunternehmen • Zöchner Erdbau u. Transport GmbH, Feldgasse 117, Altenmarkt an der Triesting • Kontakt über aktuelle Telefonnummern ☎ und Adressen ⚑ mit Karte, Routing, Öffnungszeiten, Homepage, E-Mail, vCard und Firmendaten.</t>
  </si>
  <si>
    <t>Feldgasse 117</t>
  </si>
  <si>
    <t>48.0166619</t>
  </si>
  <si>
    <t>15.9927049</t>
  </si>
  <si>
    <t>+43267324000</t>
  </si>
  <si>
    <t>erdbau-zoechner@aon.at</t>
  </si>
  <si>
    <t>https://bilder.dasschnelle.at/DasSchnelle/50/5000/9871/041337/G_041337_P_906305160.adn.gif</t>
  </si>
  <si>
    <t>Pichl, Andreas, Tischlerei • Weissenbach an der Triesting • Niederösterreich</t>
  </si>
  <si>
    <t>Tischlereien • Pichl, Andreas, Hainfelder Straße 34, Weissenbach an der Triesting • Kontakt über aktuelle Telefonnummern ☎ und Adressen ⚑ mit Karte, Routing, Öffnungszeiten, Homepage, E-Mail, vCard und Firmendaten.</t>
  </si>
  <si>
    <t>Hainfelder Straße 34</t>
  </si>
  <si>
    <t>2564</t>
  </si>
  <si>
    <t>Weissenbach an der Triesting</t>
  </si>
  <si>
    <t>47.98467</t>
  </si>
  <si>
    <t>16.04334</t>
  </si>
  <si>
    <t>+43267288144</t>
  </si>
  <si>
    <t>andreas.pichl@aon.at</t>
  </si>
  <si>
    <t>https://bilder.dasschnelle.at/DasSchnelle/50/5000/9871/041430/G_041430_P_906304486.adn.gif</t>
  </si>
  <si>
    <t>Elektro Dörflinger KG • Pottenstein • Niederösterreich</t>
  </si>
  <si>
    <t>Elektrotechnik • Elektro Dörflinger KG, Hainfelder Straße 34, Pottenstein • Kontakt über aktuelle Telefonnummern ☎ und Adressen ⚑ mit Karte, Routing, Öffnungszeiten, Homepage, E-Mail, vCard und Firmendaten.</t>
  </si>
  <si>
    <t>47.96169</t>
  </si>
  <si>
    <t>16.09311</t>
  </si>
  <si>
    <t>+43267282459</t>
  </si>
  <si>
    <t>office@elektro-doerflinger.com</t>
  </si>
  <si>
    <t>https://bilder.dasschnelle.at/DasSchnelle/50/5000/9871/041355/G_041355_P_906305127.adn.gif</t>
  </si>
  <si>
    <t>Baumgartner, Dagmar, Friseure • Pottenstein • Niederösterreich</t>
  </si>
  <si>
    <t>Friseure • Baumgartner, Dagmar, Hainfelder Straße 36, Pottenstein • Kontakt über aktuelle Telefonnummern ☎ und Adressen ⚑ mit Karte, Routing, Öffnungszeiten, Homepage, E-Mail, vCard und Firmendaten.</t>
  </si>
  <si>
    <t>Hainfelder Straße 36</t>
  </si>
  <si>
    <t>47.96195</t>
  </si>
  <si>
    <t>16.09278</t>
  </si>
  <si>
    <t>+43267285350</t>
  </si>
  <si>
    <t>baumgartner.dagmar@gmx.at</t>
  </si>
  <si>
    <t>https://bilder.dasschnelle.at/DasSchnelle/50/5000/9871/041355/G_041355_P_906305128.adn.gif</t>
  </si>
  <si>
    <t>Reischer, Franz • Pottenstein • Niederösterreich</t>
  </si>
  <si>
    <t>Elektrogeräte u. -bedarf, Elektrohandel • Reischer, Franz, Hainfelder Straße 20, Pottenstein • Kontakt über aktuelle Telefonnummern ☎ und Adressen ⚑ mit Karte, Routing, Öffnungszeiten, Homepage, E-Mail, vCard und Firmendaten.</t>
  </si>
  <si>
    <t>Hainfelder Straße 20</t>
  </si>
  <si>
    <t>47.96046</t>
  </si>
  <si>
    <t>16.0945</t>
  </si>
  <si>
    <t>+43267285433;+43267288800</t>
  </si>
  <si>
    <t>elektro-reischer@a1.net</t>
  </si>
  <si>
    <t>https://bilder.dasschnelle.at/DasSchnelle/50/5000/9871/041355/G_041355_P_906304487.adn.gif</t>
  </si>
  <si>
    <t>Klein, Wolfgang, Lackierer • Berndorf • Niederösterreich</t>
  </si>
  <si>
    <t>Lackierereien, Spenglereien • Klein, Wolfgang, Obere Ödlitzer Straße 59, Berndorf • Kontakt über aktuelle Telefonnummern ☎ und Adressen ⚑ mit Karte, Routing, Öffnungszeiten, Homepage, E-Mail, vCard und Firmendaten.</t>
  </si>
  <si>
    <t>Obere Ödlitzer Straße 59</t>
  </si>
  <si>
    <t>47.94946</t>
  </si>
  <si>
    <t>16.13593</t>
  </si>
  <si>
    <t>+43267282668</t>
  </si>
  <si>
    <t>office.klein@aon.at</t>
  </si>
  <si>
    <t>https://bilder.dasschnelle.at/DasSchnelle/50/5000/9871/041340/G_041340_P_906305133.adn.gif</t>
  </si>
  <si>
    <t>Holzbau Thomas Wieser GmbH • Berndorf • Niederösterreich</t>
  </si>
  <si>
    <t>Holzbau • Holzbau Thomas Wieser GmbH, Untere Ödlitzer Straße 54, Berndorf • Kontakt über aktuelle Telefonnummern ☎ und Adressen ⚑ mit Karte, Routing, Öffnungszeiten, Homepage, E-Mail, vCard und Firmendaten.</t>
  </si>
  <si>
    <t>Untere Ödlitzer Straße 54</t>
  </si>
  <si>
    <t>47.94162</t>
  </si>
  <si>
    <t>16.14557</t>
  </si>
  <si>
    <t>+436644409032</t>
  </si>
  <si>
    <t>office@holzbau-wieser.at</t>
  </si>
  <si>
    <t>https://bilder.dasschnelle.at/DasSchnelle/50/5000/9871/041340/G_041340_P_906305135.adn.gif</t>
  </si>
  <si>
    <t>Malerei Yanik e.U. • Hirtenberg • Niederösterreich</t>
  </si>
  <si>
    <t>Malereibetriebe • Malerei Yanik e.U., Leobersdorferstraße 10, Hirtenberg • Kontakt über aktuelle Telefonnummern ☎ und Adressen ⚑ mit Karte, Routing, Öffnungszeiten, Homepage, E-Mail, vCard und Firmendaten.</t>
  </si>
  <si>
    <t>Leobersdorferstraße 10</t>
  </si>
  <si>
    <t>2552</t>
  </si>
  <si>
    <t>Hirtenberg</t>
  </si>
  <si>
    <t>47.9309480</t>
  </si>
  <si>
    <t>16.1779791</t>
  </si>
  <si>
    <t>+436767204131</t>
  </si>
  <si>
    <t>office@yanik-malerei.at</t>
  </si>
  <si>
    <t>https://bilder.dasschnelle.at/DasSchnelle/50/5000/9871/041347/G_041347_P_906308697.adn.gif</t>
  </si>
  <si>
    <t>Koza GmbH, Spenglerei • Berndorf • Niederösterreich</t>
  </si>
  <si>
    <t>Spenglereien • Koza GmbH, Sportpromenade 22, Berndorf • Kontakt über aktuelle Telefonnummern ☎ und Adressen ⚑ mit Karte, Routing, Öffnungszeiten, Homepage, E-Mail, vCard und Firmendaten.</t>
  </si>
  <si>
    <t>Sportpromenade 22</t>
  </si>
  <si>
    <t>47.94982</t>
  </si>
  <si>
    <t>16.10251</t>
  </si>
  <si>
    <t>+436643854219</t>
  </si>
  <si>
    <t>kozagmbh@gmx.at</t>
  </si>
  <si>
    <t>https://bilder.dasschnelle.at/DasSchnelle/50/5000/9871/041340/G_041340_P_906308675.adn.gif</t>
  </si>
  <si>
    <t>Kriessl Fahrzeugbau GmbH &amp; Co KG • Weissenbach an der Triesting • Niederösterreich</t>
  </si>
  <si>
    <t>Fahrzeugbau • Kriessl Fahrzeugbau GmbH &amp; Co KG, Hainfelder Straße 106, Weissenbach an der Triesting • Kontakt über aktuelle Telefonnummern ☎ und Adressen ⚑ mit Karte, Routing, Öffnungszeiten, Homepage, E-Mail, vCard und Firmendaten.</t>
  </si>
  <si>
    <t>Hainfelder Straße 106</t>
  </si>
  <si>
    <t>47.9891100</t>
  </si>
  <si>
    <t>16.0299000</t>
  </si>
  <si>
    <t>+432674872000</t>
  </si>
  <si>
    <t>+432674872006</t>
  </si>
  <si>
    <t>office@kriessl.com</t>
  </si>
  <si>
    <t>https://bilder.dasschnelle.at/DasSchnelle/50/5000/9871/041430/G_041430_P_906308807.adn.gif</t>
  </si>
  <si>
    <t>Gadinger, Michael, Installationen • Altenmarkt an der Triesting • Niederösterreich</t>
  </si>
  <si>
    <t>Heizung u. Sanitär, Installationsunternehmen • Gadinger, Michael, Thenneberg 220, Altenmarkt an der Triesting • Kontakt über aktuelle Telefonnummern ☎ und Adressen ⚑ mit Karte, Routing, Öffnungszeiten, Homepage, E-Mail, vCard und Firmendaten.</t>
  </si>
  <si>
    <t>Thenneberg 220</t>
  </si>
  <si>
    <t>48.0163855</t>
  </si>
  <si>
    <t>15.9790605</t>
  </si>
  <si>
    <t>+43267324107</t>
  </si>
  <si>
    <t>office@gadinger.co.at</t>
  </si>
  <si>
    <t>Lenz, Günter, Sonnen- Insektenschutzanlagen • Kottingbrunn • Niederösterreich</t>
  </si>
  <si>
    <t>Insektenschutzgitter • Lenz, Günter, Ladislaus-Kiss-Gasse 15, Kottingbrunn • Kontakt über aktuelle Telefonnummern ☎ und Adressen ⚑ mit Karte, Routing, Öffnungszeiten, Homepage, E-Mail, vCard und Firmendaten.</t>
  </si>
  <si>
    <t>Ladislaus-Kiss-Gasse 15</t>
  </si>
  <si>
    <t>47.94494</t>
  </si>
  <si>
    <t>16.22549</t>
  </si>
  <si>
    <t>+436602185852;+432252251701;+436608109496</t>
  </si>
  <si>
    <t>info@solenz.at</t>
  </si>
  <si>
    <t>https://bilder.dasschnelle.at/DasSchnelle/50/5000/9871/041349/G_041349_P_906311175.adn.gif</t>
  </si>
  <si>
    <t>Mohl, Gregor, Dr., FA f. Zahn-, Mund- u. Kieferheilkunde • Weissenbach an der Tries • Niederösterreich</t>
  </si>
  <si>
    <t>Ärzte / Fachärzte f. Zahn-, Mund u. Kieferheilkunde, Zahnärzte • Mohl, Gregor, Dr., Hauptstraße 13 A1, Weissenbach an der Tries • Kontakt über aktuelle Telefonnummern ☎ und Adressen ⚑ mit Karte, Routing, Öffnungszeiten, Homepage, E-Mail, vCard und Firmendaten.</t>
  </si>
  <si>
    <t>Hauptstraße 13 A1</t>
  </si>
  <si>
    <t>Weissenbach an der Tries</t>
  </si>
  <si>
    <t>48.0170212</t>
  </si>
  <si>
    <t>15.9950659</t>
  </si>
  <si>
    <t>+43267420031</t>
  </si>
  <si>
    <t>office@zahn.dental</t>
  </si>
  <si>
    <t>https://bilder.dasschnelle.at/DasSchnelle/50/5000/9871/041337/G_041337_P_906310674.adn.gif</t>
  </si>
  <si>
    <t>TIERÄRZTLICHE PRAXIS POTTENSTEIN, Tierärzte • Pottenstein • Niederösterreich</t>
  </si>
  <si>
    <t>Tierärzte • TIERÄRZTLICHE PRAXIS POTTENSTEIN, Gutensteiner Straße 1, Pottenstein • Kontakt über aktuelle Telefonnummern ☎ und Adressen ⚑ mit Karte, Routing, Öffnungszeiten, Homepage, E-Mail, vCard und Firmendaten.</t>
  </si>
  <si>
    <t>Gutensteiner Straße 1</t>
  </si>
  <si>
    <t>47.95806</t>
  </si>
  <si>
    <t>16.09548</t>
  </si>
  <si>
    <t>+43267288788</t>
  </si>
  <si>
    <t>office@vet-team-pottenstein.at</t>
  </si>
  <si>
    <t>https://bilder.dasschnelle.at/DasSchnelle/50/5000/9871/041355/G_041355_P_906310751.adn.gif</t>
  </si>
  <si>
    <t>Henrich, Jan, Dr., Tierarzt • Berndorf • Niederösterreich</t>
  </si>
  <si>
    <t>Tierärzte • Henrich, Jan, Dr., Pottensteiner Straße 11, Berndorf • Kontakt über aktuelle Telefonnummern ☎ und Adressen ⚑ mit Karte, Routing, Öffnungszeiten, Homepage, E-Mail, vCard und Firmendaten.</t>
  </si>
  <si>
    <t>Pottensteiner Straße 11</t>
  </si>
  <si>
    <t>47.94818</t>
  </si>
  <si>
    <t>16.10979</t>
  </si>
  <si>
    <t>+43267288330</t>
  </si>
  <si>
    <t>tierarzt.henrich@aon.at</t>
  </si>
  <si>
    <t>https://bilder.dasschnelle.at/DasSchnelle/50/5000/9871/041340/G_041340_P_906310753.adn.gif</t>
  </si>
  <si>
    <t>Wieser-Herzog, Andrea, Konditorin • Berndorf • Niederösterreich</t>
  </si>
  <si>
    <t>Konditoreien • Wieser-Herzog, Andrea, Untere Ödlitzer Straße 54, Berndorf • Kontakt über aktuelle Telefonnummern ☎ und Adressen ⚑ mit Karte, Routing, Öffnungszeiten, Homepage, E-Mail, vCard und Firmendaten.</t>
  </si>
  <si>
    <t>+436763086416</t>
  </si>
  <si>
    <t>office@backenaufbestellung.at</t>
  </si>
  <si>
    <t>https://bilder.dasschnelle.at/DasSchnelle/50/5000/9871/041340/G_041340_P_906310735.adn.gif</t>
  </si>
  <si>
    <t>Krenn Josef Ing GesmbH, Installationsunternehmen • Weissenbach an der Tries • Niederösterreich</t>
  </si>
  <si>
    <t>Installationsunternehmen • Krenn Josef Ing GesmbH, Edlastraße 6, Weissenbach an der Tries • Kontakt über aktuelle Telefonnummern ☎ und Adressen ⚑ mit Karte, Routing, Öffnungszeiten, Homepage, E-Mail, vCard und Firmendaten.</t>
  </si>
  <si>
    <t>Edlastraße 6</t>
  </si>
  <si>
    <t>47.98592</t>
  </si>
  <si>
    <t>16.03272</t>
  </si>
  <si>
    <t>+432674873720</t>
  </si>
  <si>
    <t>+4326748737290</t>
  </si>
  <si>
    <t>office@installationen-krenn.at</t>
  </si>
  <si>
    <t>https://bilder.dasschnelle.at/DasSchnelle/50/5000/9871/041430/G_041430_P_906310907.adn.gif</t>
  </si>
  <si>
    <t>Jirka Erwin e.U., Rauchfangkehrerbetrieb • Ebbs • Tirol</t>
  </si>
  <si>
    <t>Rauchfangkehrer • Jirka Erwin e.U., Unterweidach 25, Ebbs • Kontakt über aktuelle Telefonnummern ☎ und Adressen ⚑ mit Karte, Routing, Öffnungszeiten, Homepage, E-Mail, vCard und Firmendaten.</t>
  </si>
  <si>
    <t>Unterweidach 25</t>
  </si>
  <si>
    <t>47.63699</t>
  </si>
  <si>
    <t>12.21259</t>
  </si>
  <si>
    <t>+43537342205</t>
  </si>
  <si>
    <t>erwin.jirka@aon.at</t>
  </si>
  <si>
    <t>https://bilder.dasschnelle.at/DasSchnelle/50/5000/9901/046151/G_046151_P_906316392.adn.gif</t>
  </si>
  <si>
    <t>Johannes Lechner Installationen GmbH • Weissenbach an der Triesting • Niederösterreich</t>
  </si>
  <si>
    <t>Installationsunternehmen • Johannes Lechner Installationen GmbH, Hainfelder Straße 72, Weissenbach an der Triesting • Kontakt über aktuelle Telefonnummern ☎ und Adressen ⚑ mit Karte, Routing, Öffnungszeiten, Homepage, E-Mail, vCard und Firmendaten.</t>
  </si>
  <si>
    <t>Hainfelder Straße 72</t>
  </si>
  <si>
    <t>47.98089</t>
  </si>
  <si>
    <t>16.06563</t>
  </si>
  <si>
    <t>+43267283369</t>
  </si>
  <si>
    <t>office@johanneslechner-installationen.at</t>
  </si>
  <si>
    <t>https://bilder.dasschnelle.at/DasSchnelle/50/5000/9871/041355/I_041355_P_906324189_L_0035970562_1.png</t>
  </si>
  <si>
    <t>https://bilder.dasschnelle.at/DasSchnelle/50/5000/9871/041355/I_041355_P_906324189_B_0035970562_1.gal.png?height=535&amp;width=720;https://bilder.dasschnelle.at/DasSchnelle/50/5000/9871/041355/I_041355_P_906324189_B_0035970562_2.gal.png?height=481&amp;width=641;https://bilder.dasschnelle.at/DasSchnelle/50/5000/9871/041355/I_041355_P_906324189_B_0035970562_3.gal.png?height=478&amp;width=720;https://bilder.dasschnelle.at/DasSchnelle/50/5000/9871/041355/I_041355_P_906324189_B_0035970562_4.gal.png?height=496&amp;width=720;https://bilder.dasschnelle.at/DasSchnelle/50/5000/9871/041355/G_041355_P_906324189.adn.gif</t>
  </si>
  <si>
    <t>KFZ Zbornik • Berndorf • Niederösterreich</t>
  </si>
  <si>
    <t>Autoreparaturen • KFZ Zbornik, Leobersdorfer Strasse 86, Berndorf • Kontakt über aktuelle Telefonnummern ☎ und Adressen ⚑ mit Karte, Routing, Öffnungszeiten, Homepage, E-Mail, vCard und Firmendaten.</t>
  </si>
  <si>
    <t>Leobersdorfer Strasse 86</t>
  </si>
  <si>
    <t>47.9375</t>
  </si>
  <si>
    <t>16.14687</t>
  </si>
  <si>
    <t>+43267282928</t>
  </si>
  <si>
    <t>kfz_zbornik@​aon.at</t>
  </si>
  <si>
    <t>https://bilder.dasschnelle.at/DasSchnelle/50/5000/9871/041340/G_041340_P_906323640.adn.gif</t>
  </si>
  <si>
    <t>Feiersinger-Hotter Zimmerei GmbH • Langkampfen • Tirol</t>
  </si>
  <si>
    <t>Zimmereien • Feiersinger-Hotter Zimmerei GmbH, Mitterweg 1, Langkampfen • Kontakt über aktuelle Telefonnummern ☎ und Adressen ⚑ mit Karte, Routing, Öffnungszeiten, Homepage, E-Mail, vCard und Firmendaten.</t>
  </si>
  <si>
    <t>Mitterweg 1</t>
  </si>
  <si>
    <t>6336</t>
  </si>
  <si>
    <t>Langkampfen</t>
  </si>
  <si>
    <t>47.53392</t>
  </si>
  <si>
    <t>12.09265</t>
  </si>
  <si>
    <t>+43533287319;+436641567698</t>
  </si>
  <si>
    <t>info.feiersinger-hotter@kufnet.at</t>
  </si>
  <si>
    <t>https://bilder.dasschnelle.at/DasSchnelle/50/5000/9901/046158/G_046158_P_906325552.adn.gif</t>
  </si>
  <si>
    <t>Praschberger GmbH, Malerei • Kufstein • Tirol</t>
  </si>
  <si>
    <t>Malereibetriebe • Praschberger GmbH, Pater Stefan-Straße 4, Kufstein • Kontakt über aktuelle Telefonnummern ☎ und Adressen ⚑ mit Karte, Routing, Öffnungszeiten, Homepage, E-Mail, vCard und Firmendaten.</t>
  </si>
  <si>
    <t>Pater Stefan-Straße 4</t>
  </si>
  <si>
    <t>47.59637</t>
  </si>
  <si>
    <t>12.17852</t>
  </si>
  <si>
    <t>+43537265942</t>
  </si>
  <si>
    <t>office@praschberger.net</t>
  </si>
  <si>
    <t>https://bilder.dasschnelle.at/DasSchnelle/50/5000/9901/046156/G_046156_P_906325558.adn.gif</t>
  </si>
  <si>
    <t>Spenglerei Hinterreiter GesmbH • Berndorf • Niederösterreich</t>
  </si>
  <si>
    <t>Spenglereien • Spenglerei Hinterreiter GesmbH, Harllesstraße 6, Berndorf • Kontakt über aktuelle Telefonnummern ☎ und Adressen ⚑ mit Karte, Routing, Öffnungszeiten, Homepage, E-Mail, vCard und Firmendaten.</t>
  </si>
  <si>
    <t>Harllesstraße 6</t>
  </si>
  <si>
    <t>47.94108</t>
  </si>
  <si>
    <t>16.10315</t>
  </si>
  <si>
    <t>+43267293026</t>
  </si>
  <si>
    <t>office@spenglerei-hinterreiter.at</t>
  </si>
  <si>
    <t>https://bilder.dasschnelle.at/DasSchnelle/50/5000/9871/041340/I_041340_P_906325400_L_0035970086_1.png</t>
  </si>
  <si>
    <t>https://bilder.dasschnelle.at/DasSchnelle/50/5000/9871/041340/G_041340_P_906325400.adn.gif</t>
  </si>
  <si>
    <t>Birbamer, Wolfgang, Bestattung • Berndorf • Niederösterreich</t>
  </si>
  <si>
    <t>Bestattungsunternehmen • Birbamer, Wolfgang, Hainfelder Straße 22, Berndorf • Kontakt über aktuelle Telefonnummern ☎ und Adressen ⚑ mit Karte, Routing, Öffnungszeiten, Homepage, E-Mail, vCard und Firmendaten.</t>
  </si>
  <si>
    <t>Hainfelder Straße 22</t>
  </si>
  <si>
    <t>47.94772</t>
  </si>
  <si>
    <t>16.1086</t>
  </si>
  <si>
    <t>+43267282510;+436642129439</t>
  </si>
  <si>
    <t>birbamer@bestattungsunternehmen.at</t>
  </si>
  <si>
    <t>https://bilder.dasschnelle.at/DasSchnelle/50/5000/9871/041340/G_041340_P_906326170.adn.gif</t>
  </si>
  <si>
    <t>Mitterer, Johann, Erdbewegungen • Pottenstein • Niederösterreich</t>
  </si>
  <si>
    <t>Erdbewegungen • Mitterer, Johann, Gutensteiner Straße 14, Pottenstein • Kontakt über aktuelle Telefonnummern ☎ und Adressen ⚑ mit Karte, Routing, Öffnungszeiten, Homepage, E-Mail, vCard und Firmendaten.</t>
  </si>
  <si>
    <t>Gutensteiner Straße 14</t>
  </si>
  <si>
    <t>47.9585</t>
  </si>
  <si>
    <t>16.09118</t>
  </si>
  <si>
    <t>+43267287921;+436645057706;+436767392240</t>
  </si>
  <si>
    <t>mitterer.erdbau@gmx.at</t>
  </si>
  <si>
    <t>https://bilder.dasschnelle.at/DasSchnelle/50/5000/9871/041355/G_041355_P_906326178.adn.gif</t>
  </si>
  <si>
    <t>Suchanek, Cornelia, Physiotherapie • Kufstein • Tirol</t>
  </si>
  <si>
    <t>Physiotherapie • Suchanek, Cornelia, Gewerbehof 1, Kufstein • Kontakt über aktuelle Telefonnummern ☎ und Adressen ⚑ mit Karte, Routing, Öffnungszeiten, Homepage, E-Mail, vCard und Firmendaten.</t>
  </si>
  <si>
    <t>47.5857700</t>
  </si>
  <si>
    <t>12.1754000</t>
  </si>
  <si>
    <t>+436642436322</t>
  </si>
  <si>
    <t>cornelia.suchanek@kufnet.at</t>
  </si>
  <si>
    <t>https://bilder.dasschnelle.at/DasSchnelle/50/5000/9901/046156/G_046156_P_906328125.adn.gif</t>
  </si>
  <si>
    <t>Widschwenter, Daniel, Spenglerei &amp; Dachdeckerei • Kundl • Tirol</t>
  </si>
  <si>
    <t>Spenglereien • Widschwenter, Daniel, Achenfeldweg 8, Kundl • Kontakt über aktuelle Telefonnummern ☎ und Adressen ⚑ mit Karte, Routing, Öffnungszeiten, Homepage, E-Mail, vCard und Firmendaten.</t>
  </si>
  <si>
    <t>Achenfeldweg 8</t>
  </si>
  <si>
    <t>6250</t>
  </si>
  <si>
    <t>Kundl</t>
  </si>
  <si>
    <t>47.46821</t>
  </si>
  <si>
    <t>11.99219</t>
  </si>
  <si>
    <t>+436644367466</t>
  </si>
  <si>
    <t>office@spenglerei-wildschwenter.at</t>
  </si>
  <si>
    <t>https://bilder.dasschnelle.at/DasSchnelle/50/5000/9901/046157/G_046157_P_906328274.adn.gif</t>
  </si>
  <si>
    <t>Koltai Bau- u Brennstoffe • Enzesfeld-Lindabrunn • Niederösterreich</t>
  </si>
  <si>
    <t>Baumaterialien, Brennstoffhandel, Transportunternehmen • Koltai Bau- u Brennstoffe, Hernsteinerstraße 19, Enzesfeld-Lindabrunn • Kontakt über aktuelle Telefonnummern ☎ und Adressen ⚑ mit Karte, Routing, Öffnungszeiten, Homepage, E-Mail, vCard und Firmendaten.</t>
  </si>
  <si>
    <t>Hernsteinerstraße 19</t>
  </si>
  <si>
    <t>47.9132586</t>
  </si>
  <si>
    <t>16.1854965</t>
  </si>
  <si>
    <t>+43225681225</t>
  </si>
  <si>
    <t>e.koltai@a1.net</t>
  </si>
  <si>
    <t>https://bilder.dasschnelle.at/DasSchnelle/50/5000/9871/041342/I_041342_P_906304494_L_0035969599_1.png</t>
  </si>
  <si>
    <t>https://bilder.dasschnelle.at/DasSchnelle/50/5000/9871/041342/I_041342_P_906304494_B_0035969599_1.gal.png?height=469&amp;width=720;https://bilder.dasschnelle.at/DasSchnelle/50/5000/9871/041342/I_041342_P_906304494_B_0035969599_2.gal.png?height=468&amp;width=720;https://bilder.dasschnelle.at/DasSchnelle/50/5000/9871/041342/I_041342_P_906304494_B_0035969599_3.gal.png?height=296&amp;width=720;https://bilder.dasschnelle.at/DasSchnelle/50/5000/9871/041342/I_041342_P_906304494_B_0035969599_4.gal.png?height=381&amp;width=720</t>
  </si>
  <si>
    <t>Manfred Hacker GesmbH &amp; Co. KG., Maler • Pottenstein • Niederösterreich</t>
  </si>
  <si>
    <t>Malereibetriebe • Manfred Hacker GesmbH &amp; Co. KG., Hainfelder Straße 13, Pottenstein • Kontakt über aktuelle Telefonnummern ☎ und Adressen ⚑ mit Karte, Routing, Öffnungszeiten, Homepage, E-Mail, vCard und Firmendaten.</t>
  </si>
  <si>
    <t>Hainfelder Straße 13</t>
  </si>
  <si>
    <t>47.96009</t>
  </si>
  <si>
    <t>16.09433</t>
  </si>
  <si>
    <t>+432672826210</t>
  </si>
  <si>
    <t>malereibetrieb.m.hacker@aon.at</t>
  </si>
  <si>
    <t>https://bilder.dasschnelle.at/DasSchnelle/50/5000/9871/041355/G_041355_P_906305130.adn.gif</t>
  </si>
  <si>
    <t>Greiner, Harald, Dr., Innere Medizin • Berndorf • Niederösterreich</t>
  </si>
  <si>
    <t>Ärzte / Fachärzte f. Innere Medizin • Greiner, Harald, Dr., J.-F.-Kennedy-Platz 2, Berndorf • Kontakt über aktuelle Telefonnummern ☎ und Adressen ⚑ mit Karte, Routing, Öffnungszeiten, Homepage, E-Mail, vCard und Firmendaten.</t>
  </si>
  <si>
    <t>J.-F.-Kennedy-Platz 2</t>
  </si>
  <si>
    <t>47.9446610</t>
  </si>
  <si>
    <t>16.1083085</t>
  </si>
  <si>
    <t>+436802389977</t>
  </si>
  <si>
    <t>office@internistgreiner.at</t>
  </si>
  <si>
    <t>https://bilder.dasschnelle.at/DasSchnelle/50/5000/9871/998277/G_998277_P_906068690.adn.gif</t>
  </si>
  <si>
    <t>Episas Fliesen GmbH • Ebbs • Tirol</t>
  </si>
  <si>
    <t>Fliesen u. Plattenverlegungen • Episas Fliesen GmbH, Kirchplatz 1, Ebbs • Kontakt über aktuelle Telefonnummern ☎ und Adressen ⚑ mit Karte, Routing, Öffnungszeiten, Homepage, E-Mail, vCard und Firmendaten.</t>
  </si>
  <si>
    <t>Kirchplatz 1</t>
  </si>
  <si>
    <t>47.62968</t>
  </si>
  <si>
    <t>12.2137</t>
  </si>
  <si>
    <t>+43537342665</t>
  </si>
  <si>
    <t>office@episas.at</t>
  </si>
  <si>
    <t>https://bilder.dasschnelle.at/DasSchnelle/50/5000/9901/046151/G_046151_P_906328270.adn.gif</t>
  </si>
  <si>
    <t>Scharinger, Melanie, Friseur • Peuerbach • Oberösterreich</t>
  </si>
  <si>
    <t>Friseure • Scharinger, Melanie, Graben 9, Peuerbach • Kontakt über aktuelle Telefonnummern ☎ und Adressen ⚑ mit Karte, Routing, Öffnungszeiten, Homepage, E-Mail, vCard und Firmendaten.</t>
  </si>
  <si>
    <t>Graben 9</t>
  </si>
  <si>
    <t>48.34543</t>
  </si>
  <si>
    <t>13.77141</t>
  </si>
  <si>
    <t>+43727635383;+4369910298248;+4369913353830</t>
  </si>
  <si>
    <t>meinefriseurin@gmail.com</t>
  </si>
  <si>
    <t>https://bilder.dasschnelle.at/DasSchnelle/50/5000/9887/041965/G_041965_P_906198655.adn.gif</t>
  </si>
  <si>
    <t>Lackner-Kaufmann, Manuela, Tapezierer • Straß in Steiermark • Steiermark</t>
  </si>
  <si>
    <t>Raumausstatter, Tapezierer • Lackner-Kaufmann, Manuela, Hauptstraße 40, Straß in Steiermark • Kontakt über aktuelle Telefonnummern ☎ und Adressen ⚑ mit Karte, Routing, Öffnungszeiten, Homepage, E-Mail, vCard und Firmendaten.</t>
  </si>
  <si>
    <t>Hauptstraße 40</t>
  </si>
  <si>
    <t>46.72771</t>
  </si>
  <si>
    <t>15.62223</t>
  </si>
  <si>
    <t>+43345320547</t>
  </si>
  <si>
    <t>office@tdl.at</t>
  </si>
  <si>
    <t>https://bilder.dasschnelle.at/DasSchnelle/50/5000/9904/061461/G_061461_P_906301581.adn.gif</t>
  </si>
  <si>
    <t>WWV Partner SteuerberatungsGmbH • Schrems • Niederösterreich</t>
  </si>
  <si>
    <t>Steuerberater, Wirtschaftstreuhänder / Steuerberater • WWV Partner SteuerberatungsGmbH, Schulgasse 7, Schrems • Kontakt über aktuelle Telefonnummern ☎ und Adressen ⚑ mit Karte, Routing, Öffnungszeiten, Homepage, E-Mail, vCard und Firmendaten.</t>
  </si>
  <si>
    <t>Schulgasse 7</t>
  </si>
  <si>
    <t>48.7931074</t>
  </si>
  <si>
    <t>15.0685717</t>
  </si>
  <si>
    <t>+432853768640</t>
  </si>
  <si>
    <t>wwv.schrems@wwv.at</t>
  </si>
  <si>
    <t>https://bilder.dasschnelle.at/DasSchnelle/50/5000/9885/998319/G_998319_P_906310135.adn.gif</t>
  </si>
  <si>
    <t>Blindenmarkt KG, Apotheke • Blindenmarkt • Niederösterreich</t>
  </si>
  <si>
    <t>Apotheken • Blindenmarkt KG, Hauptstraße 57, Blindenmarkt • Kontakt über aktuelle Telefonnummern ☎ und Adressen ⚑ mit Karte, Routing, Öffnungszeiten, Homepage, E-Mail, vCard und Firmendaten.</t>
  </si>
  <si>
    <t>Hauptstraße 57</t>
  </si>
  <si>
    <t>3372</t>
  </si>
  <si>
    <t>Blindenmarkt</t>
  </si>
  <si>
    <t>48.12684</t>
  </si>
  <si>
    <t>14.98202</t>
  </si>
  <si>
    <t>+4374732325</t>
  </si>
  <si>
    <t>office@apotheke-blindenmarkt.at</t>
  </si>
  <si>
    <t>https://bilder.dasschnelle.at/DasSchnelle/50/5000/9908/041533/G_041533_P_906198675.adn.gif</t>
  </si>
  <si>
    <t>Bachler Metalltechnik GmbH, Metalltechnik • Lunz • Niederösterreich</t>
  </si>
  <si>
    <t>Metallbau • Bachler Metalltechnik GmbH, Gewerbestraße 6, Lunz • Kontakt über aktuelle Telefonnummern ☎ und Adressen ⚑ mit Karte, Routing, Öffnungszeiten, Homepage, E-Mail, vCard und Firmendaten.</t>
  </si>
  <si>
    <t>47.8644704</t>
  </si>
  <si>
    <t>15.0385803</t>
  </si>
  <si>
    <t>+4374868928</t>
  </si>
  <si>
    <t>office@bachler-metalltechnik.at</t>
  </si>
  <si>
    <t>https://bilder.dasschnelle.at/DasSchnelle/50/5000/9927/041926/G_041926_P_906253881.adn.gif</t>
  </si>
  <si>
    <t>Beatrix Lang Bestattung • Kematen an der Krems • Oberösterreich</t>
  </si>
  <si>
    <t>Bestattungsunternehmen • Beatrix Lang Bestattung, Linzer Straße 11 A, Kematen an der Krems • Kontakt über aktuelle Telefonnummern ☎ und Adressen ⚑ mit Karte, Routing, Öffnungszeiten, Homepage, E-Mail, vCard und Firmendaten.</t>
  </si>
  <si>
    <t>Linzer Straße 11 A</t>
  </si>
  <si>
    <t>48.1108741</t>
  </si>
  <si>
    <t>14.1930700</t>
  </si>
  <si>
    <t>+4372287381</t>
  </si>
  <si>
    <t>beatrix.lang@aon.at</t>
  </si>
  <si>
    <t>https://bilder.dasschnelle.at/DasSchnelle/50/5000/9867/042818/G_042818_P_906178315.adn.gif</t>
  </si>
  <si>
    <t>Boje, Ursula, Friseur • Grieskirchen • Oberösterreich</t>
  </si>
  <si>
    <t>Friseure • Boje, Ursula, Prechtlerstraße 37, Grieskirchen • Kontakt über aktuelle Telefonnummern ☎ und Adressen ⚑ mit Karte, Routing, Öffnungszeiten, Homepage, E-Mail, vCard und Firmendaten.</t>
  </si>
  <si>
    <t>Prechtlerstraße 37</t>
  </si>
  <si>
    <t>48.23435</t>
  </si>
  <si>
    <t>13.83246</t>
  </si>
  <si>
    <t>+43724862726</t>
  </si>
  <si>
    <t>salon@schnittgefühl.at</t>
  </si>
  <si>
    <t>https://bilder.dasschnelle.at/DasSchnelle/50/5000/9887/041815/G_041815_P_906183916.adn.gif</t>
  </si>
  <si>
    <t>AMC Strohmeier, Wohnwagen • Wies • Steiermark</t>
  </si>
  <si>
    <t>Wohnwagen u. Wohnmobile • AMC Strohmeier, Wernersdorf 111, Wies • Kontakt über aktuelle Telefonnummern ☎ und Adressen ⚑ mit Karte, Routing, Öffnungszeiten, Homepage, E-Mail, vCard und Firmendaten.</t>
  </si>
  <si>
    <t>Wernersdorf 111</t>
  </si>
  <si>
    <t>46.7160537</t>
  </si>
  <si>
    <t>15.2070710</t>
  </si>
  <si>
    <t>+436648546670</t>
  </si>
  <si>
    <t>office@amc-strohmeier.at</t>
  </si>
  <si>
    <t>https://bilder.dasschnelle.at/DasSchnelle/50/5000/9875/061464/G_061464_P_906240623.adn.gif</t>
  </si>
  <si>
    <t>Csermely, Tamas, Dr. Univ. Doz., FA für Gynäkologie und Geburtshilfe • Baden • Niederösterreich</t>
  </si>
  <si>
    <t>Frauenheilkunde u. Geburtshilfe • Csermely, Tamas, Dr. Univ. Doz., Valeriestraße 8, Baden • Kontakt über aktuelle Telefonnummern ☎ und Adressen ⚑ mit Karte, Routing, Öffnungszeiten, Homepage, E-Mail, vCard und Firmendaten.</t>
  </si>
  <si>
    <t>Valeriestraße 8</t>
  </si>
  <si>
    <t>48.00773</t>
  </si>
  <si>
    <t>16.23906</t>
  </si>
  <si>
    <t>+4369910506832</t>
  </si>
  <si>
    <t>csertam@freemail.hu</t>
  </si>
  <si>
    <t>https://bilder.dasschnelle.at/DasSchnelle/50/5000/9870/041339/G_041339_P_906017450.adn.gif</t>
  </si>
  <si>
    <t>Das Freidls, Gasthaus • Pölfing Brunn • Steiermark</t>
  </si>
  <si>
    <t>Gastgewerbe - Gasthöfe • Das Freidls, Hauptstraße 99, Pölfing Brunn • Kontakt über aktuelle Telefonnummern ☎ und Adressen ⚑ mit Karte, Routing, Öffnungszeiten, Homepage, E-Mail, vCard und Firmendaten.</t>
  </si>
  <si>
    <t>Hauptstraße 99</t>
  </si>
  <si>
    <t>46.7298</t>
  </si>
  <si>
    <t>15.29674</t>
  </si>
  <si>
    <t>+4334652292</t>
  </si>
  <si>
    <t>office@das-freidls.at</t>
  </si>
  <si>
    <t>https://bilder.dasschnelle.at/DasSchnelle/50/5000/9875/045313/G_045313_P_906252473.adn.gif</t>
  </si>
  <si>
    <t>Bestattung H. Müllner • Hainburg • Niederösterreich</t>
  </si>
  <si>
    <t>Bestattungsunternehmen • Bestattung H. Müllner, Hofmeisterstraße 9, Hainburg • Kontakt über aktuelle Telefonnummern ☎ und Adressen ⚑ mit Karte, Routing, Öffnungszeiten, Homepage, E-Mail, vCard und Firmendaten.</t>
  </si>
  <si>
    <t>Hofmeisterstraße 9</t>
  </si>
  <si>
    <t>48.1466581</t>
  </si>
  <si>
    <t>16.9494878</t>
  </si>
  <si>
    <t>+43216562555</t>
  </si>
  <si>
    <t>muellner.hainburg@aon.at</t>
  </si>
  <si>
    <t>https://bilder.dasschnelle.at/DasSchnelle/50/5000/9873/041439/G_041439_P_906253717.adn.gif</t>
  </si>
  <si>
    <t>Baci-Taxi • Gmunden • Oberösterreich</t>
  </si>
  <si>
    <t>Taxi • Baci-Taxi, Bahnhofstraße 45, Gmunden • Kontakt über aktuelle Telefonnummern ☎ und Adressen ⚑ mit Karte, Routing, Öffnungszeiten, Homepage, E-Mail, vCard und Firmendaten.</t>
  </si>
  <si>
    <t>Bahnhofstraße 45</t>
  </si>
  <si>
    <t>47.9782300</t>
  </si>
  <si>
    <t>13.7942500</t>
  </si>
  <si>
    <t>+43761247191</t>
  </si>
  <si>
    <t>+4376124719122</t>
  </si>
  <si>
    <t>taxibaci@gmx.at</t>
  </si>
  <si>
    <t>https://bilder.dasschnelle.at/DasSchnelle/50/5000/9886/041800/G_041800_P_906028092.adn.gif</t>
  </si>
  <si>
    <t>Böhler, Max, Univ.Doz..Dr., FA für Orthopädie und Orthopädische Chirurgie • Baden • Niederösterreich</t>
  </si>
  <si>
    <t>Orthopädie • Böhler, Max, Univ.Doz..Dr., Mühlgasse 6, Baden • Kontakt über aktuelle Telefonnummern ☎ und Adressen ⚑ mit Karte, Routing, Öffnungszeiten, Homepage, E-Mail, vCard und Firmendaten.</t>
  </si>
  <si>
    <t>Mühlgasse 6</t>
  </si>
  <si>
    <t>48.00924</t>
  </si>
  <si>
    <t>16.24161</t>
  </si>
  <si>
    <t>+432252252694</t>
  </si>
  <si>
    <t>drmaxboehler@gmail.com</t>
  </si>
  <si>
    <t>https://bilder.dasschnelle.at/DasSchnelle/50/5000/9870/041339/G_041339_P_906052995.adn.gif</t>
  </si>
  <si>
    <t>A.D.L. Estrich • Schalchham • Oberösterreich</t>
  </si>
  <si>
    <t>Estriche • A.D.L. Estrich, Am Agersteg 22, Schalchham • Kontakt über aktuelle Telefonnummern ☎ und Adressen ⚑ mit Karte, Routing, Öffnungszeiten, Homepage, E-Mail, vCard und Firmendaten.</t>
  </si>
  <si>
    <t>Schalchham</t>
  </si>
  <si>
    <t>https://bilder.dasschnelle.at/DasSchnelle/50/5000/9886/041792/I_043555_P_906058541_L_0038796430_1.png</t>
  </si>
  <si>
    <t>https://bilder.dasschnelle.at/DasSchnelle/50/5000/9886/041792/I_043555_P_906058541_B_0038796430_1.gal.png?height=540&amp;width=720;https://bilder.dasschnelle.at/DasSchnelle/50/5000/9886/041792/I_043555_P_906058541_B_0038796430_2.gal.png?height=540&amp;width=720;https://bilder.dasschnelle.at/DasSchnelle/50/5000/9886/041792/I_043555_P_906058541_B_0038796430_3.gal.png?height=540&amp;width=720;https://bilder.dasschnelle.at/DasSchnelle/50/5000/9886/041792/I_043555_P_906058541_B_0038796430_4.gal.png?height=405&amp;width=720</t>
  </si>
  <si>
    <t>Burger, F., Dr. • Hirtenberg • Niederösterreich</t>
  </si>
  <si>
    <t>Ärzte / Zahnärzte • Burger, F., Dr., Badgasse 1, Hirtenberg • Kontakt über aktuelle Telefonnummern ☎ und Adressen ⚑ mit Karte, Routing, Öffnungszeiten, Homepage, E-Mail, vCard und Firmendaten.</t>
  </si>
  <si>
    <t>Badgasse 1</t>
  </si>
  <si>
    <t>47.93002</t>
  </si>
  <si>
    <t>16.18377</t>
  </si>
  <si>
    <t>+43225665828</t>
  </si>
  <si>
    <t>ordination@zahnarzt-burger.at</t>
  </si>
  <si>
    <t>https://bilder.dasschnelle.at/DasSchnelle/50/5000/9871/041347/G_041347_P_906289349.adn.gif</t>
  </si>
  <si>
    <t>Gründling Josef GesmbH &amp; Co KG, Installationsunternehmen • Amstetten • Niederösterreich</t>
  </si>
  <si>
    <t>Installationsunternehmen • Gründling Josef GesmbH &amp; Co KG, Ardaggerstraße 36, Amstetten • Kontakt über aktuelle Telefonnummern ☎ und Adressen ⚑ mit Karte, Routing, Öffnungszeiten, Homepage, E-Mail, vCard und Firmendaten.</t>
  </si>
  <si>
    <t>Ardaggerstraße 36</t>
  </si>
  <si>
    <t>48.12706</t>
  </si>
  <si>
    <t>14.86896</t>
  </si>
  <si>
    <t>+437472621140</t>
  </si>
  <si>
    <t>office@gruendling.at</t>
  </si>
  <si>
    <t>https://bilder.dasschnelle.at/DasSchnelle/50/5000/9866/042062/G_042062_P_906310926.adn.gif</t>
  </si>
  <si>
    <t>Selfman Holzer - Weiß GesmbH, Gas-Wasser-Heizung • Amstetten • Niederösterreich</t>
  </si>
  <si>
    <t>Gasinstallationen • Selfman Holzer - Weiß GesmbH, Friedhofstraße 7, Amstetten • Kontakt über aktuelle Telefonnummern ☎ und Adressen ⚑ mit Karte, Routing, Öffnungszeiten, Homepage, E-Mail, vCard und Firmendaten.</t>
  </si>
  <si>
    <t>Friedhofstraße 7</t>
  </si>
  <si>
    <t>48.1250913</t>
  </si>
  <si>
    <t>14.8682534</t>
  </si>
  <si>
    <t>+43747262704</t>
  </si>
  <si>
    <t>office@holzer-weiss.at</t>
  </si>
  <si>
    <t>https://bilder.dasschnelle.at/DasSchnelle/50/5000/9866/042062/G_042062_P_906310927.adn.gif</t>
  </si>
  <si>
    <t>Habersohn, Oliver, Garten- u Landschaftsgestaltung • Amstetten • Niederösterreich</t>
  </si>
  <si>
    <t>Garten- u. Landschaftsgestaltung • Habersohn, Oliver, Wiener Straße 26, Amstetten • Kontakt über aktuelle Telefonnummern ☎ und Adressen ⚑ mit Karte, Routing, Öffnungszeiten, Homepage, E-Mail, vCard und Firmendaten.</t>
  </si>
  <si>
    <t>Wiener Straße 26</t>
  </si>
  <si>
    <t>48.12267</t>
  </si>
  <si>
    <t>14.87766</t>
  </si>
  <si>
    <t>+43747262847;+43747262848</t>
  </si>
  <si>
    <t>blumen@habersohn.at</t>
  </si>
  <si>
    <t>https://bilder.dasschnelle.at/DasSchnelle/50/5000/9866/042062/G_042062_P_906310930.adn.gif</t>
  </si>
  <si>
    <t>Moshammer Norbert GesmbH, Bäckereien • Böhlerwerk • Niederösterreich</t>
  </si>
  <si>
    <t>Bäckereien • Moshammer Norbert GesmbH, Waidhofnerstraße 7, Böhlerwerk • Kontakt über aktuelle Telefonnummern ☎ und Adressen ⚑ mit Karte, Routing, Öffnungszeiten, Homepage, E-Mail, vCard und Firmendaten.</t>
  </si>
  <si>
    <t>Waidhofnerstraße 7</t>
  </si>
  <si>
    <t>3333</t>
  </si>
  <si>
    <t>Böhlerwerk</t>
  </si>
  <si>
    <t>14.75014</t>
  </si>
  <si>
    <t>+437442621550</t>
  </si>
  <si>
    <t>office@baeckerei-moshammer.at</t>
  </si>
  <si>
    <t>https://bilder.dasschnelle.at/DasSchnelle/50/5000/9866/041327/G_041327_P_906310932.adn.gif</t>
  </si>
  <si>
    <t>Grossalber Tischlerei GmbH, Bau- u Möbeltischlerei • Stephanshart • Niederösterreich</t>
  </si>
  <si>
    <t>Tischlereien • Grossalber Tischlerei GmbH, Empfing 50, Stephanshart • Kontakt über aktuelle Telefonnummern ☎ und Adressen ⚑ mit Karte, Routing, Öffnungszeiten, Homepage, E-Mail, vCard und Firmendaten.</t>
  </si>
  <si>
    <t>Empfing 50</t>
  </si>
  <si>
    <t>48.1613</t>
  </si>
  <si>
    <t>14.80938</t>
  </si>
  <si>
    <t>+4374797343</t>
  </si>
  <si>
    <t>office@grossalber.at</t>
  </si>
  <si>
    <t>https://bilder.dasschnelle.at/DasSchnelle/50/5000/9866/042063/G_042063_P_906310933.adn.gif</t>
  </si>
  <si>
    <t>NEU Steinmetzbetrieb GmbH, Steinmetzbetriebe • Amstetten • Niederösterreich</t>
  </si>
  <si>
    <t>Steinmetzbetriebe • NEU Steinmetzbetrieb GmbH, Wörthstraße 3, Amstetten • Kontakt über aktuelle Telefonnummern ☎ und Adressen ⚑ mit Karte, Routing, Öffnungszeiten, Homepage, E-Mail, vCard und Firmendaten.</t>
  </si>
  <si>
    <t>Wörthstraße 3</t>
  </si>
  <si>
    <t>48.12309</t>
  </si>
  <si>
    <t>14.86961</t>
  </si>
  <si>
    <t>+43747262268</t>
  </si>
  <si>
    <t>+437472622684</t>
  </si>
  <si>
    <t>office@neu-steinmetz.at</t>
  </si>
  <si>
    <t>https://bilder.dasschnelle.at/DasSchnelle/50/5000/9866/042062/G_042062_P_906310934.adn.gif</t>
  </si>
  <si>
    <t>Guttmann, Thomas, Tapezierer u Dekorateure • Kaindorf • Steiermark</t>
  </si>
  <si>
    <t>Tapezierer u. Dekorateure • Guttmann, Thomas, Assmannstraße 1, Kaindorf • Kontakt über aktuelle Telefonnummern ☎ und Adressen ⚑ mit Karte, Routing, Öffnungszeiten, Homepage, E-Mail, vCard und Firmendaten.</t>
  </si>
  <si>
    <t>Assmannstraße 1</t>
  </si>
  <si>
    <t>46.79704</t>
  </si>
  <si>
    <t>15.54508</t>
  </si>
  <si>
    <t>+43345283542</t>
  </si>
  <si>
    <t>t.guttmann@aon.at</t>
  </si>
  <si>
    <t>https://bilder.dasschnelle.at/DasSchnelle/50/5000/9904/061363/G_061363_P_906298017.adn.gif</t>
  </si>
  <si>
    <t>Textilreinigung Kuttner Andrea, Textilreinigung • Amstetten • Niederösterreich</t>
  </si>
  <si>
    <t>Textilreinigung • Textilreinigung Kuttner Andrea, Ybbsstraße 35, Amstetten • Kontakt über aktuelle Telefonnummern ☎ und Adressen ⚑ mit Karte, Routing, Öffnungszeiten, Homepage, E-Mail, vCard und Firmendaten.</t>
  </si>
  <si>
    <t>Ybbsstraße 35</t>
  </si>
  <si>
    <t>48.11715</t>
  </si>
  <si>
    <t>14.87153</t>
  </si>
  <si>
    <t>+43747262852</t>
  </si>
  <si>
    <t>office@putzerei-kuttner.at</t>
  </si>
  <si>
    <t>https://bilder.dasschnelle.at/DasSchnelle/50/5000/9866/042062/G_042062_P_906310936.adn.gif</t>
  </si>
  <si>
    <t>Hundesalon Quicky, Hundesalon • Amstetten • Niederösterreich</t>
  </si>
  <si>
    <t>Hundesalon • Hundesalon Quicky, Ybbsstraße 35, Amstetten • Kontakt über aktuelle Telefonnummern ☎ und Adressen ⚑ mit Karte, Routing, Öffnungszeiten, Homepage, E-Mail, vCard und Firmendaten.</t>
  </si>
  <si>
    <t>+43747264152</t>
  </si>
  <si>
    <t>office@hundesalon-quicky.at</t>
  </si>
  <si>
    <t>https://bilder.dasschnelle.at/DasSchnelle/50/5000/9866/042062/G_042062_P_906310937.adn.gif</t>
  </si>
  <si>
    <t>Schmid Ulrich GmbH, Agrarhandel • Amstetten • Niederösterreich</t>
  </si>
  <si>
    <t>Brennstoffhandel, Agrarhandel • Schmid Ulrich GmbH, Lewingstraße 2 A, Amstetten • Kontakt über aktuelle Telefonnummern ☎ und Adressen ⚑ mit Karte, Routing, Öffnungszeiten, Homepage, E-Mail, vCard und Firmendaten.</t>
  </si>
  <si>
    <t>Lewingstraße 2 A</t>
  </si>
  <si>
    <t>48.1222551</t>
  </si>
  <si>
    <t>14.88985</t>
  </si>
  <si>
    <t>+43747262178</t>
  </si>
  <si>
    <t>agrar.schmid@gmail.com</t>
  </si>
  <si>
    <t>https://bilder.dasschnelle.at/DasSchnelle/50/5000/9866/042062/I_042062_P_906081749_B_0035994576_1.gal.png?height=473&amp;width=720;https://bilder.dasschnelle.at/DasSchnelle/50/5000/9866/042062/I_042062_P_906081749_B_0035994576_2.gal.png?height=366&amp;width=720;https://bilder.dasschnelle.at/DasSchnelle/50/5000/9866/042062/I_042062_P_906081749_B_0035994576_3.gal.png?height=369&amp;width=720;https://bilder.dasschnelle.at/DasSchnelle/50/5000/9866/042062/I_042062_P_906081749_B_0035994576_4.gal.png?height=389&amp;width=720</t>
  </si>
  <si>
    <t>Andreas Fischer Physio Plus, Physiotherapie • Feldkirchen • Kärnten</t>
  </si>
  <si>
    <t>Physiotherapie • Andreas Fischer Physio Plus, 10.Oktober-Straße 24/2 1, Feldkirchen • Kontakt über aktuelle Telefonnummern ☎ und Adressen ⚑ mit Karte, Routing, Öffnungszeiten, Homepage, E-Mail, vCard und Firmendaten.</t>
  </si>
  <si>
    <t>10.Oktober-Straße 24/2 1</t>
  </si>
  <si>
    <t>46.69719</t>
  </si>
  <si>
    <t>14.00868</t>
  </si>
  <si>
    <t>+436509802040</t>
  </si>
  <si>
    <t>physioplus@outlook.com</t>
  </si>
  <si>
    <t>https://bilder.dasschnelle.at/DasSchnelle/50/5000/9880/042055/G_042055_P_906310939.adn.gif</t>
  </si>
  <si>
    <t>Gebetsberger GmbH, Inst • Stephanshart • Niederösterreich</t>
  </si>
  <si>
    <t>Installationsunternehmen • Gebetsberger GmbH, Amstettner Straße 7, Stephanshart • Kontakt über aktuelle Telefonnummern ☎ und Adressen ⚑ mit Karte, Routing, Öffnungszeiten, Homepage, E-Mail, vCard und Firmendaten.</t>
  </si>
  <si>
    <t>Amstettner Straße 7</t>
  </si>
  <si>
    <t>48.15613</t>
  </si>
  <si>
    <t>14.81752</t>
  </si>
  <si>
    <t>+43747961840</t>
  </si>
  <si>
    <t>mauer@gebetsberger.co.at</t>
  </si>
  <si>
    <t>https://bilder.dasschnelle.at/DasSchnelle/50/5000/9866/042063/G_042063_P_906310941.adn.gif</t>
  </si>
  <si>
    <t>Gold, Mechthild, Mag., Tierärztin • Klachl • Kärnten</t>
  </si>
  <si>
    <t>Tierärzte • Gold, Mechthild, Mag., Klachl 23, Klachl • Kontakt über aktuelle Telefonnummern ☎ und Adressen ⚑ mit Karte, Routing, Öffnungszeiten, Homepage, E-Mail, vCard und Firmendaten.</t>
  </si>
  <si>
    <t>Klachl 23</t>
  </si>
  <si>
    <t>Klachl</t>
  </si>
  <si>
    <t>46.6967536</t>
  </si>
  <si>
    <t>14.0798552</t>
  </si>
  <si>
    <t>+436643900109</t>
  </si>
  <si>
    <t>mechthild_gold@gmx.net</t>
  </si>
  <si>
    <t>https://bilder.dasschnelle.at/DasSchnelle/50/5000/9880/042048/G_042048_P_906310945.adn.gif</t>
  </si>
  <si>
    <t>Linder, Andreas, Rasemäher Motorsägen • Feldkirchen • Kärnten</t>
  </si>
  <si>
    <t>Motorsägen u. -zubehör • Linder, Andreas, Alte Villacher Straße 23, Feldkirchen • Kontakt über aktuelle Telefonnummern ☎ und Adressen ⚑ mit Karte, Routing, Öffnungszeiten, Homepage, E-Mail, vCard und Firmendaten.</t>
  </si>
  <si>
    <t>Alte Villacher Straße 23</t>
  </si>
  <si>
    <t>46.71519</t>
  </si>
  <si>
    <t>14.07106</t>
  </si>
  <si>
    <t>+43427629137</t>
  </si>
  <si>
    <t>linder.hermann@aon.at</t>
  </si>
  <si>
    <t>https://bilder.dasschnelle.at/DasSchnelle/50/5000/9880/042048/G_042048_P_906310947.adn.gif</t>
  </si>
  <si>
    <t>Car Dreams Grill, KFZ Reinigung • Lichendorf • Steiermark</t>
  </si>
  <si>
    <t>Reinigungsanstalten • Car Dreams Grill, Murfelder Straße 129, Lichendorf • Kontakt über aktuelle Telefonnummern ☎ und Adressen ⚑ mit Karte, Routing, Öffnungszeiten, Homepage, E-Mail, vCard und Firmendaten.</t>
  </si>
  <si>
    <t>Murfelder Straße 129</t>
  </si>
  <si>
    <t>Lichendorf</t>
  </si>
  <si>
    <t>46.7233212</t>
  </si>
  <si>
    <t>15.6912871</t>
  </si>
  <si>
    <t>+4369911045501</t>
  </si>
  <si>
    <t>lackpflege@gmail.com</t>
  </si>
  <si>
    <t>Malermeister Leitner e.U. • Aschbach-Markt • Niederösterreich</t>
  </si>
  <si>
    <t>Malereibetriebe • Malermeister Leitner e.U., Oberer Markt 11, Aschbach-Markt • Kontakt über aktuelle Telefonnummern ☎ und Adressen ⚑ mit Karte, Routing, Öffnungszeiten, Homepage, E-Mail, vCard und Firmendaten.</t>
  </si>
  <si>
    <t>Oberer Markt 11</t>
  </si>
  <si>
    <t>48.07333</t>
  </si>
  <si>
    <t>14.74706</t>
  </si>
  <si>
    <t>+43747676283</t>
  </si>
  <si>
    <t>office@malerleitner.at</t>
  </si>
  <si>
    <t>https://bilder.dasschnelle.at/DasSchnelle/50/5000/9866/042064/G_042064_P_906310948.adn.gif</t>
  </si>
  <si>
    <t>Malerbetrieb Zach KG, Malereibetriebe • Eltendorf • Burgenland</t>
  </si>
  <si>
    <t>Malereibetriebe • Malerbetrieb Zach KG, Am Hochkogel 16, Eltendorf • Kontakt über aktuelle Telefonnummern ☎ und Adressen ⚑ mit Karte, Routing, Öffnungszeiten, Homepage, E-Mail, vCard und Firmendaten.</t>
  </si>
  <si>
    <t>Am Hochkogel 16</t>
  </si>
  <si>
    <t>7562</t>
  </si>
  <si>
    <t>Eltendorf</t>
  </si>
  <si>
    <t>47.01404</t>
  </si>
  <si>
    <t>16.22246</t>
  </si>
  <si>
    <t>+4333252601</t>
  </si>
  <si>
    <t>malerbetrieb.zach@aon.at</t>
  </si>
  <si>
    <t>https://bilder.dasschnelle.at/DasSchnelle/50/5000/9884/041573/G_041573_P_906310153.adn.gif</t>
  </si>
  <si>
    <t>Malermeister Meitz, Harald • Minihof-Liebau • Burgenland</t>
  </si>
  <si>
    <t>Malereibetriebe • Malermeister Meitz, Harald, Tauka 39, Minihof-Liebau • Kontakt über aktuelle Telefonnummern ☎ und Adressen ⚑ mit Karte, Routing, Öffnungszeiten, Homepage, E-Mail, vCard und Firmendaten.</t>
  </si>
  <si>
    <t>Tauka 39</t>
  </si>
  <si>
    <t>8384</t>
  </si>
  <si>
    <t>Minihof-Liebau</t>
  </si>
  <si>
    <t>46.8620786</t>
  </si>
  <si>
    <t>16.0639303</t>
  </si>
  <si>
    <t>+436644053238</t>
  </si>
  <si>
    <t>harald.meitz@gmx.at</t>
  </si>
  <si>
    <t>https://bilder.dasschnelle.at/DasSchnelle/50/5000/9884/041576/G_041576_P_906310156.adn.gif</t>
  </si>
  <si>
    <t>Erdbewegung Stelzer Wirt Tennis, Gastgewerbe - Erdbewegungen • Fürstenfeld • Steiermark</t>
  </si>
  <si>
    <t>Gastgewerbe - Gasthöfe • Erdbewegung Stelzer Wirt Tennis, Stadtbergen 130, Fürstenfeld • Kontakt über aktuelle Telefonnummern ☎ und Adressen ⚑ mit Karte, Routing, Öffnungszeiten, Homepage, E-Mail, vCard und Firmendaten.</t>
  </si>
  <si>
    <t>Stadtbergen 130</t>
  </si>
  <si>
    <t>47.0539408</t>
  </si>
  <si>
    <t>16.0411683</t>
  </si>
  <si>
    <t>+43338252920</t>
  </si>
  <si>
    <t>trans@stelzerpeter.at</t>
  </si>
  <si>
    <t>https://bilder.dasschnelle.at/DasSchnelle/50/5000/9884/061368/G_061368_P_906310158.adn.gif</t>
  </si>
  <si>
    <t>HG-PflasterBau • Söchau • Steiermark</t>
  </si>
  <si>
    <t>Pflaster u. Pflasterungen • HG-PflasterBau, Hartl 32, Söchau • Kontakt über aktuelle Telefonnummern ☎ und Adressen ⚑ mit Karte, Routing, Öffnungszeiten, Homepage, E-Mail, vCard und Firmendaten.</t>
  </si>
  <si>
    <t>Hartl 32</t>
  </si>
  <si>
    <t>47.0174540</t>
  </si>
  <si>
    <t>16.0366597</t>
  </si>
  <si>
    <t>+436645216232</t>
  </si>
  <si>
    <t>office@hg-pflasterbau.at</t>
  </si>
  <si>
    <t>https://bilder.dasschnelle.at/DasSchnelle/50/5000/9884/046172/G_046172_P_906310159.adn.gif</t>
  </si>
  <si>
    <t>Rosenberger Holzbau GmbH • Fürstenfeld • Steiermark</t>
  </si>
  <si>
    <t>Holzbau • Rosenberger Holzbau GmbH, Fehringer Straße 30, Fürstenfeld • Kontakt über aktuelle Telefonnummern ☎ und Adressen ⚑ mit Karte, Routing, Öffnungszeiten, Homepage, E-Mail, vCard und Firmendaten.</t>
  </si>
  <si>
    <t>Fehringer Straße 30</t>
  </si>
  <si>
    <t>47.03806</t>
  </si>
  <si>
    <t>16.0828</t>
  </si>
  <si>
    <t>+43338252202;+436642540702;+436642540701;+436642540700</t>
  </si>
  <si>
    <t>+4333825220215</t>
  </si>
  <si>
    <t>office@holzbau-rosenberger.at</t>
  </si>
  <si>
    <t>https://bilder.dasschnelle.at/DasSchnelle/50/5000/9884/061368/G_061368_P_906310160.adn.gif</t>
  </si>
  <si>
    <t>Timischl, Waltraud, Psychotherapeutin • Rudersdorf • Burgenland</t>
  </si>
  <si>
    <t>Psychotherapie • Timischl, Waltraud, Weichenberg 37, Rudersdorf • Kontakt über aktuelle Telefonnummern ☎ und Adressen ⚑ mit Karte, Routing, Öffnungszeiten, Homepage, E-Mail, vCard und Firmendaten.</t>
  </si>
  <si>
    <t>Weichenberg 37</t>
  </si>
  <si>
    <t>47.0719632</t>
  </si>
  <si>
    <t>16.1282845</t>
  </si>
  <si>
    <t>+436649130698</t>
  </si>
  <si>
    <t>waltraud.timischl@aon.at</t>
  </si>
  <si>
    <t>https://bilder.dasschnelle.at/DasSchnelle/50/5000/9884/041579/G_041579_P_906310165.adn.gif</t>
  </si>
  <si>
    <t>CP Fliesen und Platten • Bad Loipersdorf • Steiermark</t>
  </si>
  <si>
    <t>Fliesen u. Plattenverlegungen • CP Fliesen und Platten, Höhenstraße 299, Bad Loipersdorf • Kontakt über aktuelle Telefonnummern ☎ und Adressen ⚑ mit Karte, Routing, Öffnungszeiten, Homepage, E-Mail, vCard und Firmendaten.</t>
  </si>
  <si>
    <t>Höhenstraße 299</t>
  </si>
  <si>
    <t>Bad Loipersdorf</t>
  </si>
  <si>
    <t>47.0123002</t>
  </si>
  <si>
    <t>16.0948936</t>
  </si>
  <si>
    <t>+436645188376</t>
  </si>
  <si>
    <t>office@cp-fliesen.at</t>
  </si>
  <si>
    <t>https://bilder.dasschnelle.at/DasSchnelle/50/5000/9884/061394/G_061394_P_906310166.adn.gif</t>
  </si>
  <si>
    <t>Elektrotechnik  • Deutsch Kaltenbrunn • Burgenland</t>
  </si>
  <si>
    <t>Elektrotechnik • Elektrotechnik, Gartensiedlung 12, Deutsch Kaltenbrunn • Kontakt über aktuelle Telefonnummern ☎ und Adressen ⚑ mit Karte, Routing, Öffnungszeiten, Homepage, E-Mail, vCard und Firmendaten.</t>
  </si>
  <si>
    <t>Gartensiedlung 12</t>
  </si>
  <si>
    <t>47.0857981</t>
  </si>
  <si>
    <t>16.1060311</t>
  </si>
  <si>
    <t>+436644166265</t>
  </si>
  <si>
    <t>ed.kropf62@gmail.com</t>
  </si>
  <si>
    <t>https://bilder.dasschnelle.at/DasSchnelle/50/5000/9884/041572/G_041572_P_906310167.adn.gif</t>
  </si>
  <si>
    <t>Deutsch, Harald, Maler • Mogersdorf • Burgenland</t>
  </si>
  <si>
    <t>Malereibetriebe • Deutsch, Harald, Krobotek 127, Mogersdorf • Kontakt über aktuelle Telefonnummern ☎ und Adressen ⚑ mit Karte, Routing, Öffnungszeiten, Homepage, E-Mail, vCard und Firmendaten.</t>
  </si>
  <si>
    <t>Krobotek 127</t>
  </si>
  <si>
    <t>46.9754140</t>
  </si>
  <si>
    <t>16.1754787</t>
  </si>
  <si>
    <t>+4369910233237;+4369910233237</t>
  </si>
  <si>
    <t>office@malerkarussell.at</t>
  </si>
  <si>
    <t>https://bilder.dasschnelle.at/DasSchnelle/50/5000/9884/041577/I_041577_P_906089964_L_0038008610_1.png</t>
  </si>
  <si>
    <t>https://bilder.dasschnelle.at/DasSchnelle/50/5000/9884/041577/I_041577_P_906089964_B_0038008610_1.gal.png?height=450&amp;width=600;https://bilder.dasschnelle.at/DasSchnelle/50/5000/9884/041577/I_041577_P_906089964_B_0038008610_2.gal.png?height=400&amp;width=400;https://bilder.dasschnelle.at/DasSchnelle/50/5000/9884/041577/I_041577_P_906089964_B_0038008610_3.gal.png?height=533&amp;width=400;https://bilder.dasschnelle.at/DasSchnelle/50/5000/9884/041577/I_041577_P_906089964_B_0038008610_4.gal.png?height=533&amp;width=400;https://bilder.dasschnelle.at/DasSchnelle/50/5000/9884/041577/G_041577_P_906310168.adn.gif</t>
  </si>
  <si>
    <t>Elektro SCHULLER GmbH • Hermagor • Kärnten</t>
  </si>
  <si>
    <t>Elektrogeräte u. -bedarf, Elektrotechnik • Elektro SCHULLER GmbH, Egger Straße 16, Hermagor • Kontakt über aktuelle Telefonnummern ☎ und Adressen ⚑ mit Karte, Routing, Öffnungszeiten, Homepage, E-Mail, vCard und Firmendaten.</t>
  </si>
  <si>
    <t>Egger Straße 16</t>
  </si>
  <si>
    <t>46.62358</t>
  </si>
  <si>
    <t>13.37395</t>
  </si>
  <si>
    <t>+43428220670</t>
  </si>
  <si>
    <t>+43428225058</t>
  </si>
  <si>
    <t>office@elektro-schuller.at</t>
  </si>
  <si>
    <t>https://bilder.dasschnelle.at/DasSchnelle/50/5000/9891/042084/G_042084_P_906310728.adn.gif</t>
  </si>
  <si>
    <t>isi-mobile Handyfachgeschäft • Hermagor • Kärnten</t>
  </si>
  <si>
    <t>Mobiltelefone u. -zubehör • isi-mobile Handyfachgeschäft, Bahnhofstraße 12, Hermagor • Kontakt über aktuelle Telefonnummern ☎ und Adressen ⚑ mit Karte, Routing, Öffnungszeiten, Homepage, E-Mail, vCard und Firmendaten.</t>
  </si>
  <si>
    <t>46.62636</t>
  </si>
  <si>
    <t>13.3746</t>
  </si>
  <si>
    <t>+43428225101</t>
  </si>
  <si>
    <t>office@isi-mobile.at</t>
  </si>
  <si>
    <t>https://bilder.dasschnelle.at/DasSchnelle/50/5000/9891/042084/G_042084_P_906310731.adn.gif</t>
  </si>
  <si>
    <t>Bestattung Hermagor, Bestattung • Hermagor • Kärnten</t>
  </si>
  <si>
    <t>Bestattungsunternehmen • Bestattung Hermagor, Friedhofstraße 8, Hermagor • Kontakt über aktuelle Telefonnummern ☎ und Adressen ⚑ mit Karte, Routing, Öffnungszeiten, Homepage, E-Mail, vCard und Firmendaten.</t>
  </si>
  <si>
    <t>Friedhofstraße 8</t>
  </si>
  <si>
    <t>46.62195</t>
  </si>
  <si>
    <t>13.372</t>
  </si>
  <si>
    <t>+4342822313</t>
  </si>
  <si>
    <t>bestattung@hermagor.at</t>
  </si>
  <si>
    <t>https://bilder.dasschnelle.at/DasSchnelle/50/5000/9891/042084/G_042084_P_906310733.adn.gif</t>
  </si>
  <si>
    <t>Nocker-Metallbau GmbH, Metallbau • Navis • Tirol</t>
  </si>
  <si>
    <t>Aufsperrdienste, Metallbau • Nocker-Metallbau GmbH, Außerweg 62 B, Navis • Kontakt über aktuelle Telefonnummern ☎ und Adressen ⚑ mit Karte, Routing, Öffnungszeiten, Homepage, E-Mail, vCard und Firmendaten.</t>
  </si>
  <si>
    <t>Außerweg 62 B</t>
  </si>
  <si>
    <t>47.1307961</t>
  </si>
  <si>
    <t>11.5274371</t>
  </si>
  <si>
    <t>+43527360500</t>
  </si>
  <si>
    <t>office@nocker.at</t>
  </si>
  <si>
    <t>https://bilder.dasschnelle.at/DasSchnelle/50/5000/9948/045896/G_045896_P_906110985.adn.gif</t>
  </si>
  <si>
    <t>Miric, Christina, Friseur • Neuhofen an der Krems • Oberösterreich</t>
  </si>
  <si>
    <t>Friseure • Miric, Christina, Kremstalstraße 9 A, Neuhofen an der Krems • Kontakt über aktuelle Telefonnummern ☎ und Adressen ⚑ mit Karte, Routing, Öffnungszeiten, Homepage, E-Mail, vCard und Firmendaten.</t>
  </si>
  <si>
    <t>Kremstalstraße 9 A</t>
  </si>
  <si>
    <t>48.13654</t>
  </si>
  <si>
    <t>14.22751</t>
  </si>
  <si>
    <t>+4372276557</t>
  </si>
  <si>
    <t>christina.vmm@gmail.com</t>
  </si>
  <si>
    <t>https://bilder.dasschnelle.at/DasSchnelle/50/5000/9912/046113/G_046113_P_906143382.adn.gif</t>
  </si>
  <si>
    <t>Holzer, Sabine, Lebensmittelhandel • Wang • Niederösterreich</t>
  </si>
  <si>
    <t>Lebensmittel • Holzer, Sabine, Erlaufgasse 2, Wang • Kontakt über aktuelle Telefonnummern ☎ und Adressen ⚑ mit Karte, Routing, Öffnungszeiten, Homepage, E-Mail, vCard und Firmendaten.</t>
  </si>
  <si>
    <t>Erlaufgasse 2</t>
  </si>
  <si>
    <t>48.04545</t>
  </si>
  <si>
    <t>15.02568</t>
  </si>
  <si>
    <t>+43748871732</t>
  </si>
  <si>
    <t>nuf.holzer@gmail.com</t>
  </si>
  <si>
    <t>https://bilder.dasschnelle.at/DasSchnelle/50/5000/9927/041936/G_041936_P_906142635.adn.gif</t>
  </si>
  <si>
    <t>Kalista, Norbert, Friseur • Wels • Oberösterreich</t>
  </si>
  <si>
    <t>Friseure • Kalista, Norbert, Stadtplatz 67, Wels • Kontakt über aktuelle Telefonnummern ☎ und Adressen ⚑ mit Karte, Routing, Öffnungszeiten, Homepage, E-Mail, vCard und Firmendaten.</t>
  </si>
  <si>
    <t>Stadtplatz 67</t>
  </si>
  <si>
    <t>48.15618</t>
  </si>
  <si>
    <t>+437242350967</t>
  </si>
  <si>
    <t>haardesignnorbert@gmx.at</t>
  </si>
  <si>
    <t>https://bilder.dasschnelle.at/DasSchnelle/50/5000/9945/044547/G_044547_P_906162765.adn.gif</t>
  </si>
  <si>
    <t>Holzinger, Ernst • Viechtwang • Oberösterreich</t>
  </si>
  <si>
    <t>Tischlereien • Holzinger, Ernst, Bartwinkel 21 a, Viechtwang • Kontakt über aktuelle Telefonnummern ☎ und Adressen ⚑ mit Karte, Routing, Öffnungszeiten, Homepage, E-Mail, vCard und Firmendaten.</t>
  </si>
  <si>
    <t>Bartwinkel 21 a</t>
  </si>
  <si>
    <t>Viechtwang</t>
  </si>
  <si>
    <t>47.9132</t>
  </si>
  <si>
    <t>13.97377</t>
  </si>
  <si>
    <t>+4376154555</t>
  </si>
  <si>
    <t>tischlereiholzinger@a1.net</t>
  </si>
  <si>
    <t>https://bilder.dasschnelle.at/DasSchnelle/50/5000/9917/041806/G_041806_P_906183891.adn.gif</t>
  </si>
  <si>
    <t>Kaufmann, Anita, Änderungsschneiderei • Rehberg • Niederösterreich</t>
  </si>
  <si>
    <t>Schneidereien • Kaufmann, Anita, Rehberger Hauptstraße 8, Rehberg • Kontakt über aktuelle Telefonnummern ☎ und Adressen ⚑ mit Karte, Routing, Öffnungszeiten, Homepage, E-Mail, vCard und Firmendaten.</t>
  </si>
  <si>
    <t>Rehberger Hauptstraße 8</t>
  </si>
  <si>
    <t>Rehberg</t>
  </si>
  <si>
    <t>48.42725</t>
  </si>
  <si>
    <t>15.58916</t>
  </si>
  <si>
    <t>+4369912127498</t>
  </si>
  <si>
    <t>weinbau.kaufmann@gmx.at</t>
  </si>
  <si>
    <t>https://bilder.dasschnelle.at/DasSchnelle/50/5000/9899/042057/G_042057_P_906186516.adn.gif</t>
  </si>
  <si>
    <t>Dreiblmeier, Heinrich, KFZ • Braunau am Inn • Oberösterreich</t>
  </si>
  <si>
    <t>KFZ-Werkstätte u. Handel • Dreiblmeier, Heinrich, Salzburger Straße 38, Braunau am Inn • Kontakt über aktuelle Telefonnummern ☎ und Adressen ⚑ mit Karte, Routing, Öffnungszeiten, Homepage, E-Mail, vCard und Firmendaten.</t>
  </si>
  <si>
    <t>Salzburger Straße 38</t>
  </si>
  <si>
    <t>48.2519075</t>
  </si>
  <si>
    <t>13.0350953</t>
  </si>
  <si>
    <t>+436645282836</t>
  </si>
  <si>
    <t>kfz-heidrei@gmx.at</t>
  </si>
  <si>
    <t>https://bilder.dasschnelle.at/DasSchnelle/50/5000/9872/044551/G_044551_P_906185804.adn.gif</t>
  </si>
  <si>
    <t>Friseur team Sandra, Friseur • Neustift im Mühlkreis • Oberösterreich</t>
  </si>
  <si>
    <t>Friseure • Friseur team Sandra, Schulstraße 4, Neustift im Mühlkreis • Kontakt über aktuelle Telefonnummern ☎ und Adressen ⚑ mit Karte, Routing, Öffnungszeiten, Homepage, E-Mail, vCard und Firmendaten.</t>
  </si>
  <si>
    <t>Schulstraße 4</t>
  </si>
  <si>
    <t>48.5270256</t>
  </si>
  <si>
    <t>13.7559037</t>
  </si>
  <si>
    <t>+4372848440</t>
  </si>
  <si>
    <t>sandra.fahrner@aon.at</t>
  </si>
  <si>
    <t>https://bilder.dasschnelle.at/DasSchnelle/50/5000/9923/042288/G_042288_P_906188531.adn.gif</t>
  </si>
  <si>
    <t>JP Dachsysteme • Ilztal • Steiermark</t>
  </si>
  <si>
    <t>Dachdeckereien • JP Dachsysteme, Prebensdorfberg 34 /1, Ilztal • Kontakt über aktuelle Telefonnummern ☎ und Adressen ⚑ mit Karte, Routing, Öffnungszeiten, Homepage, E-Mail, vCard und Firmendaten.</t>
  </si>
  <si>
    <t>Prebensdorfberg 34 /1</t>
  </si>
  <si>
    <t>8211</t>
  </si>
  <si>
    <t>Ilztal</t>
  </si>
  <si>
    <t>47.13681</t>
  </si>
  <si>
    <t>15.77184</t>
  </si>
  <si>
    <t>+4366475053900</t>
  </si>
  <si>
    <t>josefpayerl@gmx.net</t>
  </si>
  <si>
    <t>https://bilder.dasschnelle.at/DasSchnelle/50/5000/9944/061406/I_061406_P_905956009_L_0038552095_1.png</t>
  </si>
  <si>
    <t>https://bilder.dasschnelle.at/DasSchnelle/50/5000/9944/061406/I_061406_P_905956009_B_0038552095_1.gal.png?height=375&amp;width=500;https://bilder.dasschnelle.at/DasSchnelle/50/5000/9944/061406/I_061406_P_905956009_B_0038552095_2.gal.png?height=333&amp;width=500;https://bilder.dasschnelle.at/DasSchnelle/50/5000/9944/061406/I_061406_P_905956009_B_0038552095_3.gal.png?height=333&amp;width=500;https://bilder.dasschnelle.at/DasSchnelle/50/5000/9944/061406/I_061406_P_905956009_B_0038552095_4.gal.png?height=375&amp;width=500</t>
  </si>
  <si>
    <t>Grüner, Wolfram, Friseur • Längenfeld • Tirol</t>
  </si>
  <si>
    <t>Friseure • Grüner, Wolfram, Unterlängenfeld 4 B, Längenfeld • Kontakt über aktuelle Telefonnummern ☎ und Adressen ⚑ mit Karte, Routing, Öffnungszeiten, Homepage, E-Mail, vCard und Firmendaten.</t>
  </si>
  <si>
    <t>Unterlängenfeld 4 B</t>
  </si>
  <si>
    <t>47.075994</t>
  </si>
  <si>
    <t>10.9685302</t>
  </si>
  <si>
    <t>+4352535414</t>
  </si>
  <si>
    <t>friseur.gruener@tirol.com</t>
  </si>
  <si>
    <t>https://bilder.dasschnelle.at/DasSchnelle/50/5000/9894/045643/G_045643_P_906197584.adn.gif</t>
  </si>
  <si>
    <t>Fliesen Umundum • Stadl / Predlitz • Steiermark</t>
  </si>
  <si>
    <t>Fliesen u. Plattenverlegungen • Fliesen Umundum, Steindorf 52, Stadl / Predlitz • Kontakt über aktuelle Telefonnummern ☎ und Adressen ⚑ mit Karte, Routing, Öffnungszeiten, Homepage, E-Mail, vCard und Firmendaten.</t>
  </si>
  <si>
    <t>Steindorf 52</t>
  </si>
  <si>
    <t>Stadl / Predlitz</t>
  </si>
  <si>
    <t>47.0885078</t>
  </si>
  <si>
    <t>13.9816349</t>
  </si>
  <si>
    <t>+43676843150700</t>
  </si>
  <si>
    <t>fliesenumundum@ano.at</t>
  </si>
  <si>
    <t>https://bilder.dasschnelle.at/DasSchnelle/50/5000/9910/061438/G_061438_P_906214490.adn.gif</t>
  </si>
  <si>
    <t>Gri Jano Luciano, Teppichreinigung • Kirchdorf • Oberösterreich</t>
  </si>
  <si>
    <t>Teppichreinigung • Gri Jano Luciano, Parkstraße 4, Kirchdorf • Kontakt über aktuelle Telefonnummern ☎ und Adressen ⚑ mit Karte, Routing, Öffnungszeiten, Homepage, E-Mail, vCard und Firmendaten.</t>
  </si>
  <si>
    <t>Parkstraße 4</t>
  </si>
  <si>
    <t>47.90487</t>
  </si>
  <si>
    <t>14.12323</t>
  </si>
  <si>
    <t>+43758261240</t>
  </si>
  <si>
    <t>t.a.l@gmx.at</t>
  </si>
  <si>
    <t>Klotz Optik GmbH, Stefan Klotz • Mondsee • Oberösterreich</t>
  </si>
  <si>
    <t>Optik • Klotz Optik GmbH, Stefan Klotz, Rainerstraße 5, Mondsee • Kontakt über aktuelle Telefonnummern ☎ und Adressen ⚑ mit Karte, Routing, Öffnungszeiten, Homepage, E-Mail, vCard und Firmendaten.</t>
  </si>
  <si>
    <t>Rainerstraße 5</t>
  </si>
  <si>
    <t>47.8551100</t>
  </si>
  <si>
    <t>13.3496200</t>
  </si>
  <si>
    <t>+4362324012</t>
  </si>
  <si>
    <t>info@klotz-optik.at</t>
  </si>
  <si>
    <t>https://bilder.dasschnelle.at/DasSchnelle/50/5000/9909/043081/I_043081_P_905987575_L_0035974311_1.png</t>
  </si>
  <si>
    <t>https://bilder.dasschnelle.at/DasSchnelle/50/5000/9909/043081/I_043081_P_905987575_B_0035974311_1.gal.png?height=398&amp;width=600;https://bilder.dasschnelle.at/DasSchnelle/50/5000/9909/043081/I_043081_P_905987575_B_0035974311_2.gal.png?height=400&amp;width=600;https://bilder.dasschnelle.at/DasSchnelle/50/5000/9909/043081/I_043081_P_905987575_B_0035974311_3.gal.png?height=399&amp;width=600;https://bilder.dasschnelle.at/DasSchnelle/50/5000/9909/043081/I_043081_P_905987575_B_0035974311_4.gal.png?height=399&amp;width=600</t>
  </si>
  <si>
    <t>Hairdresser by Sandra  • Bruck an der Mur • Steiermark</t>
  </si>
  <si>
    <t>Friseure • Hairdresser by Sandra, Kollomann-Wallitsch-Platz 8, Bruck an der Mur • Kontakt über aktuelle Telefonnummern ☎ und Adressen ⚑ mit Karte, Routing, Öffnungszeiten, Homepage, E-Mail, vCard und Firmendaten.</t>
  </si>
  <si>
    <t>Kollomann-Wallitsch-Platz 8</t>
  </si>
  <si>
    <t>47.40942</t>
  </si>
  <si>
    <t>15.26908</t>
  </si>
  <si>
    <t>+43386255036</t>
  </si>
  <si>
    <t>sandra.u@gmx.at</t>
  </si>
  <si>
    <t>https://bilder.dasschnelle.at/DasSchnelle/50/5000/9874/061404/I_506175_P_905990315_L_0038561356_1.png</t>
  </si>
  <si>
    <t>https://bilder.dasschnelle.at/DasSchnelle/50/5000/9874/061404/I_506175_P_905990315_B_0038561356_1.gal.png?height=600&amp;width=450;https://bilder.dasschnelle.at/DasSchnelle/50/5000/9874/061404/I_506175_P_905990315_B_0038561356_2.gal.png?height=600&amp;width=450;https://bilder.dasschnelle.at/DasSchnelle/50/5000/9874/061404/I_506175_P_905990315_B_0038561356_3.gal.png?height=600&amp;width=450;https://bilder.dasschnelle.at/DasSchnelle/50/5000/9874/061404/G_061404_P_906225926.adn.gif</t>
  </si>
  <si>
    <t>Gasthaus Sandhofer, Fam. Anderle • Neuhofen an d. Ybbs • Niederösterreich</t>
  </si>
  <si>
    <t>Gastgewerbe - Gasthöfe • Gasthaus Sandhofer, Fam. Anderle, Schlickenreith 5, Neuhofen an d. Ybbs • Kontakt über aktuelle Telefonnummern ☎ und Adressen ⚑ mit Karte, Routing, Öffnungszeiten, Homepage, E-Mail, vCard und Firmendaten.</t>
  </si>
  <si>
    <t>Schlickenreith 5</t>
  </si>
  <si>
    <t>Neuhofen an d. Ybbs</t>
  </si>
  <si>
    <t>48.0470501</t>
  </si>
  <si>
    <t>14.8931268</t>
  </si>
  <si>
    <t>+43747552715</t>
  </si>
  <si>
    <t>Gartenriese, Garten- u Landschaftsgestaltung • Pfaffstätten • Niederösterreich</t>
  </si>
  <si>
    <t>Garten- u. Landschaftspflege • Gartenriese, Lichteneckergasse 20, Pfaffstätten • Kontakt über aktuelle Telefonnummern ☎ und Adressen ⚑ mit Karte, Routing, Öffnungszeiten, Homepage, E-Mail, vCard und Firmendaten.</t>
  </si>
  <si>
    <t>Lichteneckergasse 20</t>
  </si>
  <si>
    <t>48.01645</t>
  </si>
  <si>
    <t>16.25747</t>
  </si>
  <si>
    <t>+436641459095</t>
  </si>
  <si>
    <t>office@gartenriese.at</t>
  </si>
  <si>
    <t>https://bilder.dasschnelle.at/DasSchnelle/50/5000/9870/041353/I_041353_P_906016282_L_0036891829_1.png</t>
  </si>
  <si>
    <t>https://bilder.dasschnelle.at/DasSchnelle/50/5000/9870/041353/I_041353_P_906016282_B_0036891829_1.gal.png?height=450&amp;width=308;https://bilder.dasschnelle.at/DasSchnelle/50/5000/9870/041353/I_041353_P_906016282_B_0036891829_2.gal.png?height=720&amp;width=720;https://bilder.dasschnelle.at/DasSchnelle/50/5000/9870/041353/I_041353_P_906016282_B_0036891829_3.gal.png?height=720&amp;width=720;https://bilder.dasschnelle.at/DasSchnelle/50/5000/9870/041353/I_041353_P_906016282_B_0036891829_4.gal.png?height=720&amp;width=720</t>
  </si>
  <si>
    <t>Friseur Sonja, Sonja Zigart • Gratkorn • Steiermark</t>
  </si>
  <si>
    <t>Friseure • Friseur Sonja, Sonja Zigart, Felberstraße 121, Gratkorn • Kontakt über aktuelle Telefonnummern ☎ und Adressen ⚑ mit Karte, Routing, Öffnungszeiten, Homepage, E-Mail, vCard und Firmendaten.</t>
  </si>
  <si>
    <t>Felberstraße 121</t>
  </si>
  <si>
    <t>47.1457</t>
  </si>
  <si>
    <t>15.35714</t>
  </si>
  <si>
    <t>+436642241811</t>
  </si>
  <si>
    <t>zigartsonja@gmx.at</t>
  </si>
  <si>
    <t>https://bilder.dasschnelle.at/DasSchnelle/50/5000/9883/042322/G_042322_P_906297274.adn.gif</t>
  </si>
  <si>
    <t>Glaserei Wolferlglas • Felixdorf • Niederösterreich</t>
  </si>
  <si>
    <t>Glasereien • Glaserei Wolferlglas, Hauptstrasse 11, Felixdorf • Kontakt über aktuelle Telefonnummern ☎ und Adressen ⚑ mit Karte, Routing, Öffnungszeiten, Homepage, E-Mail, vCard und Firmendaten.</t>
  </si>
  <si>
    <t>Hauptstrasse 11</t>
  </si>
  <si>
    <t>47.88366</t>
  </si>
  <si>
    <t>16.24555</t>
  </si>
  <si>
    <t>+43262862285</t>
  </si>
  <si>
    <t>wolferlglas@aon.at</t>
  </si>
  <si>
    <t>https://bilder.dasschnelle.at/DasSchnelle/50/5000/9946/044273/G_044273_P_906253716.adn.gif</t>
  </si>
  <si>
    <t>Führer, Andrea, Doggy Studio • Baden • Niederösterreich</t>
  </si>
  <si>
    <t>Hundesalon • Führer, Andrea, Doggy Studio, Wiener Straße 80, Baden • Kontakt über aktuelle Telefonnummern ☎ und Adressen ⚑ mit Karte, Routing, Öffnungszeiten, Homepage, E-Mail, vCard und Firmendaten.</t>
  </si>
  <si>
    <t>Wiener Straße 80</t>
  </si>
  <si>
    <t>48.0134900</t>
  </si>
  <si>
    <t>16.2572600</t>
  </si>
  <si>
    <t>+436801151865</t>
  </si>
  <si>
    <t>baden@doggystudio.at</t>
  </si>
  <si>
    <t>https://bilder.dasschnelle.at/DasSchnelle/50/5000/9870/041339/G_041339_P_906268559.adn.gif</t>
  </si>
  <si>
    <t>Kebap Haus • Völkermarkt • Kärnten</t>
  </si>
  <si>
    <t>Imbiß • Kebap Haus, Rot-Kreuzplatz 1, Völkermarkt • Kontakt über aktuelle Telefonnummern ☎ und Adressen ⚑ mit Karte, Routing, Öffnungszeiten, Homepage, E-Mail, vCard und Firmendaten.</t>
  </si>
  <si>
    <t>Rot-Kreuzplatz 1</t>
  </si>
  <si>
    <t>46.6606100</t>
  </si>
  <si>
    <t>14.6329600</t>
  </si>
  <si>
    <t>+43423255544</t>
  </si>
  <si>
    <t>sandalosman80@gmail.com</t>
  </si>
  <si>
    <t>https://bilder.dasschnelle.at/DasSchnelle/50/5000/9942/042037/G_042037_P_906273403.adn.gif</t>
  </si>
  <si>
    <t>Gasthof Bauernbräu • Oberndorf bei Salzburg • Salzburg</t>
  </si>
  <si>
    <t>Gastgewerbe - Gasthöfe • Gasthof Bauernbräu, Salzburger Straße 119, Oberndorf bei Salzburg • Kontakt über aktuelle Telefonnummern ☎ und Adressen ⚑ mit Karte, Routing, Öffnungszeiten, Homepage, E-Mail, vCard und Firmendaten.</t>
  </si>
  <si>
    <t>Salzburger Straße 119</t>
  </si>
  <si>
    <t>47.94651</t>
  </si>
  <si>
    <t>12.93511</t>
  </si>
  <si>
    <t>+4362725422;+436641852825</t>
  </si>
  <si>
    <t>office@hotel-altoberndorf.at</t>
  </si>
  <si>
    <t>https://bilder.dasschnelle.at/DasSchnelle/50/5000/9914/043322/G_043322_P_906046672.adn.gif</t>
  </si>
  <si>
    <t>Tremmel &amp; Schuller GesmbH, Installationsunternehmen • Amstetten • Niederösterreich</t>
  </si>
  <si>
    <t>Installationsunternehmen • Tremmel &amp; Schuller GesmbH, Max-Christ-Straße 14, Amstetten • Kontakt über aktuelle Telefonnummern ☎ und Adressen ⚑ mit Karte, Routing, Öffnungszeiten, Homepage, E-Mail, vCard und Firmendaten.</t>
  </si>
  <si>
    <t>Max-Christ-Straße 14</t>
  </si>
  <si>
    <t>48.11664</t>
  </si>
  <si>
    <t>14.86871</t>
  </si>
  <si>
    <t>+43747264360</t>
  </si>
  <si>
    <t>+43747263538</t>
  </si>
  <si>
    <t>sd@tremmel-schuller.at</t>
  </si>
  <si>
    <t>https://bilder.dasschnelle.at/DasSchnelle/50/5000/9866/042062/G_042062_P_906310928.adn.gif</t>
  </si>
  <si>
    <t>Buggelsheim Andreas Heizungs- und Sanitärtechnik GmbH • Weitensfeld • Kärnten</t>
  </si>
  <si>
    <t>Installationsunternehmen, Sanitäranlagen u. -einrichtungen • Buggelsheim Andreas Heizungs- und Sanitärtechnik GmbH, Hafendorf 38, Weitensfeld • Kontakt über aktuelle Telefonnummern ☎ und Adressen ⚑ mit Karte, Routing, Öffnungszeiten, Homepage, E-Mail, vCard und Firmendaten.</t>
  </si>
  <si>
    <t>Hafendorf 38</t>
  </si>
  <si>
    <t>9344</t>
  </si>
  <si>
    <t>Weitensfeld</t>
  </si>
  <si>
    <t>46.8506356</t>
  </si>
  <si>
    <t>14.2015985</t>
  </si>
  <si>
    <t>+434265434</t>
  </si>
  <si>
    <t>office@buggelsheim-installationen.at</t>
  </si>
  <si>
    <t>https://bilder.dasschnelle.at/DasSchnelle/50/5000/9925/042127/I_042127_P_906071865_L_0037482186_1.png</t>
  </si>
  <si>
    <t>https://bilder.dasschnelle.at/DasSchnelle/50/5000/9925/042127/I_042127_P_906071865_B_0037482186_1.gal.png?height=274&amp;width=620;https://bilder.dasschnelle.at/DasSchnelle/50/5000/9925/042127/I_042127_P_906071865_B_0037482186_2.gal.png?height=315&amp;width=700;https://bilder.dasschnelle.at/DasSchnelle/50/5000/9925/042127/I_042127_P_906071865_B_0037482186_3.gal.png?height=277&amp;width=510;https://bilder.dasschnelle.at/DasSchnelle/50/5000/9925/042127/I_042127_P_906071865_B_0037482186_4.gal.png?height=277&amp;width=510</t>
  </si>
  <si>
    <t>Eichhorn GmbH, Raumgestaltung • Vöcklabruck • Oberösterreich</t>
  </si>
  <si>
    <t>Raumgestaltung • Eichhorn GmbH, Telefunkenstraße 16, Vöcklabruck • Kontakt über aktuelle Telefonnummern ☎ und Adressen ⚑ mit Karte, Routing, Öffnungszeiten, Homepage, E-Mail, vCard und Firmendaten.</t>
  </si>
  <si>
    <t>Telefunkenstraße 16</t>
  </si>
  <si>
    <t>48.00243</t>
  </si>
  <si>
    <t>13.67575</t>
  </si>
  <si>
    <t>+437672727620;+436643908995</t>
  </si>
  <si>
    <t>office@malerei-eichhorn.at</t>
  </si>
  <si>
    <t>https://bilder.dasschnelle.at/DasSchnelle/50/5000/9940/043555/I_043555_P_906080923_L_0035999459_1.png</t>
  </si>
  <si>
    <t>https://bilder.dasschnelle.at/DasSchnelle/50/5000/9940/043555/I_043555_P_906080923_B_0035999459_1.gal.png?height=461&amp;width=700;https://bilder.dasschnelle.at/DasSchnelle/50/5000/9940/043555/I_043555_P_906080923_B_0035999459_2.gal.png?height=425&amp;width=700;https://bilder.dasschnelle.at/DasSchnelle/50/5000/9940/043555/I_043555_P_906080923_B_0035999459_3.gal.png?height=525&amp;width=700;https://bilder.dasschnelle.at/DasSchnelle/50/5000/9940/043555/I_043555_P_906080923_B_0035999459_4.gal.png?height=462&amp;width=700</t>
  </si>
  <si>
    <t>Böhm, Erwin, Bau- u Möbeltischlerei • Kottes • Niederösterreich</t>
  </si>
  <si>
    <t>Tischlereien • Böhm, Erwin, Münichreith 3, Kottes • Kontakt über aktuelle Telefonnummern ☎ und Adressen ⚑ mit Karte, Routing, Öffnungszeiten, Homepage, E-Mail, vCard und Firmendaten.</t>
  </si>
  <si>
    <t>Münichreith 3</t>
  </si>
  <si>
    <t>Kottes</t>
  </si>
  <si>
    <t>48.4004900</t>
  </si>
  <si>
    <t>15.2971326</t>
  </si>
  <si>
    <t>+4328737223</t>
  </si>
  <si>
    <t>+43287372234</t>
  </si>
  <si>
    <t>erwin.boehm@kottes.net</t>
  </si>
  <si>
    <t>https://bilder.dasschnelle.at/DasSchnelle/50/5000/9950/044532/G_044532_P_906301586.adn.gif</t>
  </si>
  <si>
    <t>Orthopädie Schuhtechnik Aigner • Frankenburg am Hausruck • Oberösterreich</t>
  </si>
  <si>
    <t>Orthopädie • Orthopädie Schuhtechnik Aigner, Hauptstraße 46 /1, Frankenburg am Hausruck • Kontakt über aktuelle Telefonnummern ☎ und Adressen ⚑ mit Karte, Routing, Öffnungszeiten, Homepage, E-Mail, vCard und Firmendaten.</t>
  </si>
  <si>
    <t>Hauptstraße 46 /1</t>
  </si>
  <si>
    <t>+436607506567</t>
  </si>
  <si>
    <t>kontakt@ortho-aigner.at</t>
  </si>
  <si>
    <t>https://bilder.dasschnelle.at/DasSchnelle/50/5000/9940/043075/I_043075_P_906086256_L_0035999236_1.png</t>
  </si>
  <si>
    <t>https://bilder.dasschnelle.at/DasSchnelle/50/5000/9940/043075/I_043075_P_906086256_B_0035999236_1.gal.png?height=227&amp;width=624;https://bilder.dasschnelle.at/DasSchnelle/50/5000/9940/043075/I_043075_P_906086256_B_0035999236_2.gal.png?height=227&amp;width=624</t>
  </si>
  <si>
    <t>Wenninger, Kfz Fachbetrieb • Frankenburg am Hausruck • Oberösterreich</t>
  </si>
  <si>
    <t>Autoreparaturen • Wenninger, Hofbergstraße 15, Frankenburg am Hausruck • Kontakt über aktuelle Telefonnummern ☎ und Adressen ⚑ mit Karte, Routing, Öffnungszeiten, Homepage, E-Mail, vCard und Firmendaten.</t>
  </si>
  <si>
    <t>Hofbergstraße 15</t>
  </si>
  <si>
    <t>48.07037</t>
  </si>
  <si>
    <t>13.49453</t>
  </si>
  <si>
    <t>+4376835015</t>
  </si>
  <si>
    <t>office@wenninger.at</t>
  </si>
  <si>
    <t>https://bilder.dasschnelle.at/DasSchnelle/50/5000/9940/043075/I_043075_P_906086380_L_0035999545_1.png</t>
  </si>
  <si>
    <t>https://bilder.dasschnelle.at/DasSchnelle/50/5000/9940/043075/I_043075_P_906086380_B_0035999545_1.gal.png?height=720&amp;width=960;https://bilder.dasschnelle.at/DasSchnelle/50/5000/9940/043075/I_043075_P_906086380_B_0035999545_2.gal.png?height=720&amp;width=960;https://bilder.dasschnelle.at/DasSchnelle/50/5000/9940/043075/I_043075_P_906086380_B_0035999545_3.gal.png?height=540&amp;width=960;https://bilder.dasschnelle.at/DasSchnelle/50/5000/9940/043075/I_043075_P_906086380_B_0035999545_4.gal.png?height=720&amp;width=960</t>
  </si>
  <si>
    <t>Fotografist • Graz • Steiermark</t>
  </si>
  <si>
    <t>Fotografen • Fotografist, Dr.Emperger Weg 27, Graz • Kontakt über aktuelle Telefonnummern ☎ und Adressen ⚑ mit Karte, Routing, Öffnungszeiten, Homepage, E-Mail, vCard und Firmendaten.</t>
  </si>
  <si>
    <t>Dr.Emperger Weg 27</t>
  </si>
  <si>
    <t>8052</t>
  </si>
  <si>
    <t>47.0572076</t>
  </si>
  <si>
    <t>15.4010286</t>
  </si>
  <si>
    <t>+436509911519</t>
  </si>
  <si>
    <t>michael@fotografist.at</t>
  </si>
  <si>
    <t>https://bilder.dasschnelle.at/DasSchnelle/50/5000/9904/045314/G_045314_P_906302645.adn.gif</t>
  </si>
  <si>
    <t>AKKURA Service GmbH, Versicherungsagentur • Lenzing • Oberösterreich</t>
  </si>
  <si>
    <t>Versicherungsagentur • AKKURA Service GmbH, Atterseestraße 16, Lenzing • Kontakt über aktuelle Telefonnummern ☎ und Adressen ⚑ mit Karte, Routing, Öffnungszeiten, Homepage, E-Mail, vCard und Firmendaten.</t>
  </si>
  <si>
    <t>Atterseestraße 16</t>
  </si>
  <si>
    <t>47.98007</t>
  </si>
  <si>
    <t>13.61186</t>
  </si>
  <si>
    <t>+4366488915193</t>
  </si>
  <si>
    <t>info@akkura.at</t>
  </si>
  <si>
    <t>https://bilder.dasschnelle.at/DasSchnelle/50/5000/9940/043079/I_043079_P_906089618_L_0035970446_1.png</t>
  </si>
  <si>
    <t>https://bilder.dasschnelle.at/DasSchnelle/50/5000/9940/043079/I_043079_P_906089618_B_0035970446_1.gal.png?height=365&amp;width=400;https://bilder.dasschnelle.at/DasSchnelle/50/5000/9940/043079/I_043079_P_906089618_B_0035970446_2.gal.png?height=360&amp;width=400;https://bilder.dasschnelle.at/DasSchnelle/50/5000/9940/043079/I_043079_P_906089618_B_0035970446_3.gal.png?height=372&amp;width=400;https://bilder.dasschnelle.at/DasSchnelle/50/5000/9940/043079/I_043079_P_906089618_B_0035970446_4.gal.png?height=361&amp;width=400</t>
  </si>
  <si>
    <t>Amon Installationstechnik GmbH • Attersee • Oberösterreich</t>
  </si>
  <si>
    <t>Installationsunternehmen • Amon Installationstechnik GmbH, Landungsplatz 2, Attersee • Kontakt über aktuelle Telefonnummern ☎ und Adressen ⚑ mit Karte, Routing, Öffnungszeiten, Homepage, E-Mail, vCard und Firmendaten.</t>
  </si>
  <si>
    <t>Landungsplatz 2</t>
  </si>
  <si>
    <t>47.91494</t>
  </si>
  <si>
    <t>13.53803</t>
  </si>
  <si>
    <t>+43766621444</t>
  </si>
  <si>
    <t>office@amon-inst.at</t>
  </si>
  <si>
    <t>https://bilder.dasschnelle.at/DasSchnelle/50/5000/9940/043068/I_043068_P_906090618_L_0035974231_1.png</t>
  </si>
  <si>
    <t>Alu -Tec, Wintergärten - Aluzäune - Balkone • Aurach am Hongar • Oberösterreich</t>
  </si>
  <si>
    <t>Wintergärten • Alu -Tec, Jetzing 41, Aurach am Hongar • Kontakt über aktuelle Telefonnummern ☎ und Adressen ⚑ mit Karte, Routing, Öffnungszeiten, Homepage, E-Mail, vCard und Firmendaten.</t>
  </si>
  <si>
    <t>Jetzing 41</t>
  </si>
  <si>
    <t>Aurach am Hongar</t>
  </si>
  <si>
    <t>47.9596630</t>
  </si>
  <si>
    <t>13.6758519</t>
  </si>
  <si>
    <t>+436645429426</t>
  </si>
  <si>
    <t>office@alu-tec.at</t>
  </si>
  <si>
    <t>https://bilder.dasschnelle.at/DasSchnelle/50/5000/9940/043071/I_043071_P_906090586_L_0035999785_1.png</t>
  </si>
  <si>
    <t>https://bilder.dasschnelle.at/DasSchnelle/50/5000/9940/043071/I_043071_P_906090586_B_0035999785_1.gal.png?height=471&amp;width=800;https://bilder.dasschnelle.at/DasSchnelle/50/5000/9940/043071/I_043071_P_906090586_B_0035999785_2.gal.png?height=471&amp;width=800;https://bilder.dasschnelle.at/DasSchnelle/50/5000/9940/043071/I_043071_P_906090586_B_0035999785_3.gal.png?height=471&amp;width=800</t>
  </si>
  <si>
    <t>Gritsch, Andreas, Elektro • Heimschuh • Steiermark</t>
  </si>
  <si>
    <t>Elektrotechnik • Gritsch, Andreas, Obere Fahrenbachstraße 36, Heimschuh • Kontakt über aktuelle Telefonnummern ☎ und Adressen ⚑ mit Karte, Routing, Öffnungszeiten, Homepage, E-Mail, vCard und Firmendaten.</t>
  </si>
  <si>
    <t>Obere Fahrenbachstraße 36</t>
  </si>
  <si>
    <t>Heimschuh</t>
  </si>
  <si>
    <t>46.74963</t>
  </si>
  <si>
    <t>15.49828</t>
  </si>
  <si>
    <t>+43345272448;+436643128233</t>
  </si>
  <si>
    <t>gritsch.elektro@aon.at</t>
  </si>
  <si>
    <t>https://bilder.dasschnelle.at/DasSchnelle/50/5000/9904/044095/G_044095_P_906304282.adn.gif</t>
  </si>
  <si>
    <t>Ernst Winninger GmbH Kälte - Klima - Gastro - Technik • Regau • Oberösterreich</t>
  </si>
  <si>
    <t>Kühlanlagen u. -geräte • Ernst Winninger GmbH Kälte - Klima - Gastro - Technik, Handelsstraße 10, Regau • Kontakt über aktuelle Telefonnummern ☎ und Adressen ⚑ mit Karte, Routing, Öffnungszeiten, Homepage, E-Mail, vCard und Firmendaten.</t>
  </si>
  <si>
    <t>Handelsstraße 10</t>
  </si>
  <si>
    <t>+437672727250</t>
  </si>
  <si>
    <t>https://bilder.dasschnelle.at/DasSchnelle/50/5000/9886/041792/I_041792_P_906092895_L_0035999544_1.png</t>
  </si>
  <si>
    <t>https://bilder.dasschnelle.at/DasSchnelle/50/5000/9886/041792/I_041792_P_906092895_B_0035999544_1.gal.png?height=129&amp;width=576;https://bilder.dasschnelle.at/DasSchnelle/50/5000/9886/041792/I_041792_P_906092895_B_0035999544_2.gal.png?height=129&amp;width=576;https://bilder.dasschnelle.at/DasSchnelle/50/5000/9886/041792/I_041792_P_906092895_B_0035999544_3.gal.png?height=129&amp;width=576;https://bilder.dasschnelle.at/DasSchnelle/50/5000/9886/041792/I_041792_P_906092895_B_0035999544_4.gal.png?height=450&amp;width=380</t>
  </si>
  <si>
    <t>Liedl, Stefan, Autobus • Vorderweißenbach • Oberösterreich</t>
  </si>
  <si>
    <t>Busunternehmen • Liedl, Stefan, Hinterweißenbach 51, Vorderweißenbach • Kontakt über aktuelle Telefonnummern ☎ und Adressen ⚑ mit Karte, Routing, Öffnungszeiten, Homepage, E-Mail, vCard und Firmendaten.</t>
  </si>
  <si>
    <t>Hinterweißenbach 51</t>
  </si>
  <si>
    <t>48.5636685</t>
  </si>
  <si>
    <t>14.1979018</t>
  </si>
  <si>
    <t>+436641167499</t>
  </si>
  <si>
    <t>mietwagen-liedl@direkt.at</t>
  </si>
  <si>
    <t>https://bilder.dasschnelle.at/DasSchnelle/50/5000/9939/043064/G_043064_P_906310993.adn.gif</t>
  </si>
  <si>
    <t>Helfert, Andreas, Dr., FA f Kinderheilkunde • Gmünd • Niederösterreich</t>
  </si>
  <si>
    <t>Ärzte / Fachärzte f. Kinder u. Jugendheilkunde • Helfert, Andreas, Dr., Bleylebenstraße 6, Gmünd • Kontakt über aktuelle Telefonnummern ☎ und Adressen ⚑ mit Karte, Routing, Öffnungszeiten, Homepage, E-Mail, vCard und Firmendaten.</t>
  </si>
  <si>
    <t>Bleylebenstraße 6</t>
  </si>
  <si>
    <t>+43285254277</t>
  </si>
  <si>
    <t>dr.a.helfert@aon.at</t>
  </si>
  <si>
    <t>https://bilder.dasschnelle.at/DasSchnelle/50/5000/9885/045075/G_045075_P_906310994.adn.gif</t>
  </si>
  <si>
    <t>M - electrics • Zwettl • Niederösterreich</t>
  </si>
  <si>
    <t>Elektonikservice, Elektrohandel • M - electrics, Gschwendt 20, Zwettl • Kontakt über aktuelle Telefonnummern ☎ und Adressen ⚑ mit Karte, Routing, Öffnungszeiten, Homepage, E-Mail, vCard und Firmendaten.</t>
  </si>
  <si>
    <t>Gschwendt 20</t>
  </si>
  <si>
    <t>48.5810124</t>
  </si>
  <si>
    <t>15.1331762</t>
  </si>
  <si>
    <t>+436766002141</t>
  </si>
  <si>
    <t>office@m-electrics.at</t>
  </si>
  <si>
    <t>https://bilder.dasschnelle.at/DasSchnelle/50/5000/9950/044545/G_044545_P_906310997.adn.gif</t>
  </si>
  <si>
    <t>Schachner Energietechnik Ges.mb.H., Energietechnik • Schladming • Steiermark</t>
  </si>
  <si>
    <t>Energietechnik • Schachner Energietechnik Ges.mb.H., Ramsauerstraße 756, Schladming • Kontakt über aktuelle Telefonnummern ☎ und Adressen ⚑ mit Karte, Routing, Öffnungszeiten, Homepage, E-Mail, vCard und Firmendaten.</t>
  </si>
  <si>
    <t>Ramsauerstraße 756</t>
  </si>
  <si>
    <t>47.39684</t>
  </si>
  <si>
    <t>13.68413</t>
  </si>
  <si>
    <t>+43368722202</t>
  </si>
  <si>
    <t>schladming@schachner-et.at</t>
  </si>
  <si>
    <t>https://bilder.dasschnelle.at/DasSchnelle/50/5000/9928/061454/I_061454_P_906103220_L_0036240559_1.png</t>
  </si>
  <si>
    <t>https://bilder.dasschnelle.at/DasSchnelle/50/5000/9928/061454/I_061454_P_906103220_B_0036240559_1.gal.png?height=350&amp;width=400;https://bilder.dasschnelle.at/DasSchnelle/50/5000/9928/061454/I_061454_P_906103220_B_0036240559_2.gal.png?height=350&amp;width=400;https://bilder.dasschnelle.at/DasSchnelle/50/5000/9928/061454/I_061454_P_906103220_B_0036240559_3.gal.png?height=350&amp;width=400;https://bilder.dasschnelle.at/DasSchnelle/50/5000/9928/061454/I_061454_P_906103220_B_0036240559_4.gal.png?height=350&amp;width=400</t>
  </si>
  <si>
    <t>HMS – Strahltechnik Höfer, Strahltechnik • Fulpmes • Tirol</t>
  </si>
  <si>
    <t>Strahltechnik • HMS – Strahltechnik Höfer, Industriezone C 8, Fulpmes • Kontakt über aktuelle Telefonnummern ☎ und Adressen ⚑ mit Karte, Routing, Öffnungszeiten, Homepage, E-Mail, vCard und Firmendaten.</t>
  </si>
  <si>
    <t>Industriezone C 8</t>
  </si>
  <si>
    <t>47.15022</t>
  </si>
  <si>
    <t>11.34463</t>
  </si>
  <si>
    <t>+4369919801811</t>
  </si>
  <si>
    <t>info@strahltech.at</t>
  </si>
  <si>
    <t>https://bilder.dasschnelle.at/DasSchnelle/50/5000/9948/045876/G_045876_P_906337511.adn.gif</t>
  </si>
  <si>
    <t>Baggerungen Wastl GmbH • Puchkirchen am Trattberg • Oberösterreich</t>
  </si>
  <si>
    <t>Baggerungen u. Transporte • Baggerungen Wastl GmbH, Gewerbepark 2, Puchkirchen am Trattberg • Kontakt über aktuelle Telefonnummern ☎ und Adressen ⚑ mit Karte, Routing, Öffnungszeiten, Homepage, E-Mail, vCard und Firmendaten.</t>
  </si>
  <si>
    <t>Puchkirchen am Trattberg</t>
  </si>
  <si>
    <t>48.0410280</t>
  </si>
  <si>
    <t>13.5802433</t>
  </si>
  <si>
    <t>+436643929913;+436643929913</t>
  </si>
  <si>
    <t>info@wastl.co.at</t>
  </si>
  <si>
    <t>https://bilder.dasschnelle.at/DasSchnelle/50/5000/9940/043093/I_043093_P_906090496_L_0035999002_1.png</t>
  </si>
  <si>
    <t>Comecare, Kosmetik • Vöcklabruck • Oberösterreich</t>
  </si>
  <si>
    <t>Kosmetikstudios • Comecare, Hausruckstraße 3, Vöcklabruck • Kontakt über aktuelle Telefonnummern ☎ und Adressen ⚑ mit Karte, Routing, Öffnungszeiten, Homepage, E-Mail, vCard und Firmendaten.</t>
  </si>
  <si>
    <t>Hausruckstraße 3</t>
  </si>
  <si>
    <t>48.01123</t>
  </si>
  <si>
    <t>13.65849</t>
  </si>
  <si>
    <t>+43767221939;+436644421222</t>
  </si>
  <si>
    <t>marianne.stockinger@asak.at</t>
  </si>
  <si>
    <t>https://bilder.dasschnelle.at/DasSchnelle/50/5000/9940/043555/G_043555_P_906123766.adn.gif</t>
  </si>
  <si>
    <t>Mag. Karin Schwaiger Steuerberatungskanzlei GmbH, Wirtschaftstreuhänder / Steuerberater • Vomp • Tirol</t>
  </si>
  <si>
    <t>Steuerberater • Mag. Karin Schwaiger Steuerberatungskanzlei GmbH, Au 28, Vomp • Kontakt über aktuelle Telefonnummern ☎ und Adressen ⚑ mit Karte, Routing, Öffnungszeiten, Homepage, E-Mail, vCard und Firmendaten.</t>
  </si>
  <si>
    <t>Au 28</t>
  </si>
  <si>
    <t>47.35797</t>
  </si>
  <si>
    <t>11.70413</t>
  </si>
  <si>
    <t>+43524271092</t>
  </si>
  <si>
    <t>office@steuer-schwaiger.at</t>
  </si>
  <si>
    <t>https://bilder.dasschnelle.at/DasSchnelle/50/5000/9929/042851/I_042851_P_905903682_L_0036005876_1.png</t>
  </si>
  <si>
    <t>Mayerhofer, Herbert, Orthopädische Bedarfsartikel • Liezen • Steiermark</t>
  </si>
  <si>
    <t>Orthopäden • Mayerhofer, Herbert, Hauptstraße 38, Liezen • Kontakt über aktuelle Telefonnummern ☎ und Adressen ⚑ mit Karte, Routing, Öffnungszeiten, Homepage, E-Mail, vCard und Firmendaten.</t>
  </si>
  <si>
    <t>47.56351</t>
  </si>
  <si>
    <t>14.24421</t>
  </si>
  <si>
    <t>+43361223228</t>
  </si>
  <si>
    <t>liezen@orthoschuh.at</t>
  </si>
  <si>
    <t>https://bilder.dasschnelle.at/DasSchnelle/50/5000/9905/061443/G_061443_P_906177108.adn.gif</t>
  </si>
  <si>
    <t>Lüftenegger, Reinhard, Haustechnik • Tamsweg • Salzburg</t>
  </si>
  <si>
    <t>Haustechnik • Lüftenegger, Reinhard, Wölting 84, Tamsweg • Kontakt über aktuelle Telefonnummern ☎ und Adressen ⚑ mit Karte, Routing, Öffnungszeiten, Homepage, E-Mail, vCard und Firmendaten.</t>
  </si>
  <si>
    <t>Wölting 84</t>
  </si>
  <si>
    <t>47.1448305</t>
  </si>
  <si>
    <t>13.8086996</t>
  </si>
  <si>
    <t>+436606796650</t>
  </si>
  <si>
    <t>office@haustechnik-lueftenegger.at</t>
  </si>
  <si>
    <t>https://bilder.dasschnelle.at/DasSchnelle/50/5000/9936/043804/G_043804_P_906186518.adn.gif</t>
  </si>
  <si>
    <t>HK Elektrotechnik • Umhausen • Tirol</t>
  </si>
  <si>
    <t>Elektrotechnik • HK Elektrotechnik, Gscheat 3, Umhausen • Kontakt über aktuelle Telefonnummern ☎ und Adressen ⚑ mit Karte, Routing, Öffnungszeiten, Homepage, E-Mail, vCard und Firmendaten.</t>
  </si>
  <si>
    <t>Gscheat 3</t>
  </si>
  <si>
    <t>47.1370510</t>
  </si>
  <si>
    <t>10.9255710</t>
  </si>
  <si>
    <t>+43525550049</t>
  </si>
  <si>
    <t>elektrotechnik.hk@ycn.com</t>
  </si>
  <si>
    <t>https://bilder.dasschnelle.at/DasSchnelle/50/5000/9894/045658/G_045658_P_906213608.adn.gif</t>
  </si>
  <si>
    <t>AC Altmann Christian, Tischlerei • Wartberg • Oberösterreich</t>
  </si>
  <si>
    <t>Tischlereien • AC Altmann Christian, Hauptstraße 26, Wartberg • Kontakt über aktuelle Telefonnummern ☎ und Adressen ⚑ mit Karte, Routing, Öffnungszeiten, Homepage, E-Mail, vCard und Firmendaten.</t>
  </si>
  <si>
    <t>48.0294300</t>
  </si>
  <si>
    <t>14.1875900</t>
  </si>
  <si>
    <t>+436766081638</t>
  </si>
  <si>
    <t>office@ac-altmann.at</t>
  </si>
  <si>
    <t>https://bilder.dasschnelle.at/DasSchnelle/50/5000/9895/046099/G_046099_P_906213611.adn.gif</t>
  </si>
  <si>
    <t>Mazdra Tapezierer • Wiener Neustadt • Niederösterreich</t>
  </si>
  <si>
    <t>Tapezierer • Mazdra Tapezierer, Pottendorfer Straße 150, Wiener Neustadt • Kontakt über aktuelle Telefonnummern ☎ und Adressen ⚑ mit Karte, Routing, Öffnungszeiten, Homepage, E-Mail, vCard und Firmendaten.</t>
  </si>
  <si>
    <t>Pottendorfer Straße 150</t>
  </si>
  <si>
    <t>47.8319874</t>
  </si>
  <si>
    <t>16.2656127</t>
  </si>
  <si>
    <t>+432622297820</t>
  </si>
  <si>
    <t>office@tapezierer-mazdra.at</t>
  </si>
  <si>
    <t>https://bilder.dasschnelle.at/DasSchnelle/50/5000/9946/042060/G_042060_P_906221512.adn.gif</t>
  </si>
  <si>
    <t>Mair, Manuela, Fusspflege • Rietz • Tirol</t>
  </si>
  <si>
    <t>Fußpflege • Mair, Manuela, Bundesstraße 23, Rietz • Kontakt über aktuelle Telefonnummern ☎ und Adressen ⚑ mit Karte, Routing, Öffnungszeiten, Homepage, E-Mail, vCard und Firmendaten.</t>
  </si>
  <si>
    <t>Bundesstraße 23</t>
  </si>
  <si>
    <t>6421</t>
  </si>
  <si>
    <t>Rietz</t>
  </si>
  <si>
    <t>47.29188</t>
  </si>
  <si>
    <t>11.03448</t>
  </si>
  <si>
    <t>+436502023908</t>
  </si>
  <si>
    <t>massage.manuelamair@gmail.com</t>
  </si>
  <si>
    <t>https://bilder.dasschnelle.at/DasSchnelle/50/5000/9894/045650/G_045650_P_906231146.adn.gif</t>
  </si>
  <si>
    <t>Gerald Hemetzberger Bikes 4 You, Fahrräder • Bad Goisern am Hallstättersee • Oberösterreich</t>
  </si>
  <si>
    <t>Fahrradfachhandel • Gerald Hemetzberger Bikes 4 You, Gschwandt 62, Bad Goisern am Hallstättersee • Kontakt über aktuelle Telefonnummern ☎ und Adressen ⚑ mit Karte, Routing, Öffnungszeiten, Homepage, E-Mail, vCard und Firmendaten.</t>
  </si>
  <si>
    <t>Gschwandt 62</t>
  </si>
  <si>
    <t>47.6212339</t>
  </si>
  <si>
    <t>13.6158295</t>
  </si>
  <si>
    <t>+43613520694</t>
  </si>
  <si>
    <t>info@bikes4you.at</t>
  </si>
  <si>
    <t>https://bilder.dasschnelle.at/DasSchnelle/50/5000/9868/041789/G_041789_P_906242156.adn.gif</t>
  </si>
  <si>
    <t>Hebel, Markus u. Elvira, Physiotherapeuten • Ach • Oberösterreich</t>
  </si>
  <si>
    <t>Physiotherapie • Hebel, Markus u. Elvira, Am Sandhügel 23, Ach • Kontakt über aktuelle Telefonnummern ☎ und Adressen ⚑ mit Karte, Routing, Öffnungszeiten, Homepage, E-Mail, vCard und Firmendaten.</t>
  </si>
  <si>
    <t>Am Sandhügel 23</t>
  </si>
  <si>
    <t>48.12993</t>
  </si>
  <si>
    <t>12.87237</t>
  </si>
  <si>
    <t>+43772734947</t>
  </si>
  <si>
    <t>markushebel@aon.at</t>
  </si>
  <si>
    <t>https://bilder.dasschnelle.at/DasSchnelle/50/5000/9872/044770/G_044770_P_906257122.adn.gif</t>
  </si>
  <si>
    <t>Lechner Hausservice, Hr.Lechner • Großgmain • Salzburg</t>
  </si>
  <si>
    <t>Hausbetreuung • Lechner Hausservice, Hr.Lechner, Salzburgerstrasse 644, Großgmain • Kontakt über aktuelle Telefonnummern ☎ und Adressen ⚑ mit Karte, Routing, Öffnungszeiten, Homepage, E-Mail, vCard und Firmendaten.</t>
  </si>
  <si>
    <t>Salzburgerstrasse 644</t>
  </si>
  <si>
    <t>5084</t>
  </si>
  <si>
    <t>Großgmain</t>
  </si>
  <si>
    <t>47.74527</t>
  </si>
  <si>
    <t>12.93126</t>
  </si>
  <si>
    <t>+436505663862</t>
  </si>
  <si>
    <t>raimond@sbg.at</t>
  </si>
  <si>
    <t>https://bilder.dasschnelle.at/DasSchnelle/50/5000/9914/043318/I_043318_P_906034985_B_0038791554_5.gal.png?height=713&amp;width=953;https://bilder.dasschnelle.at/DasSchnelle/50/5000/9914/043318/I_043318_P_906034985_B_0038791554_6.gal.png?height=679&amp;width=923;https://bilder.dasschnelle.at/DasSchnelle/50/5000/9914/043318/I_043318_P_906034985_B_0038791554_7.gal.png?height=711&amp;width=957;https://bilder.dasschnelle.at/DasSchnelle/50/5000/9914/043318/I_043318_P_906034985_B_0038791554_8.gal.png?height=710&amp;width=951</t>
  </si>
  <si>
    <t>Kinderarzt Bruck an der Mur Dr. Mossier &amp; Dr.in Rapp • Bruck an der Mur • Steiermark</t>
  </si>
  <si>
    <t>Kinder- u. Jugendheilkunde • Kinderarzt Bruck an der Mur Dr. Mossier &amp; Dr.in Rapp, Erzherzog-Johann-Gasse 1 /1. OG, Bruck an der Mur • Kontakt über aktuelle Telefonnummern ☎ und Adressen ⚑ mit Karte, Routing, Öffnungszeiten, Homepage, E-Mail, vCard und Firmendaten.</t>
  </si>
  <si>
    <t>Erzherzog-Johann-Gasse 1 /1. OG</t>
  </si>
  <si>
    <t>47.4079836</t>
  </si>
  <si>
    <t>15.2740238</t>
  </si>
  <si>
    <t>+43386254094</t>
  </si>
  <si>
    <t>anmeldung@kinderarzt-bruck.at</t>
  </si>
  <si>
    <t>https://bilder.dasschnelle.at/DasSchnelle/50/5000/9874/061404/G_061404_P_906285701.adn.gif</t>
  </si>
  <si>
    <t>L.H. Handwerk aus Leidenschaft e.U., Blumen • Groß Gerungs • Niederösterreich</t>
  </si>
  <si>
    <t>Blumenhandel • L.H. Handwerk aus Leidenschaft e.U., Unterer Marktplatz 21, Groß Gerungs • Kontakt über aktuelle Telefonnummern ☎ und Adressen ⚑ mit Karte, Routing, Öffnungszeiten, Homepage, E-Mail, vCard und Firmendaten.</t>
  </si>
  <si>
    <t>Unterer Marktplatz 21</t>
  </si>
  <si>
    <t>48.57436</t>
  </si>
  <si>
    <t>14.95878</t>
  </si>
  <si>
    <t>+436644292974</t>
  </si>
  <si>
    <t>post@lhandwerk.at</t>
  </si>
  <si>
    <t>https://bilder.dasschnelle.at/DasSchnelle/50/5000/9950/044528/G_044528_P_906294843.adn.gif</t>
  </si>
  <si>
    <t>Gspandl Naturstein GmbH &amp; Co KG, Steinmetzbetriebe • Kufstein • Tirol</t>
  </si>
  <si>
    <t>Steinmetzbetriebe • Gspandl Naturstein GmbH &amp; Co KG, Anton Karg-Straße 6, Kufstein • Kontakt über aktuelle Telefonnummern ☎ und Adressen ⚑ mit Karte, Routing, Öffnungszeiten, Homepage, E-Mail, vCard und Firmendaten.</t>
  </si>
  <si>
    <t>Anton Karg-Straße 6</t>
  </si>
  <si>
    <t>47.58644</t>
  </si>
  <si>
    <t>12.17356</t>
  </si>
  <si>
    <t>+436764300743</t>
  </si>
  <si>
    <t>info@gspandl-naturstein.at</t>
  </si>
  <si>
    <t>https://bilder.dasschnelle.at/DasSchnelle/50/5000/9901/046156/G_044361_P_906294853.adn.gif</t>
  </si>
  <si>
    <t>Elektro Brettfeld GesmbH • Elixhausen • Salzburg</t>
  </si>
  <si>
    <t>Elektrohandel, Elektrotechnik, Telekommunikation • Elektro Brettfeld GesmbH, Mattseer Landesstraße 5, Elixhausen • Kontakt über aktuelle Telefonnummern ☎ und Adressen ⚑ mit Karte, Routing, Öffnungszeiten, Homepage, E-Mail, vCard und Firmendaten.</t>
  </si>
  <si>
    <t>Mattseer Landesstraße 5</t>
  </si>
  <si>
    <t>5161</t>
  </si>
  <si>
    <t>Elixhausen</t>
  </si>
  <si>
    <t>47.86558</t>
  </si>
  <si>
    <t>13.06386</t>
  </si>
  <si>
    <t>+436624802540</t>
  </si>
  <si>
    <t>office@brettfeld.at</t>
  </si>
  <si>
    <t>https://bilder.dasschnelle.at/DasSchnelle/50/5000/9931/043306/G_043306_P_906231433.adn.gif</t>
  </si>
  <si>
    <t>Pugganig, Karl, Malerei • Hunnenbrunn • Kärnten</t>
  </si>
  <si>
    <t>Malereibetriebe • Pugganig, Karl, Hunnenbrunn/Bundesstraße 5, Hunnenbrunn • Kontakt über aktuelle Telefonnummern ☎ und Adressen ⚑ mit Karte, Routing, Öffnungszeiten, Homepage, E-Mail, vCard und Firmendaten.</t>
  </si>
  <si>
    <t>Hunnenbrunn/Bundesstraße 5</t>
  </si>
  <si>
    <t>46.7843748</t>
  </si>
  <si>
    <t>14.3765924</t>
  </si>
  <si>
    <t>+43421253070</t>
  </si>
  <si>
    <t>+434212530720</t>
  </si>
  <si>
    <t>pugganig@purpurrot.at</t>
  </si>
  <si>
    <t>https://bilder.dasschnelle.at/DasSchnelle/50/5000/9925/042125/G_042125_P_906314804.adn.gif</t>
  </si>
  <si>
    <t>Freithofnig, Bernhard, Malerei • Sankt Veit • Kärnten</t>
  </si>
  <si>
    <t>Malereibetriebe • Freithofnig, Bernhard, Klagenfurter Straße 158, Sankt Veit • Kontakt über aktuelle Telefonnummern ☎ und Adressen ⚑ mit Karte, Routing, Öffnungszeiten, Homepage, E-Mail, vCard und Firmendaten.</t>
  </si>
  <si>
    <t>Klagenfurter Straße 158</t>
  </si>
  <si>
    <t>46.7507074</t>
  </si>
  <si>
    <t>14.3799648</t>
  </si>
  <si>
    <t>+43421236296;+436763268184</t>
  </si>
  <si>
    <t>office@malerei-freithofnig.at</t>
  </si>
  <si>
    <t>https://bilder.dasschnelle.at/DasSchnelle/50/5000/9925/042125/G_042125_P_906314808.adn.gif</t>
  </si>
  <si>
    <t>Taferner, Gabriele, Schneiderei • Althofen • Kärnten</t>
  </si>
  <si>
    <t>Schneidereien • Taferner, Gabriele, Untermarkter Straße 13, Althofen • Kontakt über aktuelle Telefonnummern ☎ und Adressen ⚑ mit Karte, Routing, Öffnungszeiten, Homepage, E-Mail, vCard und Firmendaten.</t>
  </si>
  <si>
    <t>Untermarkter Straße 13</t>
  </si>
  <si>
    <t>46.87049</t>
  </si>
  <si>
    <t>14.47862</t>
  </si>
  <si>
    <t>+4366475042484</t>
  </si>
  <si>
    <t>gabi@schneiderei-gabriele.at</t>
  </si>
  <si>
    <t>https://bilder.dasschnelle.at/DasSchnelle/50/5000/9925/042109/G_042109_P_906314814.adn.gif</t>
  </si>
  <si>
    <t>Jostex Textilreinigung, Jost Marion • St. Veit an der Glan • Kärnten</t>
  </si>
  <si>
    <t>Textilreinigung • Jostex Textilreinigung, Jost Marion, Lastenstraße 4, St. Veit an der Glan • Kontakt über aktuelle Telefonnummern ☎ und Adressen ⚑ mit Karte, Routing, Öffnungszeiten, Homepage, E-Mail, vCard und Firmendaten.</t>
  </si>
  <si>
    <t>Lastenstraße 4</t>
  </si>
  <si>
    <t>46.7623596</t>
  </si>
  <si>
    <t>14.3578339</t>
  </si>
  <si>
    <t>+436767775405</t>
  </si>
  <si>
    <t>m.jost@jostex.eu</t>
  </si>
  <si>
    <t>https://bilder.dasschnelle.at/DasSchnelle/50/5000/9925/042125/G_042125_P_906314816.adn.gif</t>
  </si>
  <si>
    <t>Blumen Haßhold, Floristik • Althofen • Kärnten</t>
  </si>
  <si>
    <t>Blumenhandel • Blumen Haßhold, Friesacher Straße 1, Althofen • Kontakt über aktuelle Telefonnummern ☎ und Adressen ⚑ mit Karte, Routing, Öffnungszeiten, Homepage, E-Mail, vCard und Firmendaten.</t>
  </si>
  <si>
    <t>Friesacher Straße 1</t>
  </si>
  <si>
    <t>46.86529</t>
  </si>
  <si>
    <t>14.47328</t>
  </si>
  <si>
    <t>+4342623030</t>
  </si>
  <si>
    <t>longitsch@hasshold-blumengenuss.at</t>
  </si>
  <si>
    <t>https://bilder.dasschnelle.at/DasSchnelle/50/5000/9925/042109/G_042109_P_906314820.adn.gif</t>
  </si>
  <si>
    <t>Autohaus Steinwender GmbH • Weitensfeld • Kärnten</t>
  </si>
  <si>
    <t>Autohandel • Autohaus Steinwender GmbH, Kaindorf 66, Weitensfeld • Kontakt über aktuelle Telefonnummern ☎ und Adressen ⚑ mit Karte, Routing, Öffnungszeiten, Homepage, E-Mail, vCard und Firmendaten.</t>
  </si>
  <si>
    <t>Kaindorf 66</t>
  </si>
  <si>
    <t>46.8509401</t>
  </si>
  <si>
    <t>14.1666683</t>
  </si>
  <si>
    <t>+4342653350</t>
  </si>
  <si>
    <t>office@kfz-steinwender.at</t>
  </si>
  <si>
    <t>https://bilder.dasschnelle.at/DasSchnelle/50/5000/9925/042127/G_042127_P_906314829.adn.gif</t>
  </si>
  <si>
    <t>Bad &amp; Energie ZOTTER GmbH, Installationsunternehmen • Friesach • Kärnten</t>
  </si>
  <si>
    <t>Installationsunternehmen • Bad &amp; Energie ZOTTER GmbH, Solarstraße 1, Friesach • Kontakt über aktuelle Telefonnummern ☎ und Adressen ⚑ mit Karte, Routing, Öffnungszeiten, Homepage, E-Mail, vCard und Firmendaten.</t>
  </si>
  <si>
    <t>Solarstraße 1</t>
  </si>
  <si>
    <t>46.9635300</t>
  </si>
  <si>
    <t>14.3983900</t>
  </si>
  <si>
    <t>+4342682644</t>
  </si>
  <si>
    <t>+43426826444</t>
  </si>
  <si>
    <t>office@zotterbad.at</t>
  </si>
  <si>
    <t>https://bilder.dasschnelle.at/DasSchnelle/50/5000/9925/042113/G_042113_P_906314830.adn.gif</t>
  </si>
  <si>
    <t>Köfler-Proßnigg, Irmgard, Dr., FA  f Allgemeinmedizin • Glödnitz • Kärnten</t>
  </si>
  <si>
    <t>Ärzte / f Allgemeinmedizin • Köfler-Proßnigg, Irmgard, Dr., Hemmaplatz 2, Glödnitz • Kontakt über aktuelle Telefonnummern ☎ und Adressen ⚑ mit Karte, Routing, Öffnungszeiten, Homepage, E-Mail, vCard und Firmendaten.</t>
  </si>
  <si>
    <t>Hemmaplatz 2</t>
  </si>
  <si>
    <t>9346</t>
  </si>
  <si>
    <t>Glödnitz</t>
  </si>
  <si>
    <t>46.87397</t>
  </si>
  <si>
    <t>14.11881</t>
  </si>
  <si>
    <t>+4342652020</t>
  </si>
  <si>
    <t>https://bilder.dasschnelle.at/DasSchnelle/50/5000/9925/042114/G_042114_P_906314837.adn.gif</t>
  </si>
  <si>
    <t>Peter Aicher, Tischlerei • Schwanenstadt • Oberösterreich</t>
  </si>
  <si>
    <t>Bestattungsunternehmen • Peter Aicher, Niederholzham 15, Schwanenstadt • Kontakt über aktuelle Telefonnummern ☎ und Adressen ⚑ mit Karte, Routing, Öffnungszeiten, Homepage, E-Mail, vCard und Firmendaten.</t>
  </si>
  <si>
    <t>Niederholzham 15</t>
  </si>
  <si>
    <t>48.06813</t>
  </si>
  <si>
    <t>13.76106</t>
  </si>
  <si>
    <t>+4376732401</t>
  </si>
  <si>
    <t>https://bilder.dasschnelle.at/DasSchnelle/50/5000/9940/043104/G_043104_P_906314838.adn.gif</t>
  </si>
  <si>
    <t>Köppl, Gartengestaltung • Schwanenstadt • Oberösterreich</t>
  </si>
  <si>
    <t>Garten- u. Landschaftsgestaltung • Köppl, Pitzenbergholz 28, Schwanenstadt • Kontakt über aktuelle Telefonnummern ☎ und Adressen ⚑ mit Karte, Routing, Öffnungszeiten, Homepage, E-Mail, vCard und Firmendaten.</t>
  </si>
  <si>
    <t>Pitzenbergholz 28</t>
  </si>
  <si>
    <t>48.0618393</t>
  </si>
  <si>
    <t>13.7360320</t>
  </si>
  <si>
    <t>+436763016636</t>
  </si>
  <si>
    <t>christian@gartenkoeppl.at</t>
  </si>
  <si>
    <t>https://bilder.dasschnelle.at/DasSchnelle/50/5000/9940/043091/G_043091_P_906314840.adn.gif</t>
  </si>
  <si>
    <t>strickbar - Roswitha Mair, Strickwaren • Schwanenstadt • Oberösterreich</t>
  </si>
  <si>
    <t>Strick- u. Wirkwaren • strickbar - Roswitha Mair, Stadtplatz 56, Schwanenstadt • Kontakt über aktuelle Telefonnummern ☎ und Adressen ⚑ mit Karte, Routing, Öffnungszeiten, Homepage, E-Mail, vCard und Firmendaten.</t>
  </si>
  <si>
    <t>48.0544275</t>
  </si>
  <si>
    <t>13.7733986</t>
  </si>
  <si>
    <t>+436644683946</t>
  </si>
  <si>
    <t>strickbar@a1.net</t>
  </si>
  <si>
    <t>https://bilder.dasschnelle.at/DasSchnelle/50/5000/9940/043104/G_043104_P_906314841.adn.gif</t>
  </si>
  <si>
    <t>LEICHT GmbH &amp; Co • Attnang-Puchheim • Oberösterreich</t>
  </si>
  <si>
    <t>Einrichtungshäuser • LEICHT GmbH &amp; Co, Mitterweg 9, Attnang-Puchheim • Kontakt über aktuelle Telefonnummern ☎ und Adressen ⚑ mit Karte, Routing, Öffnungszeiten, Homepage, E-Mail, vCard und Firmendaten.</t>
  </si>
  <si>
    <t>48.01176</t>
  </si>
  <si>
    <t>13.72382</t>
  </si>
  <si>
    <t>+43767462608</t>
  </si>
  <si>
    <t>office@kuechenleicht.at</t>
  </si>
  <si>
    <t>https://bilder.dasschnelle.at/DasSchnelle/50/5000/9940/043069/G_043069_P_906314843.adn.gif</t>
  </si>
  <si>
    <t>Moser, Hubert, Tischler • Sankt Veit • Kärnten</t>
  </si>
  <si>
    <t>Tischlereien • Moser, Hubert, Gewerbestraße 15, Sankt Veit • Kontakt über aktuelle Telefonnummern ☎ und Adressen ⚑ mit Karte, Routing, Öffnungszeiten, Homepage, E-Mail, vCard und Firmendaten.</t>
  </si>
  <si>
    <t>Gewerbestraße 15</t>
  </si>
  <si>
    <t>46.7584041</t>
  </si>
  <si>
    <t>14.3519980</t>
  </si>
  <si>
    <t>+436641730014</t>
  </si>
  <si>
    <t>ihr-haustischler@aon.at</t>
  </si>
  <si>
    <t>https://bilder.dasschnelle.at/DasSchnelle/50/5000/9925/042125/G_042125_P_906314851.adn.gif</t>
  </si>
  <si>
    <t>Hugo Kogler, Möbel- und Raumausstattungshaus • Sankt Veit • Kärnten</t>
  </si>
  <si>
    <t>Möbelhandel • Hugo Kogler, Personalstraße 15, Sankt Veit • Kontakt über aktuelle Telefonnummern ☎ und Adressen ⚑ mit Karte, Routing, Öffnungszeiten, Homepage, E-Mail, vCard und Firmendaten.</t>
  </si>
  <si>
    <t>Personalstraße 15</t>
  </si>
  <si>
    <t>46.7651501</t>
  </si>
  <si>
    <t>14.3591520</t>
  </si>
  <si>
    <t>+4342122020</t>
  </si>
  <si>
    <t>moebel.kogler@aon.at</t>
  </si>
  <si>
    <t>https://bilder.dasschnelle.at/DasSchnelle/50/5000/9925/042125/G_042125_P_906314852.adn.gif</t>
  </si>
  <si>
    <t>Buttinger GmbH • Seewalchen am Attersee • Oberösterreich</t>
  </si>
  <si>
    <t>Autohandel, Taxi • Buttinger GmbH, Carl-Häupl-Weg 12, Seewalchen am Attersee • Kontakt über aktuelle Telefonnummern ☎ und Adressen ⚑ mit Karte, Routing, Öffnungszeiten, Homepage, E-Mail, vCard und Firmendaten.</t>
  </si>
  <si>
    <t>Carl-Häupl-Weg 12</t>
  </si>
  <si>
    <t>47.95564</t>
  </si>
  <si>
    <t>13.58016</t>
  </si>
  <si>
    <t>+436763995910</t>
  </si>
  <si>
    <t>buttinger@taxi-buttinger.at</t>
  </si>
  <si>
    <t>https://bilder.dasschnelle.at/DasSchnelle/50/5000/9940/043105/G_043105_P_906314853.adn.gif</t>
  </si>
  <si>
    <t>Blumen Gebetsroither, Blumenbinder • Timelkam • Oberösterreich</t>
  </si>
  <si>
    <t>Blumenbinder • Blumen Gebetsroither, Lerchenfeldstraße 9, Timelkam • Kontakt über aktuelle Telefonnummern ☎ und Adressen ⚑ mit Karte, Routing, Öffnungszeiten, Homepage, E-Mail, vCard und Firmendaten.</t>
  </si>
  <si>
    <t>Lerchenfeldstraße 9</t>
  </si>
  <si>
    <t>48.0013</t>
  </si>
  <si>
    <t>13.60976</t>
  </si>
  <si>
    <t>+43767292082</t>
  </si>
  <si>
    <t>office@blumen-gebetsroither.at</t>
  </si>
  <si>
    <t>https://bilder.dasschnelle.at/DasSchnelle/50/5000/9940/043552/G_043552_P_906314855.adn.gif</t>
  </si>
  <si>
    <t>PESCHKA'S Wtw Franz Dachdeckerei-Spenglerei GesmbH • Sankt Veit • Kärnten</t>
  </si>
  <si>
    <t>Dachdeckereien • PESCHKA'S Wtw Franz Dachdeckerei-Spenglerei GesmbH, Schießstattallee 30, Sankt Veit • Kontakt über aktuelle Telefonnummern ☎ und Adressen ⚑ mit Karte, Routing, Öffnungszeiten, Homepage, E-Mail, vCard und Firmendaten.</t>
  </si>
  <si>
    <t>Schießstattallee 30</t>
  </si>
  <si>
    <t>46.7582860</t>
  </si>
  <si>
    <t>14.3574065</t>
  </si>
  <si>
    <t>+4342122279</t>
  </si>
  <si>
    <t>+4342125076</t>
  </si>
  <si>
    <t>office@dach-peschka.at</t>
  </si>
  <si>
    <t>https://bilder.dasschnelle.at/DasSchnelle/50/5000/9925/042125/G_042125_P_906314856.adn.gif</t>
  </si>
  <si>
    <t>Schwamberger, Josef, Landesprodukte • St. Georgen im Attergau • Oberösterreich</t>
  </si>
  <si>
    <t>Landesprodukte, Agrarhandel • Schwamberger, Josef, Agergasse 3, St. Georgen im Attergau • Kontakt über aktuelle Telefonnummern ☎ und Adressen ⚑ mit Karte, Routing, Öffnungszeiten, Homepage, E-Mail, vCard und Firmendaten.</t>
  </si>
  <si>
    <t>Agergasse 3</t>
  </si>
  <si>
    <t>47.93771</t>
  </si>
  <si>
    <t>13.48446</t>
  </si>
  <si>
    <t>+4376676666</t>
  </si>
  <si>
    <t>office@schwamberger-baustoffe.at</t>
  </si>
  <si>
    <t>https://bilder.dasschnelle.at/DasSchnelle/50/5000/9940/043100/G_043100_P_906314862.adn.gif</t>
  </si>
  <si>
    <t>Haberl, Gernot, Polsterung-Decoration • St. Georgen im Attergau • Oberösterreich</t>
  </si>
  <si>
    <t>Dekor- u. Möbelstoffe, Malereibetriebe • Haberl, Gernot, Attergaustraße 68, St. Georgen im Attergau • Kontakt über aktuelle Telefonnummern ☎ und Adressen ⚑ mit Karte, Routing, Öffnungszeiten, Homepage, E-Mail, vCard und Firmendaten.</t>
  </si>
  <si>
    <t>Attergaustraße 68</t>
  </si>
  <si>
    <t>47.9356</t>
  </si>
  <si>
    <t>13.48055</t>
  </si>
  <si>
    <t>+4376676337</t>
  </si>
  <si>
    <t>gernot.haberl@aon.at</t>
  </si>
  <si>
    <t>https://bilder.dasschnelle.at/DasSchnelle/50/5000/9940/043100/G_043100_P_906314863.adn.gif</t>
  </si>
  <si>
    <t>Enthammer, Karin, Polsterungen • Sankt Georgen im Attergau • Oberösterreich</t>
  </si>
  <si>
    <t>Polstermöbel • Enthammer, Karin, Jakitschgasse 4, Sankt Georgen im Attergau • Kontakt über aktuelle Telefonnummern ☎ und Adressen ⚑ mit Karte, Routing, Öffnungszeiten, Homepage, E-Mail, vCard und Firmendaten.</t>
  </si>
  <si>
    <t>Jakitschgasse 4</t>
  </si>
  <si>
    <t>47.9327</t>
  </si>
  <si>
    <t>13.49576</t>
  </si>
  <si>
    <t>+4376675213</t>
  </si>
  <si>
    <t>enthammer-polsterungen@hotmail.com</t>
  </si>
  <si>
    <t>https://bilder.dasschnelle.at/DasSchnelle/50/5000/9940/043100/G_043100_P_906314864.adn.gif</t>
  </si>
  <si>
    <t>Kandussi Dachdeckungs GmbH • St. Veit an der Glan • Kärnten</t>
  </si>
  <si>
    <t>Dachdeckereien • Kandussi Dachdeckungs GmbH, Industriestraße 1, St. Veit an der Glan • Kontakt über aktuelle Telefonnummern ☎ und Adressen ⚑ mit Karte, Routing, Öffnungszeiten, Homepage, E-Mail, vCard und Firmendaten.</t>
  </si>
  <si>
    <t>Industriestraße 1</t>
  </si>
  <si>
    <t>46.7602011</t>
  </si>
  <si>
    <t>14.3536875</t>
  </si>
  <si>
    <t>+4342124391</t>
  </si>
  <si>
    <t>info@kandussidach.at</t>
  </si>
  <si>
    <t>https://bilder.dasschnelle.at/DasSchnelle/50/5000/9925/042125/G_042125_P_906314867.adn.gif</t>
  </si>
  <si>
    <t>Bergmair, Brigitta, Dachdeckerei u Spenglerei • Sankt Georgen im Attergau • Oberösterreich</t>
  </si>
  <si>
    <t>Dachdeckerei u. Spenglerei, Dachdeckereien, Spenglereien • Bergmair, Brigitta, Mondseerstraße 10, Sankt Georgen im Attergau • Kontakt über aktuelle Telefonnummern ☎ und Adressen ⚑ mit Karte, Routing, Öffnungszeiten, Homepage, E-Mail, vCard und Firmendaten.</t>
  </si>
  <si>
    <t>Mondseerstraße 10</t>
  </si>
  <si>
    <t>47.9332700</t>
  </si>
  <si>
    <t>13.4783200</t>
  </si>
  <si>
    <t>+4376676294</t>
  </si>
  <si>
    <t>brigitte.bergmair@gmx.at</t>
  </si>
  <si>
    <t>https://bilder.dasschnelle.at/DasSchnelle/50/5000/9940/043100/I_043100_P_906086140_L_0035999263_1.png</t>
  </si>
  <si>
    <t>https://bilder.dasschnelle.at/DasSchnelle/50/5000/9940/043100/G_043100_P_906314870.adn.gif</t>
  </si>
  <si>
    <t>1A CARS • Frankenburg am Hausruck • Oberösterreich</t>
  </si>
  <si>
    <t>Autohandel, Gebrauchtwagen • 1A CARS, Au 1, Frankenburg am Hausruck • Kontakt über aktuelle Telefonnummern ☎ und Adressen ⚑ mit Karte, Routing, Öffnungszeiten, Homepage, E-Mail, vCard und Firmendaten.</t>
  </si>
  <si>
    <t>Au 1</t>
  </si>
  <si>
    <t>48.0516787</t>
  </si>
  <si>
    <t>13.4854083</t>
  </si>
  <si>
    <t>+436767408400</t>
  </si>
  <si>
    <t>office@kfz-gadermair.at</t>
  </si>
  <si>
    <t>https://bilder.dasschnelle.at/DasSchnelle/50/5000/9940/043075/G_043075_P_906314871.adn.gif</t>
  </si>
  <si>
    <t>RFE - Gase GmbH • Vöcklabruck • Oberösterreich</t>
  </si>
  <si>
    <t>Gas, Gasinstallationen • RFE - Gase GmbH, Wagrainer Straße 22, Vöcklabruck • Kontakt über aktuelle Telefonnummern ☎ und Adressen ⚑ mit Karte, Routing, Öffnungszeiten, Homepage, E-Mail, vCard und Firmendaten.</t>
  </si>
  <si>
    <t>Wagrainer Straße 22</t>
  </si>
  <si>
    <t>48.0057234</t>
  </si>
  <si>
    <t>13.6659292</t>
  </si>
  <si>
    <t>+43767272109</t>
  </si>
  <si>
    <t>office@rfe.at</t>
  </si>
  <si>
    <t>https://bilder.dasschnelle.at/DasSchnelle/50/5000/9940/043555/G_043555_P_906314880.adn.gif</t>
  </si>
  <si>
    <t>Schmidtmayr Auto GmbH, Autohaus • Haslach • Oberösterreich</t>
  </si>
  <si>
    <t>Autohandel, Autoreparaturen • Schmidtmayr Auto GmbH, Haslach 16, Haslach • Kontakt über aktuelle Telefonnummern ☎ und Adressen ⚑ mit Karte, Routing, Öffnungszeiten, Homepage, E-Mail, vCard und Firmendaten.</t>
  </si>
  <si>
    <t>Haslach 16</t>
  </si>
  <si>
    <t>Haslach</t>
  </si>
  <si>
    <t>48.0362300</t>
  </si>
  <si>
    <t>13.4922983</t>
  </si>
  <si>
    <t>+4376826443</t>
  </si>
  <si>
    <t>+4376823781</t>
  </si>
  <si>
    <t>office@peugeot-schmidtmayr.at</t>
  </si>
  <si>
    <t>https://bilder.dasschnelle.at/DasSchnelle/50/5000/9940/043082/G_043082_P_906314886.adn.gif</t>
  </si>
  <si>
    <t>Stallinger, Johann, Holzbau • Zipf • Oberösterreich</t>
  </si>
  <si>
    <t>Holzbau • Stallinger, Johann, Zipf 1, Zipf • Kontakt über aktuelle Telefonnummern ☎ und Adressen ⚑ mit Karte, Routing, Öffnungszeiten, Homepage, E-Mail, vCard und Firmendaten.</t>
  </si>
  <si>
    <t>Zipf 1</t>
  </si>
  <si>
    <t>48.0260739</t>
  </si>
  <si>
    <t>13.5004702</t>
  </si>
  <si>
    <t>+4376823057</t>
  </si>
  <si>
    <t>johann.stallinger@aon.at</t>
  </si>
  <si>
    <t>https://bilder.dasschnelle.at/DasSchnelle/50/5000/9940/043556/G_043556_P_906314892.adn.gif</t>
  </si>
  <si>
    <t>Grafenhofer Raumausstattung KG • Vöcklamarkt • Oberösterreich</t>
  </si>
  <si>
    <t>Malereibetriebe, Raumausstatter • Grafenhofer Raumausstattung KG, Hauptstraße 23, Vöcklamarkt • Kontakt über aktuelle Telefonnummern ☎ und Adressen ⚑ mit Karte, Routing, Öffnungszeiten, Homepage, E-Mail, vCard und Firmendaten.</t>
  </si>
  <si>
    <t>48.00155</t>
  </si>
  <si>
    <t>13.48299</t>
  </si>
  <si>
    <t>+4376826367</t>
  </si>
  <si>
    <t>+43768263677</t>
  </si>
  <si>
    <t>grafenhofer.keg@aon.at</t>
  </si>
  <si>
    <t>https://bilder.dasschnelle.at/DasSchnelle/50/5000/9940/043556/G_043556_P_906314897.adn.gif</t>
  </si>
  <si>
    <t>Lohninger Erdbau GmbH, Gerald • Vöcklamarkt • Oberösterreich</t>
  </si>
  <si>
    <t>Baggerungen u. Transporte, Erdbau, Transportunternehmen • Lohninger Erdbau GmbH, Schmidham 63, Vöcklamarkt • Kontakt über aktuelle Telefonnummern ☎ und Adressen ⚑ mit Karte, Routing, Öffnungszeiten, Homepage, E-Mail, vCard und Firmendaten.</t>
  </si>
  <si>
    <t>Schmidham 63</t>
  </si>
  <si>
    <t>47.9699693</t>
  </si>
  <si>
    <t>13.4749304</t>
  </si>
  <si>
    <t>+436645735331;+43768220240</t>
  </si>
  <si>
    <t>office@Baggerungen-Lohninger.at</t>
  </si>
  <si>
    <t>https://bilder.dasschnelle.at/DasSchnelle/50/5000/9940/043556/G_043556_P_906314906.adn.gif</t>
  </si>
  <si>
    <t>Höller, Sebastian, KFZ • Ampflwang • Oberösterreich</t>
  </si>
  <si>
    <t>Autohandel • Höller, Sebastian, Scharermühlenstraße 11, Ampflwang • Kontakt über aktuelle Telefonnummern ☎ und Adressen ⚑ mit Karte, Routing, Öffnungszeiten, Homepage, E-Mail, vCard und Firmendaten.</t>
  </si>
  <si>
    <t>Scharermühlenstraße 11</t>
  </si>
  <si>
    <t>48.0858609</t>
  </si>
  <si>
    <t>13.5628570</t>
  </si>
  <si>
    <t>+436603456255</t>
  </si>
  <si>
    <t>office@kfz-hoeller.at</t>
  </si>
  <si>
    <t>https://bilder.dasschnelle.at/DasSchnelle/50/5000/9940/043067/G_043067_P_906314908.adn.gif</t>
  </si>
  <si>
    <t>DYNAMICS - Inh. H. Lachinger, Autolackierereien Autolackierereien • Vöcklabruck • Oberösterreich</t>
  </si>
  <si>
    <t>Lackierereien • DYNAMICS - Inh. H. Lachinger, Industriestraße 34, Vöcklabruck • Kontakt über aktuelle Telefonnummern ☎ und Adressen ⚑ mit Karte, Routing, Öffnungszeiten, Homepage, E-Mail, vCard und Firmendaten.</t>
  </si>
  <si>
    <t>Industriestraße 34</t>
  </si>
  <si>
    <t>48.00564</t>
  </si>
  <si>
    <t>13.66788</t>
  </si>
  <si>
    <t>+43767278168</t>
  </si>
  <si>
    <t>dynamics-kfz@asak.at</t>
  </si>
  <si>
    <t>https://bilder.dasschnelle.at/DasSchnelle/50/5000/9940/043555/G_043555_P_906314911.adn.gif</t>
  </si>
  <si>
    <t>Sport Lechner • Frankenburg am Hausruck • Oberösterreich</t>
  </si>
  <si>
    <t>Sportartikel u. -geräte • Sport Lechner, Hauptstraße 30, Frankenburg am Hausruck • Kontakt über aktuelle Telefonnummern ☎ und Adressen ⚑ mit Karte, Routing, Öffnungszeiten, Homepage, E-Mail, vCard und Firmendaten.</t>
  </si>
  <si>
    <t>48.06757</t>
  </si>
  <si>
    <t>13.48772</t>
  </si>
  <si>
    <t>+436641275241</t>
  </si>
  <si>
    <t>office@sportlechner.at</t>
  </si>
  <si>
    <t>https://bilder.dasschnelle.at/DasSchnelle/50/5000/9940/043075/G_043075_P_906314912.adn.gif</t>
  </si>
  <si>
    <t>Krall, Eva Maria, Augenheilkunde • Sankt Veit an der Glan • Kärnten</t>
  </si>
  <si>
    <t>Ärzte / Fachärzte f. Augenheilkunde u. Optometrie • Krall, Eva Maria, Platz am Graben 2, Sankt Veit an der Glan • Kontakt über aktuelle Telefonnummern ☎ und Adressen ⚑ mit Karte, Routing, Öffnungszeiten, Homepage, E-Mail, vCard und Firmendaten.</t>
  </si>
  <si>
    <t>Platz am Graben 2</t>
  </si>
  <si>
    <t>46.7665938</t>
  </si>
  <si>
    <t>14.3610023</t>
  </si>
  <si>
    <t>+43421228280</t>
  </si>
  <si>
    <t>https://bilder.dasschnelle.at/DasSchnelle/50/5000/9925/042125/G_042125_P_906314913.adn.gif</t>
  </si>
  <si>
    <t>TAXI-SERVICE, Manfred, Taxi • Sankt Veit • Kärnten</t>
  </si>
  <si>
    <t>Taxi • TAXI-SERVICE, Manfred, Millenniumspark 28, Sankt Veit • Kontakt über aktuelle Telefonnummern ☎ und Adressen ⚑ mit Karte, Routing, Öffnungszeiten, Homepage, E-Mail, vCard und Firmendaten.</t>
  </si>
  <si>
    <t>Millenniumspark 28</t>
  </si>
  <si>
    <t>46.7548429</t>
  </si>
  <si>
    <t>14.3354500</t>
  </si>
  <si>
    <t>+4342122299;+436641117288</t>
  </si>
  <si>
    <t>taxiaustria@gmx.at</t>
  </si>
  <si>
    <t>https://bilder.dasschnelle.at/DasSchnelle/50/5000/9925/042125/G_042125_P_906314914.adn.gif</t>
  </si>
  <si>
    <t>Bäckerei Oberndorfer • Seewalchen am Attersee • Oberösterreich</t>
  </si>
  <si>
    <t>Bäckereien • Bäckerei Oberndorfer, Hatschekstraße 9, Seewalchen am Attersee • Kontakt über aktuelle Telefonnummern ☎ und Adressen ⚑ mit Karte, Routing, Öffnungszeiten, Homepage, E-Mail, vCard und Firmendaten.</t>
  </si>
  <si>
    <t>Hatschekstraße 9</t>
  </si>
  <si>
    <t>47.95501</t>
  </si>
  <si>
    <t>13.58723</t>
  </si>
  <si>
    <t>+4376622205</t>
  </si>
  <si>
    <t>baecker.oberndorfer@aon.at</t>
  </si>
  <si>
    <t>https://bilder.dasschnelle.at/DasSchnelle/50/5000/9940/043105/G_043105_P_906314921.adn.gif</t>
  </si>
  <si>
    <t>Neutron HandelsgmbH Hund- u. Katzensalon Evelyn, Hundesalon • Seewalchen am Attersee • Oberösterreich</t>
  </si>
  <si>
    <t>Hundesalon • Neutron HandelsgmbH Hund- u. Katzensalon Evelyn, Kraims 1, Seewalchen am Attersee • Kontakt über aktuelle Telefonnummern ☎ und Adressen ⚑ mit Karte, Routing, Öffnungszeiten, Homepage, E-Mail, vCard und Firmendaten.</t>
  </si>
  <si>
    <t>Kraims 1</t>
  </si>
  <si>
    <t>47.9706851</t>
  </si>
  <si>
    <t>13.5864730</t>
  </si>
  <si>
    <t>+43766242061</t>
  </si>
  <si>
    <t>evelyn.und.brigitte@aon.at</t>
  </si>
  <si>
    <t>https://bilder.dasschnelle.at/DasSchnelle/50/5000/9940/043105/G_043105_P_906314922.adn.gif</t>
  </si>
  <si>
    <t>Gebetsroider, Herbert, Schlosserei • Seewalchen am Attersee • Oberösterreich</t>
  </si>
  <si>
    <t>Schlossereien • Gebetsroider, Herbert, Wagnerstraße 9, Seewalchen am Attersee • Kontakt über aktuelle Telefonnummern ☎ und Adressen ⚑ mit Karte, Routing, Öffnungszeiten, Homepage, E-Mail, vCard und Firmendaten.</t>
  </si>
  <si>
    <t>Wagnerstraße 9</t>
  </si>
  <si>
    <t>47.93998</t>
  </si>
  <si>
    <t>13.56063</t>
  </si>
  <si>
    <t>+4376622710;+436502911197</t>
  </si>
  <si>
    <t>+43766257791</t>
  </si>
  <si>
    <t>m.gebetsroider@aon.at</t>
  </si>
  <si>
    <t>https://bilder.dasschnelle.at/DasSchnelle/50/5000/9940/043105/G_043105_P_906314929.adn.gif</t>
  </si>
  <si>
    <t>Gehmayr, Norbert, Fußboden- u Raumgestaltung • Timelkam • Oberösterreich</t>
  </si>
  <si>
    <t>Raumgestaltung • Gehmayr, Norbert, Oberthalheim 13, Timelkam • Kontakt über aktuelle Telefonnummern ☎ und Adressen ⚑ mit Karte, Routing, Öffnungszeiten, Homepage, E-Mail, vCard und Firmendaten.</t>
  </si>
  <si>
    <t>Oberthalheim 13</t>
  </si>
  <si>
    <t>48.0054347</t>
  </si>
  <si>
    <t>13.6311018</t>
  </si>
  <si>
    <t>+437672238890;+436642611626</t>
  </si>
  <si>
    <t>+437672238894</t>
  </si>
  <si>
    <t>gehmayr.n@asak.at</t>
  </si>
  <si>
    <t>https://bilder.dasschnelle.at/DasSchnelle/50/5000/9940/043552/G_043552_P_906314937.adn.gif</t>
  </si>
  <si>
    <t>Königseder, Wolfgang, Telefonanlagen • Timelkam • Oberösterreich</t>
  </si>
  <si>
    <t>Telefonanlagen • Königseder, Wolfgang, Mozartstraße 4, Timelkam • Kontakt über aktuelle Telefonnummern ☎ und Adressen ⚑ mit Karte, Routing, Öffnungszeiten, Homepage, E-Mail, vCard und Firmendaten.</t>
  </si>
  <si>
    <t>Mozartstraße 4</t>
  </si>
  <si>
    <t>13.61246</t>
  </si>
  <si>
    <t>+43767292680</t>
  </si>
  <si>
    <t>wolfgang.koenigseder@asak.at</t>
  </si>
  <si>
    <t>https://bilder.dasschnelle.at/DasSchnelle/50/5000/9940/043552/G_043552_P_906314942.adn.gif</t>
  </si>
  <si>
    <t>ASM Sautner HandelsgesmbH, Gastronomie • Schörfling • Oberösterreich</t>
  </si>
  <si>
    <t>Gastronomiebetriebe • ASM Sautner HandelsgesmbH, Gewerbepark 6, Schörfling • Kontakt über aktuelle Telefonnummern ☎ und Adressen ⚑ mit Karte, Routing, Öffnungszeiten, Homepage, E-Mail, vCard und Firmendaten.</t>
  </si>
  <si>
    <t>47.9518119</t>
  </si>
  <si>
    <t>13.6162390</t>
  </si>
  <si>
    <t>+43766282020;+4366473856924</t>
  </si>
  <si>
    <t>office@sautner.at</t>
  </si>
  <si>
    <t>https://bilder.dasschnelle.at/DasSchnelle/50/5000/9940/043103/G_043103_P_906314943.adn.gif</t>
  </si>
  <si>
    <t>Vöcklabrucker Karrosseriebau GesmbH • Vöcklabruck • Oberösterreich</t>
  </si>
  <si>
    <t>Karosseriebau • Vöcklabrucker Karrosseriebau GesmbH, Telefunkenstraße 21, Vöcklabruck • Kontakt über aktuelle Telefonnummern ☎ und Adressen ⚑ mit Karte, Routing, Öffnungszeiten, Homepage, E-Mail, vCard und Firmendaten.</t>
  </si>
  <si>
    <t>Telefunkenstraße 21</t>
  </si>
  <si>
    <t>48.00267</t>
  </si>
  <si>
    <t>13.67801</t>
  </si>
  <si>
    <t>+437672220330</t>
  </si>
  <si>
    <t>office@vb-karosseriebau.at</t>
  </si>
  <si>
    <t>https://bilder.dasschnelle.at/DasSchnelle/50/5000/9940/043555/G_043555_P_906314964.adn.gif</t>
  </si>
  <si>
    <t>Kriech, Manuel, Baumeister • Ampflwang • Oberösterreich</t>
  </si>
  <si>
    <t>Baumeister • Kriech, Manuel, Vöcklabrucker Straße 11, Ampflwang • Kontakt über aktuelle Telefonnummern ☎ und Adressen ⚑ mit Karte, Routing, Öffnungszeiten, Homepage, E-Mail, vCard und Firmendaten.</t>
  </si>
  <si>
    <t>Vöcklabrucker Straße 11</t>
  </si>
  <si>
    <t>48.0903820</t>
  </si>
  <si>
    <t>13.5669107</t>
  </si>
  <si>
    <t>+436648235993</t>
  </si>
  <si>
    <t>office@kriech-baumanagement.at</t>
  </si>
  <si>
    <t>https://bilder.dasschnelle.at/DasSchnelle/50/5000/9940/043067/G_043067_P_906314971.adn.gif</t>
  </si>
  <si>
    <t>Mayer, Astrid, Blumen • Seewalchen am Attersee • Oberösterreich</t>
  </si>
  <si>
    <t>Blumenhandel • Mayer, Astrid, Atterseestraße 25, Seewalchen am Attersee • Kontakt über aktuelle Telefonnummern ☎ und Adressen ⚑ mit Karte, Routing, Öffnungszeiten, Homepage, E-Mail, vCard und Firmendaten.</t>
  </si>
  <si>
    <t>Atterseestraße 25</t>
  </si>
  <si>
    <t>47.94942</t>
  </si>
  <si>
    <t>13.59335</t>
  </si>
  <si>
    <t>+4376625320</t>
  </si>
  <si>
    <t>astridmayer@live.at</t>
  </si>
  <si>
    <t>https://bilder.dasschnelle.at/DasSchnelle/50/5000/9940/043105/G_043105_P_906314973.adn.gif</t>
  </si>
  <si>
    <t>Grünzeug Kreativwerkstatt, Blumen • Vöcklabruck • Oberösterreich</t>
  </si>
  <si>
    <t>Blumenhandel • Grünzeug Kreativwerkstatt, Hinterstadt 14, Vöcklabruck • Kontakt über aktuelle Telefonnummern ☎ und Adressen ⚑ mit Karte, Routing, Öffnungszeiten, Homepage, E-Mail, vCard und Firmendaten.</t>
  </si>
  <si>
    <t>Hinterstadt 14</t>
  </si>
  <si>
    <t>+436644182309</t>
  </si>
  <si>
    <t>office@grünzeug-kreativwerkstatt.at</t>
  </si>
  <si>
    <t>https://bilder.dasschnelle.at/DasSchnelle/50/5000/9940/043555/G_043555_P_906314980.adn.gif</t>
  </si>
  <si>
    <t>Höller Dach, Dachdeckerei • Gampern • Oberösterreich</t>
  </si>
  <si>
    <t>Dachdeckereien • Höller Dach, Weiterschwang 25, Gampern • Kontakt über aktuelle Telefonnummern ☎ und Adressen ⚑ mit Karte, Routing, Öffnungszeiten, Homepage, E-Mail, vCard und Firmendaten.</t>
  </si>
  <si>
    <t>Weiterschwang 25</t>
  </si>
  <si>
    <t>47.9875933</t>
  </si>
  <si>
    <t>13.5790886</t>
  </si>
  <si>
    <t>+436803277003</t>
  </si>
  <si>
    <t>hoeller.johannes88@gmail.com</t>
  </si>
  <si>
    <t>https://bilder.dasschnelle.at/DasSchnelle/50/5000/9940/043077/I_043077_P_906091163_L_0035994327_1.png</t>
  </si>
  <si>
    <t>https://bilder.dasschnelle.at/DasSchnelle/50/5000/9940/043077/G_043077_P_906314981.adn.gif</t>
  </si>
  <si>
    <t>Ärztliche Gruppenpraxis f Allgemeinmedizin • Schörfling • Oberösterreich</t>
  </si>
  <si>
    <t>Ärzte / f Allgemeinmedizin • Ärztliche Gruppenpraxis f Allgemeinmedizin, Kronbergerweg 2, Schörfling • Kontakt über aktuelle Telefonnummern ☎ und Adressen ⚑ mit Karte, Routing, Öffnungszeiten, Homepage, E-Mail, vCard und Firmendaten.</t>
  </si>
  <si>
    <t>Kronbergerweg 2</t>
  </si>
  <si>
    <t>47.9455011</t>
  </si>
  <si>
    <t>13.6041652</t>
  </si>
  <si>
    <t>+4376622602</t>
  </si>
  <si>
    <t>bernd@hainbucher.com</t>
  </si>
  <si>
    <t>https://bilder.dasschnelle.at/DasSchnelle/50/5000/9940/043103/G_043103_P_906314987.adn.gif</t>
  </si>
  <si>
    <t>Burtscher, R., Dr. • Vöcklabruck • Oberösterreich</t>
  </si>
  <si>
    <t>Ärzte / Fachärzte f. Kinder u. Jugendheilkunde • Burtscher, R., Dr., Robert Kunz-Straße 11, Vöcklabruck • Kontakt über aktuelle Telefonnummern ☎ und Adressen ⚑ mit Karte, Routing, Öffnungszeiten, Homepage, E-Mail, vCard und Firmendaten.</t>
  </si>
  <si>
    <t>+43767278865</t>
  </si>
  <si>
    <t>https://bilder.dasschnelle.at/DasSchnelle/50/5000/9940/043555/G_043555_P_906314992.adn.gif</t>
  </si>
  <si>
    <t>Sobotka, Michaela, Mag.med.vet., Tierärztin • Seewalchen am Attersee • Oberösterreich</t>
  </si>
  <si>
    <t>Tierärzte • Sobotka, Michaela, Mag.med.vet., Steindorf 38 a, Seewalchen am Attersee • Kontakt über aktuelle Telefonnummern ☎ und Adressen ⚑ mit Karte, Routing, Öffnungszeiten, Homepage, E-Mail, vCard und Firmendaten.</t>
  </si>
  <si>
    <t>Steindorf 38 a</t>
  </si>
  <si>
    <t>47.9653009</t>
  </si>
  <si>
    <t>13.5707966</t>
  </si>
  <si>
    <t>+436509271450</t>
  </si>
  <si>
    <t>https://bilder.dasschnelle.at/DasSchnelle/50/5000/9940/043105/G_043105_P_906314993.adn.gif</t>
  </si>
  <si>
    <t>Lengauer, Bernhard, Dr.med.univ., FA f Augenheilkunde u Optometrie • Vöcklabruck • Oberösterreich</t>
  </si>
  <si>
    <t>Ärzte / Fachärzte f. Augenheilkunde u. Optometrie • Lengauer, Bernhard, Dr.med.univ., Stadtplatz 22 a, Vöcklabruck • Kontakt über aktuelle Telefonnummern ☎ und Adressen ⚑ mit Karte, Routing, Öffnungszeiten, Homepage, E-Mail, vCard und Firmendaten.</t>
  </si>
  <si>
    <t>Stadtplatz 22 a</t>
  </si>
  <si>
    <t>+43767272789</t>
  </si>
  <si>
    <t>https://bilder.dasschnelle.at/DasSchnelle/50/5000/9940/043555/G_043555_P_906314995.adn.gif</t>
  </si>
  <si>
    <t>Knoflach, Alois, Bau- und Möbeltischlerei • Matrei am Brenner • Tirol</t>
  </si>
  <si>
    <t>Tischlereien • Knoflach, Alois, Matrei am Brenner 93, Matrei am Brenner • Kontakt über aktuelle Telefonnummern ☎ und Adressen ⚑ mit Karte, Routing, Öffnungszeiten, Homepage, E-Mail, vCard und Firmendaten.</t>
  </si>
  <si>
    <t>Matrei am Brenner 93</t>
  </si>
  <si>
    <t>47.1261877</t>
  </si>
  <si>
    <t>11.4515479</t>
  </si>
  <si>
    <t>+4352736318;+436644217052</t>
  </si>
  <si>
    <t>tischlerei.knoflach@aon.at</t>
  </si>
  <si>
    <t>https://bilder.dasschnelle.at/DasSchnelle/50/5000/9948/045890/G_045890_P_906314997.adn.gif</t>
  </si>
  <si>
    <t>SCHARO Installationen GesmbH • Matrei am Brenner • Tirol</t>
  </si>
  <si>
    <t>Installationen • SCHARO Installationen GesmbH, Altstadt 4, Matrei am Brenner • Kontakt über aktuelle Telefonnummern ☎ und Adressen ⚑ mit Karte, Routing, Öffnungszeiten, Homepage, E-Mail, vCard und Firmendaten.</t>
  </si>
  <si>
    <t>Altstadt 4</t>
  </si>
  <si>
    <t>47.13915</t>
  </si>
  <si>
    <t>11.46062</t>
  </si>
  <si>
    <t>+436604410645</t>
  </si>
  <si>
    <t>office@scharo.com</t>
  </si>
  <si>
    <t>https://bilder.dasschnelle.at/DasSchnelle/50/5000/9948/045890/G_045890_P_906314999.adn.gif</t>
  </si>
  <si>
    <t>Blumenstadl • Schladming • Steiermark</t>
  </si>
  <si>
    <t>Blumenhandel, Gärtnereien • Blumenstadl, Erzherzog-Johann-Straße 248, Schladming • Kontakt über aktuelle Telefonnummern ☎ und Adressen ⚑ mit Karte, Routing, Öffnungszeiten, Homepage, E-Mail, vCard und Firmendaten.</t>
  </si>
  <si>
    <t>+43368781090</t>
  </si>
  <si>
    <t>+43368782303</t>
  </si>
  <si>
    <t>schladming@blumenstadl.at</t>
  </si>
  <si>
    <t>https://bilder.dasschnelle.at/DasSchnelle/50/5000/9928/061454/G_061454_P_906315004.adn.gif</t>
  </si>
  <si>
    <t>Riegler, Franz, Bäder • Kirchberg am Wechsel-Außen • Niederösterreich</t>
  </si>
  <si>
    <t>Bäderstudios • Riegler, Franz, Au 310, Kirchberg am Wechsel-Außen • Kontakt über aktuelle Telefonnummern ☎ und Adressen ⚑ mit Karte, Routing, Öffnungszeiten, Homepage, E-Mail, vCard und Firmendaten.</t>
  </si>
  <si>
    <t>Au 310</t>
  </si>
  <si>
    <t>Kirchberg am Wechsel-Außen</t>
  </si>
  <si>
    <t>47.6054889</t>
  </si>
  <si>
    <t>16.0324103</t>
  </si>
  <si>
    <t>+4326412421</t>
  </si>
  <si>
    <t>firma@heizung-riegler.at</t>
  </si>
  <si>
    <t>https://bilder.dasschnelle.at/DasSchnelle/50/5000/9913/041841/G_041841_P_906315009.adn.gif</t>
  </si>
  <si>
    <t>Druckenthaner, Helmut, Raumaustatter • Gramastetten • Oberösterreich</t>
  </si>
  <si>
    <t>Malereibetriebe, Raumausstatter • Druckenthaner, Helmut, Schmiedberg 21, Gramastetten • Kontakt über aktuelle Telefonnummern ☎ und Adressen ⚑ mit Karte, Routing, Öffnungszeiten, Homepage, E-Mail, vCard und Firmendaten.</t>
  </si>
  <si>
    <t>Schmiedberg 21</t>
  </si>
  <si>
    <t>48.37722</t>
  </si>
  <si>
    <t>14.18963</t>
  </si>
  <si>
    <t>+436643351376</t>
  </si>
  <si>
    <t>homolka.art@aon.at</t>
  </si>
  <si>
    <t>https://bilder.dasschnelle.at/DasSchnelle/50/5000/9939/042834/G_042834_P_906312576.adn.gif</t>
  </si>
  <si>
    <t>Klauss A. Eisen- u Baumarkt GesmbH • Kötschach • Kärnten</t>
  </si>
  <si>
    <t>Baumärkte, Baustoffhandel • Klauss A. Eisen- u Baumarkt GesmbH, Kötschach • Kontakt über aktuelle Telefonnummern ☎ und Adressen ⚑ mit Karte, Routing, Öffnungszeiten, Homepage, E-Mail, vCard und Firmendaten.</t>
  </si>
  <si>
    <t>46.6771514</t>
  </si>
  <si>
    <t>13.0062862</t>
  </si>
  <si>
    <t>+434715307</t>
  </si>
  <si>
    <t>mode@klauss.co.at</t>
  </si>
  <si>
    <t>https://bilder.dasschnelle.at/DasSchnelle/50/5000/9891/042086/G_042086_P_906312577.adn.gif</t>
  </si>
  <si>
    <t>Hanzal, Engelbert, Dr., Facharzt für Frauenheilkunde • Klosterneuburg • Niederösterreich</t>
  </si>
  <si>
    <t>Ärzte / Fachärzte f. Frauenheilkunde u. Geburtshilfe, Hebammen • Hanzal, Engelbert, Dr., Stadtplatz 4, Klosterneuburg • Kontakt über aktuelle Telefonnummern ☎ und Adressen ⚑ mit Karte, Routing, Öffnungszeiten, Homepage, E-Mail, vCard und Firmendaten.</t>
  </si>
  <si>
    <t>+43224334141</t>
  </si>
  <si>
    <t>office@progyn.at</t>
  </si>
  <si>
    <t>https://bilder.dasschnelle.at/DasSchnelle/50/5000/9897/061492/G_061492_P_906312578.adn.gif</t>
  </si>
  <si>
    <t>Elektrotechnik Hubmann • Weißbriach • Kärnten</t>
  </si>
  <si>
    <t>Elektrotechnik • Elektrotechnik Hubmann, Weißbriach 94, Weißbriach • Kontakt über aktuelle Telefonnummern ☎ und Adressen ⚑ mit Karte, Routing, Öffnungszeiten, Homepage, E-Mail, vCard und Firmendaten.</t>
  </si>
  <si>
    <t>Weißbriach 94</t>
  </si>
  <si>
    <t>46.6879081</t>
  </si>
  <si>
    <t>13.2541626</t>
  </si>
  <si>
    <t>+434286240</t>
  </si>
  <si>
    <t>+4342862404</t>
  </si>
  <si>
    <t>office@elektro-hubmann.at</t>
  </si>
  <si>
    <t>https://bilder.dasschnelle.at/DasSchnelle/50/5000/9891/042088/G_042088_P_906311158.adn.gif</t>
  </si>
  <si>
    <t>Putz &amp; Estrich – Bau Michael Benedikt, Bauunternehmen • Kötschach • Kärnten</t>
  </si>
  <si>
    <t>Bauunternehmen • Putz &amp; Estrich – Bau Michael Benedikt, Kötschach 470, Kötschach • Kontakt über aktuelle Telefonnummern ☎ und Adressen ⚑ mit Karte, Routing, Öffnungszeiten, Homepage, E-Mail, vCard und Firmendaten.</t>
  </si>
  <si>
    <t>Kötschach 470</t>
  </si>
  <si>
    <t>46.6703338</t>
  </si>
  <si>
    <t>12.9879290</t>
  </si>
  <si>
    <t>+436504168708</t>
  </si>
  <si>
    <t>m.benedikt@gmx.at</t>
  </si>
  <si>
    <t>https://bilder.dasschnelle.at/DasSchnelle/50/5000/9891/042086/G_042086_P_906313029.adn.gif</t>
  </si>
  <si>
    <t>UNSER LAGERHAUS, Lagerhaus • Althofen • Kärnten</t>
  </si>
  <si>
    <t>Lagerhäuser u. -betriebe • UNSER LAGERHAUS, Bahnstraße 3, Althofen • Kontakt über aktuelle Telefonnummern ☎ und Adressen ⚑ mit Karte, Routing, Öffnungszeiten, Homepage, E-Mail, vCard und Firmendaten.</t>
  </si>
  <si>
    <t>Bahnstraße 3</t>
  </si>
  <si>
    <t>46.86542</t>
  </si>
  <si>
    <t>14.465</t>
  </si>
  <si>
    <t>+4342622247</t>
  </si>
  <si>
    <t>martin.gragger@unser-lagerhaus.at</t>
  </si>
  <si>
    <t>https://bilder.dasschnelle.at/DasSchnelle/50/5000/9925/042109/G_042109_P_906312536.adn.gif</t>
  </si>
  <si>
    <t>Friseur Gabi haargenial • Weiten • Niederösterreich</t>
  </si>
  <si>
    <t>Friseure • Friseur Gabi haargenial, Hauptstraße 40, Weiten • Kontakt über aktuelle Telefonnummern ☎ und Adressen ⚑ mit Karte, Routing, Öffnungszeiten, Homepage, E-Mail, vCard und Firmendaten.</t>
  </si>
  <si>
    <t>3653</t>
  </si>
  <si>
    <t>Weiten</t>
  </si>
  <si>
    <t>48.2928123</t>
  </si>
  <si>
    <t>15.2646047</t>
  </si>
  <si>
    <t>+436766053519</t>
  </si>
  <si>
    <t>haargenial@gmx.at</t>
  </si>
  <si>
    <t>https://bilder.dasschnelle.at/DasSchnelle/50/5000/9908/041644/I_041644_P_905962194_L_0036262371_1.png</t>
  </si>
  <si>
    <t>https://bilder.dasschnelle.at/DasSchnelle/50/5000/9908/041644/I_041644_P_905962194_B_0036262371_1.gal.png?height=450&amp;width=600;https://bilder.dasschnelle.at/DasSchnelle/50/5000/9908/041644/I_041644_P_905962194_B_0036262371_2.gal.png?height=450&amp;width=600;https://bilder.dasschnelle.at/DasSchnelle/50/5000/9908/041644/I_041644_P_905962194_B_0036262371_3.gal.png?height=450&amp;width=600;https://bilder.dasschnelle.at/DasSchnelle/50/5000/9908/041644/I_041644_P_905962194_B_0036262371_4.gal.png?height=342&amp;width=600</t>
  </si>
  <si>
    <t>Installationen Gstrein, Heizung, Sanitär-Gas GmbH • Sölden • Tirol</t>
  </si>
  <si>
    <t>Heizungen, Installationsunternehmen, Sanitärtechnik • Installationen Gstrein, Heizung, Sanitär-Gas GmbH, Gewerbestraße 7, Sölden • Kontakt über aktuelle Telefonnummern ☎ und Adressen ⚑ mit Karte, Routing, Öffnungszeiten, Homepage, E-Mail, vCard und Firmendaten.</t>
  </si>
  <si>
    <t>Gewerbestraße 7</t>
  </si>
  <si>
    <t>46.9474700</t>
  </si>
  <si>
    <t>11.0202000</t>
  </si>
  <si>
    <t>+4352542594</t>
  </si>
  <si>
    <t>+43525425944</t>
  </si>
  <si>
    <t>installationen.gstrein@aon.at</t>
  </si>
  <si>
    <t>https://bilder.dasschnelle.at/DasSchnelle/50/5000/9894/045655/G_045655_P_906222810.adn.gif</t>
  </si>
  <si>
    <t>Hörmanseder GmbH, Glasbau-Zimmerei • Haag/H. • Oberösterreich</t>
  </si>
  <si>
    <t>Dachdeckereien, Glasereien, Spenglereien • Hörmanseder GmbH, Starhemberg 16, Haag/H. • Kontakt über aktuelle Telefonnummern ☎ und Adressen ⚑ mit Karte, Routing, Öffnungszeiten, Homepage, E-Mail, vCard und Firmendaten.</t>
  </si>
  <si>
    <t>Starhemberg 16</t>
  </si>
  <si>
    <t>Haag/H.</t>
  </si>
  <si>
    <t>48.1882600</t>
  </si>
  <si>
    <t>13.6432400</t>
  </si>
  <si>
    <t>+4377322290</t>
  </si>
  <si>
    <t>office@glas-dach-hoermanseder.at</t>
  </si>
  <si>
    <t>https://bilder.dasschnelle.at/DasSchnelle/50/5000/9887/041816/G_041816_P_906218237.adn.gif</t>
  </si>
  <si>
    <t>Zöttl, Florian, Bestattungsunternehmen • Kufstein • Tirol</t>
  </si>
  <si>
    <t>Bestattungsunternehmen • Zöttl, Florian, Andreas Hofer-Straße 2, Kufstein • Kontakt über aktuelle Telefonnummern ☎ und Adressen ⚑ mit Karte, Routing, Öffnungszeiten, Homepage, E-Mail, vCard und Firmendaten.</t>
  </si>
  <si>
    <t>Andreas Hofer-Straße 2</t>
  </si>
  <si>
    <t>47.58269</t>
  </si>
  <si>
    <t>12.17345</t>
  </si>
  <si>
    <t>+43537262315</t>
  </si>
  <si>
    <t>+4353726231522</t>
  </si>
  <si>
    <t>bestattung@zoettl.at</t>
  </si>
  <si>
    <t>https://bilder.dasschnelle.at/DasSchnelle/50/5000/9901/046156/G_046156_P_906316389.adn.gif</t>
  </si>
  <si>
    <t>Hörmanseder GmbH, Spenglerei &amp; Dachdeckerei • Frankenmarkt • Oberösterreich</t>
  </si>
  <si>
    <t>Dachdeckereien, Glasereien, Spenglereien • Hörmanseder GmbH, Stauf 9, Frankenmarkt • Kontakt über aktuelle Telefonnummern ☎ und Adressen ⚑ mit Karte, Routing, Öffnungszeiten, Homepage, E-Mail, vCard und Firmendaten.</t>
  </si>
  <si>
    <t>Stauf 9</t>
  </si>
  <si>
    <t>+4376846575</t>
  </si>
  <si>
    <t>frankenmarkt@hoermanseder-bau.at</t>
  </si>
  <si>
    <t>https://bilder.dasschnelle.at/DasSchnelle/50/5000/9881/043076/I_043076_P_906325594_L_0038188490_1.png</t>
  </si>
  <si>
    <t>https://bilder.dasschnelle.at/DasSchnelle/50/5000/9881/043076/I_043076_P_906325594_B_0038188490_1.gal.png?height=474&amp;width=379;https://bilder.dasschnelle.at/DasSchnelle/50/5000/9881/043076/I_043076_P_906325594_B_0038188490_2.gal.png?height=655&amp;width=1149;https://bilder.dasschnelle.at/DasSchnelle/50/5000/9881/043076/I_043076_P_906325594_B_0038188490_3.gal.png?height=435&amp;width=831;https://bilder.dasschnelle.at/DasSchnelle/50/5000/9881/043076/I_043076_P_906325594_B_0038188490_4.gal.png?height=649&amp;width=955</t>
  </si>
  <si>
    <t>Bischof, Fritz, Steinmetzmeister • Münzkirchen • Oberösterreich</t>
  </si>
  <si>
    <t>Natursteine u. -platten, Steinmetzbetriebe • Bischof, Fritz, Passauer Straße 4, Münzkirchen • Kontakt über aktuelle Telefonnummern ☎ und Adressen ⚑ mit Karte, Routing, Öffnungszeiten, Homepage, E-Mail, vCard und Firmendaten.</t>
  </si>
  <si>
    <t>48.48192</t>
  </si>
  <si>
    <t>13.55312</t>
  </si>
  <si>
    <t>+437716201000</t>
  </si>
  <si>
    <t>+4377162010020</t>
  </si>
  <si>
    <t>gerold@steinmetz-bischof.at</t>
  </si>
  <si>
    <t>https://bilder.dasschnelle.at/DasSchnelle/50/5000/9926/042788/G_042788_P_906328583.adn.gif</t>
  </si>
  <si>
    <t>BOUVIER FRANZ Installationen GmbH &amp; Co KG • Zams • Tirol</t>
  </si>
  <si>
    <t>Installationsunternehmen • BOUVIER FRANZ Installationen GmbH &amp; Co KG, Hauptstraße 82, Zams • Kontakt über aktuelle Telefonnummern ☎ und Adressen ⚑ mit Karte, Routing, Öffnungszeiten, Homepage, E-Mail, vCard und Firmendaten.</t>
  </si>
  <si>
    <t>47.15635</t>
  </si>
  <si>
    <t>10.58767</t>
  </si>
  <si>
    <t>+43544262822</t>
  </si>
  <si>
    <t>office@franz-bouvier.at</t>
  </si>
  <si>
    <t>https://bilder.dasschnelle.at/DasSchnelle/50/5000/9903/044600/G_044600_P_906332006.adn.gif</t>
  </si>
  <si>
    <t>Huber Fertigputz GmbH • Schardenberg • Oberösterreich</t>
  </si>
  <si>
    <t>Fertigputze • Huber Fertigputz GmbH, Grub 40, Schardenberg • Kontakt über aktuelle Telefonnummern ☎ und Adressen ⚑ mit Karte, Routing, Öffnungszeiten, Homepage, E-Mail, vCard und Firmendaten.</t>
  </si>
  <si>
    <t>Grub 40</t>
  </si>
  <si>
    <t>48.5291586</t>
  </si>
  <si>
    <t>13.4785948</t>
  </si>
  <si>
    <t>+43771354025</t>
  </si>
  <si>
    <t>office@huber-fertigputz.at</t>
  </si>
  <si>
    <t>https://bilder.dasschnelle.at/DasSchnelle/50/5000/9926/042798/G_042798_P_906332624.adn.gif</t>
  </si>
  <si>
    <t>Vermessung Dipl-Ing Weißenböck-Morawek, Ingenieurkonsulent f Vermessungswesen • Gmünd • Niederösterreich</t>
  </si>
  <si>
    <t>Vermessungsbüros • Vermessung Dipl-Ing Weißenböck-Morawek, Gymnasiumstraße 2, Gmünd • Kontakt über aktuelle Telefonnummern ☎ und Adressen ⚑ mit Karte, Routing, Öffnungszeiten, Homepage, E-Mail, vCard und Firmendaten.</t>
  </si>
  <si>
    <t>Gymnasiumstraße 2</t>
  </si>
  <si>
    <t>48.77089</t>
  </si>
  <si>
    <t>14.98845</t>
  </si>
  <si>
    <t>+43285253161</t>
  </si>
  <si>
    <t>office@dervermesser.at</t>
  </si>
  <si>
    <t>https://bilder.dasschnelle.at/DasSchnelle/50/5000/9885/045075/G_045075_P_906332597.adn.gif</t>
  </si>
  <si>
    <t>Mode &amp; Spiel Elisabeth Schiener, Textilwaren, Strickerei, Spielwaren • Litschau • Niederösterreich</t>
  </si>
  <si>
    <t>Textilwaren • Mode &amp; Spiel Elisabeth Schiener, Hörmannser Straße 7, Litschau • Kontakt über aktuelle Telefonnummern ☎ und Adressen ⚑ mit Karte, Routing, Öffnungszeiten, Homepage, E-Mail, vCard und Firmendaten.</t>
  </si>
  <si>
    <t>https://bilder.dasschnelle.at/DasSchnelle/50/5000/9885/045085/G_045085_P_906332861.adn.gif</t>
  </si>
  <si>
    <t>Pelzmann, Marion, Dr., Fachärztin f. Zahn-, Mund- u. Kieferheilkunde • Frohnleiten • Steiermark</t>
  </si>
  <si>
    <t>Ärzte / Fachärzte f. Zahn-, Mund u. Kieferheilkunde • Pelzmann, Marion, Dr., Römerpark 2, Frohnleiten • Kontakt über aktuelle Telefonnummern ☎ und Adressen ⚑ mit Karte, Routing, Öffnungszeiten, Homepage, E-Mail, vCard und Firmendaten.</t>
  </si>
  <si>
    <t>Römerpark 2</t>
  </si>
  <si>
    <t>47.26929</t>
  </si>
  <si>
    <t>15.32114</t>
  </si>
  <si>
    <t>+4331263525</t>
  </si>
  <si>
    <t>dr.marion.pelzmann@medway.at</t>
  </si>
  <si>
    <t>https://bilder.dasschnelle.at/DasSchnelle/50/5000/9883/061362/G_061362_P_906332871.adn.gif</t>
  </si>
  <si>
    <t>Reindl, Gerhard, Heizungsisolierungen • Netzberg • Oberösterreich</t>
  </si>
  <si>
    <t>Isolierungen • Reindl, Gerhard, Netzberg 8, Netzberg • Kontakt über aktuelle Telefonnummern ☎ und Adressen ⚑ mit Karte, Routing, Öffnungszeiten, Homepage, E-Mail, vCard und Firmendaten.</t>
  </si>
  <si>
    <t>Netzberg 8</t>
  </si>
  <si>
    <t>Netzberg</t>
  </si>
  <si>
    <t>48.4056674</t>
  </si>
  <si>
    <t>14.5563305</t>
  </si>
  <si>
    <t>+4379476356</t>
  </si>
  <si>
    <t>reindl.rohrisolierung@aon.at</t>
  </si>
  <si>
    <t>Jost, Werner, Maler • Ligist • Steiermark</t>
  </si>
  <si>
    <t>Malereibetriebe • Jost, Werner, Unterwald 16, Ligist • Kontakt über aktuelle Telefonnummern ☎ und Adressen ⚑ mit Karte, Routing, Öffnungszeiten, Homepage, E-Mail, vCard und Firmendaten.</t>
  </si>
  <si>
    <t>Unterwald 16</t>
  </si>
  <si>
    <t>46.9909600</t>
  </si>
  <si>
    <t>15.1575300</t>
  </si>
  <si>
    <t>+4331432129</t>
  </si>
  <si>
    <t>+433143212918</t>
  </si>
  <si>
    <t>office@jost.co.at</t>
  </si>
  <si>
    <t>https://bilder.dasschnelle.at/DasSchnelle/50/5000/9941/045362/I_045361_P_905939131_L_0035971195_1.png</t>
  </si>
  <si>
    <t>https://bilder.dasschnelle.at/DasSchnelle/50/5000/9941/045362/I_045361_P_905939131_B_0035971195_1.gal.png?height=305&amp;width=600;https://bilder.dasschnelle.at/DasSchnelle/50/5000/9941/045362/I_045361_P_905939131_B_0035971195_2.gal.png?height=470&amp;width=600;https://bilder.dasschnelle.at/DasSchnelle/50/5000/9941/045362/I_045361_P_905939131_B_0035971195_3.gal.png?height=476&amp;width=600;https://bilder.dasschnelle.at/DasSchnelle/50/5000/9941/045362/I_045361_P_905939131_B_0035971195_4.gal.png?height=451&amp;width=600</t>
  </si>
  <si>
    <t>Altenheim Pregarten, Pflege- u. Altenheime • Pregarten • Oberösterreich</t>
  </si>
  <si>
    <t>Pflege- u. Altenheime • Altenheim Pregarten, Bindergasse 6, Pregarten • Kontakt über aktuelle Telefonnummern ☎ und Adressen ⚑ mit Karte, Routing, Öffnungszeiten, Homepage, E-Mail, vCard und Firmendaten.</t>
  </si>
  <si>
    <t>Bindergasse 6</t>
  </si>
  <si>
    <t>48.35385</t>
  </si>
  <si>
    <t>14.53249</t>
  </si>
  <si>
    <t>+43723664950</t>
  </si>
  <si>
    <t>hildegund.krenner@shvfr.at</t>
  </si>
  <si>
    <t>https://bilder.dasschnelle.at/DasSchnelle/50/5000/9882/041774/G_041774_P_906318515.adn.gif</t>
  </si>
  <si>
    <t>Irndorfer, Verena, Physiotherapie • Kefermarkt • Oberösterreich</t>
  </si>
  <si>
    <t>Physiotherapie • Irndorfer, Verena, Elz 65, Kefermarkt • Kontakt über aktuelle Telefonnummern ☎ und Adressen ⚑ mit Karte, Routing, Öffnungszeiten, Homepage, E-Mail, vCard und Firmendaten.</t>
  </si>
  <si>
    <t>Elz 65</t>
  </si>
  <si>
    <t>48.4471682</t>
  </si>
  <si>
    <t>14.5670197</t>
  </si>
  <si>
    <t>+4366475094612</t>
  </si>
  <si>
    <t>office@kinder-physiopraxis.at</t>
  </si>
  <si>
    <t>https://bilder.dasschnelle.at/DasSchnelle/50/5000/9882/041767/I_041767_P_906129884_L_0037096038_1.png</t>
  </si>
  <si>
    <t>Anglberger GmbH, Installationsunternehmen • Obertrum am See • Salzburg</t>
  </si>
  <si>
    <t>Installationsunternehmen • Anglberger GmbH, Handelsstraße 2, Obertrum am See • Kontakt über aktuelle Telefonnummern ☎ und Adressen ⚑ mit Karte, Routing, Öffnungszeiten, Homepage, E-Mail, vCard und Firmendaten.</t>
  </si>
  <si>
    <t>Handelsstraße 2</t>
  </si>
  <si>
    <t>47.9368600</t>
  </si>
  <si>
    <t>13.0818400</t>
  </si>
  <si>
    <t>+43621962850;+436641120710;+436641120750;+436641615800</t>
  </si>
  <si>
    <t>+436219628579</t>
  </si>
  <si>
    <t>christa.emminger@anglberger.at</t>
  </si>
  <si>
    <t>https://bilder.dasschnelle.at/DasSchnelle/50/5000/9931/043323/G_043323_P_906241346.adn.gif</t>
  </si>
  <si>
    <t>Stüger, Margit, Dr., Rechtsanwältin • Frankenmarkt • Oberösterreich</t>
  </si>
  <si>
    <t>Rechtsanwälte • Stüger, Margit, Dr., Feldweg 11, Frankenmarkt • Kontakt über aktuelle Telefonnummern ☎ und Adressen ⚑ mit Karte, Routing, Öffnungszeiten, Homepage, E-Mail, vCard und Firmendaten.</t>
  </si>
  <si>
    <t>Feldweg 11</t>
  </si>
  <si>
    <t>47.9863400</t>
  </si>
  <si>
    <t>13.4163100</t>
  </si>
  <si>
    <t>+43768460600</t>
  </si>
  <si>
    <t>kanzlei@rastueger.at</t>
  </si>
  <si>
    <t>https://bilder.dasschnelle.at/DasSchnelle/50/5000/9881/043076/G_043076_P_906323391.adn.gif</t>
  </si>
  <si>
    <t>Autohaus Bocskay GmbH • Frohnleiten • Steiermark</t>
  </si>
  <si>
    <t>Autohandel, Autoreparaturen • Autohaus Bocskay GmbH, Rechbergstraße 22, Frohnleiten • Kontakt über aktuelle Telefonnummern ☎ und Adressen ⚑ mit Karte, Routing, Öffnungszeiten, Homepage, E-Mail, vCard und Firmendaten.</t>
  </si>
  <si>
    <t>Rechbergstraße 22</t>
  </si>
  <si>
    <t>47.2683</t>
  </si>
  <si>
    <t>+43312623510;+43312651132</t>
  </si>
  <si>
    <t>andreas.bocskay@autohaus-bocskay.at</t>
  </si>
  <si>
    <t>https://bilder.dasschnelle.at/DasSchnelle/50/5000/9883/061362/G_061362_P_906324120.adn.gif</t>
  </si>
  <si>
    <t>Kosmetik &amp; Fußpflege Kilzer • Frankenmarkt • Oberösterreich</t>
  </si>
  <si>
    <t>Rechtsanwälte • Kosmetik &amp; Fußpflege Kilzer, Hauptstraße 88, Frankenmarkt • Kontakt über aktuelle Telefonnummern ☎ und Adressen ⚑ mit Karte, Routing, Öffnungszeiten, Homepage, E-Mail, vCard und Firmendaten.</t>
  </si>
  <si>
    <t>Hauptstraße 88</t>
  </si>
  <si>
    <t>office@kosmetik-kilzer.at</t>
  </si>
  <si>
    <t>https://bilder.dasschnelle.at/DasSchnelle/50/5000/9881/043076/G_043076_P_906327191.adn.gif</t>
  </si>
  <si>
    <t>Estermann Warenhandels GmbH, Warenhandel für Landwirtschaft • Münzkirchen • Oberösterreich</t>
  </si>
  <si>
    <t>Handelsunternehmen • Estermann Warenhandels GmbH, An der Kreuzstraße 7, Münzkirchen • Kontakt über aktuelle Telefonnummern ☎ und Adressen ⚑ mit Karte, Routing, Öffnungszeiten, Homepage, E-Mail, vCard und Firmendaten.</t>
  </si>
  <si>
    <t>An der Kreuzstraße 7</t>
  </si>
  <si>
    <t>48.48004</t>
  </si>
  <si>
    <t>13.5574</t>
  </si>
  <si>
    <t>+43771620404;+43771620404;+43771620407;+43771620408;+43771620409</t>
  </si>
  <si>
    <t>+43771620405</t>
  </si>
  <si>
    <t>office@warenhandel.at</t>
  </si>
  <si>
    <t>https://bilder.dasschnelle.at/DasSchnelle/50/5000/9926/042788/G_042788_P_906330239.adn.gif</t>
  </si>
  <si>
    <t>Blumen Lechner, Gärtnerei, Floristik • Heidenreichstein • Niederösterreich</t>
  </si>
  <si>
    <t>Gärtnereien • Blumen Lechner, Bahnhofstraße 1, Heidenreichstein • Kontakt über aktuelle Telefonnummern ☎ und Adressen ⚑ mit Karte, Routing, Öffnungszeiten, Homepage, E-Mail, vCard und Firmendaten.</t>
  </si>
  <si>
    <t>48.8638171</t>
  </si>
  <si>
    <t>15.1196718</t>
  </si>
  <si>
    <t>+43286253935</t>
  </si>
  <si>
    <t>https://bilder.dasschnelle.at/DasSchnelle/50/5000/9885/045081/G_045081_P_906331464.adn.gif</t>
  </si>
  <si>
    <t>Niedermayer, Georg, Fliesenlegermeisterbetrieb • Langenzersdorf • Niederösterreich</t>
  </si>
  <si>
    <t>Fliesenfachhandel • Niedermayer, Georg, Mühlweg 25, Langenzersdorf • Kontakt über aktuelle Telefonnummern ☎ und Adressen ⚑ mit Karte, Routing, Öffnungszeiten, Homepage, E-Mail, vCard und Firmendaten.</t>
  </si>
  <si>
    <t>Mühlweg 25</t>
  </si>
  <si>
    <t>48.31421</t>
  </si>
  <si>
    <t>16.35175</t>
  </si>
  <si>
    <t>+436643557311</t>
  </si>
  <si>
    <t>office@georgniedermayer.at</t>
  </si>
  <si>
    <t>https://bilder.dasschnelle.at/DasSchnelle/50/5000/9898/041414/G_041414_P_906331474.adn.gif</t>
  </si>
  <si>
    <t>Stern Bau GmbH &amp; Co KG • Münzkirchen • Oberösterreich</t>
  </si>
  <si>
    <t>Baustoffhandel, Bauunternehmen • Stern Bau GmbH &amp; Co KG, Schärdinger Straße 45, Münzkirchen • Kontakt über aktuelle Telefonnummern ☎ und Adressen ⚑ mit Karte, Routing, Öffnungszeiten, Homepage, E-Mail, vCard und Firmendaten.</t>
  </si>
  <si>
    <t>Schärdinger Straße 45</t>
  </si>
  <si>
    <t>48.48154</t>
  </si>
  <si>
    <t>13.5593</t>
  </si>
  <si>
    <t>+43771672140;+4377166454</t>
  </si>
  <si>
    <t>brigitte.kisslinger@stern-bau.co.at</t>
  </si>
  <si>
    <t>Bäckerei Smetacek, Café, Konditorei • Litschau • Niederösterreich</t>
  </si>
  <si>
    <t>Bäckereien • Bäckerei Smetacek, Stadtplatz 68, Litschau • Kontakt über aktuelle Telefonnummern ☎ und Adressen ⚑ mit Karte, Routing, Öffnungszeiten, Homepage, E-Mail, vCard und Firmendaten.</t>
  </si>
  <si>
    <t>Stadtplatz 68</t>
  </si>
  <si>
    <t>48.94497</t>
  </si>
  <si>
    <t>15.04624</t>
  </si>
  <si>
    <t>+432865297;+43286529717;+436766282297</t>
  </si>
  <si>
    <t>office.smetacek@aon.at</t>
  </si>
  <si>
    <t>https://bilder.dasschnelle.at/DasSchnelle/50/5000/9885/045085/G_045085_P_906332857.adn.gif</t>
  </si>
  <si>
    <t>ATP Monschein, Kfz-Ersatzteile, Reifen, Werkstätte • Fürstenfeld • Steiermark</t>
  </si>
  <si>
    <t>Autoersatzteile u. -zubehör • ATP Monschein, Bahnhofstraße 2, Fürstenfeld • Kontakt über aktuelle Telefonnummern ☎ und Adressen ⚑ mit Karte, Routing, Öffnungszeiten, Homepage, E-Mail, vCard und Firmendaten.</t>
  </si>
  <si>
    <t>47.04409</t>
  </si>
  <si>
    <t>16.08227</t>
  </si>
  <si>
    <t>+43338254655</t>
  </si>
  <si>
    <t>+43338251355</t>
  </si>
  <si>
    <t>office.atpmonschein@gmail.com</t>
  </si>
  <si>
    <t>https://bilder.dasschnelle.at/DasSchnelle/50/5000/9884/061368/G_061368_P_906334159.adn.gif</t>
  </si>
  <si>
    <t>Kienreich, Eva-Maria, Spar - Trafik, Lotto, Toto • Deutsch Kaltenbrunn • Burgenland</t>
  </si>
  <si>
    <t>Tabaktrafiken • Kienreich, Eva-Maria, Panoramastraße 2, Deutsch Kaltenbrunn • Kontakt über aktuelle Telefonnummern ☎ und Adressen ⚑ mit Karte, Routing, Öffnungszeiten, Homepage, E-Mail, vCard und Firmendaten.</t>
  </si>
  <si>
    <t>Panoramastraße 2</t>
  </si>
  <si>
    <t>47.094</t>
  </si>
  <si>
    <t>16.1232</t>
  </si>
  <si>
    <t>+43338271200</t>
  </si>
  <si>
    <t>https://bilder.dasschnelle.at/DasSchnelle/50/5000/9884/041572/G_041572_P_906334162.adn.gif</t>
  </si>
  <si>
    <t>Holzbau Plangger GmbH &amp; Co KG • Pfunds • Tirol</t>
  </si>
  <si>
    <t>Holzbau • Holzbau Plangger GmbH &amp; Co KG, Dorf 494, Pfunds • Kontakt über aktuelle Telefonnummern ☎ und Adressen ⚑ mit Karte, Routing, Öffnungszeiten, Homepage, E-Mail, vCard und Firmendaten.</t>
  </si>
  <si>
    <t>Dorf 494</t>
  </si>
  <si>
    <t>46.96921</t>
  </si>
  <si>
    <t>10.54676</t>
  </si>
  <si>
    <t>+436642335997</t>
  </si>
  <si>
    <t>office@holzbau-plangger.at</t>
  </si>
  <si>
    <t>https://bilder.dasschnelle.at/DasSchnelle/50/5000/9903/044587/G_044587_P_906334164.adn.gif</t>
  </si>
  <si>
    <t>Waldschloss GmbH, Hotel-Restaurant • Gattern • Oberösterreich</t>
  </si>
  <si>
    <t>Hotels, Restaurants • Waldschloss GmbH, Gattern 1, Gattern • Kontakt über aktuelle Telefonnummern ☎ und Adressen ⚑ mit Karte, Routing, Öffnungszeiten, Homepage, E-Mail, vCard und Firmendaten.</t>
  </si>
  <si>
    <t>Gattern 1</t>
  </si>
  <si>
    <t>Gattern</t>
  </si>
  <si>
    <t>48.5552280</t>
  </si>
  <si>
    <t>13.4746170</t>
  </si>
  <si>
    <t>+43771367400</t>
  </si>
  <si>
    <t>+4377136740010</t>
  </si>
  <si>
    <t>office@waldschloss.at</t>
  </si>
  <si>
    <t>https://bilder.dasschnelle.at/DasSchnelle/50/5000/9926/042798/G_042798_P_906334170.adn.gif</t>
  </si>
  <si>
    <t>Teschinegg KG, Solaranlagen • Sankt Martin im Sulmtal • Steiermark</t>
  </si>
  <si>
    <t>Elektrotechnik, Solaranlagen • Teschinegg KG, Dörfla 76, Sankt Martin im Sulmtal • Kontakt über aktuelle Telefonnummern ☎ und Adressen ⚑ mit Karte, Routing, Öffnungszeiten, Homepage, E-Mail, vCard und Firmendaten.</t>
  </si>
  <si>
    <t>Dörfla 76</t>
  </si>
  <si>
    <t>46.7554478</t>
  </si>
  <si>
    <t>15.3010360</t>
  </si>
  <si>
    <t>+4334652638</t>
  </si>
  <si>
    <t>office@tesolar.at</t>
  </si>
  <si>
    <t>https://bilder.dasschnelle.at/DasSchnelle/50/5000/9875/061411/I_061411_P_906003111_L_0035969579_1.png</t>
  </si>
  <si>
    <t>https://bilder.dasschnelle.at/DasSchnelle/50/5000/9875/061411/I_061411_P_906003111_B_0035969579_1.gal.png?height=160&amp;width=160;https://bilder.dasschnelle.at/DasSchnelle/50/5000/9875/061411/I_061411_P_906003111_B_0035969579_2.gal.png?height=160&amp;width=160;https://bilder.dasschnelle.at/DasSchnelle/50/5000/9875/061411/I_061411_P_906003111_B_0035969579_3.gal.png?height=160&amp;width=160;https://bilder.dasschnelle.at/DasSchnelle/50/5000/9875/061411/I_061411_P_906003111_B_0035969579_4.gal.png?height=160&amp;width=160</t>
  </si>
  <si>
    <t>Dr. Peter Bernscherer, FA. F. Hals-, Nasen- u. Ohrenheilkunde • Waidhofen an der Thaya • Niederösterreich</t>
  </si>
  <si>
    <t>Ärzte / Fachärzte f. Hals-, Nasen u. Ohrenkrankheiten • Dr. Peter Bernscherer, Böhmgasse 20, Waidhofen an der Thaya • Kontakt über aktuelle Telefonnummern ☎ und Adressen ⚑ mit Karte, Routing, Öffnungszeiten, Homepage, E-Mail, vCard und Firmendaten.</t>
  </si>
  <si>
    <t>Böhmgasse 20</t>
  </si>
  <si>
    <t>48.8139300</t>
  </si>
  <si>
    <t>15.2837600</t>
  </si>
  <si>
    <t>+43284254770</t>
  </si>
  <si>
    <t>oa.dr.bernscherer@medway.at</t>
  </si>
  <si>
    <t>https://bilder.dasschnelle.at/DasSchnelle/50/5000/9885/998317/G_998317_P_906092934.adn.gif</t>
  </si>
  <si>
    <t>Schachner, Matthias, Elektrotechnik • Pöndorf • Oberösterreich</t>
  </si>
  <si>
    <t>Elektrotechnik • Schachner, Matthias, Obermühlham 1, Pöndorf • Kontakt über aktuelle Telefonnummern ☎ und Adressen ⚑ mit Karte, Routing, Öffnungszeiten, Homepage, E-Mail, vCard und Firmendaten.</t>
  </si>
  <si>
    <t>Obermühlham 1</t>
  </si>
  <si>
    <t>47.9943812</t>
  </si>
  <si>
    <t>13.3497320</t>
  </si>
  <si>
    <t>+437684203330</t>
  </si>
  <si>
    <t>+4376842033330</t>
  </si>
  <si>
    <t>office@schachner-etech.at</t>
  </si>
  <si>
    <t>https://bilder.dasschnelle.at/DasSchnelle/50/5000/9881/043092/I_043092_P_906073445_L_0035994809_1.png</t>
  </si>
  <si>
    <t>https://bilder.dasschnelle.at/DasSchnelle/50/5000/9881/043092/I_043092_P_906073445_B_0035994809_1.gal.png?height=208&amp;width=311;https://bilder.dasschnelle.at/DasSchnelle/50/5000/9881/043092/I_043092_P_906073445_B_0035994809_2.gal.png?height=207&amp;width=311;https://bilder.dasschnelle.at/DasSchnelle/50/5000/9881/043092/I_043092_P_906073445_B_0035994809_3.gal.png?height=206&amp;width=311;https://bilder.dasschnelle.at/DasSchnelle/50/5000/9881/043092/I_043092_P_906073445_B_0035994809_4.gal.png?height=206&amp;width=313;https://bilder.dasschnelle.at/DasSchnelle/50/5000/9881/043092/G_043092_P_906073445.adn.gif</t>
  </si>
  <si>
    <t>Gruber, Klaus, Bestattungsunternehmen • Scharten • Oberösterreich</t>
  </si>
  <si>
    <t>Bestattungsunternehmen • Gruber, Klaus, Scharten 12, Scharten • Kontakt über aktuelle Telefonnummern ☎ und Adressen ⚑ mit Karte, Routing, Öffnungszeiten, Homepage, E-Mail, vCard und Firmendaten.</t>
  </si>
  <si>
    <t>Scharten 12</t>
  </si>
  <si>
    <t>4612</t>
  </si>
  <si>
    <t>Scharten</t>
  </si>
  <si>
    <t>48.2511189</t>
  </si>
  <si>
    <t>14.0338108</t>
  </si>
  <si>
    <t>+4372725212;+436642490497</t>
  </si>
  <si>
    <t>gruber@bestatterinfo.com</t>
  </si>
  <si>
    <t>https://bilder.dasschnelle.at/DasSchnelle/50/5000/9945/043565/G_043565_P_906171809.adn.gif</t>
  </si>
  <si>
    <t>Prehofer Holz GmbH, Säge- u Hobelwerke • Rutzenmoos • Oberösterreich</t>
  </si>
  <si>
    <t>Säge- u. Hobelwerke • Prehofer Holz GmbH, Stölln 7, Rutzenmoos • Kontakt über aktuelle Telefonnummern ☎ und Adressen ⚑ mit Karte, Routing, Öffnungszeiten, Homepage, E-Mail, vCard und Firmendaten.</t>
  </si>
  <si>
    <t>Stölln 7</t>
  </si>
  <si>
    <t>4845</t>
  </si>
  <si>
    <t>Rutzenmoos</t>
  </si>
  <si>
    <t>47.9610000</t>
  </si>
  <si>
    <t>13.7125200</t>
  </si>
  <si>
    <t>+437672233500</t>
  </si>
  <si>
    <t>buero@prehofer-holz.at</t>
  </si>
  <si>
    <t>https://bilder.dasschnelle.at/DasSchnelle/50/5000/9940/043097/I_043097_P_906090641_L_0035999769_1.png</t>
  </si>
  <si>
    <t>https://bilder.dasschnelle.at/DasSchnelle/50/5000/9940/043097/I_043097_P_906090641_B_0035999769_1.gal.png?height=459&amp;width=831;https://bilder.dasschnelle.at/DasSchnelle/50/5000/9940/043097/I_043097_P_906090641_B_0035999769_2.gal.png?height=372&amp;width=556;https://bilder.dasschnelle.at/DasSchnelle/50/5000/9940/043097/I_043097_P_906090641_B_0035999769_3.gal.png?height=394&amp;width=831;https://bilder.dasschnelle.at/DasSchnelle/50/5000/9940/043097/I_043097_P_906090641_B_0035999769_4.gal.png?height=372&amp;width=556</t>
  </si>
  <si>
    <t>Dipl.-Ing. Mag. Margot Graf, LL.M • Taufkirchen an der Pram • Oberösterreich</t>
  </si>
  <si>
    <t>Ziviltechniker • Dipl.-Ing. Mag. Margot Graf, LL.M, Gewerbepark Pramtal, Haberedt 21, Taufkirchen an der Pram • Kontakt über aktuelle Telefonnummern ☎ und Adressen ⚑ mit Karte, Routing, Öffnungszeiten, Homepage, E-Mail, vCard und Firmendaten.</t>
  </si>
  <si>
    <t>Gewerbepark Pramtal, Haberedt 21</t>
  </si>
  <si>
    <t>48.4076163</t>
  </si>
  <si>
    <t>13.5215458</t>
  </si>
  <si>
    <t>+4377122231</t>
  </si>
  <si>
    <t>office@geometer-schachinger.at</t>
  </si>
  <si>
    <t>https://bilder.dasschnelle.at/DasSchnelle/50/5000/9926/042797/I_042797_P_906121046_L_0038400103_1.png</t>
  </si>
  <si>
    <t>https://bilder.dasschnelle.at/DasSchnelle/50/5000/9926/042797/I_042797_P_906121046_B_0038400103_1.gal.png?height=353&amp;width=379;https://bilder.dasschnelle.at/DasSchnelle/50/5000/9926/042797/I_042797_P_906121046_B_0038400103_2.gal.png?height=353&amp;width=380;https://bilder.dasschnelle.at/DasSchnelle/50/5000/9926/042797/I_042797_P_906121046_B_0038400103_3.gal.png?height=352&amp;width=378;https://bilder.dasschnelle.at/DasSchnelle/50/5000/9926/042797/I_042797_P_906121046_B_0038400103_4.gal.png?height=270&amp;width=402</t>
  </si>
  <si>
    <t>Hochrainer, Beatrix, Kosmetik-Fußpflege • Lenzing • Oberösterreich</t>
  </si>
  <si>
    <t>Kosmetik u. Fußpflege • Hochrainer, Beatrix, Ginzkeystraße 4, Lenzing • Kontakt über aktuelle Telefonnummern ☎ und Adressen ⚑ mit Karte, Routing, Öffnungszeiten, Homepage, E-Mail, vCard und Firmendaten.</t>
  </si>
  <si>
    <t>Ginzkeystraße 4</t>
  </si>
  <si>
    <t>47.97232</t>
  </si>
  <si>
    <t>13.60476</t>
  </si>
  <si>
    <t>+436643900398</t>
  </si>
  <si>
    <t>beatrix.hochrainer@gmx.at</t>
  </si>
  <si>
    <t>https://bilder.dasschnelle.at/DasSchnelle/50/5000/9940/043079/I_043079_P_906131383_L_0035999664_1.png</t>
  </si>
  <si>
    <t>https://bilder.dasschnelle.at/DasSchnelle/50/5000/9940/043079/I_043079_P_906131383_B_0035999664_1.gal.png?height=223&amp;width=335;https://bilder.dasschnelle.at/DasSchnelle/50/5000/9940/043079/I_043079_P_906131383_B_0035999664_2.gal.png?height=223&amp;width=335;https://bilder.dasschnelle.at/DasSchnelle/50/5000/9940/043079/I_043079_P_906131383_B_0035999664_3.gal.png?height=223&amp;width=335</t>
  </si>
  <si>
    <t>Fliesen Barbi GmbH • Mank • Niederösterreich</t>
  </si>
  <si>
    <t>Fliesen u. Plattenverlegungen • Fliesen Barbi GmbH, Anton Luger-Platz 1, Mank • Kontakt über aktuelle Telefonnummern ☎ und Adressen ⚑ mit Karte, Routing, Öffnungszeiten, Homepage, E-Mail, vCard und Firmendaten.</t>
  </si>
  <si>
    <t>Anton Luger-Platz 1</t>
  </si>
  <si>
    <t>48.1122624</t>
  </si>
  <si>
    <t>15.3414427</t>
  </si>
  <si>
    <t>+43275520750</t>
  </si>
  <si>
    <t>office@fliesen-barbi.at</t>
  </si>
  <si>
    <t>https://bilder.dasschnelle.at/DasSchnelle/50/5000/9908/041626/I_041626_P_906228789_L_0038126604_1.png</t>
  </si>
  <si>
    <t>https://bilder.dasschnelle.at/DasSchnelle/50/5000/9908/041626/I_041626_P_906228789_B_0038126604_1.gal.png?height=757&amp;width=1019;https://bilder.dasschnelle.at/DasSchnelle/50/5000/9908/041626/I_041626_P_906228789_B_0038126604_2.gal.png?height=912&amp;width=678;https://bilder.dasschnelle.at/DasSchnelle/50/5000/9908/041626/I_041626_P_906228789_B_0038126604_3.gal.png?height=429&amp;width=756;https://bilder.dasschnelle.at/DasSchnelle/50/5000/9908/041626/I_041626_P_906228789_B_0038126604_4.gal.png?height=422&amp;width=740</t>
  </si>
  <si>
    <t>Sehmanufaktur Litzenberger e.U. • Zwettl • Niederösterreich</t>
  </si>
  <si>
    <t>Optik • Sehmanufaktur Litzenberger e.U., Landstrasse 43, Zwettl • Kontakt über aktuelle Telefonnummern ☎ und Adressen ⚑ mit Karte, Routing, Öffnungszeiten, Homepage, E-Mail, vCard und Firmendaten.</t>
  </si>
  <si>
    <t>Landstrasse 43</t>
  </si>
  <si>
    <t>+43282220703</t>
  </si>
  <si>
    <t>zwettl@sehmanufaktur.at</t>
  </si>
  <si>
    <t>https://bilder.dasschnelle.at/DasSchnelle/50/5000/9950/044545/I_044545_P_906311154_L_0039978639_1.png</t>
  </si>
  <si>
    <t>https://bilder.dasschnelle.at/DasSchnelle/50/5000/9950/044545/I_044545_P_906311154_B_0039978639_1.gal.png?height=480&amp;width=720;https://bilder.dasschnelle.at/DasSchnelle/50/5000/9950/044545/I_044545_P_906311154_B_0039978639_2.gal.png?height=480&amp;width=720;https://bilder.dasschnelle.at/DasSchnelle/50/5000/9950/044545/I_044545_P_906311154_B_0039978639_3.gal.png?height=720&amp;width=480;https://bilder.dasschnelle.at/DasSchnelle/50/5000/9950/044545/I_044545_P_906311154_B_0039978639_4.gal.png?height=480&amp;width=720</t>
  </si>
  <si>
    <t>Konrad, Johann, Hebebühnen • Frankenmarkt • Oberösterreich</t>
  </si>
  <si>
    <t>Hebebühnenverleih • Konrad, Johann, Wimm 6, Frankenmarkt • Kontakt über aktuelle Telefonnummern ☎ und Adressen ⚑ mit Karte, Routing, Öffnungszeiten, Homepage, E-Mail, vCard und Firmendaten.</t>
  </si>
  <si>
    <t>Wimm 6</t>
  </si>
  <si>
    <t>47.9744495</t>
  </si>
  <si>
    <t>13.4087517</t>
  </si>
  <si>
    <t>+4376848685</t>
  </si>
  <si>
    <t>konrad-hebebuehnen@aon.at</t>
  </si>
  <si>
    <t>https://bilder.dasschnelle.at/DasSchnelle/50/5000/9881/043076/I_043076_P_906329917_L_0035974285_1.png</t>
  </si>
  <si>
    <t>https://bilder.dasschnelle.at/DasSchnelle/50/5000/9881/043076/I_043076_P_906329917_B_0035974285_1.gal.png?height=399&amp;width=550;https://bilder.dasschnelle.at/DasSchnelle/50/5000/9881/043076/I_043076_P_906329917_B_0035974285_2.gal.png?height=399&amp;width=550;https://bilder.dasschnelle.at/DasSchnelle/50/5000/9881/043076/I_043076_P_906329917_B_0035974285_3.gal.png?height=281&amp;width=720;https://bilder.dasschnelle.at/DasSchnelle/50/5000/9881/043076/G_043076_P_906329917.adn.gif</t>
  </si>
  <si>
    <t>Eschelmüller Herbert GesmbH, Dachdeckerei • Litschau • Niederösterreich</t>
  </si>
  <si>
    <t>Baustoffhandel, Dachdeckereien, Zimmereien • Eschelmüller Herbert GesmbH, Badergrabenweg 21, Litschau • Kontakt über aktuelle Telefonnummern ☎ und Adressen ⚑ mit Karte, Routing, Öffnungszeiten, Homepage, E-Mail, vCard und Firmendaten.</t>
  </si>
  <si>
    <t>Badergrabenweg 21</t>
  </si>
  <si>
    <t>48.9431400</t>
  </si>
  <si>
    <t>15.0487700</t>
  </si>
  <si>
    <t>+43286559550</t>
  </si>
  <si>
    <t>buero@meisterdach.at</t>
  </si>
  <si>
    <t>https://bilder.dasschnelle.at/DasSchnelle/50/5000/9885/045085/G_045085_P_906332863.adn.gif</t>
  </si>
  <si>
    <t>Korp Rechtsanwalts GmbH, Rechtsanwälte • Andorf • Oberösterreich</t>
  </si>
  <si>
    <t>Rechtsanwälte • Korp Rechtsanwalts GmbH, Thomas-Schwanthaler-Straße 1, Andorf • Kontakt über aktuelle Telefonnummern ☎ und Adressen ⚑ mit Karte, Routing, Öffnungszeiten, Homepage, E-Mail, vCard und Firmendaten.</t>
  </si>
  <si>
    <t>Thomas-Schwanthaler-Straße 1</t>
  </si>
  <si>
    <t>48.37064</t>
  </si>
  <si>
    <t>13.57324</t>
  </si>
  <si>
    <t>+43776641066</t>
  </si>
  <si>
    <t>andorf@rakorp.at</t>
  </si>
  <si>
    <t>https://bilder.dasschnelle.at/DasSchnelle/50/5000/9926/042303/I_042303_P_906334146_B_0035993911_1.gal.png?height=269&amp;width=831;https://bilder.dasschnelle.at/DasSchnelle/50/5000/9926/042303/I_042303_P_906334146_B_0035993911_2.gal.png?height=303&amp;width=217</t>
  </si>
  <si>
    <t>Kiesenhofer u. Grilberger Dach u Wand GesmbH • Gramastetten • Oberösterreich</t>
  </si>
  <si>
    <t>Dachdeckereien • Kiesenhofer u. Grilberger Dach u Wand GesmbH, Gewerbepark 1, Gramastetten • Kontakt über aktuelle Telefonnummern ☎ und Adressen ⚑ mit Karte, Routing, Öffnungszeiten, Homepage, E-Mail, vCard und Firmendaten.</t>
  </si>
  <si>
    <t>48.37156</t>
  </si>
  <si>
    <t>14.21169</t>
  </si>
  <si>
    <t>+4372397131</t>
  </si>
  <si>
    <t>office@dach-wand.at</t>
  </si>
  <si>
    <t>https://bilder.dasschnelle.at/DasSchnelle/50/5000/9882/044815/I_044815_P_906334155_L_0035999539_1.png</t>
  </si>
  <si>
    <t>https://bilder.dasschnelle.at/DasSchnelle/50/5000/9882/044815/I_044815_P_906334155_B_0035999539_1.gal.png?height=525&amp;width=700;https://bilder.dasschnelle.at/DasSchnelle/50/5000/9882/044815/I_044815_P_906334155_B_0035999539_2.gal.png?height=350&amp;width=350;https://bilder.dasschnelle.at/DasSchnelle/50/5000/9882/044815/I_044815_P_906334155_B_0035999539_3.gal.png?height=526&amp;width=700;https://bilder.dasschnelle.at/DasSchnelle/50/5000/9882/044815/I_044815_P_906334155_B_0035999539_4.gal.png?height=523&amp;width=700</t>
  </si>
  <si>
    <t>Gartenerlebnis Lutz GmbH • Prutz • Tirol</t>
  </si>
  <si>
    <t>Garten- u. Landschaftsgestaltung • Gartenerlebnis Lutz GmbH, Hintergasse 4, Prutz • Kontakt über aktuelle Telefonnummern ☎ und Adressen ⚑ mit Karte, Routing, Öffnungszeiten, Homepage, E-Mail, vCard und Firmendaten.</t>
  </si>
  <si>
    <t>Hintergasse 4</t>
  </si>
  <si>
    <t>47.07688</t>
  </si>
  <si>
    <t>10.66211</t>
  </si>
  <si>
    <t>+43547228097</t>
  </si>
  <si>
    <t>office@gartenerlebnis-lutz.com</t>
  </si>
  <si>
    <t>https://bilder.dasschnelle.at/DasSchnelle/50/5000/9903/044589/G_044589_P_906334166.adn.gif</t>
  </si>
  <si>
    <t>Malermeister Hanzal GmbH, Malereibetriebe • Kritzendorf • Niederösterreich</t>
  </si>
  <si>
    <t>Malereibetriebe • Malermeister Hanzal GmbH, Schelhammergasse 44, Kritzendorf • Kontakt über aktuelle Telefonnummern ☎ und Adressen ⚑ mit Karte, Routing, Öffnungszeiten, Homepage, E-Mail, vCard und Firmendaten.</t>
  </si>
  <si>
    <t>Schelhammergasse 44</t>
  </si>
  <si>
    <t>48.32262</t>
  </si>
  <si>
    <t>16.30026</t>
  </si>
  <si>
    <t>+43224324132</t>
  </si>
  <si>
    <t>office@hanzal.at</t>
  </si>
  <si>
    <t>https://bilder.dasschnelle.at/DasSchnelle/50/5000/9897/061492/G_061492_P_906334519.adn.gif</t>
  </si>
  <si>
    <t>Juster, Johann, Mag., Rechtsanwalt • Zwettl • Niederösterreich</t>
  </si>
  <si>
    <t>Rechtsanwälte • Juster, Johann, Mag., Landstraße 21, Zwettl • Kontakt über aktuelle Telefonnummern ☎ und Adressen ⚑ mit Karte, Routing, Öffnungszeiten, Homepage, E-Mail, vCard und Firmendaten.</t>
  </si>
  <si>
    <t>Landstraße 21</t>
  </si>
  <si>
    <t>48.6039000</t>
  </si>
  <si>
    <t>15.1668900</t>
  </si>
  <si>
    <t>+432822325250;+436641045657</t>
  </si>
  <si>
    <t>office@juster.at</t>
  </si>
  <si>
    <t>https://bilder.dasschnelle.at/DasSchnelle/50/5000/9950/044545/G_044545_P_906334702.adn.gif</t>
  </si>
  <si>
    <t>Nösterer-Neulinger, Simone, Dr., FÄ f. Frauenheilkunde und Geburtshilfe • Freistadt • Oberösterreich</t>
  </si>
  <si>
    <t>Ärzte / Fachärzte f. Frauenheilkunde u. Geburtshilfe • Nösterer-Neulinger, Simone, Dr., Salzgasse 18, Freistadt • Kontakt über aktuelle Telefonnummern ☎ und Adressen ⚑ mit Karte, Routing, Öffnungszeiten, Homepage, E-Mail, vCard und Firmendaten.</t>
  </si>
  <si>
    <t>Salzgasse 18</t>
  </si>
  <si>
    <t>48.51206</t>
  </si>
  <si>
    <t>14.50341</t>
  </si>
  <si>
    <t>+43794221404</t>
  </si>
  <si>
    <t>ordination@noesterer-neulinger.at</t>
  </si>
  <si>
    <t>https://bilder.dasschnelle.at/DasSchnelle/50/5000/9882/044815/G_044815_P_906334617.adn.gif</t>
  </si>
  <si>
    <t>Vithera: Vital- u. Therapiezentrum, Physio, Ergo, Osteopathie, Massagen • Schärding • Oberösterreich</t>
  </si>
  <si>
    <t>Wellness- u. Vitalcenter • Vithera: Vital- u. Therapiezentrum, Passauer Straße 47, Schärding • Kontakt über aktuelle Telefonnummern ☎ und Adressen ⚑ mit Karte, Routing, Öffnungszeiten, Homepage, E-Mail, vCard und Firmendaten.</t>
  </si>
  <si>
    <t>Passauer Straße 47</t>
  </si>
  <si>
    <t>48.46652</t>
  </si>
  <si>
    <t>13.44033</t>
  </si>
  <si>
    <t>+43771235673</t>
  </si>
  <si>
    <t>karsten.lehmbeck@t-online.de</t>
  </si>
  <si>
    <t>https://bilder.dasschnelle.at/DasSchnelle/50/5000/9926/042797/G_042797_P_906334619.adn.gif</t>
  </si>
  <si>
    <t>Optik Eder, Augenoptik • Waidhofen an der Thaya • Niederösterreich</t>
  </si>
  <si>
    <t>Optik • Optik Eder, Niederleuthnerstraße 5, Waidhofen an der Thaya • Kontakt über aktuelle Telefonnummern ☎ und Adressen ⚑ mit Karte, Routing, Öffnungszeiten, Homepage, E-Mail, vCard und Firmendaten.</t>
  </si>
  <si>
    <t>Niederleuthnerstraße 5</t>
  </si>
  <si>
    <t>48.81395</t>
  </si>
  <si>
    <t>15.28611</t>
  </si>
  <si>
    <t>+43284252278</t>
  </si>
  <si>
    <t>buero@optik-eder.at</t>
  </si>
  <si>
    <t>https://bilder.dasschnelle.at/DasSchnelle/50/5000/9885/044264/G_044264_P_906334621.adn.gif</t>
  </si>
  <si>
    <t>Benetton Klosterneuburg, Handelsunternehmen • Klosterneuburg • Niederösterreich</t>
  </si>
  <si>
    <t>Handelsunternehmen • Benetton Klosterneuburg, Niedermarkt 19, Klosterneuburg • Kontakt über aktuelle Telefonnummern ☎ und Adressen ⚑ mit Karte, Routing, Öffnungszeiten, Homepage, E-Mail, vCard und Firmendaten.</t>
  </si>
  <si>
    <t>Niedermarkt 19</t>
  </si>
  <si>
    <t>48.30955</t>
  </si>
  <si>
    <t>16.32537</t>
  </si>
  <si>
    <t>+43224322200</t>
  </si>
  <si>
    <t>benetton.klosterneuburg@gmail.com</t>
  </si>
  <si>
    <t>https://bilder.dasschnelle.at/DasSchnelle/50/5000/9897/061492/G_061492_P_906334623.adn.gif</t>
  </si>
  <si>
    <t>Buschenschank Staribacher • Höbersdorf • Niederösterreich</t>
  </si>
  <si>
    <t>Buschenschank • Buschenschank Staribacher, Kirchenplatz 8, Höbersdorf • Kontakt über aktuelle Telefonnummern ☎ und Adressen ⚑ mit Karte, Routing, Öffnungszeiten, Homepage, E-Mail, vCard und Firmendaten.</t>
  </si>
  <si>
    <t>Höbersdorf</t>
  </si>
  <si>
    <t>48.44836</t>
  </si>
  <si>
    <t>16.1806</t>
  </si>
  <si>
    <t>+436769408740</t>
  </si>
  <si>
    <t>+43226730056</t>
  </si>
  <si>
    <t>roman.staribacher@a1.net</t>
  </si>
  <si>
    <t>https://bilder.dasschnelle.at/DasSchnelle/50/5000/9898/041418/G_041418_P_906334727.adn.gif</t>
  </si>
  <si>
    <t>China Restaurant Sinohaus • Stockerau • Niederösterreich</t>
  </si>
  <si>
    <t>Gastgewerbe - Gasthöfe • China Restaurant Sinohaus, Eduard Rösch-Straße 43 -45, Stockerau • Kontakt über aktuelle Telefonnummern ☎ und Adressen ⚑ mit Karte, Routing, Öffnungszeiten, Homepage, E-Mail, vCard und Firmendaten.</t>
  </si>
  <si>
    <t>Eduard Rösch-Straße 43 -45</t>
  </si>
  <si>
    <t>48.38652</t>
  </si>
  <si>
    <t>16.22387</t>
  </si>
  <si>
    <t>+43226661175</t>
  </si>
  <si>
    <t>office@sinohaus-stockerau.at</t>
  </si>
  <si>
    <t>https://bilder.dasschnelle.at/DasSchnelle/50/5000/9898/041484/I_041484_P_906334730_B_0035970885_1.gal.png?height=407&amp;width=831;https://bilder.dasschnelle.at/DasSchnelle/50/5000/9898/041484/I_041484_P_906334730_B_0035970885_2.gal.png?height=279&amp;width=831;https://bilder.dasschnelle.at/DasSchnelle/50/5000/9898/041484/I_041484_P_906334730_B_0035970885_3.gal.png?height=209&amp;width=831;https://bilder.dasschnelle.at/DasSchnelle/50/5000/9898/041484/I_041484_P_906334730_B_0035970885_4.gal.png?height=209&amp;width=831</t>
  </si>
  <si>
    <t>Dusella Rudolf GesmbH, Installationsunternehmen • Klosterneuburg • Niederösterreich</t>
  </si>
  <si>
    <t>Installationsunternehmen • Dusella Rudolf GesmbH, Leopoldstraße 5, Klosterneuburg • Kontakt über aktuelle Telefonnummern ☎ und Adressen ⚑ mit Karte, Routing, Öffnungszeiten, Homepage, E-Mail, vCard und Firmendaten.</t>
  </si>
  <si>
    <t>Leopoldstraße 5</t>
  </si>
  <si>
    <t>48.30445</t>
  </si>
  <si>
    <t>16.32574</t>
  </si>
  <si>
    <t>+43224332532</t>
  </si>
  <si>
    <t>dusella@aon.at</t>
  </si>
  <si>
    <t>https://bilder.dasschnelle.at/DasSchnelle/50/5000/9897/061492/I_061492_P_906334685_L_0035999528_1.png</t>
  </si>
  <si>
    <t>https://bilder.dasschnelle.at/DasSchnelle/50/5000/9897/061492/I_061492_P_906334685_B_0035999528_1.gal.png?height=234&amp;width=831;https://bilder.dasschnelle.at/DasSchnelle/50/5000/9897/061492/I_061492_P_906334685_B_0035999528_2.gal.png?height=251&amp;width=831;https://bilder.dasschnelle.at/DasSchnelle/50/5000/9897/061492/I_061492_P_906334685_B_0035999528_3.gal.png?height=211&amp;width=831;https://bilder.dasschnelle.at/DasSchnelle/50/5000/9897/061492/I_061492_P_906334685_B_0035999528_4.gal.png?height=243&amp;width=831</t>
  </si>
  <si>
    <t>elektro-göttinger GmbH, Elektroinstallationsunternehmen • Klosterneuburg • Niederösterreich</t>
  </si>
  <si>
    <t>Elektroinstallationsunternehmen • elektro-göttinger GmbH, Stadtplatz 4, Klosterneuburg • Kontakt über aktuelle Telefonnummern ☎ und Adressen ⚑ mit Karte, Routing, Öffnungszeiten, Homepage, E-Mail, vCard und Firmendaten.</t>
  </si>
  <si>
    <t>+43224332353;+4369913235300</t>
  </si>
  <si>
    <t>elektro@goettinger.at</t>
  </si>
  <si>
    <t>https://bilder.dasschnelle.at/DasSchnelle/50/5000/9897/061492/I_061492_P_906334690_L_0035993503_1.png</t>
  </si>
  <si>
    <t>https://bilder.dasschnelle.at/DasSchnelle/50/5000/9897/061492/G_061492_P_906334690.adn.gif</t>
  </si>
  <si>
    <t>Fuchs Josef u Wilhelm GesmbH, Bestattungsunternehmen • Klosterneuburg • Niederösterreich</t>
  </si>
  <si>
    <t>Bestattungsunternehmen • Fuchs Josef u Wilhelm GesmbH, Stadtplatz 5, Klosterneuburg • Kontakt über aktuelle Telefonnummern ☎ und Adressen ⚑ mit Karte, Routing, Öffnungszeiten, Homepage, E-Mail, vCard und Firmendaten.</t>
  </si>
  <si>
    <t>Stadtplatz 5</t>
  </si>
  <si>
    <t>48.3089</t>
  </si>
  <si>
    <t>16.32259</t>
  </si>
  <si>
    <t>+432243321320</t>
  </si>
  <si>
    <t>+432243321327</t>
  </si>
  <si>
    <t>office@bestattung-fuchs.at</t>
  </si>
  <si>
    <t>https://bilder.dasschnelle.at/DasSchnelle/50/5000/9897/061492/G_061492_P_906334697.adn.gif</t>
  </si>
  <si>
    <t>Dangl Optik, Inh. Andreas Popp, Optiker • Waidhofen an der Thaya • Niederösterreich</t>
  </si>
  <si>
    <t>Optik • Dangl Optik, Inh. Andreas Popp, Böhmgasse 15, Waidhofen an der Thaya • Kontakt über aktuelle Telefonnummern ☎ und Adressen ⚑ mit Karte, Routing, Öffnungszeiten, Homepage, E-Mail, vCard und Firmendaten.</t>
  </si>
  <si>
    <t>Böhmgasse 15</t>
  </si>
  <si>
    <t>48.81544</t>
  </si>
  <si>
    <t>15.28522</t>
  </si>
  <si>
    <t>+43284252629</t>
  </si>
  <si>
    <t>optikdangl@ins.at</t>
  </si>
  <si>
    <t>Stadt-Apotheke Klosterneuburg  • Klosterneuburg • Niederösterreich</t>
  </si>
  <si>
    <t>Apotheken • Stadt-Apotheke Klosterneuburg, Albrechtstraße 39, Klosterneuburg • Kontakt über aktuelle Telefonnummern ☎ und Adressen ⚑ mit Karte, Routing, Öffnungszeiten, Homepage, E-Mail, vCard und Firmendaten.</t>
  </si>
  <si>
    <t>Apotheke Zur Heiligen Agnes • Klosterneuburg • Niederösterreich</t>
  </si>
  <si>
    <t>Apotheken • Apotheke Zur Heiligen Agnes, Wiener Straße 104, Klosterneuburg • Kontakt über aktuelle Telefonnummern ☎ und Adressen ⚑ mit Karte, Routing, Öffnungszeiten, Homepage, E-Mail, vCard und Firmendaten.</t>
  </si>
  <si>
    <t>Wiener Straße 104</t>
  </si>
  <si>
    <t>48.2975</t>
  </si>
  <si>
    <t>16.33391</t>
  </si>
  <si>
    <t>+432243323820</t>
  </si>
  <si>
    <t>office@agnesapotheke.at</t>
  </si>
  <si>
    <t>https://bilder.dasschnelle.at/DasSchnelle/50/5000/9897/061492/G_061492_P_906335567.adn.gif</t>
  </si>
  <si>
    <t>Haas, Ernestine  • Brunnenthal • Oberösterreich</t>
  </si>
  <si>
    <t>Gastgewerbe - Gasthöfe • Haas, Ernestine, Brunnwiesstraße 1, Brunnenthal • Kontakt über aktuelle Telefonnummern ☎ und Adressen ⚑ mit Karte, Routing, Öffnungszeiten, Homepage, E-Mail, vCard und Firmendaten.</t>
  </si>
  <si>
    <t>Brunnwiesstraße 1</t>
  </si>
  <si>
    <t>48.45945</t>
  </si>
  <si>
    <t>13.44563</t>
  </si>
  <si>
    <t>+4377124036</t>
  </si>
  <si>
    <t>genuss@ernikocht.at</t>
  </si>
  <si>
    <t>Elektro Stern &amp; Pfurtscheller OG • Fulpmes • Tirol</t>
  </si>
  <si>
    <t>Elektrotechnik • Elektro Stern &amp; Pfurtscheller OG, Industriezone C6, Fulpmes • Kontakt über aktuelle Telefonnummern ☎ und Adressen ⚑ mit Karte, Routing, Öffnungszeiten, Homepage, E-Mail, vCard und Firmendaten.</t>
  </si>
  <si>
    <t>Industriezone C6</t>
  </si>
  <si>
    <t>47.1492303</t>
  </si>
  <si>
    <t>11.3505370</t>
  </si>
  <si>
    <t>+436645015826</t>
  </si>
  <si>
    <t>office@elektro-esp.at</t>
  </si>
  <si>
    <t>https://bilder.dasschnelle.at/DasSchnelle/50/5000/9948/045876/G_045876_P_906121412.adn.gif</t>
  </si>
  <si>
    <t>Nagenkögl, Petra, MSc. D.O, Osteopathie und Physiotherapie • Steyr • Oberösterreich</t>
  </si>
  <si>
    <t>Osteopathie • Nagenkögl, Petra, MSc. D.O, Werndlstrasse 27, Steyr • Kontakt über aktuelle Telefonnummern ☎ und Adressen ⚑ mit Karte, Routing, Öffnungszeiten, Homepage, E-Mail, vCard und Firmendaten.</t>
  </si>
  <si>
    <t>Werndlstrasse 27</t>
  </si>
  <si>
    <t>48.09367</t>
  </si>
  <si>
    <t>14.42303</t>
  </si>
  <si>
    <t>+436506101352</t>
  </si>
  <si>
    <t>info@osteopathie-steyr.pro</t>
  </si>
  <si>
    <t>https://bilder.dasschnelle.at/DasSchnelle/50/5000/9878/042809/G_042809_P_906243494.adn.gif</t>
  </si>
  <si>
    <t>Teppich Moser Raumausstatter • Feistritz an der Gail • Kärnten</t>
  </si>
  <si>
    <t>Raumausstatter • Teppich Moser Raumausstatter, Achomitz 22, Feistritz an der Gail • Kontakt über aktuelle Telefonnummern ☎ und Adressen ⚑ mit Karte, Routing, Öffnungszeiten, Homepage, E-Mail, vCard und Firmendaten.</t>
  </si>
  <si>
    <t>Achomitz 22</t>
  </si>
  <si>
    <t>9613</t>
  </si>
  <si>
    <t>Feistritz an der Gail</t>
  </si>
  <si>
    <t>46.5693000</t>
  </si>
  <si>
    <t>13.6067300</t>
  </si>
  <si>
    <t>+4342562705</t>
  </si>
  <si>
    <t>teppich_moser@aon.at</t>
  </si>
  <si>
    <t>https://bilder.dasschnelle.at/DasSchnelle/50/5000/9891/042166/G_042166_P_906074057.adn.gif</t>
  </si>
  <si>
    <t>Passrucker, Maria, Blumen • Altenmarkt im Pongau • Salzburg</t>
  </si>
  <si>
    <t>Blumenhandel • Passrucker, Maria, Obere Marktstraße 16, Altenmarkt im Pongau • Kontakt über aktuelle Telefonnummern ☎ und Adressen ⚑ mit Karte, Routing, Öffnungszeiten, Homepage, E-Mail, vCard und Firmendaten.</t>
  </si>
  <si>
    <t>Obere Marktstraße 16</t>
  </si>
  <si>
    <t>47.37926</t>
  </si>
  <si>
    <t>13.42175</t>
  </si>
  <si>
    <t>+4364525463</t>
  </si>
  <si>
    <t>sepp.thurner@gmail.com</t>
  </si>
  <si>
    <t>https://bilder.dasschnelle.at/DasSchnelle/50/5000/9919/043334/G_043334_P_906088211.adn.gif</t>
  </si>
  <si>
    <t>PHYSIOTHERAPIE MD • Landeck • Tirol</t>
  </si>
  <si>
    <t>Physiotherapie • PHYSIOTHERAPIE MD, Flirstraße 7, Landeck • Kontakt über aktuelle Telefonnummern ☎ und Adressen ⚑ mit Karte, Routing, Öffnungszeiten, Homepage, E-Mail, vCard und Firmendaten.</t>
  </si>
  <si>
    <t>Flirstraße 7</t>
  </si>
  <si>
    <t>47.14126</t>
  </si>
  <si>
    <t>10.55208</t>
  </si>
  <si>
    <t>+43544265760</t>
  </si>
  <si>
    <t>koch@physio-landeck.at</t>
  </si>
  <si>
    <t>https://bilder.dasschnelle.at/DasSchnelle/50/5000/9903/044584/I_044584_P_906102376_L_0035993758_1.png</t>
  </si>
  <si>
    <t>https://bilder.dasschnelle.at/DasSchnelle/50/5000/9903/044584/I_044584_P_906102376_B_0035993758_1.gal.png?height=259&amp;width=700;https://bilder.dasschnelle.at/DasSchnelle/50/5000/9903/044584/I_044584_P_906102376_B_0035993758_2.gal.png?height=466&amp;width=700</t>
  </si>
  <si>
    <t>WT Eder Steuerberatung GmbH • Vöcklabruck • Oberösterreich</t>
  </si>
  <si>
    <t>Steuerberater • WT Eder Steuerberatung GmbH, Graben 5 /2, Vöcklabruck • Kontakt über aktuelle Telefonnummern ☎ und Adressen ⚑ mit Karte, Routing, Öffnungszeiten, Homepage, E-Mail, vCard und Firmendaten.</t>
  </si>
  <si>
    <t>Graben 5 /2</t>
  </si>
  <si>
    <t>48.00934</t>
  </si>
  <si>
    <t>13.65636</t>
  </si>
  <si>
    <t>+43767223150</t>
  </si>
  <si>
    <t>office@eder-stb.at</t>
  </si>
  <si>
    <t>https://bilder.dasschnelle.at/DasSchnelle/50/5000/9940/043555/G_043555_P_906109170.adn.gif</t>
  </si>
  <si>
    <t>Drolle, Horst, Metallbautechnik • Sonnrain • Kärnten</t>
  </si>
  <si>
    <t>Garagenbau, Metallbau • Drolle, Horst, Ossiacher Bundesstraße 11 A, Sonnrain • Kontakt über aktuelle Telefonnummern ☎ und Adressen ⚑ mit Karte, Routing, Öffnungszeiten, Homepage, E-Mail, vCard und Firmendaten.</t>
  </si>
  <si>
    <t>Ossiacher Bundesstraße 11 A</t>
  </si>
  <si>
    <t>Sonnrain</t>
  </si>
  <si>
    <t>46.7205</t>
  </si>
  <si>
    <t>14.08409</t>
  </si>
  <si>
    <t>+4342762423;+436643576850</t>
  </si>
  <si>
    <t>schluesseldienst.drolle@aon.at</t>
  </si>
  <si>
    <t>https://bilder.dasschnelle.at/DasSchnelle/50/5000/9880/042048/G_042048_P_906334253.adn.gif</t>
  </si>
  <si>
    <t>Haidegger, Richard, Kfz-Werkstätte • Gries am Brenner • Tirol</t>
  </si>
  <si>
    <t>Kfz-Werkstätte • Haidegger, Richard, Bundesstraße 20, Gries am Brenner • Kontakt über aktuelle Telefonnummern ☎ und Adressen ⚑ mit Karte, Routing, Öffnungszeiten, Homepage, E-Mail, vCard und Firmendaten.</t>
  </si>
  <si>
    <t>47.0431597</t>
  </si>
  <si>
    <t>11.4824862</t>
  </si>
  <si>
    <t>+436642000252</t>
  </si>
  <si>
    <t>kfz-haidegger@aon.at</t>
  </si>
  <si>
    <t>https://bilder.dasschnelle.at/DasSchnelle/50/5000/9948/045879/G_045879_P_906334256.adn.gif</t>
  </si>
  <si>
    <t>Eppel, Franz jun • Zell am Moos • Oberösterreich</t>
  </si>
  <si>
    <t>Tischlereien • Eppel, Franz jun, Abt-Haberl-Weg 4, Zell am Moos • Kontakt über aktuelle Telefonnummern ☎ und Adressen ⚑ mit Karte, Routing, Öffnungszeiten, Homepage, E-Mail, vCard und Firmendaten.</t>
  </si>
  <si>
    <t>Abt-Haberl-Weg 4</t>
  </si>
  <si>
    <t>47.90211</t>
  </si>
  <si>
    <t>13.32069</t>
  </si>
  <si>
    <t>+43623420012;+4362348238</t>
  </si>
  <si>
    <t>tischlerei-eppel@gmx.at</t>
  </si>
  <si>
    <t>https://bilder.dasschnelle.at/DasSchnelle/50/5000/9909/043560/G_043560_P_906334257.adn.gif</t>
  </si>
  <si>
    <t>Cicek, Eunice, Polstermöbel • Hainfeld • Niederösterreich</t>
  </si>
  <si>
    <t>Polstermöbel • Cicek, Eunice, Hüffelstraße 34, Hainfeld • Kontakt über aktuelle Telefonnummern ☎ und Adressen ⚑ mit Karte, Routing, Öffnungszeiten, Homepage, E-Mail, vCard und Firmendaten.</t>
  </si>
  <si>
    <t>Hüffelstraße 34</t>
  </si>
  <si>
    <t>48.03976</t>
  </si>
  <si>
    <t>15.76245</t>
  </si>
  <si>
    <t>+4327643740</t>
  </si>
  <si>
    <t>info@tapezierer-cicek.at</t>
  </si>
  <si>
    <t>https://bilder.dasschnelle.at/DasSchnelle/50/5000/9906/041518/G_041518_P_906334259.adn.gif</t>
  </si>
  <si>
    <t>Reisecker, Mike, Bestattung • Peuerbach • Oberösterreich</t>
  </si>
  <si>
    <t>Bestattungsunternehmen • Reisecker, Mike, Hauptstraße 5, Peuerbach • Kontakt über aktuelle Telefonnummern ☎ und Adressen ⚑ mit Karte, Routing, Öffnungszeiten, Homepage, E-Mail, vCard und Firmendaten.</t>
  </si>
  <si>
    <t>48.3570311</t>
  </si>
  <si>
    <t>13.6445478</t>
  </si>
  <si>
    <t>+436641206682</t>
  </si>
  <si>
    <t>https://bilder.dasschnelle.at/DasSchnelle/50/5000/9926/042789/G_042789_P_906123677.adn.gif</t>
  </si>
  <si>
    <t>Penn - List, Helene, Physiotherapeutin • Freistadt • Oberösterreich</t>
  </si>
  <si>
    <t>Physiotherapie • Penn - List, Helene, Stelzhamerstraße 18, Freistadt • Kontakt über aktuelle Telefonnummern ☎ und Adressen ⚑ mit Karte, Routing, Öffnungszeiten, Homepage, E-Mail, vCard und Firmendaten.</t>
  </si>
  <si>
    <t>Stelzhamerstraße 18</t>
  </si>
  <si>
    <t>48.50073</t>
  </si>
  <si>
    <t>14.49997</t>
  </si>
  <si>
    <t>+4369912338588</t>
  </si>
  <si>
    <t>helene.penn@epnet.at</t>
  </si>
  <si>
    <t>https://bilder.dasschnelle.at/DasSchnelle/50/5000/9882/044815/G_044815_P_906334262.adn.gif</t>
  </si>
  <si>
    <t>Podstatzky-Lichtenstein, Leopold, Dr., Tierarzt • Wels • Oberösterreich</t>
  </si>
  <si>
    <t>Tierärzte • Podstatzky-Lichtenstein, Leopold, Dr., Wagner-Jauregg-Straße 9, Wels • Kontakt über aktuelle Telefonnummern ☎ und Adressen ⚑ mit Karte, Routing, Öffnungszeiten, Homepage, E-Mail, vCard und Firmendaten.</t>
  </si>
  <si>
    <t>Wagner-Jauregg-Straße 9</t>
  </si>
  <si>
    <t>48.16348</t>
  </si>
  <si>
    <t>14.01655</t>
  </si>
  <si>
    <t>+43724229893</t>
  </si>
  <si>
    <t>leopold.podstatzky@liwest.at</t>
  </si>
  <si>
    <t>https://bilder.dasschnelle.at/DasSchnelle/50/5000/9945/044547/G_044547_P_906131865.adn.gif</t>
  </si>
  <si>
    <t>Weirer, Franz, Tischlerei • St. Aegyd am Neuwalde • Niederösterreich</t>
  </si>
  <si>
    <t>Tischlereien • Weirer, Franz, Badweg 2, St. Aegyd am Neuwalde • Kontakt über aktuelle Telefonnummern ☎ und Adressen ⚑ mit Karte, Routing, Öffnungszeiten, Homepage, E-Mail, vCard und Firmendaten.</t>
  </si>
  <si>
    <t>Badweg 2</t>
  </si>
  <si>
    <t>47.85456</t>
  </si>
  <si>
    <t>15.5668</t>
  </si>
  <si>
    <t>+4327686382</t>
  </si>
  <si>
    <t>tischlerei@weirer.cc</t>
  </si>
  <si>
    <t>https://bilder.dasschnelle.at/DasSchnelle/50/5000/9906/041526/G_041526_P_906134739.adn.gif</t>
  </si>
  <si>
    <t>Eurospar Emanuel Krieg, Lebensmittel • Ulrichsberg • Oberösterreich</t>
  </si>
  <si>
    <t>Lebensmittel • Eurospar Emanuel Krieg, Dreisesselbergstraße 11, Ulrichsberg • Kontakt über aktuelle Telefonnummern ☎ und Adressen ⚑ mit Karte, Routing, Öffnungszeiten, Homepage, E-Mail, vCard und Firmendaten.</t>
  </si>
  <si>
    <t>Dreisesselbergstraße 11</t>
  </si>
  <si>
    <t>48.67758</t>
  </si>
  <si>
    <t>13.911</t>
  </si>
  <si>
    <t>+43728870076;+436642121930</t>
  </si>
  <si>
    <t>info@sparmarkt-krieg.at</t>
  </si>
  <si>
    <t>https://bilder.dasschnelle.at/DasSchnelle/50/5000/9923/042301/G_042301_P_906141595.adn.gif</t>
  </si>
  <si>
    <t>Hödl, Josef, Malereibetrieb • Gleisdorf • Steiermark</t>
  </si>
  <si>
    <t>Malereibetriebe • Hödl, Josef, Schubertgasse 3, Gleisdorf • Kontakt über aktuelle Telefonnummern ☎ und Adressen ⚑ mit Karte, Routing, Öffnungszeiten, Homepage, E-Mail, vCard und Firmendaten.</t>
  </si>
  <si>
    <t>Schubertgasse 3</t>
  </si>
  <si>
    <t>47.1059405</t>
  </si>
  <si>
    <t>15.7023652</t>
  </si>
  <si>
    <t>+43311275750</t>
  </si>
  <si>
    <t>office@maler-hoedl.at</t>
  </si>
  <si>
    <t>https://bilder.dasschnelle.at/DasSchnelle/50/5000/9944/045376/G_045376_P_906153791.adn.gif</t>
  </si>
  <si>
    <t>Narobe, Bestattungsunternehmen • Tamsweg • Salzburg</t>
  </si>
  <si>
    <t>Bestattungsunternehmen • Narobe, Jakob-Ferner-Straße 3, Tamsweg • Kontakt über aktuelle Telefonnummern ☎ und Adressen ⚑ mit Karte, Routing, Öffnungszeiten, Homepage, E-Mail, vCard und Firmendaten.</t>
  </si>
  <si>
    <t>Jakob-Ferner-Straße 3</t>
  </si>
  <si>
    <t>47.13304</t>
  </si>
  <si>
    <t>13.80621</t>
  </si>
  <si>
    <t>+4364742511</t>
  </si>
  <si>
    <t>+436474251122</t>
  </si>
  <si>
    <t>narobe@sbg.at</t>
  </si>
  <si>
    <t>https://bilder.dasschnelle.at/DasSchnelle/50/5000/9936/043804/G_043804_P_906177133.adn.gif</t>
  </si>
  <si>
    <t>Klein, Heinrich, Gasthof • Rohr im Kremstal • Oberösterreich</t>
  </si>
  <si>
    <t>Gastgewerbe - Gasthöfe • Klein, Heinrich, Linzer Straße 20, Rohr im Kremstal • Kontakt über aktuelle Telefonnummern ☎ und Adressen ⚑ mit Karte, Routing, Öffnungszeiten, Homepage, E-Mail, vCard und Firmendaten.</t>
  </si>
  <si>
    <t>Linzer Straße 20</t>
  </si>
  <si>
    <t>48.06879</t>
  </si>
  <si>
    <t>14.19098</t>
  </si>
  <si>
    <t>+4372582474</t>
  </si>
  <si>
    <t>gasthofklein@outlook.com</t>
  </si>
  <si>
    <t>https://bilder.dasschnelle.at/DasSchnelle/50/5000/9867/042818/G_042818_P_906183588.adn.gif</t>
  </si>
  <si>
    <t>Roch, Martin, Dr., Notar • Schwechat • Niederösterreich</t>
  </si>
  <si>
    <t>Notare • Roch, Martin, Dr., Franz Schubert-Straße 2 A, Schwechat • Kontakt über aktuelle Telefonnummern ☎ und Adressen ⚑ mit Karte, Routing, Öffnungszeiten, Homepage, E-Mail, vCard und Firmendaten.</t>
  </si>
  <si>
    <t>Franz Schubert-Straße 2 A</t>
  </si>
  <si>
    <t>48.1385300</t>
  </si>
  <si>
    <t>16.4765500</t>
  </si>
  <si>
    <t>+4317071340</t>
  </si>
  <si>
    <t>office@1anotar.at</t>
  </si>
  <si>
    <t>https://bilder.dasschnelle.at/DasSchnelle/50/5000/9930/506180/I_506180_P_906201770_L_0037275439_1.png</t>
  </si>
  <si>
    <t>https://bilder.dasschnelle.at/DasSchnelle/50/5000/9930/506180/I_506180_P_906201770_B_0037275439_1.gal.png?height=480&amp;width=720;https://bilder.dasschnelle.at/DasSchnelle/50/5000/9930/506180/I_506180_P_906201770_B_0037275439_2.gal.png?height=479&amp;width=720;https://bilder.dasschnelle.at/DasSchnelle/50/5000/9930/506180/I_506180_P_906201770_B_0037275439_3.gal.png?height=476&amp;width=720;https://bilder.dasschnelle.at/DasSchnelle/50/5000/9930/506180/I_506180_P_906201770_B_0037275439_4.gal.png?height=540&amp;width=720</t>
  </si>
  <si>
    <t>RZT Pflaster Spezialisten GmbH • Mehrnbach • Oberösterreich</t>
  </si>
  <si>
    <t>Pflaster u. Pflasterungen • RZT Pflaster Spezialisten GmbH, Ringweg 32, Mehrnbach • Kontakt über aktuelle Telefonnummern ☎ und Adressen ⚑ mit Karte, Routing, Öffnungszeiten, Homepage, E-Mail, vCard und Firmendaten.</t>
  </si>
  <si>
    <t>Ringweg 32</t>
  </si>
  <si>
    <t>48.2081163</t>
  </si>
  <si>
    <t>13.4357329</t>
  </si>
  <si>
    <t>+436763486511</t>
  </si>
  <si>
    <t>mail@pflaster-spezialisten.com</t>
  </si>
  <si>
    <t>https://bilder.dasschnelle.at/DasSchnelle/50/5000/9922/042552/G_042552_P_906208389.adn.gif</t>
  </si>
  <si>
    <t>Wenger, Bernhard, Mag., Notar • Bleiburg • Kärnten</t>
  </si>
  <si>
    <t>Notare • Wenger, Bernhard, Mag., Schloßgasse 3, Bleiburg • Kontakt über aktuelle Telefonnummern ☎ und Adressen ⚑ mit Karte, Routing, Öffnungszeiten, Homepage, E-Mail, vCard und Firmendaten.</t>
  </si>
  <si>
    <t>Schloßgasse 3</t>
  </si>
  <si>
    <t>46.59032</t>
  </si>
  <si>
    <t>14.80033</t>
  </si>
  <si>
    <t>+4342352121</t>
  </si>
  <si>
    <t>+434235212122</t>
  </si>
  <si>
    <t>bleiburg@notar.at</t>
  </si>
  <si>
    <t>https://bilder.dasschnelle.at/DasSchnelle/50/5000/9942/042025/G_042025_P_906244996.adn.gif</t>
  </si>
  <si>
    <t>Bredschneider, Rudolf, Malerei - Raumausstattung • Bleiburg • Kärnten</t>
  </si>
  <si>
    <t>Malereibetriebe • Bredschneider, Rudolf, Dammweg 1, Bleiburg • Kontakt über aktuelle Telefonnummern ☎ und Adressen ⚑ mit Karte, Routing, Öffnungszeiten, Homepage, E-Mail, vCard und Firmendaten.</t>
  </si>
  <si>
    <t>Dammweg 1</t>
  </si>
  <si>
    <t>46.5839000</t>
  </si>
  <si>
    <t>14.7953100</t>
  </si>
  <si>
    <t>+4342352123;+436644434192</t>
  </si>
  <si>
    <t>+43423521234</t>
  </si>
  <si>
    <t>office@bredschneider.at</t>
  </si>
  <si>
    <t>https://bilder.dasschnelle.at/DasSchnelle/50/5000/9942/042025/I_042025_P_906253655_L_0035971158_1.png</t>
  </si>
  <si>
    <t>https://bilder.dasschnelle.at/DasSchnelle/50/5000/9942/042025/I_042025_P_906253655_B_0035971158_1.gal.png?height=223&amp;width=720;https://bilder.dasschnelle.at/DasSchnelle/50/5000/9942/042025/I_042025_P_906253655_B_0035971158_2.gal.png?height=454&amp;width=720;https://bilder.dasschnelle.at/DasSchnelle/50/5000/9942/042025/I_042025_P_906253655_B_0035971158_3.gal.png?height=445&amp;width=720;https://bilder.dasschnelle.at/DasSchnelle/50/5000/9942/042025/I_042025_P_906253655_B_0035971158_4.gal.png?height=961&amp;width=720</t>
  </si>
  <si>
    <t>Langreiter, Robert, Elektrotechnik • Erpfendorf • Tirol</t>
  </si>
  <si>
    <t>Elektrotechnik • Langreiter, Robert, Dorf 8 A, Erpfendorf • Kontakt über aktuelle Telefonnummern ☎ und Adressen ⚑ mit Karte, Routing, Öffnungszeiten, Homepage, E-Mail, vCard und Firmendaten.</t>
  </si>
  <si>
    <t>Dorf 8 A</t>
  </si>
  <si>
    <t>47.5661</t>
  </si>
  <si>
    <t>12.46822</t>
  </si>
  <si>
    <t>+43535277080;+436649107515</t>
  </si>
  <si>
    <t>office@langreiter.at</t>
  </si>
  <si>
    <t>https://bilder.dasschnelle.at/DasSchnelle/50/5000/9896/046134/G_046134_P_906257506.adn.gif</t>
  </si>
  <si>
    <t>Hohenrainer, Hannes, Hafnermeister • Reutte • Tirol</t>
  </si>
  <si>
    <t>Hafner • Hohenrainer, Hannes, Wiesenweg 11, Reutte • Kontakt über aktuelle Telefonnummern ☎ und Adressen ⚑ mit Karte, Routing, Öffnungszeiten, Homepage, E-Mail, vCard und Firmendaten.</t>
  </si>
  <si>
    <t>Wiesenweg 11</t>
  </si>
  <si>
    <t>47.49844</t>
  </si>
  <si>
    <t>10.72917</t>
  </si>
  <si>
    <t>+43567262612;+43567267976;+436649255989</t>
  </si>
  <si>
    <t>info@ofenbau-hohenrainer.at</t>
  </si>
  <si>
    <t>https://bilder.dasschnelle.at/DasSchnelle/50/5000/9921/042603/G_042603_P_906284512.adn.gif</t>
  </si>
  <si>
    <t>Pfeiffer Leopold SteinmetzgesmbH, Steinmetzbetriebe • Schrems • Niederösterreich</t>
  </si>
  <si>
    <t>Steinmetzbetriebe • Pfeiffer Leopold SteinmetzgesmbH, Industriestraße 9, Schrems • Kontakt über aktuelle Telefonnummern ☎ und Adressen ⚑ mit Karte, Routing, Öffnungszeiten, Homepage, E-Mail, vCard und Firmendaten.</t>
  </si>
  <si>
    <t>48.80416</t>
  </si>
  <si>
    <t>15.05205</t>
  </si>
  <si>
    <t>+43285376113;+436641112497</t>
  </si>
  <si>
    <t>office@natursteine-pfeiffer.at</t>
  </si>
  <si>
    <t>https://bilder.dasschnelle.at/DasSchnelle/50/5000/9885/045538/G_045538_P_906326742.adn.gif</t>
  </si>
  <si>
    <t>wirfairsichern, wirfairsichern, Versicherung • Gratwein-Straßengel • Steiermark</t>
  </si>
  <si>
    <t>Versicherungsunternehmen • wirfairsichern, wirfairsichern, Rein 4a, Gratwein-Straßengel • Kontakt über aktuelle Telefonnummern ☎ und Adressen ⚑ mit Karte, Routing, Öffnungszeiten, Homepage, E-Mail, vCard und Firmendaten.</t>
  </si>
  <si>
    <t>Rein 4a</t>
  </si>
  <si>
    <t>47.1364800</t>
  </si>
  <si>
    <t>15.2850000</t>
  </si>
  <si>
    <t>+436769116666</t>
  </si>
  <si>
    <t>office@wirfairsichern.at</t>
  </si>
  <si>
    <t>https://bilder.dasschnelle.at/DasSchnelle/50/5000/9883/061359/I_061359_P_906328476_L_0039982677_1.png</t>
  </si>
  <si>
    <t>https://bilder.dasschnelle.at/DasSchnelle/50/5000/9883/061359/I_061359_P_906328476_B_0039982677_1.gal.png?height=540&amp;width=720;https://bilder.dasschnelle.at/DasSchnelle/50/5000/9883/061359/I_061359_P_906328476_B_0039982677_2.gal.png?height=540&amp;width=720;https://bilder.dasschnelle.at/DasSchnelle/50/5000/9883/061359/I_061359_P_906328476_B_0039982677_3.gal.png?height=479&amp;width=720;https://bilder.dasschnelle.at/DasSchnelle/50/5000/9883/061359/I_061359_P_906328476_B_0039982677_4.gal.png?height=540&amp;width=720</t>
  </si>
  <si>
    <t>Elektrotechnik Robert Spannlang • Zell an der Pram • Oberösterreich</t>
  </si>
  <si>
    <t>Elektrogeräte u. -bedarf • Elektrotechnik Robert Spannlang, Wiesing 9, Zell an der Pram • Kontakt über aktuelle Telefonnummern ☎ und Adressen ⚑ mit Karte, Routing, Öffnungszeiten, Homepage, E-Mail, vCard und Firmendaten.</t>
  </si>
  <si>
    <t>Wiesing 9</t>
  </si>
  <si>
    <t>48.3178126</t>
  </si>
  <si>
    <t>13.5948776</t>
  </si>
  <si>
    <t>+43776466820</t>
  </si>
  <si>
    <t>office@spannlang.at</t>
  </si>
  <si>
    <t>https://bilder.dasschnelle.at/DasSchnelle/50/5000/9926/042805/G_042805_P_906334175.adn.gif</t>
  </si>
  <si>
    <t>Alchanow, Ibragim, Demontage Tank, Kessel, Heizungsanlage • Freistadt • Oberösterreich</t>
  </si>
  <si>
    <t>Heizungen • Alchanow, Ibragim, Leonfeldner Straße 3, Freistadt • Kontakt über aktuelle Telefonnummern ☎ und Adressen ⚑ mit Karte, Routing, Öffnungszeiten, Homepage, E-Mail, vCard und Firmendaten.</t>
  </si>
  <si>
    <t>Leonfeldner Straße 3</t>
  </si>
  <si>
    <t>48.5009200</t>
  </si>
  <si>
    <t>14.5015900</t>
  </si>
  <si>
    <t>+436605116640</t>
  </si>
  <si>
    <t>alchanow-demontage@hotmail.com</t>
  </si>
  <si>
    <t>https://bilder.dasschnelle.at/DasSchnelle/50/5000/9882/044815/I_044815_P_906334284_B_0039995493_1.gal.png?height=544&amp;width=720;https://bilder.dasschnelle.at/DasSchnelle/50/5000/9882/044815/I_044815_P_906334284_B_0039995493_2.gal.png?height=491&amp;width=720;https://bilder.dasschnelle.at/DasSchnelle/50/5000/9882/044815/I_044815_P_906334284_B_0039995493_3.gal.png?height=451&amp;width=720;https://bilder.dasschnelle.at/DasSchnelle/50/5000/9882/044815/I_044815_P_906334284_B_0039995493_4.gal.png?height=404&amp;width=720</t>
  </si>
  <si>
    <t>Mag. Roland Luger LL.M. &amp; Mag. Paul Schöffl Partnerschaft, öff. Notare • Freistadt • Oberösterreich</t>
  </si>
  <si>
    <t>Notare • Mag. Roland Luger LL.M. &amp; Mag. Paul Schöffl Partnerschaft, Pfarrgasse 27, Freistadt • Kontakt über aktuelle Telefonnummern ☎ und Adressen ⚑ mit Karte, Routing, Öffnungszeiten, Homepage, E-Mail, vCard und Firmendaten.</t>
  </si>
  <si>
    <t>Pfarrgasse 27</t>
  </si>
  <si>
    <t>48.51106</t>
  </si>
  <si>
    <t>14.50213</t>
  </si>
  <si>
    <t>+43794272373</t>
  </si>
  <si>
    <t>paul.schoeffl@notar.at</t>
  </si>
  <si>
    <t>https://bilder.dasschnelle.at/DasSchnelle/50/5000/9882/044815/G_044815_P_906335556.adn.gif</t>
  </si>
  <si>
    <t>Klang, Rainer, Fleischerei • Allentsteig • Niederösterreich</t>
  </si>
  <si>
    <t>Gastgewerbe - Gasthöfe • Klang, Rainer, Zwettlerstraße 33, Allentsteig • Kontakt über aktuelle Telefonnummern ☎ und Adressen ⚑ mit Karte, Routing, Öffnungszeiten, Homepage, E-Mail, vCard und Firmendaten.</t>
  </si>
  <si>
    <t>Zwettlerstraße 33</t>
  </si>
  <si>
    <t>48.69885</t>
  </si>
  <si>
    <t>15.32005</t>
  </si>
  <si>
    <t>+43282423010</t>
  </si>
  <si>
    <t>office@klang-knoedel.at</t>
  </si>
  <si>
    <t>https://bilder.dasschnelle.at/DasSchnelle/50/5000/9950/044522/G_044522_P_906335560.adn.gif</t>
  </si>
  <si>
    <t>Hebel, Peter, Dr., Facharzt für Urologie • Graz • Steiermark</t>
  </si>
  <si>
    <t>Urologie • Hebel, Peter, Dr., Grieskai 2, Graz • Kontakt über aktuelle Telefonnummern ☎ und Adressen ⚑ mit Karte, Routing, Öffnungszeiten, Homepage, E-Mail, vCard und Firmendaten.</t>
  </si>
  <si>
    <t>Grieskai 2</t>
  </si>
  <si>
    <t>47.0707500</t>
  </si>
  <si>
    <t>15.4343100</t>
  </si>
  <si>
    <t>+43316207483</t>
  </si>
  <si>
    <t>office@urologe-hebel.at</t>
  </si>
  <si>
    <t>Argyropoulos, Rafaela, Dr., Fachärztin f. Zahn-, Mund- u. Kieferheilkunde • Frohnleiten • Steiermark</t>
  </si>
  <si>
    <t>Ärzte / Fachärzte f. Zahn-, Mund u. Kieferheilkunde • Argyropoulos, Rafaela, Dr., Brucker Straße 2, Frohnleiten • Kontakt über aktuelle Telefonnummern ☎ und Adressen ⚑ mit Karte, Routing, Öffnungszeiten, Homepage, E-Mail, vCard und Firmendaten.</t>
  </si>
  <si>
    <t>Brucker Straße 2</t>
  </si>
  <si>
    <t>47.27193</t>
  </si>
  <si>
    <t>15.32862</t>
  </si>
  <si>
    <t>+4331263788</t>
  </si>
  <si>
    <t>ordination@zahnarzt-frohnleiten.at</t>
  </si>
  <si>
    <t>https://bilder.dasschnelle.at/DasSchnelle/50/5000/9883/061362/G_061362_P_906335562.adn.gif</t>
  </si>
  <si>
    <t>Reiter, Hermann, Dr.med.univ., FA f Urologie • Gmünd • Niederösterreich</t>
  </si>
  <si>
    <t>Ärzte / Fachärzte f. Urologie • Reiter, Hermann, Dr.med.univ., Conrathstraße 14, Gmünd • Kontakt über aktuelle Telefonnummern ☎ und Adressen ⚑ mit Karte, Routing, Öffnungszeiten, Homepage, E-Mail, vCard und Firmendaten.</t>
  </si>
  <si>
    <t>48.7625500</t>
  </si>
  <si>
    <t>14.9758800</t>
  </si>
  <si>
    <t>+43285253053;+436769212924</t>
  </si>
  <si>
    <t>ord.reiter@a1.net</t>
  </si>
  <si>
    <t>https://bilder.dasschnelle.at/DasSchnelle/50/5000/9885/045075/G_045075_P_906335571.adn.gif</t>
  </si>
  <si>
    <t>Tierärztinnen W &amp; M OG • Weissenbach an der Triesting • Niederösterreich</t>
  </si>
  <si>
    <t>Tierärzte • Tierärztinnen W &amp; M OG, Gartengasse 7, Weissenbach an der Triesting • Kontakt über aktuelle Telefonnummern ☎ und Adressen ⚑ mit Karte, Routing, Öffnungszeiten, Homepage, E-Mail, vCard und Firmendaten.</t>
  </si>
  <si>
    <t>Gartengasse 7</t>
  </si>
  <si>
    <t>47.98246</t>
  </si>
  <si>
    <t>16.03681</t>
  </si>
  <si>
    <t>+43267487457</t>
  </si>
  <si>
    <t>wm@tieraerztinnen.at</t>
  </si>
  <si>
    <t>https://bilder.dasschnelle.at/DasSchnelle/50/5000/9871/041430/G_041430_P_906335574.adn.gif</t>
  </si>
  <si>
    <t>Fischers Weinheuriger Michael Hitzinger • St. Florian am Inn • Oberösterreich</t>
  </si>
  <si>
    <t>Gastgewerbe - Gasthöfe • Fischers Weinheuriger Michael Hitzinger, Bubing 2, St. Florian am Inn • Kontakt über aktuelle Telefonnummern ☎ und Adressen ⚑ mit Karte, Routing, Öffnungszeiten, Homepage, E-Mail, vCard und Firmendaten.</t>
  </si>
  <si>
    <t>https://bilder.dasschnelle.at/DasSchnelle/50/5000/9926/042793/G_042793_P_906335576.adn.gif</t>
  </si>
  <si>
    <t>Weikl Erdbau - Transporte - Sand u. Kies GmbH, Erdbau • Hintersee • Salzburg</t>
  </si>
  <si>
    <t>Erdarbeiten, Sand u. Schotter • Weikl Erdbau - Transporte - Sand u. Kies GmbH, Hintersee 73, Hintersee • Kontakt über aktuelle Telefonnummern ☎ und Adressen ⚑ mit Karte, Routing, Öffnungszeiten, Homepage, E-Mail, vCard und Firmendaten.</t>
  </si>
  <si>
    <t>Hintersee 73</t>
  </si>
  <si>
    <t>5324</t>
  </si>
  <si>
    <t>Hintersee</t>
  </si>
  <si>
    <t>47.7235526</t>
  </si>
  <si>
    <t>13.2822901</t>
  </si>
  <si>
    <t>+436224201</t>
  </si>
  <si>
    <t>office@weikl.at</t>
  </si>
  <si>
    <t>Diethelm Wendling, Hafnermeister • Hermagor • Kärnten</t>
  </si>
  <si>
    <t>Hafner u. Fliesen • Diethelm Wendling, Guggenberger Straße 8, Hermagor • Kontakt über aktuelle Telefonnummern ☎ und Adressen ⚑ mit Karte, Routing, Öffnungszeiten, Homepage, E-Mail, vCard und Firmendaten.</t>
  </si>
  <si>
    <t>Guggenberger Straße 8</t>
  </si>
  <si>
    <t>46.6273000</t>
  </si>
  <si>
    <t>13.3617100</t>
  </si>
  <si>
    <t>+4342822076</t>
  </si>
  <si>
    <t>office@kachelofen-wendling.at</t>
  </si>
  <si>
    <t>Imser, Gerhard, Installationen, Gas-Wasser-Heizung • Neumarkt am Wallersee • Salzburg</t>
  </si>
  <si>
    <t>Heizungen, Installationsunternehmen, Gasinstallationen • Imser, Gerhard, Hauptstraße 71, Neumarkt am Wallersee • Kontakt über aktuelle Telefonnummern ☎ und Adressen ⚑ mit Karte, Routing, Öffnungszeiten, Homepage, E-Mail, vCard und Firmendaten.</t>
  </si>
  <si>
    <t>Hauptstraße 71</t>
  </si>
  <si>
    <t>47.9482</t>
  </si>
  <si>
    <t>13.22551</t>
  </si>
  <si>
    <t>+43621620029</t>
  </si>
  <si>
    <t>fa.imser@sbg.at</t>
  </si>
  <si>
    <t>https://bilder.dasschnelle.at/DasSchnelle/50/5000/9935/043320/I_043320_P_906248104_L_0036421051_1.png</t>
  </si>
  <si>
    <t>https://bilder.dasschnelle.at/DasSchnelle/50/5000/9935/043320/I_043320_P_906248104_B_0036421051_1.gal.png?height=194&amp;width=259;https://bilder.dasschnelle.at/DasSchnelle/50/5000/9935/043320/G_043320_P_906248104.adn.gif</t>
  </si>
  <si>
    <t>Cafe Rauch • Semriach • Steiermark</t>
  </si>
  <si>
    <t>Cafe u. Konditorei • Cafe Rauch, Markt 30, Semriach • Kontakt über aktuelle Telefonnummern ☎ und Adressen ⚑ mit Karte, Routing, Öffnungszeiten, Homepage, E-Mail, vCard und Firmendaten.</t>
  </si>
  <si>
    <t>47.2171405</t>
  </si>
  <si>
    <t>15.4030752</t>
  </si>
  <si>
    <t>+436641619121</t>
  </si>
  <si>
    <t>office@caferauch.at</t>
  </si>
  <si>
    <t>https://bilder.dasschnelle.at/DasSchnelle/50/5000/9883/042353/G_042353_P_906081729.adn.gif</t>
  </si>
  <si>
    <t>Ertl, Thomas • St. Valentin • Niederösterreich</t>
  </si>
  <si>
    <t>Installationen • Ertl, Thomas, Hauptplatz 8, St. Valentin • Kontakt über aktuelle Telefonnummern ☎ und Adressen ⚑ mit Karte, Routing, Öffnungszeiten, Homepage, E-Mail, vCard und Firmendaten.</t>
  </si>
  <si>
    <t>48.1743500</t>
  </si>
  <si>
    <t>14.5334900</t>
  </si>
  <si>
    <t>+43743552325</t>
  </si>
  <si>
    <t>office@thomas-ertl.at</t>
  </si>
  <si>
    <t>https://bilder.dasschnelle.at/DasSchnelle/50/5000/9924/041325/G_041325_P_906125852.adn.gif</t>
  </si>
  <si>
    <t>Wallner, Thomas, Dr. med., FA f. Unfallchirurgie • Bad Ischl • Oberösterreich</t>
  </si>
  <si>
    <t>Ärzte / Fachärzte f. Orthopädie u. Orthopädische Chirurgie, Ärzte / Fachärzte f. Unfallchirurgie • Wallner, Thomas, Dr. med., Kreuzplatz 18, Bad Ischl • Kontakt über aktuelle Telefonnummern ☎ und Adressen ⚑ mit Karte, Routing, Öffnungszeiten, Homepage, E-Mail, vCard und Firmendaten.</t>
  </si>
  <si>
    <t>Kreuzplatz 18</t>
  </si>
  <si>
    <t>47.71296</t>
  </si>
  <si>
    <t>+436649658794</t>
  </si>
  <si>
    <t>https://bilder.dasschnelle.at/DasSchnelle/50/5000/9868/041790/G_041790_P_906261764.adn.gif</t>
  </si>
  <si>
    <t>Hofbauer &amp; Nokaj Rechtsanwalts GmbH, Rechtsanwalt • Wieselburg • Niederösterreich</t>
  </si>
  <si>
    <t>Rechtsanwälte • Hofbauer &amp; Nokaj Rechtsanwalts GmbH, Bartensteingasse 8, Wieselburg • Kontakt über aktuelle Telefonnummern ☎ und Adressen ⚑ mit Karte, Routing, Öffnungszeiten, Homepage, E-Mail, vCard und Firmendaten.</t>
  </si>
  <si>
    <t>Bartensteingasse 8</t>
  </si>
  <si>
    <t>48.13147</t>
  </si>
  <si>
    <t>15.13606</t>
  </si>
  <si>
    <t>+437416528340</t>
  </si>
  <si>
    <t>kanzlei-wieselburg@hofbauer-nokaj.at</t>
  </si>
  <si>
    <t>https://bilder.dasschnelle.at/DasSchnelle/50/5000/9927/041937/G_998131_P_906184701.adn.gif</t>
  </si>
  <si>
    <t>WAGNER VIRTBAUER Rechtsanwälte GmbH, Rechtsanwalt • Schärding • Oberösterreich</t>
  </si>
  <si>
    <t>Rechtsanwälte • WAGNER VIRTBAUER Rechtsanwälte GmbH, Wieningerstraße 3, Schärding • Kontakt über aktuelle Telefonnummern ☎ und Adressen ⚑ mit Karte, Routing, Öffnungszeiten, Homepage, E-Mail, vCard und Firmendaten.</t>
  </si>
  <si>
    <t>Wieningerstraße 3</t>
  </si>
  <si>
    <t>48.4584300</t>
  </si>
  <si>
    <t>13.4295800</t>
  </si>
  <si>
    <t>+4377127707</t>
  </si>
  <si>
    <t>andrea.wagner@wagner.at</t>
  </si>
  <si>
    <t>https://bilder.dasschnelle.at/DasSchnelle/50/5000/9926/042797/G_042797_P_906324713.adn.gif</t>
  </si>
  <si>
    <t>Bestattung Mörtl • Kötschach-Mauthen • Kärnten</t>
  </si>
  <si>
    <t>Bestattungsunternehmen • Bestattung Mörtl, Hauptplatz 18, Kötschach-Mauthen • Kontakt über aktuelle Telefonnummern ☎ und Adressen ⚑ mit Karte, Routing, Öffnungszeiten, Homepage, E-Mail, vCard und Firmendaten.</t>
  </si>
  <si>
    <t>46.7426400</t>
  </si>
  <si>
    <t>12.9691000</t>
  </si>
  <si>
    <t>+4347102552;+436642006886</t>
  </si>
  <si>
    <t>artur.moertl@aon.at</t>
  </si>
  <si>
    <t>https://bilder.dasschnelle.at/DasSchnelle/50/5000/9933/042146/G_042146_P_906070153.adn.gif</t>
  </si>
  <si>
    <t>Spitzer Installationen GmbH • Feldkirchen in Kärnten • Kärnten</t>
  </si>
  <si>
    <t>Heizungen, Installationsunternehmen • Spitzer Installationen GmbH, Bahnhofstraße 14, Feldkirchen in Kärnten • Kontakt über aktuelle Telefonnummern ☎ und Adressen ⚑ mit Karte, Routing, Öffnungszeiten, Homepage, E-Mail, vCard und Firmendaten.</t>
  </si>
  <si>
    <t>46.7236056</t>
  </si>
  <si>
    <t>14.0946484</t>
  </si>
  <si>
    <t>+43427623380</t>
  </si>
  <si>
    <t>+434276233817</t>
  </si>
  <si>
    <t>office@spitzer-installationen.at</t>
  </si>
  <si>
    <t>https://bilder.dasschnelle.at/DasSchnelle/50/5000/9880/042048/I_042048_P_906339422_B_0035993704_1.gal.png?height=683&amp;width=1024;https://bilder.dasschnelle.at/DasSchnelle/50/5000/9880/042048/I_042048_P_906339422_B_0035993704_2.gal.png?height=441&amp;width=624;https://bilder.dasschnelle.at/DasSchnelle/50/5000/9880/042048/I_042048_P_906339422_B_0035993704_3.gal.png?height=683&amp;width=1024;https://bilder.dasschnelle.at/DasSchnelle/50/5000/9880/042048/I_042048_P_906339422_B_0035993704_4.gal.png?height=502&amp;width=816</t>
  </si>
  <si>
    <t>Schafferer, Alois jun., Transporte-Erdbau • Gschnitz • Tirol</t>
  </si>
  <si>
    <t>Transportunternehmen • Schafferer, Alois jun., Gschnitz 126, Gschnitz • Kontakt über aktuelle Telefonnummern ☎ und Adressen ⚑ mit Karte, Routing, Öffnungszeiten, Homepage, E-Mail, vCard und Firmendaten.</t>
  </si>
  <si>
    <t>Gschnitz 126</t>
  </si>
  <si>
    <t>Gschnitz</t>
  </si>
  <si>
    <t>47.0469485</t>
  </si>
  <si>
    <t>11.3584802</t>
  </si>
  <si>
    <t>+435276284</t>
  </si>
  <si>
    <t>transporte.schafferer@aon.at</t>
  </si>
  <si>
    <t>https://bilder.dasschnelle.at/DasSchnelle/50/5000/9948/045882/G_045882_P_906335776.adn.gif</t>
  </si>
  <si>
    <t>Oberaigner Johann GesmbH, Maler • Rohrbach • Oberösterreich</t>
  </si>
  <si>
    <t>Malereibetriebe • Oberaigner Johann GesmbH, Am Binderhügel 2, Rohrbach • Kontakt über aktuelle Telefonnummern ☎ und Adressen ⚑ mit Karte, Routing, Öffnungszeiten, Homepage, E-Mail, vCard und Firmendaten.</t>
  </si>
  <si>
    <t>Am Binderhügel 2</t>
  </si>
  <si>
    <t>48.5671101</t>
  </si>
  <si>
    <t>13.9840211</t>
  </si>
  <si>
    <t>+4372894287;+436644415801;+4372898981</t>
  </si>
  <si>
    <t>info@odec.co.at</t>
  </si>
  <si>
    <t>https://bilder.dasschnelle.at/DasSchnelle/50/5000/9923/061480/G_061480_P_906335777.adn.gif</t>
  </si>
  <si>
    <t>Kriegner Peter, Sonnenschutz • Rohrbach-Berg • Oberösterreich</t>
  </si>
  <si>
    <t>Sonnen u. Insektenschutz • Kriegner Peter, Sprinzenstein 35, Rohrbach-Berg • Kontakt über aktuelle Telefonnummern ☎ und Adressen ⚑ mit Karte, Routing, Öffnungszeiten, Homepage, E-Mail, vCard und Firmendaten.</t>
  </si>
  <si>
    <t>Sprinzenstein 35</t>
  </si>
  <si>
    <t>48.5503296</t>
  </si>
  <si>
    <t>13.9482326</t>
  </si>
  <si>
    <t>+436606135380</t>
  </si>
  <si>
    <t>office@kps-sonnenschutz.at</t>
  </si>
  <si>
    <t>https://bilder.dasschnelle.at/DasSchnelle/50/5000/9923/042297/G_042297_P_906335780.adn.gif</t>
  </si>
  <si>
    <t>Mader, Franz, Erdbewegungen • Gschnitz • Tirol</t>
  </si>
  <si>
    <t>Erdbewegungen, Transportunternehmen • Mader, Franz, Gschnitz 37, Gschnitz • Kontakt über aktuelle Telefonnummern ☎ und Adressen ⚑ mit Karte, Routing, Öffnungszeiten, Homepage, E-Mail, vCard und Firmendaten.</t>
  </si>
  <si>
    <t>Gschnitz 37</t>
  </si>
  <si>
    <t>47.0495877</t>
  </si>
  <si>
    <t>11.3697918</t>
  </si>
  <si>
    <t>+435276202;+436642860414</t>
  </si>
  <si>
    <t>+43527620214</t>
  </si>
  <si>
    <t>transporte.mader@aon.at</t>
  </si>
  <si>
    <t>https://bilder.dasschnelle.at/DasSchnelle/50/5000/9948/045882/G_045882_P_906335781.adn.gif</t>
  </si>
  <si>
    <t>Schüller Robert e.U., Gastgewerbe - Gasthöfe • Hainfeld • Niederösterreich</t>
  </si>
  <si>
    <t>Gastgewerbe - Gasthöfe • Schüller Robert e.U., Wiener Straße 75, Hainfeld • Kontakt über aktuelle Telefonnummern ☎ und Adressen ⚑ mit Karte, Routing, Öffnungszeiten, Homepage, E-Mail, vCard und Firmendaten.</t>
  </si>
  <si>
    <t>Wiener Straße 75</t>
  </si>
  <si>
    <t>48.03593</t>
  </si>
  <si>
    <t>15.7942</t>
  </si>
  <si>
    <t>+4327642387</t>
  </si>
  <si>
    <t>schueller.ro@aon.at</t>
  </si>
  <si>
    <t>https://bilder.dasschnelle.at/DasSchnelle/50/5000/9906/041518/G_041518_P_906335784.adn.gif</t>
  </si>
  <si>
    <t>Vorreither Bruno GesmbH, Autohaus • Hainfeld • Niederösterreich</t>
  </si>
  <si>
    <t>Autohandel, Autohäuser • Vorreither Bruno GesmbH, Wiener Straße 63, Hainfeld • Kontakt über aktuelle Telefonnummern ☎ und Adressen ⚑ mit Karte, Routing, Öffnungszeiten, Homepage, E-Mail, vCard und Firmendaten.</t>
  </si>
  <si>
    <t>48.03454</t>
  </si>
  <si>
    <t>15.7859</t>
  </si>
  <si>
    <t>+4327642634</t>
  </si>
  <si>
    <t>vorreither@kabelweb.at</t>
  </si>
  <si>
    <t>https://bilder.dasschnelle.at/DasSchnelle/50/5000/9906/041518/G_041518_P_906335785.adn.gif</t>
  </si>
  <si>
    <t>Wagner, Maria, Floristik • Lilienfeld • Niederösterreich</t>
  </si>
  <si>
    <t>Floristik • Wagner, Maria, Mariazeller Straße 5, Lilienfeld • Kontakt über aktuelle Telefonnummern ☎ und Adressen ⚑ mit Karte, Routing, Öffnungszeiten, Homepage, E-Mail, vCard und Firmendaten.</t>
  </si>
  <si>
    <t>Mariazeller Straße 5</t>
  </si>
  <si>
    <t>48.01397</t>
  </si>
  <si>
    <t>15.59307</t>
  </si>
  <si>
    <t>+43276252211</t>
  </si>
  <si>
    <t>blumen@wa-ma.at</t>
  </si>
  <si>
    <t>https://bilder.dasschnelle.at/DasSchnelle/50/5000/9906/041522/G_041522_P_906335786.adn.gif</t>
  </si>
  <si>
    <t>GH Sonnenschutz, Gerauer Herbert, Sonnenschutz • Schardenberg • Oberösterreich</t>
  </si>
  <si>
    <t>Sonnen u. Insektenschutz • GH Sonnenschutz, Gerauer Herbert, Asing 25, Schardenberg • Kontakt über aktuelle Telefonnummern ☎ und Adressen ⚑ mit Karte, Routing, Öffnungszeiten, Homepage, E-Mail, vCard und Firmendaten.</t>
  </si>
  <si>
    <t>Asing 25</t>
  </si>
  <si>
    <t>48.5302952</t>
  </si>
  <si>
    <t>13.5280815</t>
  </si>
  <si>
    <t>+436764621822</t>
  </si>
  <si>
    <t>info@gerauer.at</t>
  </si>
  <si>
    <t>https://bilder.dasschnelle.at/DasSchnelle/50/5000/9926/042797/G_042797_P_906335787.adn.gif</t>
  </si>
  <si>
    <t>Leichtfried Friedrich GmbH &amp; Co KEG, Dachdeckerei • Weyer • Oberösterreich</t>
  </si>
  <si>
    <t>Dachdeckereien, Spenglereien • Leichtfried Friedrich GmbH &amp; Co KEG, Pichl 43, Weyer • Kontakt über aktuelle Telefonnummern ☎ und Adressen ⚑ mit Karte, Routing, Öffnungszeiten, Homepage, E-Mail, vCard und Firmendaten.</t>
  </si>
  <si>
    <t>Pichl 43</t>
  </si>
  <si>
    <t>47.83861</t>
  </si>
  <si>
    <t>14.71821</t>
  </si>
  <si>
    <t>+4373556556</t>
  </si>
  <si>
    <t>dachdeckerei@leichtfried.co.at</t>
  </si>
  <si>
    <t>https://bilder.dasschnelle.at/DasSchnelle/50/5000/9878/042825/I_042825_P_906124615_L_0035971071_1.png</t>
  </si>
  <si>
    <t>https://bilder.dasschnelle.at/DasSchnelle/50/5000/9878/042825/I_042825_P_906124615_B_0035971071_1.gal.png?height=573&amp;width=720;https://bilder.dasschnelle.at/DasSchnelle/50/5000/9878/042825/I_042825_P_906124615_B_0035971071_2.gal.png?height=650&amp;width=720;https://bilder.dasschnelle.at/DasSchnelle/50/5000/9878/042825/I_042825_P_906124615_B_0035971071_3.gal.png?height=622&amp;width=720;https://bilder.dasschnelle.at/DasSchnelle/50/5000/9878/042825/I_042825_P_906124615_B_0035971071_4.gal.png?height=478&amp;width=720</t>
  </si>
  <si>
    <t>Lengauer, Michaela, Psychotherapie • Freistadt • Oberösterreich</t>
  </si>
  <si>
    <t>Psychotherapie • Lengauer, Michaela, Stadtbergstraße 4, Freistadt • Kontakt über aktuelle Telefonnummern ☎ und Adressen ⚑ mit Karte, Routing, Öffnungszeiten, Homepage, E-Mail, vCard und Firmendaten.</t>
  </si>
  <si>
    <t>Stadtbergstraße 4</t>
  </si>
  <si>
    <t>48.51348</t>
  </si>
  <si>
    <t>14.51158</t>
  </si>
  <si>
    <t>+436643486262</t>
  </si>
  <si>
    <t>michi.lengauer@hotmail.com</t>
  </si>
  <si>
    <t>https://bilder.dasschnelle.at/DasSchnelle/50/5000/9882/044815/G_044815_P_906335788.adn.gif</t>
  </si>
  <si>
    <t>Münch, Marion, Fußpflege • Klosterneuburg • Niederösterreich</t>
  </si>
  <si>
    <t>Fußpflege • Münch, Marion, Albrechtstraße 35, Klosterneuburg • Kontakt über aktuelle Telefonnummern ☎ und Adressen ⚑ mit Karte, Routing, Öffnungszeiten, Homepage, E-Mail, vCard und Firmendaten.</t>
  </si>
  <si>
    <t>Albrechtstraße 35</t>
  </si>
  <si>
    <t>48.30894</t>
  </si>
  <si>
    <t>16.32126</t>
  </si>
  <si>
    <t>+436602286000</t>
  </si>
  <si>
    <t>marion.muench@aon.at</t>
  </si>
  <si>
    <t>https://bilder.dasschnelle.at/DasSchnelle/50/5000/9897/061492/G_061492_P_906334681.adn.gif</t>
  </si>
  <si>
    <t>Teppich Moser, Raumausstattung • Feistritz an der Gail • Kärnten</t>
  </si>
  <si>
    <t>Bodenbeläge, Raumausstatter, Teppiche • Teppich Moser, Achomitz 22, Feistritz an der Gail • Kontakt über aktuelle Telefonnummern ☎ und Adressen ⚑ mit Karte, Routing, Öffnungszeiten, Homepage, E-Mail, vCard und Firmendaten.</t>
  </si>
  <si>
    <t>46.5752192</t>
  </si>
  <si>
    <t>13.6043283</t>
  </si>
  <si>
    <t>+4342562705;+436763112407</t>
  </si>
  <si>
    <t>https://bilder.dasschnelle.at/DasSchnelle/50/5000/9891/042166/G_042166_P_906335718.adn.gif</t>
  </si>
  <si>
    <t>Installationen Steiner GmbH • Dellach • Kärnten</t>
  </si>
  <si>
    <t>Installationsunternehmen • Installationen Steiner GmbH, Dellach 22, Dellach • Kontakt über aktuelle Telefonnummern ☎ und Adressen ⚑ mit Karte, Routing, Öffnungszeiten, Homepage, E-Mail, vCard und Firmendaten.</t>
  </si>
  <si>
    <t>Dellach 22</t>
  </si>
  <si>
    <t>46.6602944</t>
  </si>
  <si>
    <t>13.0796385</t>
  </si>
  <si>
    <t>+434718251</t>
  </si>
  <si>
    <t>office@installationen-steiner.at</t>
  </si>
  <si>
    <t>https://bilder.dasschnelle.at/DasSchnelle/50/5000/9891/042083/G_042083_P_906335721.adn.gif</t>
  </si>
  <si>
    <t>Sallam, Same-Bogdan, Dr., Zahnarzt • Groß Gerungs • Niederösterreich</t>
  </si>
  <si>
    <t>Ärzte / Fachärzte f. Zahn-, Mund u. Kieferheilkunde • Sallam, Same-Bogdan, Dr., Zwettler Straße 96, Groß Gerungs • Kontakt über aktuelle Telefonnummern ☎ und Adressen ⚑ mit Karte, Routing, Öffnungszeiten, Homepage, E-Mail, vCard und Firmendaten.</t>
  </si>
  <si>
    <t>Zwettler Straße 96</t>
  </si>
  <si>
    <t>48.57362</t>
  </si>
  <si>
    <t>14.96073</t>
  </si>
  <si>
    <t>+4328128654</t>
  </si>
  <si>
    <t>ordination@zahnarztsallam.at</t>
  </si>
  <si>
    <t>https://bilder.dasschnelle.at/DasSchnelle/50/5000/9950/044528/I_044528_P_906123553_L_0038396210_1.png</t>
  </si>
  <si>
    <t>https://bilder.dasschnelle.at/DasSchnelle/50/5000/9950/044528/I_044528_P_906123553_B_0038396210_1.gal.png?height=145&amp;width=550;https://bilder.dasschnelle.at/DasSchnelle/50/5000/9950/044528/I_044528_P_906123553_B_0038396210_2.gal.png?height=144&amp;width=550;https://bilder.dasschnelle.at/DasSchnelle/50/5000/9950/044528/I_044528_P_906123553_B_0038396210_3.gal.png?height=267&amp;width=456;https://bilder.dasschnelle.at/DasSchnelle/50/5000/9950/044528/I_044528_P_906123553_B_0038396210_4.gal.png?height=305&amp;width=223;https://bilder.dasschnelle.at/DasSchnelle/50/5000/9950/044528/G_044528_P_906335789.adn.gif</t>
  </si>
  <si>
    <t>Lederer, Margit, Dr.Mag., Psychotherapeutin • Klosterneuburg • Niederösterreich</t>
  </si>
  <si>
    <t>Psychotherapie • Lederer, Margit, Dr.Mag., Kierlinger Straße 20, Klosterneuburg • Kontakt über aktuelle Telefonnummern ☎ und Adressen ⚑ mit Karte, Routing, Öffnungszeiten, Homepage, E-Mail, vCard und Firmendaten.</t>
  </si>
  <si>
    <t>Kierlinger Straße 20</t>
  </si>
  <si>
    <t>48.3073100</t>
  </si>
  <si>
    <t>16.3193600</t>
  </si>
  <si>
    <t>+43224334217</t>
  </si>
  <si>
    <t>mlederer@aon.at</t>
  </si>
  <si>
    <t>https://bilder.dasschnelle.at/DasSchnelle/50/5000/9897/061492/G_061492_P_906335790.adn.gif</t>
  </si>
  <si>
    <t>etr Elektrotechnik, Elektrotechnik • Aigen im Mühlkreis • Oberösterreich</t>
  </si>
  <si>
    <t>Elektrotechnik • etr Elektrotechnik, Schachlingstraße 22, Aigen im Mühlkreis • Kontakt über aktuelle Telefonnummern ☎ und Adressen ⚑ mit Karte, Routing, Öffnungszeiten, Homepage, E-Mail, vCard und Firmendaten.</t>
  </si>
  <si>
    <t>Schachlingstraße 22</t>
  </si>
  <si>
    <t>48.63729</t>
  </si>
  <si>
    <t>13.95764</t>
  </si>
  <si>
    <t>+436645111107</t>
  </si>
  <si>
    <t>office@etr.co.at</t>
  </si>
  <si>
    <t>https://bilder.dasschnelle.at/DasSchnelle/50/5000/9923/061481/G_061481_P_906335791.adn.gif</t>
  </si>
  <si>
    <t>Reiter, Harald, Malerei-Schriften • Aigen-Schlägl • Oberösterreich</t>
  </si>
  <si>
    <t>Malereibetriebe • Reiter, Harald, Schachlingstraße 20, Aigen-Schlägl • Kontakt über aktuelle Telefonnummern ☎ und Adressen ⚑ mit Karte, Routing, Öffnungszeiten, Homepage, E-Mail, vCard und Firmendaten.</t>
  </si>
  <si>
    <t>Schachlingstraße 20</t>
  </si>
  <si>
    <t>48.63694</t>
  </si>
  <si>
    <t>13.95788</t>
  </si>
  <si>
    <t>+43728163780</t>
  </si>
  <si>
    <t>+43728163784</t>
  </si>
  <si>
    <t>office@malereireiter.at</t>
  </si>
  <si>
    <t>https://bilder.dasschnelle.at/DasSchnelle/50/5000/9923/061481/G_061481_P_906335792.adn.gif</t>
  </si>
  <si>
    <t>Gschwandtner-Robnik, Stephanie  • Sankt Johann im Pongau • Salzburg</t>
  </si>
  <si>
    <t>Friseure • Gschwandtner-Robnik, Stephanie, Kasernenstraße 27, Sankt Johann im Pongau • Kontakt über aktuelle Telefonnummern ☎ und Adressen ⚑ mit Karte, Routing, Öffnungszeiten, Homepage, E-Mail, vCard und Firmendaten.</t>
  </si>
  <si>
    <t>Kasernenstraße 27</t>
  </si>
  <si>
    <t>47.35105</t>
  </si>
  <si>
    <t>13.1998</t>
  </si>
  <si>
    <t>+436642531909</t>
  </si>
  <si>
    <t>info@stephanie.style</t>
  </si>
  <si>
    <t>https://bilder.dasschnelle.at/DasSchnelle/50/5000/9919/043351/G_043351_P_906335794.adn.gif</t>
  </si>
  <si>
    <t>Danler, Wolfgang, Tischlereien • Neustift im Stubaital • Tirol</t>
  </si>
  <si>
    <t>Tischlereien • Danler, Wolfgang, Stubaitalstraße 85, Neustift im Stubaital • Kontakt über aktuelle Telefonnummern ☎ und Adressen ⚑ mit Karte, Routing, Öffnungszeiten, Homepage, E-Mail, vCard und Firmendaten.</t>
  </si>
  <si>
    <t>Stubaitalstraße 85</t>
  </si>
  <si>
    <t>47.11097</t>
  </si>
  <si>
    <t>11.30906</t>
  </si>
  <si>
    <t>+4352262260;+4352263401</t>
  </si>
  <si>
    <t>+435226226015</t>
  </si>
  <si>
    <t>wolfgang.danler@olina.com</t>
  </si>
  <si>
    <t>https://bilder.dasschnelle.at/DasSchnelle/50/5000/9948/045897/G_045897_P_906335795.adn.gif</t>
  </si>
  <si>
    <t>Stubaier Wohndesign Haas-Volderauer Tischlerei GesmbH, Tischlereien • Neustift im Stubaital • Tirol</t>
  </si>
  <si>
    <t>Tischlereien • Stubaier Wohndesign Haas-Volderauer Tischlerei GesmbH, Franz-Senn-Straße 153, Neustift im Stubaital • Kontakt über aktuelle Telefonnummern ☎ und Adressen ⚑ mit Karte, Routing, Öffnungszeiten, Homepage, E-Mail, vCard und Firmendaten.</t>
  </si>
  <si>
    <t>Franz-Senn-Straße 153</t>
  </si>
  <si>
    <t>47.09477</t>
  </si>
  <si>
    <t>11.28001</t>
  </si>
  <si>
    <t>+4352263394</t>
  </si>
  <si>
    <t>office@stubaier-wohndesign.at</t>
  </si>
  <si>
    <t>https://bilder.dasschnelle.at/DasSchnelle/50/5000/9948/045897/G_045897_P_906335798.adn.gif</t>
  </si>
  <si>
    <t>Raumausstattung Rainer, Johannes • Neustift im Stubaital • Tirol</t>
  </si>
  <si>
    <t>Raumausstatter • Raumausstattung Rainer, Johannes, Scheibe 20, Neustift im Stubaital • Kontakt über aktuelle Telefonnummern ☎ und Adressen ⚑ mit Karte, Routing, Öffnungszeiten, Homepage, E-Mail, vCard und Firmendaten.</t>
  </si>
  <si>
    <t>Scheibe 20</t>
  </si>
  <si>
    <t>47.10875</t>
  </si>
  <si>
    <t>11.3017</t>
  </si>
  <si>
    <t>+436502321206</t>
  </si>
  <si>
    <t>info@raumausstattung-rainer.at</t>
  </si>
  <si>
    <t>https://bilder.dasschnelle.at/DasSchnelle/50/5000/9948/045897/G_045897_P_906335799.adn.gif</t>
  </si>
  <si>
    <t>König, Bernhard, Malerei • Lilienfeld • Niederösterreich</t>
  </si>
  <si>
    <t>Malereibetriebe • König, Bernhard, Sankt Pöltener Straße 21, Lilienfeld • Kontakt über aktuelle Telefonnummern ☎ und Adressen ⚑ mit Karte, Routing, Öffnungszeiten, Homepage, E-Mail, vCard und Firmendaten.</t>
  </si>
  <si>
    <t>Sankt Pöltener Straße 21</t>
  </si>
  <si>
    <t>48.02765</t>
  </si>
  <si>
    <t>15.60137</t>
  </si>
  <si>
    <t>+43276253345</t>
  </si>
  <si>
    <t>b.koenig@pgv.at</t>
  </si>
  <si>
    <t>https://bilder.dasschnelle.at/DasSchnelle/50/5000/9906/041522/G_041522_P_906335800.adn.gif</t>
  </si>
  <si>
    <t>Bio-Entsorgung-Bachschweller GesmbH, Bio-Entsorgung • Andorf • Oberösterreich</t>
  </si>
  <si>
    <t>Abfallentsorgung u. -verwertung, Entsorgungen • Bio-Entsorgung-Bachschweller GesmbH, Pimpfing 1, Andorf • Kontakt über aktuelle Telefonnummern ☎ und Adressen ⚑ mit Karte, Routing, Öffnungszeiten, Homepage, E-Mail, vCard und Firmendaten.</t>
  </si>
  <si>
    <t>Pimpfing 1</t>
  </si>
  <si>
    <t>48.3429828</t>
  </si>
  <si>
    <t>13.5527312</t>
  </si>
  <si>
    <t>+4377662475</t>
  </si>
  <si>
    <t>kontakt@bachschweller.at</t>
  </si>
  <si>
    <t>https://bilder.dasschnelle.at/DasSchnelle/50/5000/9926/042303/G_042303_P_906336226.adn.gif</t>
  </si>
  <si>
    <t>Abfallentsorgung u. -verwertung, Entsorgungen • Bio-Entsorgung-Bachschweller GesmbH, Bio-Entsorgung, Pimpfing 1, Andorf • Kontakt über aktuelle Telefonnummern ☎ und Adressen ⚑ mit Karte, Routing, Öffnungszeiten, Homepage, E-Mail, vCard und Firmendaten.</t>
  </si>
  <si>
    <t>https://bilder.dasschnelle.at/DasSchnelle/50/5000/9922/042563/G_042563_P_906336227.adn.gif</t>
  </si>
  <si>
    <t>Säge- u Hobelwerk Lohmühle GmbH, Sägewerk • Faistenau • Salzburg</t>
  </si>
  <si>
    <t>Säge- u. Hobelwerke • Säge- u Hobelwerk Lohmühle GmbH, Lohmühle 12, Faistenau • Kontakt über aktuelle Telefonnummern ☎ und Adressen ⚑ mit Karte, Routing, Öffnungszeiten, Homepage, E-Mail, vCard und Firmendaten.</t>
  </si>
  <si>
    <t>Lohmühle 12</t>
  </si>
  <si>
    <t>Faistenau</t>
  </si>
  <si>
    <t>47.76551</t>
  </si>
  <si>
    <t>13.24219</t>
  </si>
  <si>
    <t>+4362282234</t>
  </si>
  <si>
    <t>+4362287203</t>
  </si>
  <si>
    <t>office@lohmuehle.at</t>
  </si>
  <si>
    <t>https://bilder.dasschnelle.at/DasSchnelle/50/5000/9909/043307/G_043307_P_906336229.adn.gif</t>
  </si>
  <si>
    <t>Mitter, Regina, Friseure • Freistadt • Oberösterreich</t>
  </si>
  <si>
    <t>Friseure • Mitter, Regina, Pfarrgasse 24, Freistadt • Kontakt über aktuelle Telefonnummern ☎ und Adressen ⚑ mit Karte, Routing, Öffnungszeiten, Homepage, E-Mail, vCard und Firmendaten.</t>
  </si>
  <si>
    <t>48.51122</t>
  </si>
  <si>
    <t>14.50207</t>
  </si>
  <si>
    <t>+43794272109</t>
  </si>
  <si>
    <t>https://bilder.dasschnelle.at/DasSchnelle/50/5000/9882/044815/G_044815_P_906336231.adn.gif</t>
  </si>
  <si>
    <t>Egger &amp; Freidorfer Steuerberatungs-OG • Bruck an der Mur • Steiermark</t>
  </si>
  <si>
    <t>Steuerberater • Egger &amp; Freidorfer Steuerberatungs-OG, Koloman-Wallisch-Platz 23, Bruck an der Mur • Kontakt über aktuelle Telefonnummern ☎ und Adressen ⚑ mit Karte, Routing, Öffnungszeiten, Homepage, E-Mail, vCard und Firmendaten.</t>
  </si>
  <si>
    <t>Koloman-Wallisch-Platz 23</t>
  </si>
  <si>
    <t>47.4107393</t>
  </si>
  <si>
    <t>15.2689710</t>
  </si>
  <si>
    <t>+433862523580</t>
  </si>
  <si>
    <t>office@wt-ef.at</t>
  </si>
  <si>
    <t>https://bilder.dasschnelle.at/DasSchnelle/50/5000/9874/061404/G_061404_P_906303353.adn.gif</t>
  </si>
  <si>
    <t>Fuchs, Christian, Pension • Pfunds • Tirol</t>
  </si>
  <si>
    <t>Betonwerke, Erdbau, Transportunternehmen • Fuchs, Christian, Stuben 438, Pfunds • Kontakt über aktuelle Telefonnummern ☎ und Adressen ⚑ mit Karte, Routing, Öffnungszeiten, Homepage, E-Mail, vCard und Firmendaten.</t>
  </si>
  <si>
    <t>Stuben 438</t>
  </si>
  <si>
    <t>46.9695616</t>
  </si>
  <si>
    <t>10.5345769</t>
  </si>
  <si>
    <t>+4354745452;+436641602570;+436644419565</t>
  </si>
  <si>
    <t>info@transporte-fuchs.at</t>
  </si>
  <si>
    <t>https://bilder.dasschnelle.at/DasSchnelle/50/5000/9903/044587/G_044587_P_906121188.adn.gif</t>
  </si>
  <si>
    <t>EBERT Pflaster GmbH, Pflaster u Pflasterungen • Tribuswinkel • Niederösterreich</t>
  </si>
  <si>
    <t>Pflaster u. Pflasterungen • EBERT Pflaster GmbH, Hartfeldgasse 3, Tribuswinkel • Kontakt über aktuelle Telefonnummern ☎ und Adressen ⚑ mit Karte, Routing, Öffnungszeiten, Homepage, E-Mail, vCard und Firmendaten.</t>
  </si>
  <si>
    <t>Hartfeldgasse 3</t>
  </si>
  <si>
    <t>47.99916</t>
  </si>
  <si>
    <t>16.26956</t>
  </si>
  <si>
    <t>+43225280333</t>
  </si>
  <si>
    <t>+43225248370</t>
  </si>
  <si>
    <t>office@ebertpflaster.at</t>
  </si>
  <si>
    <t>https://bilder.dasschnelle.at/DasSchnelle/50/5000/9870/041362/G_041362_P_906044292.adn.gif</t>
  </si>
  <si>
    <t>Holzbau GEMA OG • Tannheim • Tirol</t>
  </si>
  <si>
    <t>Holzbau • Holzbau GEMA OG, Gewerbegebiet 7 A, Tannheim • Kontakt über aktuelle Telefonnummern ☎ und Adressen ⚑ mit Karte, Routing, Öffnungszeiten, Homepage, E-Mail, vCard und Firmendaten.</t>
  </si>
  <si>
    <t>Gewerbegebiet 7 A</t>
  </si>
  <si>
    <t>+43567520711;+436766066786</t>
  </si>
  <si>
    <t>Stadtgemeinde Klosterneuburg, Pressestelle • Klosterneuburg • Niederösterreich</t>
  </si>
  <si>
    <t>Gemeinde • Stadtgemeinde Klosterneuburg, Rathausplatz 1, Klosterneuburg • Kontakt über aktuelle Telefonnummern ☎ und Adressen ⚑ mit Karte, Routing, Öffnungszeiten, Homepage, E-Mail, vCard und Firmendaten.</t>
  </si>
  <si>
    <t>48.3048000</t>
  </si>
  <si>
    <t>16.3255700</t>
  </si>
  <si>
    <t>+4322434440;+432243444205;+432243444229;+432243444444;+432243444273;+432243444278;+432243444274;+432243444255;+432243444258;+432243444256;+432243444240;+432243444341;+432243444315;+432243444220;+432243444222;+432243444344;+432243444340;+432243444287;+432243444299;+43224325777;+432243444242;+432243444223;+432243444214;+432243444329;+432243444315;+432243444329;+432243444208;+432243444283;+432243444319;+432243444367;+432243444220;+432243444220;+432243444214;+436765333152</t>
  </si>
  <si>
    <t>stadtamt@klosterneuburg.at</t>
  </si>
  <si>
    <t>https://bilder.dasschnelle.at/DasSchnelle/50/5000/9897/061492/G_061492_P_906334901.adn.gif</t>
  </si>
  <si>
    <t>Fahrngruber, Alexandra, Gastronomie • Lilienfeld • Niederösterreich</t>
  </si>
  <si>
    <t>Gastronomiebetriebe • Fahrngruber, Alexandra, Babenbergerstraße 24, Lilienfeld • Kontakt über aktuelle Telefonnummern ☎ und Adressen ⚑ mit Karte, Routing, Öffnungszeiten, Homepage, E-Mail, vCard und Firmendaten.</t>
  </si>
  <si>
    <t>Babenbergerstraße 24</t>
  </si>
  <si>
    <t>48.0162400</t>
  </si>
  <si>
    <t>15.5962500</t>
  </si>
  <si>
    <t>+43276255938;+43276252377</t>
  </si>
  <si>
    <t>lilienfelderstueberl@aon.at</t>
  </si>
  <si>
    <t>https://bilder.dasschnelle.at/DasSchnelle/50/5000/9906/041522/G_041522_P_906123790.adn.gif</t>
  </si>
  <si>
    <t>Huber's KFZ Klinik, Leopold • Rosenau am Sonntagberg • Niederösterreich</t>
  </si>
  <si>
    <t>Autoreparaturen • Huber's KFZ Klinik, Leopold, Waidhofnerstraße 23, Rosenau am Sonntagberg • Kontakt über aktuelle Telefonnummern ☎ und Adressen ⚑ mit Karte, Routing, Öffnungszeiten, Homepage, E-Mail, vCard und Firmendaten.</t>
  </si>
  <si>
    <t>Waidhofnerstraße 23</t>
  </si>
  <si>
    <t>3332</t>
  </si>
  <si>
    <t>Rosenau am Sonntagberg</t>
  </si>
  <si>
    <t>48.01236</t>
  </si>
  <si>
    <t>14.74501</t>
  </si>
  <si>
    <t>+43744820006</t>
  </si>
  <si>
    <t>huberskfz-klinik@aon.at</t>
  </si>
  <si>
    <t>https://bilder.dasschnelle.at/DasSchnelle/50/5000/9866/041327/G_041327_P_906123968.adn.gif</t>
  </si>
  <si>
    <t>Fensterbau Salzburg GesmbH Heuberger Fenster • Thalgau • Salzburg</t>
  </si>
  <si>
    <t>Fenster u. Türen • Fensterbau Salzburg GesmbH Heuberger Fenster, Salzburger Straße 109, Thalgau • Kontakt über aktuelle Telefonnummern ☎ und Adressen ⚑ mit Karte, Routing, Öffnungszeiten, Homepage, E-Mail, vCard und Firmendaten.</t>
  </si>
  <si>
    <t>47.84206</t>
  </si>
  <si>
    <t>13.23266</t>
  </si>
  <si>
    <t>+43623577660</t>
  </si>
  <si>
    <t>office@fensterbau-salzburg.at</t>
  </si>
  <si>
    <t>https://bilder.dasschnelle.at/DasSchnelle/50/5000/9909/043081/I_043333_P_906158694_L_0035974335_1.png</t>
  </si>
  <si>
    <t>https://bilder.dasschnelle.at/DasSchnelle/50/5000/9909/043081/I_043333_P_906158694_B_0035974335_1.gal.png?height=533&amp;width=533;https://bilder.dasschnelle.at/DasSchnelle/50/5000/9909/043081/I_043333_P_906158694_B_0035974335_2.gal.png?height=259&amp;width=533;https://bilder.dasschnelle.at/DasSchnelle/50/5000/9909/043081/I_043333_P_906158694_B_0035974335_3.gal.png?height=259&amp;width=533;https://bilder.dasschnelle.at/DasSchnelle/50/5000/9909/043081/I_043333_P_906158694_B_0035974335_4.gal.png?height=549&amp;width=572</t>
  </si>
  <si>
    <t>Pötzelsberger &amp; Thonhofer Service GmbH, Karosseriebau • Eugendorf • Salzburg</t>
  </si>
  <si>
    <t>Karosseriebau • Pötzelsberger &amp; Thonhofer Service GmbH, Bahnweg 1, Eugendorf • Kontakt über aktuelle Telefonnummern ☎ und Adressen ⚑ mit Karte, Routing, Öffnungszeiten, Homepage, E-Mail, vCard und Firmendaten.</t>
  </si>
  <si>
    <t>Bahnweg 1</t>
  </si>
  <si>
    <t>47.8698700</t>
  </si>
  <si>
    <t>13.1198500</t>
  </si>
  <si>
    <t>+4362258258</t>
  </si>
  <si>
    <t>+436225825817</t>
  </si>
  <si>
    <t>georg@pt-service.at</t>
  </si>
  <si>
    <t>https://bilder.dasschnelle.at/DasSchnelle/50/5000/9931/043306/I_043306_P_906248351_L_0035969883_1.png</t>
  </si>
  <si>
    <t>https://bilder.dasschnelle.at/DasSchnelle/50/5000/9931/043306/I_043306_P_906248351_B_0035969883_1.gal.png?height=420&amp;width=560;https://bilder.dasschnelle.at/DasSchnelle/50/5000/9931/043306/I_043306_P_906248351_B_0035969883_2.gal.png?height=420&amp;width=560;https://bilder.dasschnelle.at/DasSchnelle/50/5000/9931/043306/I_043306_P_906248351_B_0035969883_3.gal.png?height=420&amp;width=560;https://bilder.dasschnelle.at/DasSchnelle/50/5000/9931/043306/I_043306_P_906248351_B_0035969883_4.gal.png?height=321&amp;width=720</t>
  </si>
  <si>
    <t>Hofer, Manuela • Hartkirchen • Oberösterreich</t>
  </si>
  <si>
    <t>Sattler u. Riemer • Hofer, Manuela, Karling 158, Hartkirchen • Kontakt über aktuelle Telefonnummern ☎ und Adressen ⚑ mit Karte, Routing, Öffnungszeiten, Homepage, E-Mail, vCard und Firmendaten.</t>
  </si>
  <si>
    <t>Karling 158</t>
  </si>
  <si>
    <t>48.3609900</t>
  </si>
  <si>
    <t>13.9945000</t>
  </si>
  <si>
    <t>+436643816880</t>
  </si>
  <si>
    <t>tabo@gmx.at</t>
  </si>
  <si>
    <t>https://bilder.dasschnelle.at/DasSchnelle/50/5000/9876/044808/G_044808_P_906244486.adn.gif</t>
  </si>
  <si>
    <t>Putz, Anita, Taxi • Bad Ischl • Oberösterreich</t>
  </si>
  <si>
    <t>Taxi • Putz, Anita, Rettenbachwaldstraße 33, Bad Ischl • Kontakt über aktuelle Telefonnummern ☎ und Adressen ⚑ mit Karte, Routing, Öffnungszeiten, Homepage, E-Mail, vCard und Firmendaten.</t>
  </si>
  <si>
    <t>Rettenbachwaldstraße 33</t>
  </si>
  <si>
    <t>47.71262</t>
  </si>
  <si>
    <t>13.63395</t>
  </si>
  <si>
    <t>+43613226488;+436642110428</t>
  </si>
  <si>
    <t>taxiputz@hotmail.com</t>
  </si>
  <si>
    <t>https://bilder.dasschnelle.at/DasSchnelle/50/5000/9868/041790/G_041790_P_906249221.adn.gif</t>
  </si>
  <si>
    <t>Haslinger Rudolf GesmbH, Malerbetrieb, Farbenfachhandel • Heidenreichstein • Niederösterreich</t>
  </si>
  <si>
    <t>Malereibetriebe • Haslinger Rudolf GesmbH, Bahnhofstraße 25, Heidenreichstein • Kontakt über aktuelle Telefonnummern ☎ und Adressen ⚑ mit Karte, Routing, Öffnungszeiten, Homepage, E-Mail, vCard und Firmendaten.</t>
  </si>
  <si>
    <t>Bahnhofstraße 25</t>
  </si>
  <si>
    <t>48.8640900</t>
  </si>
  <si>
    <t>15.1171200</t>
  </si>
  <si>
    <t>+432862521960</t>
  </si>
  <si>
    <t>office@haslinger-maler.at</t>
  </si>
  <si>
    <t>https://bilder.dasschnelle.at/DasSchnelle/50/5000/9885/045081/G_045081_P_906065117.adn.gif</t>
  </si>
  <si>
    <t>Hausruck-Dach GmbH, Spengler u Dachdeckerei • Ampflwang • Oberösterreich</t>
  </si>
  <si>
    <t>Dachdeckerei u. Spenglerei • Hausruck-Dach GmbH, Bahnhofstraße 15, Ampflwang • Kontakt über aktuelle Telefonnummern ☎ und Adressen ⚑ mit Karte, Routing, Öffnungszeiten, Homepage, E-Mail, vCard und Firmendaten.</t>
  </si>
  <si>
    <t>48.0887300</t>
  </si>
  <si>
    <t>13.5610200</t>
  </si>
  <si>
    <t>+4376752009;+436644553892</t>
  </si>
  <si>
    <t>office@hausruck-dach.at</t>
  </si>
  <si>
    <t>https://bilder.dasschnelle.at/DasSchnelle/50/5000/9940/043067/I_043067_P_906091160_L_0035994061_1.png</t>
  </si>
  <si>
    <t>https://bilder.dasschnelle.at/DasSchnelle/50/5000/9940/043067/I_043067_P_906091160_B_0035994061_1.gal.png?height=328&amp;width=624;https://bilder.dasschnelle.at/DasSchnelle/50/5000/9940/043067/I_043067_P_906091160_B_0035994061_2.gal.png?height=328&amp;width=624;https://bilder.dasschnelle.at/DasSchnelle/50/5000/9940/043067/I_043067_P_906091160_B_0035994061_3.gal.png?height=333&amp;width=500;https://bilder.dasschnelle.at/DasSchnelle/50/5000/9940/043067/I_043067_P_906091160_B_0035994061_4.gal.png?height=373&amp;width=500</t>
  </si>
  <si>
    <t>Nagele HandelsgesmbH &amp; Co KG, Heizöle • Steinach • Tirol</t>
  </si>
  <si>
    <t>Heizöle • Nagele HandelsgesmbH &amp; Co KG, Bahnhofstraße 162 B, Steinach • Kontakt über aktuelle Telefonnummern ☎ und Adressen ⚑ mit Karte, Routing, Öffnungszeiten, Homepage, E-Mail, vCard und Firmendaten.</t>
  </si>
  <si>
    <t>Bahnhofstraße 162 B</t>
  </si>
  <si>
    <t>47.0909200</t>
  </si>
  <si>
    <t>11.4684300</t>
  </si>
  <si>
    <t>+4352726257;+43527220294</t>
  </si>
  <si>
    <t>+435272625716</t>
  </si>
  <si>
    <t>info@vinothek-nagele.at</t>
  </si>
  <si>
    <t>https://bilder.dasschnelle.at/DasSchnelle/50/5000/9948/045918/G_045918_P_906336249.adn.gif</t>
  </si>
  <si>
    <t>Konlechner Gerhard e.U., Uhrmacher • Wilhelmsburg • Niederösterreich</t>
  </si>
  <si>
    <t>Uhrmacher • Konlechner Gerhard e.U., Obere Hauptstraße 8, Wilhelmsburg • Kontakt über aktuelle Telefonnummern ☎ und Adressen ⚑ mit Karte, Routing, Öffnungszeiten, Homepage, E-Mail, vCard und Firmendaten.</t>
  </si>
  <si>
    <t>Obere Hauptstraße 8</t>
  </si>
  <si>
    <t>48.10428</t>
  </si>
  <si>
    <t>15.60509</t>
  </si>
  <si>
    <t>+4327462369</t>
  </si>
  <si>
    <t>konoptik@aon.at</t>
  </si>
  <si>
    <t>https://bilder.dasschnelle.at/DasSchnelle/50/5000/9906/041920/G_041920_P_906336503.adn.gif</t>
  </si>
  <si>
    <t>Werner, Klaus, Sanitär - Heizung - Lüftung • Hainfeld • Niederösterreich</t>
  </si>
  <si>
    <t>Sanitäranlagen u. -einrichtungen • Werner, Klaus, Ramsauer Straße 20, Hainfeld • Kontakt über aktuelle Telefonnummern ☎ und Adressen ⚑ mit Karte, Routing, Öffnungszeiten, Homepage, E-Mail, vCard und Firmendaten.</t>
  </si>
  <si>
    <t>Ramsauer Straße 20</t>
  </si>
  <si>
    <t>48.0326</t>
  </si>
  <si>
    <t>15.774</t>
  </si>
  <si>
    <t>+4327642466</t>
  </si>
  <si>
    <t>office@installateur-werner.at</t>
  </si>
  <si>
    <t>https://bilder.dasschnelle.at/DasSchnelle/50/5000/9906/041518/G_041518_P_906336504.adn.gif</t>
  </si>
  <si>
    <t>HAGER Versicherungs GmbH, Versicherungen • Badhöring • Oberösterreich</t>
  </si>
  <si>
    <t>Versicherungsunternehmen • HAGER Versicherungs GmbH, Badhöring 35, Badhöring • Kontakt über aktuelle Telefonnummern ☎ und Adressen ⚑ mit Karte, Routing, Öffnungszeiten, Homepage, E-Mail, vCard und Firmendaten.</t>
  </si>
  <si>
    <t>Badhöring 35</t>
  </si>
  <si>
    <t>Badhöring</t>
  </si>
  <si>
    <t>48.4328204</t>
  </si>
  <si>
    <t>13.4449926</t>
  </si>
  <si>
    <t>+43771230250</t>
  </si>
  <si>
    <t>a.hager@ooev.at</t>
  </si>
  <si>
    <t>https://bilder.dasschnelle.at/DasSchnelle/50/5000/9926/042793/G_042793_P_906336505.adn.gif</t>
  </si>
  <si>
    <t>FORSTENLECHNER INSTALLATIONSTECHNIK GesmbH, Installationstechnik • Perg • Oberösterreich</t>
  </si>
  <si>
    <t>Installationsunternehmen, Metallbau • FORSTENLECHNER INSTALLATIONSTECHNIK GesmbH, Kramelsbergstraße 11, Perg • Kontakt über aktuelle Telefonnummern ☎ und Adressen ⚑ mit Karte, Routing, Öffnungszeiten, Homepage, E-Mail, vCard und Firmendaten.</t>
  </si>
  <si>
    <t>Kramelsbergstraße 11</t>
  </si>
  <si>
    <t>48.23881</t>
  </si>
  <si>
    <t>14.62002</t>
  </si>
  <si>
    <t>+437262523520</t>
  </si>
  <si>
    <t>office@forstenlechner.at</t>
  </si>
  <si>
    <t>https://bilder.dasschnelle.at/DasSchnelle/50/5000/9916/042528/G_042528_P_906336506.adn.gif</t>
  </si>
  <si>
    <t>Mayr, C., Dr. OA, Urologie • Hagenberg im Mühlkreis • Oberösterreich</t>
  </si>
  <si>
    <t>Ärzte / Fachärzte f. Urologie • Mayr, C., Dr. OA, Raiffeisenstraße 1, Hagenberg im Mühlkreis • Kontakt über aktuelle Telefonnummern ☎ und Adressen ⚑ mit Karte, Routing, Öffnungszeiten, Homepage, E-Mail, vCard und Firmendaten.</t>
  </si>
  <si>
    <t>+436503535735</t>
  </si>
  <si>
    <t>ordination@mayr-urologie.at</t>
  </si>
  <si>
    <t>https://bilder.dasschnelle.at/DasSchnelle/50/5000/9882/998305/G_998305_P_906336507.adn.gif</t>
  </si>
  <si>
    <t>Grünzweil GmbH, Transporte-Entsorgung • St. Johann am Wimberg • Oberösterreich</t>
  </si>
  <si>
    <t>Altwaren, Gastgewerbe - Gasthöfe • Grünzweil GmbH, Petersberg 50, St. Johann am Wimberg • Kontakt über aktuelle Telefonnummern ☎ und Adressen ⚑ mit Karte, Routing, Öffnungszeiten, Homepage, E-Mail, vCard und Firmendaten.</t>
  </si>
  <si>
    <t>Petersberg 50</t>
  </si>
  <si>
    <t>St. Johann am Wimberg</t>
  </si>
  <si>
    <t>48.5047943</t>
  </si>
  <si>
    <t>14.1330104</t>
  </si>
  <si>
    <t>+43721771940</t>
  </si>
  <si>
    <t>office@gruenzweil.info</t>
  </si>
  <si>
    <t>https://bilder.dasschnelle.at/DasSchnelle/50/5000/9923/042290/I_042290_P_906159776_L_0036177698_1.png</t>
  </si>
  <si>
    <t>https://bilder.dasschnelle.at/DasSchnelle/50/5000/9923/042290/I_042290_P_906159776_B_0036177698_1.gal.png?height=400&amp;width=600;https://bilder.dasschnelle.at/DasSchnelle/50/5000/9923/042290/I_042290_P_906159776_B_0036177698_2.gal.png?height=400&amp;width=600;https://bilder.dasschnelle.at/DasSchnelle/50/5000/9923/042290/I_042290_P_906159776_B_0036177698_3.gal.png?height=400&amp;width=600;https://bilder.dasschnelle.at/DasSchnelle/50/5000/9923/042290/I_042290_P_906159776_B_0036177698_4.gal.png?height=400&amp;width=600</t>
  </si>
  <si>
    <t>Stockhammer, Gerhard, Malerei • Obernberg am Inn • Oberösterreich</t>
  </si>
  <si>
    <t>Malereibetriebe • Stockhammer, Gerhard, Vormarkt Nonsbach 22, Obernberg am Inn • Kontakt über aktuelle Telefonnummern ☎ und Adressen ⚑ mit Karte, Routing, Öffnungszeiten, Homepage, E-Mail, vCard und Firmendaten.</t>
  </si>
  <si>
    <t>Vormarkt Nonsbach 22</t>
  </si>
  <si>
    <t>48.31901</t>
  </si>
  <si>
    <t>13.33473</t>
  </si>
  <si>
    <t>+43775830060;+436766424345</t>
  </si>
  <si>
    <t>malerei.stockhammer@aon.at</t>
  </si>
  <si>
    <t>https://bilder.dasschnelle.at/DasSchnelle/50/5000/9922/042557/G_042557_P_906175932.adn.gif</t>
  </si>
  <si>
    <t>Medved Ing &amp; Troll GmbH Elektroinstallationen, Elektroinstallationsunternehmen • Himberg • Niederösterreich</t>
  </si>
  <si>
    <t>Elektroinstallationsunternehmen • Medved Ing &amp; Troll GmbH Elektroinstallationen, Josef Kainzgasse 15, Himberg • Kontakt über aktuelle Telefonnummern ☎ und Adressen ⚑ mit Karte, Routing, Öffnungszeiten, Homepage, E-Mail, vCard und Firmendaten.</t>
  </si>
  <si>
    <t>Josef Kainzgasse 15</t>
  </si>
  <si>
    <t>16.43359</t>
  </si>
  <si>
    <t>+43223584158</t>
  </si>
  <si>
    <t>+4322358415820</t>
  </si>
  <si>
    <t>office@medved-troll.at</t>
  </si>
  <si>
    <t>https://bilder.dasschnelle.at/DasSchnelle/50/5000/9930/044509/G_044509_P_906180102.adn.gif</t>
  </si>
  <si>
    <t>Brunner Max GmbH, Installationen • Schwaz • Tirol</t>
  </si>
  <si>
    <t>Installationsunternehmen • Brunner Max GmbH, Bergwerkstraße 4 A, Schwaz • Kontakt über aktuelle Telefonnummern ☎ und Adressen ⚑ mit Karte, Routing, Öffnungszeiten, Homepage, E-Mail, vCard und Firmendaten.</t>
  </si>
  <si>
    <t>Bergwerkstraße 4 A</t>
  </si>
  <si>
    <t>47.35691</t>
  </si>
  <si>
    <t>11.728</t>
  </si>
  <si>
    <t>+435242645350</t>
  </si>
  <si>
    <t>+4352426453510</t>
  </si>
  <si>
    <t>anika@haustechnik-brunner.at</t>
  </si>
  <si>
    <t>https://bilder.dasschnelle.at/DasSchnelle/50/5000/9929/042636/G_042636_P_906189328.adn.gif</t>
  </si>
  <si>
    <t>Schöpp GmbH, Warenhandel • Kuchl • Salzburg</t>
  </si>
  <si>
    <t>Handelsunternehmen • Schöpp GmbH, Garnei 147b, Kuchl • Kontakt über aktuelle Telefonnummern ☎ und Adressen ⚑ mit Karte, Routing, Öffnungszeiten, Homepage, E-Mail, vCard und Firmendaten.</t>
  </si>
  <si>
    <t>Garnei 147b</t>
  </si>
  <si>
    <t>47.6414987</t>
  </si>
  <si>
    <t>13.1344524</t>
  </si>
  <si>
    <t>+43624490440</t>
  </si>
  <si>
    <t>office@schoepp-beschlaege.at</t>
  </si>
  <si>
    <t>https://bilder.dasschnelle.at/DasSchnelle/50/5000/9889/043591/G_043591_P_906239006.adn.gif</t>
  </si>
  <si>
    <t>Ihr Poolspezialist • Ennsdorf • Niederösterreich</t>
  </si>
  <si>
    <t>Schwimmbäder • Ihr Poolspezialist, Mauthausner Strasse 38, Ennsdorf • Kontakt über aktuelle Telefonnummern ☎ und Adressen ⚑ mit Karte, Routing, Öffnungszeiten, Homepage, E-Mail, vCard und Firmendaten.</t>
  </si>
  <si>
    <t>Mauthausner Strasse 38</t>
  </si>
  <si>
    <t>4482</t>
  </si>
  <si>
    <t>Ennsdorf</t>
  </si>
  <si>
    <t>48.22479</t>
  </si>
  <si>
    <t>14.52032</t>
  </si>
  <si>
    <t>+436601877007</t>
  </si>
  <si>
    <t>hermann.haslsteiner@drei.at</t>
  </si>
  <si>
    <t>https://bilder.dasschnelle.at/DasSchnelle/50/5000/9877/042067/I_042067_P_906248109_L_0039666692_1.png</t>
  </si>
  <si>
    <t>https://bilder.dasschnelle.at/DasSchnelle/50/5000/9877/042067/I_042067_P_906248109_B_0039666692_1.gal.png?height=537&amp;width=720;https://bilder.dasschnelle.at/DasSchnelle/50/5000/9877/042067/I_042067_P_906248109_B_0039666692_2.gal.png?height=397&amp;width=720;https://bilder.dasschnelle.at/DasSchnelle/50/5000/9877/042067/I_042067_P_906248109_B_0039666692_3.gal.png?height=431&amp;width=375;https://bilder.dasschnelle.at/DasSchnelle/50/5000/9877/042067/I_042067_P_906248109_B_0039666692_4.gal.png?height=432&amp;width=560</t>
  </si>
  <si>
    <t>Hoendervangers, Edwin, Physiotherapie &amp; Osteopathie • Haiming • Tirol</t>
  </si>
  <si>
    <t>Physiotherapie • Hoendervangers, Edwin, Siedlungsstraße 4, Haiming • Kontakt über aktuelle Telefonnummern ☎ und Adressen ⚑ mit Karte, Routing, Öffnungszeiten, Homepage, E-Mail, vCard und Firmendaten.</t>
  </si>
  <si>
    <t>Siedlungsstraße 4</t>
  </si>
  <si>
    <t>47.2559400</t>
  </si>
  <si>
    <t>10.8845200</t>
  </si>
  <si>
    <t>+43526687604</t>
  </si>
  <si>
    <t>info@physio-therapeut.at</t>
  </si>
  <si>
    <t>https://bilder.dasschnelle.at/DasSchnelle/50/5000/9894/045637/G_045637_P_906251382.adn.gif</t>
  </si>
  <si>
    <t>Bichelhuber, Andreas, Orthopädie-Schuhtechniker • Kirchdorf an der Krems • Oberösterreich</t>
  </si>
  <si>
    <t>Orthopädie • Bichelhuber, Andreas, Krankenhausstraße 1, Kirchdorf an der Krems • Kontakt über aktuelle Telefonnummern ☎ und Adressen ⚑ mit Karte, Routing, Öffnungszeiten, Homepage, E-Mail, vCard und Firmendaten.</t>
  </si>
  <si>
    <t>Krankenhausstraße 1</t>
  </si>
  <si>
    <t>47.90714</t>
  </si>
  <si>
    <t>14.12215</t>
  </si>
  <si>
    <t>+43758260981</t>
  </si>
  <si>
    <t>bichelhuberschuhe@gmx.at</t>
  </si>
  <si>
    <t>https://bilder.dasschnelle.at/DasSchnelle/50/5000/9895/046082/G_046082_P_906265961.adn.gif</t>
  </si>
  <si>
    <t>Gärtnerei Schmollgruber • Mauerkirchen • Oberösterreich</t>
  </si>
  <si>
    <t>Gärtnereien • Gärtnerei Schmollgruber, Biburgerstraße 6, Mauerkirchen • Kontakt über aktuelle Telefonnummern ☎ und Adressen ⚑ mit Karte, Routing, Öffnungszeiten, Homepage, E-Mail, vCard und Firmendaten.</t>
  </si>
  <si>
    <t>Biburgerstraße 6</t>
  </si>
  <si>
    <t>48.1886900</t>
  </si>
  <si>
    <t>13.1293700</t>
  </si>
  <si>
    <t>+43772428180</t>
  </si>
  <si>
    <t>office@gaertnerei.cc</t>
  </si>
  <si>
    <t>https://bilder.dasschnelle.at/DasSchnelle/50/5000/9872/044778/G_044778_P_906282699.adn.gif</t>
  </si>
  <si>
    <t>Ordination Dr. Phillip Vedi, Allgemeinmediziner • Großpetersdorf • Burgenland</t>
  </si>
  <si>
    <t>Allgemeinmedizin • Ordination Dr. Phillip Vedi, Ungarnstraße 10, Großpetersdorf • Kontakt über aktuelle Telefonnummern ☎ und Adressen ⚑ mit Karte, Routing, Öffnungszeiten, Homepage, E-Mail, vCard und Firmendaten.</t>
  </si>
  <si>
    <t>Ungarnstraße 10</t>
  </si>
  <si>
    <t>47.2406627</t>
  </si>
  <si>
    <t>16.3169312</t>
  </si>
  <si>
    <t>+4333622266</t>
  </si>
  <si>
    <t>ordination.verdi@gmail.com</t>
  </si>
  <si>
    <t>https://bilder.dasschnelle.at/DasSchnelle/50/5000/9951/041751/G_041751_P_906287653.adn.gif</t>
  </si>
  <si>
    <t>Steinbauer, Manfred, Service &amp; Reifenspezialist • Altmelon • Niederösterreich</t>
  </si>
  <si>
    <t>Tankstellen • Steinbauer, Manfred, Altmelon 63, Altmelon • Kontakt über aktuelle Telefonnummern ☎ und Adressen ⚑ mit Karte, Routing, Öffnungszeiten, Homepage, E-Mail, vCard und Firmendaten.</t>
  </si>
  <si>
    <t>Altmelon 63</t>
  </si>
  <si>
    <t>Altmelon</t>
  </si>
  <si>
    <t>48.4628625</t>
  </si>
  <si>
    <t>14.9673527</t>
  </si>
  <si>
    <t>+432813276</t>
  </si>
  <si>
    <t>msteinbauer@aon.at</t>
  </si>
  <si>
    <t>https://bilder.dasschnelle.at/DasSchnelle/50/5000/9950/044536/G_044536_P_906310524.adn.gif</t>
  </si>
  <si>
    <t>Schindler Andreas GmbH, Steinmetz • Zissersdorf • Niederösterreich</t>
  </si>
  <si>
    <t>Steinmetzbetriebe • Schindler Andreas GmbH, Lindenweg 37, Zissersdorf • Kontakt über aktuelle Telefonnummern ☎ und Adressen ⚑ mit Karte, Routing, Öffnungszeiten, Homepage, E-Mail, vCard und Firmendaten.</t>
  </si>
  <si>
    <t>Lindenweg 37</t>
  </si>
  <si>
    <t>Zissersdorf</t>
  </si>
  <si>
    <t>48.39999</t>
  </si>
  <si>
    <t>16.14082</t>
  </si>
  <si>
    <t>+4322657337</t>
  </si>
  <si>
    <t>info@stein-schindler.at</t>
  </si>
  <si>
    <t>https://bilder.dasschnelle.at/DasSchnelle/50/5000/9898/041412/I_041412_P_906327331_L_0035969928_1.png</t>
  </si>
  <si>
    <t>https://bilder.dasschnelle.at/DasSchnelle/50/5000/9898/041412/I_041412_P_906327331_B_0035969928_1.gal.png?height=554&amp;width=831;https://bilder.dasschnelle.at/DasSchnelle/50/5000/9898/041412/I_041412_P_906327331_B_0035969928_2.gal.png?height=441&amp;width=799;https://bilder.dasschnelle.at/DasSchnelle/50/5000/9898/041412/I_041412_P_906327331_B_0035969928_3.gal.png?height=498&amp;width=497;https://bilder.dasschnelle.at/DasSchnelle/50/5000/9898/041412/I_041412_P_906327331_B_0035969928_4.gal.png?height=599&amp;width=796</t>
  </si>
  <si>
    <t>Moser Sarina, Malerei • Nötsch im Gailtal • Kärnten</t>
  </si>
  <si>
    <t>Fassaden, Malereibetriebe • Moser Sarina, Saak 123, Nötsch im Gailtal • Kontakt über aktuelle Telefonnummern ☎ und Adressen ⚑ mit Karte, Routing, Öffnungszeiten, Homepage, E-Mail, vCard und Firmendaten.</t>
  </si>
  <si>
    <t>Saak 123</t>
  </si>
  <si>
    <t>9611</t>
  </si>
  <si>
    <t>Nötsch im Gailtal</t>
  </si>
  <si>
    <t>46.5885521</t>
  </si>
  <si>
    <t>13.6316069</t>
  </si>
  <si>
    <t>+43699190888801</t>
  </si>
  <si>
    <t>sarinamoser@gmx.at</t>
  </si>
  <si>
    <t>Wallner Restaurant-Hotel GmbH • St. Valentin • Niederösterreich</t>
  </si>
  <si>
    <t>Gastgewerbe - Gasthöfe • Wallner Restaurant-Hotel GmbH, Westbahnstraße 58, St. Valentin • Kontakt über aktuelle Telefonnummern ☎ und Adressen ⚑ mit Karte, Routing, Öffnungszeiten, Homepage, E-Mail, vCard und Firmendaten.</t>
  </si>
  <si>
    <t>Westbahnstraße 58</t>
  </si>
  <si>
    <t>48.1810200</t>
  </si>
  <si>
    <t>14.5217400</t>
  </si>
  <si>
    <t>+43743552454</t>
  </si>
  <si>
    <t>+437435524545</t>
  </si>
  <si>
    <t>info@zum-gruenen-baum.at</t>
  </si>
  <si>
    <t>https://bilder.dasschnelle.at/DasSchnelle/50/5000/9924/041325/G_041325_P_906136210.adn.gif</t>
  </si>
  <si>
    <t>Mörtl Bestattung • Kötschach-Mauthen • Kärnten</t>
  </si>
  <si>
    <t>Mörtl Bestattung, Kötschach 18, Kötschach-Mauthen • Kontakt über aktuelle Telefonnummern ☎ und Adressen ⚑ mit Karte, Routing, Öffnungszeiten, Homepage, E-Mail, vCard und Firmendaten.</t>
  </si>
  <si>
    <t>Kötschach 18</t>
  </si>
  <si>
    <t>46.6775079</t>
  </si>
  <si>
    <t>13.0046252</t>
  </si>
  <si>
    <t>+434715225;+436642006886</t>
  </si>
  <si>
    <t>Schudigu GmbH, Schuhgeschäft • Frankenmarkt • Oberösterreich</t>
  </si>
  <si>
    <t>Schuhfachgeschäft • Schudigu GmbH, Hauptstraße 108, Frankenmarkt • Kontakt über aktuelle Telefonnummern ☎ und Adressen ⚑ mit Karte, Routing, Öffnungszeiten, Homepage, E-Mail, vCard und Firmendaten.</t>
  </si>
  <si>
    <t>Hauptstraße 108</t>
  </si>
  <si>
    <t>47.9854636</t>
  </si>
  <si>
    <t>13.4179449</t>
  </si>
  <si>
    <t>+436608243017</t>
  </si>
  <si>
    <t>Edi, Manuela, Psychotherapie / Ärztehaus • Schärding • Oberösterreich</t>
  </si>
  <si>
    <t>Psychotherapie • Edi, Manuela, Pramhöhe 16, Schärding • Kontakt über aktuelle Telefonnummern ☎ und Adressen ⚑ mit Karte, Routing, Öffnungszeiten, Homepage, E-Mail, vCard und Firmendaten.</t>
  </si>
  <si>
    <t>48.4566300</t>
  </si>
  <si>
    <t>13.4375700</t>
  </si>
  <si>
    <t>+436765555969</t>
  </si>
  <si>
    <t>praxis@manuelaedi.at</t>
  </si>
  <si>
    <t>https://bilder.dasschnelle.at/DasSchnelle/50/5000/9926/042797/G_042797_P_906337028.adn.gif</t>
  </si>
  <si>
    <t>Schnabl, Peter, Glasereien • Mattsee • Salzburg</t>
  </si>
  <si>
    <t>Glasereien • Schnabl, Peter, Passauer Straße 12, Mattsee • Kontakt über aktuelle Telefonnummern ☎ und Adressen ⚑ mit Karte, Routing, Öffnungszeiten, Homepage, E-Mail, vCard und Firmendaten.</t>
  </si>
  <si>
    <t>Passauer Straße 12</t>
  </si>
  <si>
    <t>47.9713600</t>
  </si>
  <si>
    <t>13.1037500</t>
  </si>
  <si>
    <t>+43621752650</t>
  </si>
  <si>
    <t>office@glas-schnabl.at</t>
  </si>
  <si>
    <t>https://bilder.dasschnelle.at/DasSchnelle/50/5000/9931/043319/I_043319_P_906232817_L_0036266154_1.png</t>
  </si>
  <si>
    <t>https://bilder.dasschnelle.at/DasSchnelle/50/5000/9931/043319/I_043319_P_906232817_B_0036266154_1.gal.png?height=540&amp;width=720;https://bilder.dasschnelle.at/DasSchnelle/50/5000/9931/043319/I_043319_P_906232817_B_0036266154_2.gal.png?height=540&amp;width=720;https://bilder.dasschnelle.at/DasSchnelle/50/5000/9931/043319/I_043319_P_906232817_B_0036266154_3.gal.png?height=540&amp;width=720;https://bilder.dasschnelle.at/DasSchnelle/50/5000/9931/043319/I_043319_P_906232817_B_0036266154_4.gal.png?height=540&amp;width=720;https://bilder.dasschnelle.at/DasSchnelle/50/5000/9931/043319/G_043319_P_906232817.adn.gif</t>
  </si>
  <si>
    <t>Tratter, Christian, Dr., FA f Augenheilkunde u Optometrie • Seekirchen am Wallersee • Salzburg</t>
  </si>
  <si>
    <t>Ärzte / Fachärzte f. Augenheilkunde u. Optometrie • Tratter, Christian, Dr., Hauptstraße 15, Seekirchen am Wallersee • Kontakt über aktuelle Telefonnummern ☎ und Adressen ⚑ mit Karte, Routing, Öffnungszeiten, Homepage, E-Mail, vCard und Firmendaten.</t>
  </si>
  <si>
    <t>47.8929100</t>
  </si>
  <si>
    <t>13.1259800</t>
  </si>
  <si>
    <t>+4362122782</t>
  </si>
  <si>
    <t>+43621227824</t>
  </si>
  <si>
    <t>anmeldung@ordination-tratter.at</t>
  </si>
  <si>
    <t>https://bilder.dasschnelle.at/DasSchnelle/50/5000/9931/043333/G_043333_P_906281127.adn.gif</t>
  </si>
  <si>
    <t>Kreßl, Markus, Erdbewegung • Gosau • Oberösterreich</t>
  </si>
  <si>
    <t>Erdbewegungen • Kreßl, Markus, Schlierwaag 12, Gosau • Kontakt über aktuelle Telefonnummern ☎ und Adressen ⚑ mit Karte, Routing, Öffnungszeiten, Homepage, E-Mail, vCard und Firmendaten.</t>
  </si>
  <si>
    <t>Schlierwaag 12</t>
  </si>
  <si>
    <t>47.57628</t>
  </si>
  <si>
    <t>13.52467</t>
  </si>
  <si>
    <t>+436607660783;+436607660783</t>
  </si>
  <si>
    <t>markus.kressl@gmx.at</t>
  </si>
  <si>
    <t>https://bilder.dasschnelle.at/DasSchnelle/50/5000/9868/041793/G_041793_P_906248453.adn.gif</t>
  </si>
  <si>
    <t>Postl GesmbH, Holzbau • Miesenbach • Niederösterreich</t>
  </si>
  <si>
    <t>Holzbau • Postl GesmbH, Miesenbach 65, Miesenbach • Kontakt über aktuelle Telefonnummern ☎ und Adressen ⚑ mit Karte, Routing, Öffnungszeiten, Homepage, E-Mail, vCard und Firmendaten.</t>
  </si>
  <si>
    <t>Miesenbach 65</t>
  </si>
  <si>
    <t>47.8487693</t>
  </si>
  <si>
    <t>15.9931928</t>
  </si>
  <si>
    <t>+4326328510;+4326328520</t>
  </si>
  <si>
    <t>office@postl.at</t>
  </si>
  <si>
    <t>https://bilder.dasschnelle.at/DasSchnelle/50/5000/9946/044287/G_044287_P_906243552.adn.gif</t>
  </si>
  <si>
    <t>Frey, Katharina, Ergotherapeutin • Schwaz • Tirol</t>
  </si>
  <si>
    <t>Ergotherapie • Frey, Katharina, Gilmstraße 2, Schwaz • Kontakt über aktuelle Telefonnummern ☎ und Adressen ⚑ mit Karte, Routing, Öffnungszeiten, Homepage, E-Mail, vCard und Firmendaten.</t>
  </si>
  <si>
    <t>47.34404</t>
  </si>
  <si>
    <t>11.71024</t>
  </si>
  <si>
    <t>+43524261109</t>
  </si>
  <si>
    <t>+43524221070</t>
  </si>
  <si>
    <t>info@ergotherapie-frey.at</t>
  </si>
  <si>
    <t>https://bilder.dasschnelle.at/DasSchnelle/50/5000/9929/042636/G_042636_P_906142628.adn.gif</t>
  </si>
  <si>
    <t>Horny, Jürgen, Bikesport Horny GmbH, Fahrradgeschäft • Micheldorf • Oberösterreich</t>
  </si>
  <si>
    <t>Fahrradfachhandel • Horny, Jürgen, Bikesport Horny GmbH, Kollingerfeld 11, Micheldorf • Kontakt über aktuelle Telefonnummern ☎ und Adressen ⚑ mit Karte, Routing, Öffnungszeiten, Homepage, E-Mail, vCard und Firmendaten.</t>
  </si>
  <si>
    <t>Kollingerfeld 11</t>
  </si>
  <si>
    <t>47.8816962</t>
  </si>
  <si>
    <t>14.1302535</t>
  </si>
  <si>
    <t>+43758261314</t>
  </si>
  <si>
    <t>office@bike-sport.at</t>
  </si>
  <si>
    <t>https://bilder.dasschnelle.at/DasSchnelle/50/5000/9895/046085/G_046085_P_906218286.adn.gif</t>
  </si>
  <si>
    <t>Robert Ganisl, Tapezierhandwerk mit Tradition • Mondsee • Oberösterreich</t>
  </si>
  <si>
    <t>Tapezierer • Robert Ganisl, Gaisbergstraße 21, Mondsee • Kontakt über aktuelle Telefonnummern ☎ und Adressen ⚑ mit Karte, Routing, Öffnungszeiten, Homepage, E-Mail, vCard und Firmendaten.</t>
  </si>
  <si>
    <t>Gaisbergstraße 21</t>
  </si>
  <si>
    <t>47.85178</t>
  </si>
  <si>
    <t>13.33887</t>
  </si>
  <si>
    <t>+4362327583</t>
  </si>
  <si>
    <t>office@robertganisl.at</t>
  </si>
  <si>
    <t>https://bilder.dasschnelle.at/DasSchnelle/50/5000/9909/043081/G_043081_P_906093692.adn.gif</t>
  </si>
  <si>
    <t>Haarstudio Marianne, Friseur • Hainfeld • Niederösterreich</t>
  </si>
  <si>
    <t>Friseure • Haarstudio Marianne, Hauptstraße 40, Hainfeld • Kontakt über aktuelle Telefonnummern ☎ und Adressen ⚑ mit Karte, Routing, Öffnungszeiten, Homepage, E-Mail, vCard und Firmendaten.</t>
  </si>
  <si>
    <t>48.03662</t>
  </si>
  <si>
    <t>15.76949</t>
  </si>
  <si>
    <t>+4327642131</t>
  </si>
  <si>
    <t>vadi@direkt.at</t>
  </si>
  <si>
    <t>https://bilder.dasschnelle.at/DasSchnelle/50/5000/9906/041518/G_041518_P_906336508.adn.gif</t>
  </si>
  <si>
    <t>HG Glasbau GmbH, Glasbau • Herzogsdorf • Oberösterreich</t>
  </si>
  <si>
    <t>Glasbau • HG Glasbau GmbH, Hauptstraße 21, Herzogsdorf • Kontakt über aktuelle Telefonnummern ☎ und Adressen ⚑ mit Karte, Routing, Öffnungszeiten, Homepage, E-Mail, vCard und Firmendaten.</t>
  </si>
  <si>
    <t>4175</t>
  </si>
  <si>
    <t>Herzogsdorf</t>
  </si>
  <si>
    <t>48.4354205</t>
  </si>
  <si>
    <t>+43723122683</t>
  </si>
  <si>
    <t>office@hg-glasbau.at</t>
  </si>
  <si>
    <t>https://bilder.dasschnelle.at/DasSchnelle/50/5000/9939/042837/G_042837_P_906336509.adn.gif</t>
  </si>
  <si>
    <t>Berger Tore, Schlosserei • Mühring • Oberösterreich</t>
  </si>
  <si>
    <t>Tore • Berger Tore, Mühring 10, Mühring • Kontakt über aktuelle Telefonnummern ☎ und Adressen ⚑ mit Karte, Routing, Öffnungszeiten, Homepage, E-Mail, vCard und Firmendaten.</t>
  </si>
  <si>
    <t>Mühring 10</t>
  </si>
  <si>
    <t>Mühring</t>
  </si>
  <si>
    <t>48.1523523</t>
  </si>
  <si>
    <t>13.5572451</t>
  </si>
  <si>
    <t>+43775322390</t>
  </si>
  <si>
    <t>office@berger-tore.at</t>
  </si>
  <si>
    <t>https://bilder.dasschnelle.at/DasSchnelle/50/5000/9922/042542/G_042542_P_906161926.adn.gif</t>
  </si>
  <si>
    <t>Hagendorfer Franz KG, Dachdeckerei • Bad Hall • Oberösterreich</t>
  </si>
  <si>
    <t>Bauspenglereien, Dachdeckereien • Hagendorfer Franz KG, Grünburger Straße 55, Bad Hall • Kontakt über aktuelle Telefonnummern ☎ und Adressen ⚑ mit Karte, Routing, Öffnungszeiten, Homepage, E-Mail, vCard und Firmendaten.</t>
  </si>
  <si>
    <t>Grünburger Straße 55</t>
  </si>
  <si>
    <t>48.02688</t>
  </si>
  <si>
    <t>14.22304</t>
  </si>
  <si>
    <t>+4372585107;+4372585021;+436764298621;+436764298622</t>
  </si>
  <si>
    <t>dach@hagendorfer.at</t>
  </si>
  <si>
    <t>https://bilder.dasschnelle.at/DasSchnelle/50/5000/9867/042808/I_042808_P_906225785_L_0036250742_1.png</t>
  </si>
  <si>
    <t>https://bilder.dasschnelle.at/DasSchnelle/50/5000/9867/042808/I_042808_P_906225785_B_0036250742_1.gal.png?height=1000&amp;width=562;https://bilder.dasschnelle.at/DasSchnelle/50/5000/9867/042808/I_042808_P_906225785_B_0036250742_2.gal.png?height=480&amp;width=640;https://bilder.dasschnelle.at/DasSchnelle/50/5000/9867/042808/I_042808_P_906225785_B_0036250742_3.gal.png?height=263&amp;width=350;https://bilder.dasschnelle.at/DasSchnelle/50/5000/9867/042808/I_042808_P_906225785_B_0036250742_4.gal.png?height=450&amp;width=600</t>
  </si>
  <si>
    <t>Holzknecht, Herbert, Landtechnik • Längenfeld • Tirol</t>
  </si>
  <si>
    <t>Tankstellen, Landtechnik • Holzknecht, Herbert, Bruggen 354, Längenfeld • Kontakt über aktuelle Telefonnummern ☎ und Adressen ⚑ mit Karte, Routing, Öffnungszeiten, Homepage, E-Mail, vCard und Firmendaten.</t>
  </si>
  <si>
    <t>Bruggen 354</t>
  </si>
  <si>
    <t>47.0258800</t>
  </si>
  <si>
    <t>10.9944700</t>
  </si>
  <si>
    <t>+4352535708;+43525364853;+43525364881;+43525365163</t>
  </si>
  <si>
    <t>office@hlm-holzknecht.at</t>
  </si>
  <si>
    <t>https://bilder.dasschnelle.at/DasSchnelle/50/5000/9894/045643/G_045643_P_906233723.adn.gif</t>
  </si>
  <si>
    <t>Neuberger Alfred GmbH, Erdarbeiten • Ehrwald • Tirol</t>
  </si>
  <si>
    <t>Erdarbeiten, Erdbau • Neuberger Alfred GmbH, Schmiede 33, Ehrwald • Kontakt über aktuelle Telefonnummern ☎ und Adressen ⚑ mit Karte, Routing, Öffnungszeiten, Homepage, E-Mail, vCard und Firmendaten.</t>
  </si>
  <si>
    <t>Schmiede 33</t>
  </si>
  <si>
    <t>47.41366</t>
  </si>
  <si>
    <t>10.91608</t>
  </si>
  <si>
    <t>+4356732749</t>
  </si>
  <si>
    <t>+4356733678</t>
  </si>
  <si>
    <t>erdbautech@neuberger.cc</t>
  </si>
  <si>
    <t>https://bilder.dasschnelle.at/DasSchnelle/50/5000/9921/044843/G_044843_P_906282721.adn.gif</t>
  </si>
  <si>
    <t>GERU HandelsgmbH, Fleischhauereien • Martinsberg • Niederösterreich</t>
  </si>
  <si>
    <t>Fleischhauereien • GERU HandelsgmbH, Markt 4, Martinsberg • Kontakt über aktuelle Telefonnummern ☎ und Adressen ⚑ mit Karte, Routing, Öffnungszeiten, Homepage, E-Mail, vCard und Firmendaten.</t>
  </si>
  <si>
    <t>Markt 4</t>
  </si>
  <si>
    <t>3664</t>
  </si>
  <si>
    <t>Martinsberg</t>
  </si>
  <si>
    <t>48.37529</t>
  </si>
  <si>
    <t>15.15077</t>
  </si>
  <si>
    <t>+43287473110</t>
  </si>
  <si>
    <t>+4328747311199</t>
  </si>
  <si>
    <t>office@geru.at</t>
  </si>
  <si>
    <t>https://bilder.dasschnelle.at/DasSchnelle/50/5000/9950/044534/G_044534_P_906335713.adn.gif</t>
  </si>
  <si>
    <t>Gradenegger, Udo, Dr., Facharzt f. Zahn-, Mund-u Kieferheilkunde • Freistadt • Oberösterreich</t>
  </si>
  <si>
    <t>Ärzte / Fachärzte f. Zahn-, Mund u. Kieferheilkunde • Gradenegger, Udo, Dr., Neuhoferstraße 8, Freistadt • Kontakt über aktuelle Telefonnummern ☎ und Adressen ⚑ mit Karte, Routing, Öffnungszeiten, Homepage, E-Mail, vCard und Firmendaten.</t>
  </si>
  <si>
    <t>Neuhoferstraße 8</t>
  </si>
  <si>
    <t>48.50467</t>
  </si>
  <si>
    <t>14.50169</t>
  </si>
  <si>
    <t>+43794272240</t>
  </si>
  <si>
    <t>ordination.buha@gmx.at</t>
  </si>
  <si>
    <t>https://bilder.dasschnelle.at/DasSchnelle/50/5000/9882/044815/G_044815_P_906336233.adn.gif</t>
  </si>
  <si>
    <t>Gastronomiecenter Technology Haumer GmbH • Korneuburg • Niederösterreich</t>
  </si>
  <si>
    <t>Großküchenmaschinen u. -geräte • Gastronomiecenter Technology Haumer GmbH, Stockerauer Straße 87, Korneuburg • Kontakt über aktuelle Telefonnummern ☎ und Adressen ⚑ mit Karte, Routing, Öffnungszeiten, Homepage, E-Mail, vCard und Firmendaten.</t>
  </si>
  <si>
    <t>Stockerauer Straße 87</t>
  </si>
  <si>
    <t>48.37295</t>
  </si>
  <si>
    <t>16.31311</t>
  </si>
  <si>
    <t>+43226266646</t>
  </si>
  <si>
    <t>+43226266648</t>
  </si>
  <si>
    <t>office@h-g-m.at</t>
  </si>
  <si>
    <t>https://bilder.dasschnelle.at/DasSchnelle/50/5000/9898/041416/G_041416_P_906336234.adn.gif</t>
  </si>
  <si>
    <t>Achenrainer, Ferdinand, Heizungs- u Sanitärtechnik • Tösens • Tirol</t>
  </si>
  <si>
    <t>Heizungen • Achenrainer, Ferdinand, Gewerbestr 307, Tösens • Kontakt über aktuelle Telefonnummern ☎ und Adressen ⚑ mit Karte, Routing, Öffnungszeiten, Homepage, E-Mail, vCard und Firmendaten.</t>
  </si>
  <si>
    <t>Gewerbestr 307</t>
  </si>
  <si>
    <t>6541</t>
  </si>
  <si>
    <t>Tösens</t>
  </si>
  <si>
    <t>47.0180230</t>
  </si>
  <si>
    <t>10.6085244</t>
  </si>
  <si>
    <t>+4354722687</t>
  </si>
  <si>
    <t>+435472268720</t>
  </si>
  <si>
    <t>info@achenrainer.com</t>
  </si>
  <si>
    <t>https://bilder.dasschnelle.at/DasSchnelle/50/5000/9903/044599/G_044599_P_906336972.adn.gif</t>
  </si>
  <si>
    <t>Klambauer, Hans-Peter, Dr., FA f. Zahn-, Mund- und Kieferheilkunde • Neumarkt im Mühlkreis • Oberösterreich</t>
  </si>
  <si>
    <t>Ärzte / Fachärzte f. Zahn-, Mund u. Kieferheilkunde • Klambauer, Hans-Peter, Dr., Linzer Straße 13, Neumarkt im Mühlkreis • Kontakt über aktuelle Telefonnummern ☎ und Adressen ⚑ mit Karte, Routing, Öffnungszeiten, Homepage, E-Mail, vCard und Firmendaten.</t>
  </si>
  <si>
    <t>Linzer Straße 13</t>
  </si>
  <si>
    <t>48.4272053</t>
  </si>
  <si>
    <t>14.4867226</t>
  </si>
  <si>
    <t>+4379418411</t>
  </si>
  <si>
    <t>praxis@zahnarzt-klambauer.at</t>
  </si>
  <si>
    <t>https://bilder.dasschnelle.at/DasSchnelle/50/5000/9882/041772/G_041772_P_906336916.adn.gif</t>
  </si>
  <si>
    <t>Vet-Praxis-Reichinger KG, Tierärzte • Rainbach im Mühlkreis • Oberösterreich</t>
  </si>
  <si>
    <t>Tierärzte • Vet-Praxis-Reichinger KG, Summerauer Straße 14, Rainbach im Mühlkreis • Kontakt über aktuelle Telefonnummern ☎ und Adressen ⚑ mit Karte, Routing, Öffnungszeiten, Homepage, E-Mail, vCard und Firmendaten.</t>
  </si>
  <si>
    <t>Summerauer Straße 14</t>
  </si>
  <si>
    <t>48.5588700</t>
  </si>
  <si>
    <t>14.4735400</t>
  </si>
  <si>
    <t>+43794964500</t>
  </si>
  <si>
    <t>+437949645040</t>
  </si>
  <si>
    <t>team@vet-praxis-reichinger.at</t>
  </si>
  <si>
    <t>https://bilder.dasschnelle.at/DasSchnelle/50/5000/9882/041775/G_041775_P_906336919.adn.gif</t>
  </si>
  <si>
    <t>EUROCON Wirtschaftstreuhand SteuerberatungsgesmbH • Andorf • Oberösterreich</t>
  </si>
  <si>
    <t>Steuerberater, Wirtschaftstreuhänder / Steuerberater • EUROCON Wirtschaftstreuhand SteuerberatungsgesmbH, Teuflau 64, Andorf • Kontakt über aktuelle Telefonnummern ☎ und Adressen ⚑ mit Karte, Routing, Öffnungszeiten, Homepage, E-Mail, vCard und Firmendaten.</t>
  </si>
  <si>
    <t>Teuflau 64</t>
  </si>
  <si>
    <t>48.3727664</t>
  </si>
  <si>
    <t>13.5423989</t>
  </si>
  <si>
    <t>+43776620320</t>
  </si>
  <si>
    <t>office@eurocon.at</t>
  </si>
  <si>
    <t>https://bilder.dasschnelle.at/DasSchnelle/50/5000/9926/042303/G_042303_P_906336922.adn.gif</t>
  </si>
  <si>
    <t>PAYER Steuerberatung GmbH, Steuerberatung • Wartberg ob der Aist • Oberösterreich</t>
  </si>
  <si>
    <t>Steuerberater • PAYER Steuerberatung GmbH, Consento Vision Park, Wartberg ob der Aist • Kontakt über aktuelle Telefonnummern ☎ und Adressen ⚑ mit Karte, Routing, Öffnungszeiten, Homepage, E-Mail, vCard und Firmendaten.</t>
  </si>
  <si>
    <t>Consento Vision Park</t>
  </si>
  <si>
    <t>48.3560656</t>
  </si>
  <si>
    <t>14.5169067</t>
  </si>
  <si>
    <t>+437203713792</t>
  </si>
  <si>
    <t>kanzlei@payer-stb.at</t>
  </si>
  <si>
    <t>https://bilder.dasschnelle.at/DasSchnelle/50/5000/9882/041784/I_041784_P_906337431_B_0038010370_1.gal.png?height=337&amp;width=600;https://bilder.dasschnelle.at/DasSchnelle/50/5000/9882/041784/I_041784_P_906337431_B_0038010370_2.gal.png?height=340&amp;width=454;https://bilder.dasschnelle.at/DasSchnelle/50/5000/9882/041784/I_041784_P_906337431_B_0038010370_3.gal.png?height=403&amp;width=605</t>
  </si>
  <si>
    <t>PAYER Steuerberatung GmbH, Steuerberatung • Freistadt • Oberösterreich</t>
  </si>
  <si>
    <t>Steuerberater • PAYER Steuerberatung GmbH, Hauptplatz 24/2, Freistadt • Kontakt über aktuelle Telefonnummern ☎ und Adressen ⚑ mit Karte, Routing, Öffnungszeiten, Homepage, E-Mail, vCard und Firmendaten.</t>
  </si>
  <si>
    <t>Hauptplatz 24/2</t>
  </si>
  <si>
    <t>+437203713794</t>
  </si>
  <si>
    <t>https://bilder.dasschnelle.at/DasSchnelle/50/5000/9882/041784/I_041784_P_906337433_B_0038010370_1.gal.png?height=303&amp;width=454;https://bilder.dasschnelle.at/DasSchnelle/50/5000/9882/041784/I_041784_P_906337433_B_0038010370_2.gal.png?height=210&amp;width=454</t>
  </si>
  <si>
    <t>KFZ-Technik Ullrich, Gerhard, Kraftfahrzeugtechniker • St. Andrä-Wördern • Niederösterreich</t>
  </si>
  <si>
    <t>Autoreparaturen • KFZ-Technik Ullrich, Gerhard, Tullnerstraße 9, St. Andrä-Wördern • Kontakt über aktuelle Telefonnummern ☎ und Adressen ⚑ mit Karte, Routing, Öffnungszeiten, Homepage, E-Mail, vCard und Firmendaten.</t>
  </si>
  <si>
    <t>Tullnerstraße 9</t>
  </si>
  <si>
    <t>48.3218416</t>
  </si>
  <si>
    <t>16.2059380</t>
  </si>
  <si>
    <t>+43224231495;+436504007070</t>
  </si>
  <si>
    <t>gerhard.ullrich@gmx.at</t>
  </si>
  <si>
    <t>https://bilder.dasschnelle.at/DasSchnelle/50/5000/9938/044251/G_044251_P_906336988.adn.gif</t>
  </si>
  <si>
    <t>Fassl Peter InstallationsgmbH, Installateur • Kierling • Niederösterreich</t>
  </si>
  <si>
    <t>Installationsunternehmen • Fassl Peter InstallationsgmbH, Hauptstraße 183, Kierling • Kontakt über aktuelle Telefonnummern ☎ und Adressen ⚑ mit Karte, Routing, Öffnungszeiten, Homepage, E-Mail, vCard und Firmendaten.</t>
  </si>
  <si>
    <t>Hauptstraße 183</t>
  </si>
  <si>
    <t>16.26951</t>
  </si>
  <si>
    <t>+43224387100</t>
  </si>
  <si>
    <t>office@installationen-fassl.at</t>
  </si>
  <si>
    <t>https://bilder.dasschnelle.at/DasSchnelle/50/5000/9897/061492/G_061492_P_906336996.adn.gif</t>
  </si>
  <si>
    <t>Blumen Steininger, Blumenfachgeschäft • Mondsee • Oberösterreich</t>
  </si>
  <si>
    <t>Blumenhandel • Blumen Steininger, Rainerstraße 46, Mondsee • Kontakt über aktuelle Telefonnummern ☎ und Adressen ⚑ mit Karte, Routing, Öffnungszeiten, Homepage, E-Mail, vCard und Firmendaten.</t>
  </si>
  <si>
    <t>Rainerstraße 46</t>
  </si>
  <si>
    <t>47.85323</t>
  </si>
  <si>
    <t>13.34596</t>
  </si>
  <si>
    <t>+4362323303</t>
  </si>
  <si>
    <t>office@blumensteininger.com</t>
  </si>
  <si>
    <t>Ganisl, Robert, Tapezierhandwerk mit Tradition • Mondsee • Oberösterreich</t>
  </si>
  <si>
    <t>Tapezierer • Ganisl, Robert, Gaisbergstraße 21, Mondsee • Kontakt über aktuelle Telefonnummern ☎ und Adressen ⚑ mit Karte, Routing, Öffnungszeiten, Homepage, E-Mail, vCard und Firmendaten.</t>
  </si>
  <si>
    <t>https://bilder.dasschnelle.at/DasSchnelle/50/5000/9909/043081/G_043081_P_906337054.adn.gif</t>
  </si>
  <si>
    <t>Dan Küchen Mondseeland • Mondsee • Oberösterreich</t>
  </si>
  <si>
    <t>Tischlereien • Dan Küchen Mondseeland, Salzburger Straße 7, Mondsee • Kontakt über aktuelle Telefonnummern ☎ und Adressen ⚑ mit Karte, Routing, Öffnungszeiten, Homepage, E-Mail, vCard und Firmendaten.</t>
  </si>
  <si>
    <t>47.85752</t>
  </si>
  <si>
    <t>13.34191</t>
  </si>
  <si>
    <t>+43623231171</t>
  </si>
  <si>
    <t>office@dankuechenmondsee.at</t>
  </si>
  <si>
    <t>https://bilder.dasschnelle.at/DasSchnelle/50/5000/9909/043081/I_043081_P_906337129_L_0035974193_1.png</t>
  </si>
  <si>
    <t>https://bilder.dasschnelle.at/DasSchnelle/50/5000/9909/043081/I_043081_P_906337129_B_0035974193_1.gal.png?height=317&amp;width=568;https://bilder.dasschnelle.at/DasSchnelle/50/5000/9909/043081/I_043081_P_906337129_B_0035974193_2.gal.png?height=318&amp;width=398;https://bilder.dasschnelle.at/DasSchnelle/50/5000/9909/043081/I_043081_P_906337129_B_0035974193_3.gal.png?height=319&amp;width=423;https://bilder.dasschnelle.at/DasSchnelle/50/5000/9909/043081/I_043081_P_906337129_B_0035974193_4.gal.png?height=561&amp;width=831</t>
  </si>
  <si>
    <t>Hurnaus, Johann, Mag. • Unterweißenbach • Oberösterreich</t>
  </si>
  <si>
    <t>Notare • Hurnaus, Johann, Mag., Markt 7, Unterweißenbach • Kontakt über aktuelle Telefonnummern ☎ und Adressen ⚑ mit Karte, Routing, Öffnungszeiten, Homepage, E-Mail, vCard und Firmendaten.</t>
  </si>
  <si>
    <t>Markt 7</t>
  </si>
  <si>
    <t>48.4327111</t>
  </si>
  <si>
    <t>14.7819852</t>
  </si>
  <si>
    <t>+43795672140</t>
  </si>
  <si>
    <t>kanzlei@notar-hurnaus.at</t>
  </si>
  <si>
    <t>https://bilder.dasschnelle.at/DasSchnelle/50/5000/9882/998307/I_998307_P_906130098_L_0035999264_1.png</t>
  </si>
  <si>
    <t>https://bilder.dasschnelle.at/DasSchnelle/50/5000/9882/998307/I_998307_P_906130098_B_0035999264_1.gal.png?height=218&amp;width=624;https://bilder.dasschnelle.at/DasSchnelle/50/5000/9882/998307/I_998307_P_906130098_B_0035999264_2.gal.png?height=768&amp;width=548;https://bilder.dasschnelle.at/DasSchnelle/50/5000/9882/998307/I_998307_P_906130098_B_0035999264_3.gal.png?height=218&amp;width=624;https://bilder.dasschnelle.at/DasSchnelle/50/5000/9882/998307/I_998307_P_906130098_B_0035999264_4.gal.png?height=416&amp;width=624</t>
  </si>
  <si>
    <t>Lamprecht, Bernd, Malermeister • Kötschach-Mauthen • Kärnten</t>
  </si>
  <si>
    <t>Malereibetriebe • Lamprecht, Bernd, Kötschach 517, Kötschach-Mauthen • Kontakt über aktuelle Telefonnummern ☎ und Adressen ⚑ mit Karte, Routing, Öffnungszeiten, Homepage, E-Mail, vCard und Firmendaten.</t>
  </si>
  <si>
    <t>Kötschach 517</t>
  </si>
  <si>
    <t>46.6717700</t>
  </si>
  <si>
    <t>12.9949500</t>
  </si>
  <si>
    <t>+43471520981</t>
  </si>
  <si>
    <t>malerei.lamprecht@koetschach.at</t>
  </si>
  <si>
    <t>Obauer, Gotthard, Bäckerei • Sankt Gilgen • Salzburg</t>
  </si>
  <si>
    <t>Bäckereien • Obauer, Gotthard, Steinklüftstraße 3, Sankt Gilgen • Kontakt über aktuelle Telefonnummern ☎ und Adressen ⚑ mit Karte, Routing, Öffnungszeiten, Homepage, E-Mail, vCard und Firmendaten.</t>
  </si>
  <si>
    <t>https://bilder.dasschnelle.at/DasSchnelle/50/5000/9868/043326/G_043326_P_906337052.adn.gif</t>
  </si>
  <si>
    <t>Wernireisen GmbH, Reisebüro • Feldkirchen in Kärnten • Kärnten</t>
  </si>
  <si>
    <t>Busunternehmen, Reisebüros, Taxi • Wernireisen GmbH, Kirchgasse 16, Feldkirchen in Kärnten • Kontakt über aktuelle Telefonnummern ☎ und Adressen ⚑ mit Karte, Routing, Öffnungszeiten, Homepage, E-Mail, vCard und Firmendaten.</t>
  </si>
  <si>
    <t>Kirchgasse 16</t>
  </si>
  <si>
    <t>46.7256534</t>
  </si>
  <si>
    <t>14.0931301</t>
  </si>
  <si>
    <t>+4342762209;+4367684111213</t>
  </si>
  <si>
    <t>wernireisen@aon.at</t>
  </si>
  <si>
    <t>https://bilder.dasschnelle.at/DasSchnelle/50/5000/9880/042048/G_042048_P_906098338.adn.gif</t>
  </si>
  <si>
    <t>Stadtgemeinde Baden, Gemeinde • Baden • Niederösterreich</t>
  </si>
  <si>
    <t>Museen • Stadtgemeinde Baden, Hauptplatz 1, Baden • Kontakt über aktuelle Telefonnummern ☎ und Adressen ⚑ mit Karte, Routing, Öffnungszeiten, Homepage, E-Mail, vCard und Firmendaten.</t>
  </si>
  <si>
    <t>48.00801</t>
  </si>
  <si>
    <t>16.23302</t>
  </si>
  <si>
    <t>+432252868000;+43225286800219;+43225286800200;+43225286800250;+43225286800350;+43225286800535;+43225286800700;+43225246659;+436642018127;+432252254064</t>
  </si>
  <si>
    <t>+43225286800210;+43225286800281;+43225286800360</t>
  </si>
  <si>
    <t>presse@baden.gv.at</t>
  </si>
  <si>
    <t>https://bilder.dasschnelle.at/DasSchnelle/50/5000/9870/041339/G_041339_P_906264617.adn.gif</t>
  </si>
  <si>
    <t>Mag. Claudia Schmidt Psychotherapeutin i.A.u.S. • Bad Ischl • Oberösterreich</t>
  </si>
  <si>
    <t>Psychotherapie • Mag. Claudia Schmidt Psychotherapeutin i.A.u.S., Wiesingerstraße 7, Bad Ischl • Kontakt über aktuelle Telefonnummern ☎ und Adressen ⚑ mit Karte, Routing, Öffnungszeiten, Homepage, E-Mail, vCard und Firmendaten.</t>
  </si>
  <si>
    <t>Wiesingerstraße 7</t>
  </si>
  <si>
    <t>+4368181448384</t>
  </si>
  <si>
    <t>claudia.schmidt@psychotherapeutin-kip.at</t>
  </si>
  <si>
    <t>https://bilder.dasschnelle.at/DasSchnelle/50/5000/9868/998154/G_998154_P_906249959.adn.gif</t>
  </si>
  <si>
    <t>Freizeitanlage Schlögen e.U., Pächter: Andrea Winkler • Moos • Oberösterreich</t>
  </si>
  <si>
    <t>Freizeitangebote u. -einrichtungen • Freizeitanlage Schlögen e.U., Pächter: Andrea Winkler, Mitterberg 3, Moos • Kontakt über aktuelle Telefonnummern ☎ und Adressen ⚑ mit Karte, Routing, Öffnungszeiten, Homepage, E-Mail, vCard und Firmendaten.</t>
  </si>
  <si>
    <t>Mitterberg 3</t>
  </si>
  <si>
    <t>Moos</t>
  </si>
  <si>
    <t>+4372798241</t>
  </si>
  <si>
    <t>info@freizeitanlage-schloegen.at</t>
  </si>
  <si>
    <t>https://bilder.dasschnelle.at/DasSchnelle/50/5000/9876/044805/G_044805_P_906242153.adn.gif</t>
  </si>
  <si>
    <t>Saringer GmbH, Spenglerei • Schwaz • Tirol</t>
  </si>
  <si>
    <t>Dachdeckerei u. Spenglerei • Saringer GmbH, Gewerbepark-Einfang 33, Schwaz • Kontakt über aktuelle Telefonnummern ☎ und Adressen ⚑ mit Karte, Routing, Öffnungszeiten, Homepage, E-Mail, vCard und Firmendaten.</t>
  </si>
  <si>
    <t>Gewerbepark-Einfang 33</t>
  </si>
  <si>
    <t>+43524272334</t>
  </si>
  <si>
    <t>office@spenglerei-saringer.at</t>
  </si>
  <si>
    <t>https://bilder.dasschnelle.at/DasSchnelle/50/5000/9929/042613/G_042613_P_906144792.adn.gif</t>
  </si>
  <si>
    <t>Rauch Steuerberatung GesmbH • Steinach • Tirol</t>
  </si>
  <si>
    <t>Steuerberater, Wirtschaftstreuhänder / Steuerberater • Rauch Steuerberatung GesmbH, Zirmweg 85, Steinach • Kontakt über aktuelle Telefonnummern ☎ und Adressen ⚑ mit Karte, Routing, Öffnungszeiten, Homepage, E-Mail, vCard und Firmendaten.</t>
  </si>
  <si>
    <t>Zirmweg 85</t>
  </si>
  <si>
    <t>+43527265010;+4352726516;+43527220227</t>
  </si>
  <si>
    <t>+435272650111</t>
  </si>
  <si>
    <t>thomas.stockhammer@rauch-steuerberatung.at</t>
  </si>
  <si>
    <t>https://bilder.dasschnelle.at/DasSchnelle/50/5000/9948/045918/G_045918_P_906194888.adn.gif</t>
  </si>
  <si>
    <t>dasschnelle.at</t>
  </si>
  <si>
    <t>Wels (Wels(Stadt))</t>
  </si>
  <si>
    <t>UNSER LAGERHAUS WarenhandelsgesmbH • Ötztal-Bahnhof • Tirol</t>
  </si>
  <si>
    <t>Lagerhäuser u. -betriebe • UNSER LAGERHAUS WarenhandelsgesmbH, Handelsweg 8, Ötztal-Bahnhof • Kontakt über aktuelle Telefonnummern ☎ und Adressen ⚑ mit Karte, Routing, Öffnungszeiten, Homepage, E-Mail, vCard und Firmendaten.</t>
  </si>
  <si>
    <t>Handelsweg 8</t>
  </si>
  <si>
    <t>47.23797</t>
  </si>
  <si>
    <t>10.85626</t>
  </si>
  <si>
    <t>+43526689200;+43526689200;+435266892021;+435266892022;+435266892023</t>
  </si>
  <si>
    <t>+435266892025;+4352668761030</t>
  </si>
  <si>
    <t>office@unser-lagerhaus.at</t>
  </si>
  <si>
    <t>https://bilder.dasschnelle.at/DasSchnelle/50/5000/9894/045637/I_045637_P_906017462_L_0036253723_1.png</t>
  </si>
  <si>
    <t>https://bilder.dasschnelle.at/DasSchnelle/50/5000/9894/045637/I_045637_P_906017462_B_0036253723_1.gal.png?height=630&amp;width=720;https://bilder.dasschnelle.at/DasSchnelle/50/5000/9894/045637/I_045637_P_906017462_B_0036253723_2.gal.png?height=338&amp;width=720;https://bilder.dasschnelle.at/DasSchnelle/50/5000/9894/045637/I_045637_P_906017462_B_0036253723_3.gal.png?height=338&amp;width=720;https://bilder.dasschnelle.at/DasSchnelle/50/5000/9894/045637/I_045637_P_906017462_B_0036253723_4.gal.png?height=338&amp;width=720</t>
  </si>
  <si>
    <t>Hassel, Peter, Spenglerei • Ötztal-Bahnhof • Tirol</t>
  </si>
  <si>
    <t>Spenglereien • Hassel, Peter, Bahnrain 16 A, Ötztal-Bahnhof • Kontakt über aktuelle Telefonnummern ☎ und Adressen ⚑ mit Karte, Routing, Öffnungszeiten, Homepage, E-Mail, vCard und Firmendaten.</t>
  </si>
  <si>
    <t>Bahnrain 16 A</t>
  </si>
  <si>
    <t>+43526688687</t>
  </si>
  <si>
    <t>spenglerei@hassel.at</t>
  </si>
  <si>
    <t>https://bilder.dasschnelle.at/DasSchnelle/50/5000/9894/045637/G_045637_P_906249218.adn.gif</t>
  </si>
  <si>
    <t>Architec-ZT GesmbH • Wolfsberg • Kärnten</t>
  </si>
  <si>
    <t>Architekten • Architec-ZT GesmbH, Johann-Offner-Straße 18, Wolfsberg • Kontakt über aktuelle Telefonnummern ☎ und Adressen ⚑ mit Karte, Routing, Öffnungszeiten, Homepage, E-Mail, vCard und Firmendaten.</t>
  </si>
  <si>
    <t>Johann-Offner-Straße 18</t>
  </si>
  <si>
    <t>+43435238870</t>
  </si>
  <si>
    <t>office@architec-zt.at</t>
  </si>
  <si>
    <t>https://bilder.dasschnelle.at/DasSchnelle/50/5000/9949/042046/I_042046_P_905926915_L_0036008040_1.png</t>
  </si>
  <si>
    <t>https://bilder.dasschnelle.at/DasSchnelle/50/5000/9949/042046/I_042046_P_905926915_B_0036008040_1.gal.png?height=210&amp;width=340;https://bilder.dasschnelle.at/DasSchnelle/50/5000/9949/042046/I_042046_P_905926915_B_0036008040_2.gal.png?height=210&amp;width=340;https://bilder.dasschnelle.at/DasSchnelle/50/5000/9949/042046/I_042046_P_905926915_B_0036008040_3.gal.png?height=210&amp;width=340;https://bilder.dasschnelle.at/DasSchnelle/50/5000/9949/042046/I_042046_P_905926915_B_0036008040_4.gal.png?height=210&amp;width=340</t>
  </si>
  <si>
    <t>Schneeberger GmbH • Atzbach • Oberösterreich</t>
  </si>
  <si>
    <t>Elektrohandel • Schneeberger GmbH, Hauptstraße 24, Atzbach • Kontakt über aktuelle Telefonnummern ☎ und Adressen ⚑ mit Karte, Routing, Öffnungszeiten, Homepage, E-Mail, vCard und Firmendaten.</t>
  </si>
  <si>
    <t>+43767684950</t>
  </si>
  <si>
    <t>office@expert-schneeberger.at</t>
  </si>
  <si>
    <t>https://bilder.dasschnelle.at/DasSchnelle/50/5000/9940/043555/G_043555_P_906123806.adn.gif</t>
  </si>
  <si>
    <t>Hölblinger und Zefferer, Hoch- u Tiefbau GesmbH, Baustoffhandel • Mariazell • Steiermark</t>
  </si>
  <si>
    <t>Baustoffhandel • Hölblinger und Zefferer, Hoch- u Tiefbau GesmbH, Bundesstraße 9 A, Mariazell • Kontakt über aktuelle Telefonnummern ☎ und Adressen ⚑ mit Karte, Routing, Öffnungszeiten, Homepage, E-Mail, vCard und Firmendaten.</t>
  </si>
  <si>
    <t>Bundesstraße 9 A</t>
  </si>
  <si>
    <t>+43388225940;+43388240760</t>
  </si>
  <si>
    <t>+43388225946;+43388240766</t>
  </si>
  <si>
    <t>office@hoze-bau.at</t>
  </si>
  <si>
    <t>https://bilder.dasschnelle.at/DasSchnelle/50/5000/9874/061453/G_061453_P_906210625.adn.gif</t>
  </si>
  <si>
    <t>Stadtgemeinde Bruck an der Mur, Gemeinde • Bruck an der Mur • Steiermark</t>
  </si>
  <si>
    <t>Fremdenverkehrsunternehmen, Tourismusinformation • Stadtgemeinde Bruck an der Mur, Koloman-Wallisch-Platz 1, Bruck an der Mur • Kontakt über aktuelle Telefonnummern ☎ und Adressen ⚑ mit Karte, Routing, Öffnungszeiten, Homepage, E-Mail, vCard und Firmendaten.</t>
  </si>
  <si>
    <t>47.41046</t>
  </si>
  <si>
    <t>15.26891</t>
  </si>
  <si>
    <t>+433862890;+433862890100;+433862890111;+433862890121;+433862890211;+433862890212;+433862890221;+433862890231;+433862890272;+433862890272;+433862890461;+433862890300;+433862890333;+433862890334;+433862890335;+433862890336;+433862890320;+433862890321;+433862890322;+433862890350;+433862890352;+433862890341;+433862890342;+433862890441;+433862890433;+433862890421;+433862890411;+433862890432;+433862890442;+433862890451;+433862890452;+433862890500;+433862890521;+433862890522;+433862890530;+433862890631;+433862890620;+433862890621;+433862890651;+433862890610;+433862890651;+433862890640;+433862890650;+433862890612;+433862890670;+433862890716;+43386252140;+43386252515</t>
  </si>
  <si>
    <t>+433862890101;+433862890102;+433862890101;+433862890203;+433862890204;+433862890301;+433862890302;+43386289010;+433862890401;+433862890501;+433862890601</t>
  </si>
  <si>
    <t>stadt@bruckmur.at</t>
  </si>
  <si>
    <t>https://bilder.dasschnelle.at/DasSchnelle/50/5000/9874/061404/G_061404_P_906211878.adn.gif</t>
  </si>
  <si>
    <t>Kaiblinger Rechtsanwalts GmbH • Gunskirchen • Oberösterreich</t>
  </si>
  <si>
    <t>Rechtsanwälte • Kaiblinger Rechtsanwalts GmbH, Marktplatz 1, Gunskirchen • Kontakt über aktuelle Telefonnummern ☎ und Adressen ⚑ mit Karte, Routing, Öffnungszeiten, Homepage, E-Mail, vCard und Firmendaten.</t>
  </si>
  <si>
    <t>+4372468673</t>
  </si>
  <si>
    <t>office@kanzlei-kaiblinger.at</t>
  </si>
  <si>
    <t>https://bilder.dasschnelle.at/DasSchnelle/50/5000/9915/043569/I_043569_P_906222156_L_0036250719_1.png</t>
  </si>
  <si>
    <t>https://bilder.dasschnelle.at/DasSchnelle/50/5000/9915/043569/I_043569_P_906222156_B_0036250719_1.gal.png?height=320&amp;width=480;https://bilder.dasschnelle.at/DasSchnelle/50/5000/9915/043569/I_043569_P_906222156_B_0036250719_2.gal.png?height=320&amp;width=480;https://bilder.dasschnelle.at/DasSchnelle/50/5000/9915/043569/I_043569_P_906222156_B_0036250719_3.gal.png?height=320&amp;width=480;https://bilder.dasschnelle.at/DasSchnelle/50/5000/9915/043569/I_043569_P_906222156_B_0036250719_4.gal.png?height=267&amp;width=480;https://bilder.dasschnelle.at/DasSchnelle/50/5000/9915/043569/G_043569_P_906222156.adn.gif</t>
  </si>
  <si>
    <t>Umlauft Schuhhaus • Neumarkt am Wallersee • Salzburg</t>
  </si>
  <si>
    <t>Schuhfachgeschäft • Umlauft Schuhhaus, Hauptstraße 33, Neumarkt am Wallersee • Kontakt über aktuelle Telefonnummern ☎ und Adressen ⚑ mit Karte, Routing, Öffnungszeiten, Homepage, E-Mail, vCard und Firmendaten.</t>
  </si>
  <si>
    <t>+4362165320</t>
  </si>
  <si>
    <t>schuhe.umlauft@pr-link.at</t>
  </si>
  <si>
    <t>https://bilder.dasschnelle.at/DasSchnelle/50/5000/9935/043320/G_043320_P_906241383.adn.gif</t>
  </si>
  <si>
    <t>Apotheke St. Mang • Füssen</t>
  </si>
  <si>
    <t>Apotheken • Apotheke St. Mang, Reichenstr. 38, Füssen • Kontakt über aktuelle Telefonnummern ☎ und Adressen ⚑ mit Karte, Routing, Öffnungszeiten, Homepage, E-Mail, vCard und Firmendaten.</t>
  </si>
  <si>
    <t>Reichenstr. 38</t>
  </si>
  <si>
    <t>+4383629141</t>
  </si>
  <si>
    <t>info@mang-apotheke.de</t>
  </si>
  <si>
    <t>https://bilder.dasschnelle.at/DasSchnelle/50/5000/9921/042603/G_042603_P_906251447.adn.gif</t>
  </si>
  <si>
    <t>Ausbildungszentrum Braunau • Braunau • Oberösterreich</t>
  </si>
  <si>
    <t>Bildungsservice • Ausbildungszentrum Braunau, Industriezeile 50, Braunau • Kontakt über aktuelle Telefonnummern ☎ und Adressen ⚑ mit Karte, Routing, Öffnungszeiten, Homepage, E-Mail, vCard und Firmendaten.</t>
  </si>
  <si>
    <t>Industriezeile 50</t>
  </si>
  <si>
    <t>+437722842681315</t>
  </si>
  <si>
    <t>office@abz-braunau.at</t>
  </si>
  <si>
    <t>https://bilder.dasschnelle.at/DasSchnelle/50/5000/9872/044551/G_044551_P_906253549.adn.gif</t>
  </si>
  <si>
    <t>Hohner, Sabrina, Friseurin • Traun • Oberösterreich</t>
  </si>
  <si>
    <t>Friseure • Hohner, Sabrina, Hauptplatz 10, Traun • Kontakt über aktuelle Telefonnummern ☎ und Adressen ⚑ mit Karte, Routing, Öffnungszeiten, Homepage, E-Mail, vCard und Firmendaten.</t>
  </si>
  <si>
    <t>+43722972145</t>
  </si>
  <si>
    <t>info@schnitt-styling.at</t>
  </si>
  <si>
    <t>https://bilder.dasschnelle.at/DasSchnelle/50/5000/9937/046120/G_046120_P_906256363.adn.gif</t>
  </si>
  <si>
    <t>Schloss-Traun, Restaurant • Traun • Oberösterreich</t>
  </si>
  <si>
    <t>Cafés, Ämter u. Behörden • Schloss-Traun, Schlossstraße 8, Traun • Kontakt über aktuelle Telefonnummern ☎ und Adressen ⚑ mit Karte, Routing, Öffnungszeiten, Homepage, E-Mail, vCard und Firmendaten.</t>
  </si>
  <si>
    <t>Schlossstraße 8</t>
  </si>
  <si>
    <t>48.21898</t>
  </si>
  <si>
    <t>14.23727</t>
  </si>
  <si>
    <t>+4372296688220;+436641201770;+437229688262;+437229688128;+437229688129;+437229688113;+437229688131;+437229688422;+437229688203;+437229688203</t>
  </si>
  <si>
    <t>+437229688170;+437229688171;+437229688160;+4372296559120</t>
  </si>
  <si>
    <t>office@schlosstraun.at</t>
  </si>
  <si>
    <t>https://bilder.dasschnelle.at/DasSchnelle/50/5000/9937/046120/G_046120_P_906256676.adn.gif</t>
  </si>
  <si>
    <t>Tscharnuter Bau GmbH Verputzarbeiten • Ehrwald</t>
  </si>
  <si>
    <t>Bauunternehmen • Tscharnuter Bau GmbH Verputzarbeiten, Schanz 6, Ehrwald • Kontakt über aktuelle Telefonnummern ☎ und Adressen ⚑ mit Karte, Routing, Öffnungszeiten, Homepage, E-Mail, vCard und Firmendaten.</t>
  </si>
  <si>
    <t>Schanz 6</t>
  </si>
  <si>
    <t>+436642435519</t>
  </si>
  <si>
    <t>office@tscharnuterbau.at</t>
  </si>
  <si>
    <t>https://bilder.dasschnelle.at/DasSchnelle/50/5000/9921/042589/G_042589_P_906323618.adn.gif</t>
  </si>
  <si>
    <t>Mobile Säge, Florian Haas • Kitzbühel • Tirol</t>
  </si>
  <si>
    <t>Säge- u. Hobelwerke • Mobile Säge, Florian Haas, Fichterfeld 12, Kitzbühel • Kontakt über aktuelle Telefonnummern ☎ und Adressen ⚑ mit Karte, Routing, Öffnungszeiten, Homepage, E-Mail, vCard und Firmendaten.</t>
  </si>
  <si>
    <t>Fichterfeld 12</t>
  </si>
  <si>
    <t>+436765033848</t>
  </si>
  <si>
    <t>haas@gmx.net</t>
  </si>
  <si>
    <t>Nagler Bau GmbH • Ternberg • Oberösterreich</t>
  </si>
  <si>
    <t>Bauunternehmen • Nagler Bau GmbH, Dürnbachstraße 8, Ternberg • Kontakt über aktuelle Telefonnummern ☎ und Adressen ⚑ mit Karte, Routing, Öffnungszeiten, Homepage, E-Mail, vCard und Firmendaten.</t>
  </si>
  <si>
    <t>Dürnbachstraße 8</t>
  </si>
  <si>
    <t>+43725252725</t>
  </si>
  <si>
    <t>office@nagler-bau.at</t>
  </si>
  <si>
    <t>https://bilder.dasschnelle.at/DasSchnelle/50/5000/9878/042822/I_042822_P_906287708_L_0036262359_1.png</t>
  </si>
  <si>
    <t>https://bilder.dasschnelle.at/DasSchnelle/50/5000/9878/042822/I_042822_P_906287708_B_0036262359_1.gal.png?height=400&amp;width=600;https://bilder.dasschnelle.at/DasSchnelle/50/5000/9878/042822/I_042822_P_906287708_B_0036262359_2.gal.png?height=400&amp;width=600;https://bilder.dasschnelle.at/DasSchnelle/50/5000/9878/042822/I_042822_P_906287708_B_0036262359_3.gal.png?height=400&amp;width=600;https://bilder.dasschnelle.at/DasSchnelle/50/5000/9878/042822/I_042822_P_906287708_B_0036262359_4.gal.png?height=606&amp;width=909</t>
  </si>
  <si>
    <t>AS Installationen • Braunau am Inn • Oberösterreich</t>
  </si>
  <si>
    <t>Installationsunternehmen • AS Installationen, Mattighofner Straße 22, Braunau am Inn • Kontakt über aktuelle Telefonnummern ☎ und Adressen ⚑ mit Karte, Routing, Öffnungszeiten, Homepage, E-Mail, vCard und Firmendaten.</t>
  </si>
  <si>
    <t>Mattighofner Straße 22</t>
  </si>
  <si>
    <t>+436503504555;+436767183331</t>
  </si>
  <si>
    <t>info@as-installationen.at</t>
  </si>
  <si>
    <t>https://bilder.dasschnelle.at/DasSchnelle/50/5000/9872/044551/G_044551_P_906291680.adn.gif</t>
  </si>
  <si>
    <t>Arnaut, Alma, Installationen • Braunau am Inn • Oberösterreich</t>
  </si>
  <si>
    <t>Installationsunternehmen • Arnaut, Alma, Mattighofner Straße 22, Braunau am Inn • Kontakt über aktuelle Telefonnummern ☎ und Adressen ⚑ mit Karte, Routing, Öffnungszeiten, Homepage, E-Mail, vCard und Firmendaten.</t>
  </si>
  <si>
    <t>https://bilder.dasschnelle.at/DasSchnelle/50/5000/9872/044551/I_044551_P_906291685_L_0036420992_1.png</t>
  </si>
  <si>
    <t>https://bilder.dasschnelle.at/DasSchnelle/50/5000/9872/044551/I_044551_P_906291685_B_0036420992_1.gal.png?height=200&amp;width=200;https://bilder.dasschnelle.at/DasSchnelle/50/5000/9872/044551/I_044551_P_906291685_B_0036420992_2.gal.png?height=200&amp;width=200;https://bilder.dasschnelle.at/DasSchnelle/50/5000/9872/044551/I_044551_P_906291685_B_0036420992_3.gal.png?height=200&amp;width=200;https://bilder.dasschnelle.at/DasSchnelle/50/5000/9872/044551/I_044551_P_906291685_B_0036420992_4.gal.png?height=200&amp;width=200</t>
  </si>
  <si>
    <t>Check(er) Fitness GmbH, Fitnesscenter • Simbach</t>
  </si>
  <si>
    <t>Fitnesscenter • Check(er) Fitness GmbH, Kreuzberger Weg 9 A, Simbach • Kontakt über aktuelle Telefonnummern ☎ und Adressen ⚑ mit Karte, Routing, Öffnungszeiten, Homepage, E-Mail, vCard und Firmendaten.</t>
  </si>
  <si>
    <t>Kreuzberger Weg 9 A</t>
  </si>
  <si>
    <t>+4949855807</t>
  </si>
  <si>
    <t>info@checkerfitness.com</t>
  </si>
  <si>
    <t>https://bilder.dasschnelle.at/DasSchnelle/50/5000/9872/044551/G_044551_P_906296640.adn.gif</t>
  </si>
  <si>
    <t>Schmidhammer, Wolfgang, Schlüsseldienst • Salzburg • Salzburg</t>
  </si>
  <si>
    <t>Schlüssel u. Aufsperrdienste • Schmidhammer, Wolfgang, Vogelweiderstraße 56, Salzburg • Kontakt über aktuelle Telefonnummern ☎ und Adressen ⚑ mit Karte, Routing, Öffnungszeiten, Homepage, E-Mail, vCard und Firmendaten.</t>
  </si>
  <si>
    <t>Vogelweiderstraße 56</t>
  </si>
  <si>
    <t>+4362726247</t>
  </si>
  <si>
    <t>schluessel-schmidhammer@aon.at</t>
  </si>
  <si>
    <t>https://bilder.dasschnelle.at/DasSchnelle/50/5000/9914/043322/G_043322_P_906303747.adn.gif</t>
  </si>
  <si>
    <t>Kink, Erich, Raumdesign • Baden • Niederösterreich</t>
  </si>
  <si>
    <t>Raumgestaltung • Kink, Erich, Kaiser Franz Joseph-Ring 18, Baden • Kontakt über aktuelle Telefonnummern ☎ und Adressen ⚑ mit Karte, Routing, Öffnungszeiten, Homepage, E-Mail, vCard und Firmendaten.</t>
  </si>
  <si>
    <t>Kaiser Franz Joseph-Ring 18</t>
  </si>
  <si>
    <t>+436641114764</t>
  </si>
  <si>
    <t>+43225281153</t>
  </si>
  <si>
    <t>office@kink-raumdesign.at</t>
  </si>
  <si>
    <t>https://bilder.dasschnelle.at/DasSchnelle/50/5000/9870/041339/G_041339_P_906303893.adn.gif</t>
  </si>
  <si>
    <t>Stadtgemeinde Baden • Baden • Niederösterreich</t>
  </si>
  <si>
    <t>Gemeinde • Stadtgemeinde Baden, Neustiftgasse 6, Baden • Kontakt über aktuelle Telefonnummern ☎ und Adressen ⚑ mit Karte, Routing, Öffnungszeiten, Homepage, E-Mail, vCard und Firmendaten.</t>
  </si>
  <si>
    <t>Neustiftgasse 6</t>
  </si>
  <si>
    <t>48.0078000</t>
  </si>
  <si>
    <t>16.2337600</t>
  </si>
  <si>
    <t>+432252868000;+436642018127</t>
  </si>
  <si>
    <t>+43225286800281;+43225286800360</t>
  </si>
  <si>
    <t>bestattung@baden.gv.at</t>
  </si>
  <si>
    <t>https://bilder.dasschnelle.at/DasSchnelle/50/5000/9870/041339/I_041339_P_906301337_L_0035970032_1.png</t>
  </si>
  <si>
    <t>https://bilder.dasschnelle.at/DasSchnelle/50/5000/9870/041339/I_041339_P_906301337_B_0035970032_1.gal.png?height=336&amp;width=720;https://bilder.dasschnelle.at/DasSchnelle/50/5000/9870/041339/I_041339_P_906301337_B_0035970032_2.gal.png?height=256&amp;width=720;https://bilder.dasschnelle.at/DasSchnelle/50/5000/9870/041339/I_041339_P_906301337_B_0035970032_3.gal.png?height=336&amp;width=720;https://bilder.dasschnelle.at/DasSchnelle/50/5000/9870/041339/I_041339_P_906301337_B_0035970032_4.gal.png?height=257&amp;width=720</t>
  </si>
  <si>
    <t>Ahammer, Karl, Heizöl-Diesel • Altmünster • Oberösterreich</t>
  </si>
  <si>
    <t>Baggerungen u. Transporte • Ahammer, Karl, Maria-Theresiastr. 11, Altmünster • Kontakt über aktuelle Telefonnummern ☎ und Adressen ⚑ mit Karte, Routing, Öffnungszeiten, Homepage, E-Mail, vCard und Firmendaten.</t>
  </si>
  <si>
    <t>Maria-Theresiastr. 11</t>
  </si>
  <si>
    <t>+436643030838</t>
  </si>
  <si>
    <t>susanne.ahammer@energiedirect.at</t>
  </si>
  <si>
    <t>Frauenhaus Ried • Ried im Innkreis</t>
  </si>
  <si>
    <t>Hilfsdienste • Frauenhaus Ried, Postfach 43, Ried im Innkreis • Kontakt über aktuelle Telefonnummern ☎ und Adressen ⚑ mit Karte, Routing, Öffnungszeiten, Homepage, E-Mail, vCard und Firmendaten.</t>
  </si>
  <si>
    <t>Postfach 43</t>
  </si>
  <si>
    <t>+43775271733</t>
  </si>
  <si>
    <t>office@frauenhaus-ried.at</t>
  </si>
  <si>
    <t>Pacher, Wolfgang, Malerei-Anstrich • Gmünd • Kärnten</t>
  </si>
  <si>
    <t>Malereibetriebe • Pacher, Wolfgang, Dornbach 35, Gmünd • Kontakt über aktuelle Telefonnummern ☎ und Adressen ⚑ mit Karte, Routing, Öffnungszeiten, Homepage, E-Mail, vCard und Firmendaten.</t>
  </si>
  <si>
    <t>Dornbach 35</t>
  </si>
  <si>
    <t>9853</t>
  </si>
  <si>
    <t>+4347322603;+436645369363</t>
  </si>
  <si>
    <t>malerei.pacher@aon.at</t>
  </si>
  <si>
    <t>https://bilder.dasschnelle.at/DasSchnelle/50/5000/9933/042135/G_042135_P_906065933.adn.gif</t>
  </si>
  <si>
    <t>Leitner, Günter, Steinmetzmeister • Öhling • Niederösterreich</t>
  </si>
  <si>
    <t>Steinmetzbetriebe • Leitner, Günter, Im Reith 3, Öhling • Kontakt über aktuelle Telefonnummern ☎ und Adressen ⚑ mit Karte, Routing, Öffnungszeiten, Homepage, E-Mail, vCard und Firmendaten.</t>
  </si>
  <si>
    <t>Im Reith 3</t>
  </si>
  <si>
    <t>Öhling</t>
  </si>
  <si>
    <t>48.1014350</t>
  </si>
  <si>
    <t>14.7989904</t>
  </si>
  <si>
    <t>+43747266406;+436645049246</t>
  </si>
  <si>
    <t>+43747265841;+4374726640630</t>
  </si>
  <si>
    <t>office@steinmetz-leitner.at</t>
  </si>
  <si>
    <t>https://bilder.dasschnelle.at/DasSchnelle/50/5000/9866/042062/G_042062_P_906071831.adn.gif</t>
  </si>
  <si>
    <t>Haider, Klemens, Dr., FA f Orthopädie u Orthopädische Chirurgie • Attnang-Puchheim • Oberösterreich</t>
  </si>
  <si>
    <t>Ärzte / Fachärzte f. Orthopädie u. Orthopädische Chirurgie • Haider, Klemens, Dr., Römerstraße 12, Attnang-Puchheim • Kontakt über aktuelle Telefonnummern ☎ und Adressen ⚑ mit Karte, Routing, Öffnungszeiten, Homepage, E-Mail, vCard und Firmendaten.</t>
  </si>
  <si>
    <t>Römerstraße 12</t>
  </si>
  <si>
    <t>+43767466766</t>
  </si>
  <si>
    <t>haiderk_dr@gmx.at</t>
  </si>
  <si>
    <t>https://bilder.dasschnelle.at/DasSchnelle/50/5000/9940/043069/G_043069_P_906086907.adn.gif</t>
  </si>
  <si>
    <t>Strauss, C., Dr., FÄ für Physikalische Medizin und Rehabilitation • Vöcklamarkt • Oberösterreich</t>
  </si>
  <si>
    <t>Ärzte / f Allgemeinmedizin • Strauss, C., Dr., Hauptstraße 4, Vöcklamarkt • Kontakt über aktuelle Telefonnummern ☎ und Adressen ⚑ mit Karte, Routing, Öffnungszeiten, Homepage, E-Mail, vCard und Firmendaten.</t>
  </si>
  <si>
    <t>+43768221536</t>
  </si>
  <si>
    <t>office@ordination-dr-strauss.at</t>
  </si>
  <si>
    <t>https://bilder.dasschnelle.at/DasSchnelle/50/5000/9940/043556/G_043556_P_906104170.adn.gif</t>
  </si>
  <si>
    <t>Der Steinacher, Zimmerei • Ramsau</t>
  </si>
  <si>
    <t>Zimmereien • Der Steinacher, Hoferstraße 16 B, Ramsau • Kontakt über aktuelle Telefonnummern ☎ und Adressen ⚑ mit Karte, Routing, Öffnungszeiten, Homepage, E-Mail, vCard und Firmendaten.</t>
  </si>
  <si>
    <t>Hoferstraße 16 B</t>
  </si>
  <si>
    <t>+436764805173</t>
  </si>
  <si>
    <t>peter.steinacher@gmail.com</t>
  </si>
  <si>
    <t>https://bilder.dasschnelle.at/DasSchnelle/50/5000/9906/041518/I_041518_P_906134733_L_0036000351_1.png</t>
  </si>
  <si>
    <t>https://bilder.dasschnelle.at/DasSchnelle/50/5000/9906/041518/I_041518_P_906134733_B_0036000351_1.gal.png?height=623&amp;width=831;https://bilder.dasschnelle.at/DasSchnelle/50/5000/9906/041518/I_041518_P_906134733_B_0036000351_2.gal.png?height=619&amp;width=831;https://bilder.dasschnelle.at/DasSchnelle/50/5000/9906/041518/I_041518_P_906134733_B_0036000351_3.gal.png?height=625&amp;width=831;https://bilder.dasschnelle.at/DasSchnelle/50/5000/9906/041518/I_041518_P_906134733_B_0036000351_4.gal.png?height=586&amp;width=831</t>
  </si>
  <si>
    <t>DDr. Peter Zwittnig, FA f. Kiefer- u. Gesichtschirurgie • Straßengel</t>
  </si>
  <si>
    <t>Ärzte / Zahnärzte • DDr. Peter Zwittnig, Plankenwartherstraße 6, Straßengel • Kontakt über aktuelle Telefonnummern ☎ und Adressen ⚑ mit Karte, Routing, Öffnungszeiten, Homepage, E-Mail, vCard und Firmendaten.</t>
  </si>
  <si>
    <t>+4331245338080</t>
  </si>
  <si>
    <t>https://bilder.dasschnelle.at/DasSchnelle/50/5000/9883/061359/G_998314_P_906155488.adn.gif</t>
  </si>
  <si>
    <t>OÄ Dr. Waltraud Stromer, FÄ für Anästhesiologie u. Intensivmed. • Horn • Niederösterreich</t>
  </si>
  <si>
    <t>Akupunktur • OÄ Dr. Waltraud Stromer, Ing. Karl Proksch-Gasse 11, Horn • Kontakt über aktuelle Telefonnummern ☎ und Adressen ⚑ mit Karte, Routing, Öffnungszeiten, Homepage, E-Mail, vCard und Firmendaten.</t>
  </si>
  <si>
    <t>Ing. Karl Proksch-Gasse 11</t>
  </si>
  <si>
    <t>+436645068509</t>
  </si>
  <si>
    <t>waltraudstromer@gmail.com</t>
  </si>
  <si>
    <t>https://bilder.dasschnelle.at/DasSchnelle/50/5000/9893/041392/I_041392_P_906157520_L_0036031405_1.png</t>
  </si>
  <si>
    <t>https://bilder.dasschnelle.at/DasSchnelle/50/5000/9893/041392/I_041392_P_906157520_B_0036031405_1.gal.png?height=479&amp;width=720;https://bilder.dasschnelle.at/DasSchnelle/50/5000/9893/041392/I_041392_P_906157520_B_0036031405_2.gal.png?height=441&amp;width=720;https://bilder.dasschnelle.at/DasSchnelle/50/5000/9893/041392/I_041392_P_906157520_B_0036031405_3.gal.png?height=479&amp;width=720;https://bilder.dasschnelle.at/DasSchnelle/50/5000/9893/041392/I_041392_P_906157520_B_0036031405_4.gal.png?height=479&amp;width=720</t>
  </si>
  <si>
    <t>Dr. Peter Vlasak, Zahn-, Mund- und Kieferheilkunde • 3 CZ-Studanky</t>
  </si>
  <si>
    <t>Zahnärzte • Dr. Peter Vlasak, CZ-Studanky 93, 3 CZ-Studanky • Kontakt über aktuelle Telefonnummern ☎ und Adressen ⚑ mit Karte, Routing, Öffnungszeiten, Homepage, E-Mail, vCard und Firmendaten.</t>
  </si>
  <si>
    <t>CZ-Studanky 93</t>
  </si>
  <si>
    <t>3827</t>
  </si>
  <si>
    <t>3 CZ-Studanky</t>
  </si>
  <si>
    <t>+436765975202</t>
  </si>
  <si>
    <t>dr.p.vlasak@gmail.com</t>
  </si>
  <si>
    <t>https://bilder.dasschnelle.at/DasSchnelle/50/5000/9939/041782/G_041782_P_906160776.adn.gif</t>
  </si>
  <si>
    <t>Carta Büro- u Kopiertechnik GmbH • Sankt Johann im Pongau</t>
  </si>
  <si>
    <t>Bürotechnik • Carta Büro- u Kopiertechnik GmbH, Hauptstraße 26, Sankt Johann im Pongau • Kontakt über aktuelle Telefonnummern ☎ und Adressen ⚑ mit Karte, Routing, Öffnungszeiten, Homepage, E-Mail, vCard und Firmendaten.</t>
  </si>
  <si>
    <t>+436644451675</t>
  </si>
  <si>
    <t>support@carta.at</t>
  </si>
  <si>
    <t>https://bilder.dasschnelle.at/DasSchnelle/50/5000/9919/043334/I_043334_P_906160781_L_0036007903_1.png</t>
  </si>
  <si>
    <t>https://bilder.dasschnelle.at/DasSchnelle/50/5000/9919/043334/I_043334_P_906160781_B_0036007903_1.gal.png?height=304&amp;width=720;https://bilder.dasschnelle.at/DasSchnelle/50/5000/9919/043334/I_043334_P_906160781_B_0036007903_2.gal.png?height=555&amp;width=555;https://bilder.dasschnelle.at/DasSchnelle/50/5000/9919/043334/I_043334_P_906160781_B_0036007903_3.gal.png?height=573&amp;width=720;https://bilder.dasschnelle.at/DasSchnelle/50/5000/9919/043334/I_043334_P_906160781_B_0036007903_4.gal.png?height=531&amp;width=720</t>
  </si>
  <si>
    <t>Mag. Katharina Höchtl-Kronheim, Diplom Tierarzt • Ottensheim</t>
  </si>
  <si>
    <t>Tierärzte • Mag. Katharina Höchtl-Kronheim, Hostauerstraße 52, Ottensheim • Kontakt über aktuelle Telefonnummern ☎ und Adressen ⚑ mit Karte, Routing, Öffnungszeiten, Homepage, E-Mail, vCard und Firmendaten.</t>
  </si>
  <si>
    <t>Hostauerstraße 52</t>
  </si>
  <si>
    <t>+43723482543</t>
  </si>
  <si>
    <t>tierarzt@ottensheim.at</t>
  </si>
  <si>
    <t>https://bilder.dasschnelle.at/DasSchnelle/50/5000/9939/043056/G_043056_P_906161915.adn.gif</t>
  </si>
  <si>
    <t>Raiffeisen-Lagerhaus Lavanttal regGenmbH • Wolfsberg • Kärnten</t>
  </si>
  <si>
    <t>Lagerhäuser u. -betriebe • Raiffeisen-Lagerhaus Lavanttal regGenmbH, Tanglstraße 2, Wolfsberg • Kontakt über aktuelle Telefonnummern ☎ und Adressen ⚑ mit Karte, Routing, Öffnungszeiten, Homepage, E-Mail, vCard und Firmendaten.</t>
  </si>
  <si>
    <t>Tanglstraße 2</t>
  </si>
  <si>
    <t>46.84404</t>
  </si>
  <si>
    <t>14.8407</t>
  </si>
  <si>
    <t>+434352515650;+4343525156543</t>
  </si>
  <si>
    <t>+4343525156515;+4343525156528;+4343525156564;+4343525156535;+4343525156545;+4343525156525</t>
  </si>
  <si>
    <t>office@lagerhaus-lavanttal.at</t>
  </si>
  <si>
    <t>https://bilder.dasschnelle.at/DasSchnelle/50/5000/9949/042046/G_042046_P_906175899.adn.gif</t>
  </si>
  <si>
    <t>Maschinenring Hollabrunn - Horn • Mold</t>
  </si>
  <si>
    <t>Maschinenbau • Maschinenring Hollabrunn - Horn, Mold 72, Mold • Kontakt über aktuelle Telefonnummern ☎ und Adressen ⚑ mit Karte, Routing, Öffnungszeiten, Homepage, E-Mail, vCard und Firmendaten.</t>
  </si>
  <si>
    <t>Mold 72</t>
  </si>
  <si>
    <t>+4359060380</t>
  </si>
  <si>
    <t>hollabrunnhorn@maschinenring.at</t>
  </si>
  <si>
    <t>https://bilder.dasschnelle.at/DasSchnelle/50/5000/9893/041400/G_041400_P_906181444.adn.gif</t>
  </si>
  <si>
    <t>Robert Köppel Fenster-Türen-Sonnenschutz GmbH • Gratwein-Straßengel</t>
  </si>
  <si>
    <t>Fenster u. Türen • Robert Köppel Fenster-Türen-Sonnenschutz GmbH, Murfeldstraße 10, Gratwein-Straßengel • Kontakt über aktuelle Telefonnummern ☎ und Adressen ⚑ mit Karte, Routing, Öffnungszeiten, Homepage, E-Mail, vCard und Firmendaten.</t>
  </si>
  <si>
    <t>+43312422898</t>
  </si>
  <si>
    <t>office@rk-fenster.at</t>
  </si>
  <si>
    <t>https://bilder.dasschnelle.at/DasSchnelle/50/5000/9883/042322/I_042322_P_906329865_L_0035999650_1.png</t>
  </si>
  <si>
    <t>https://bilder.dasschnelle.at/DasSchnelle/50/5000/9883/042322/I_042322_P_906329865_B_0035999650_1.gal.png?height=421&amp;width=720;https://bilder.dasschnelle.at/DasSchnelle/50/5000/9883/042322/I_042322_P_906329865_B_0035999650_2.gal.png?height=720&amp;width=509</t>
  </si>
  <si>
    <t>INNENBAU PESCHEL GmbH • Groß-Siegharts • Niederösterreich</t>
  </si>
  <si>
    <t>Innenausbau • INNENBAU PESCHEL GmbH, Reiterweg 2, Groß-Siegharts • Kontakt über aktuelle Telefonnummern ☎ und Adressen ⚑ mit Karte, Routing, Öffnungszeiten, Homepage, E-Mail, vCard und Firmendaten.</t>
  </si>
  <si>
    <t>Reiterweg 2</t>
  </si>
  <si>
    <t>+43284784101</t>
  </si>
  <si>
    <t>office@innenbau-peschel.at</t>
  </si>
  <si>
    <t>https://bilder.dasschnelle.at/DasSchnelle/50/5000/9885/044256/G_044256_P_906329417.adn.gif</t>
  </si>
  <si>
    <t>Aigner Optiker GmbH • Grieskirchen • Oberösterreich</t>
  </si>
  <si>
    <t>Kontaktlinsen, Optik • Aigner Optiker GmbH, Oberer Stadtplatz 25, Grieskirchen • Kontakt über aktuelle Telefonnummern ☎ und Adressen ⚑ mit Karte, Routing, Öffnungszeiten, Homepage, E-Mail, vCard und Firmendaten.</t>
  </si>
  <si>
    <t>Oberer Stadtplatz 25</t>
  </si>
  <si>
    <t>13.83115</t>
  </si>
  <si>
    <t>+43724862011;+43724868039</t>
  </si>
  <si>
    <t>+4372486201120;+4372486803920</t>
  </si>
  <si>
    <t>grieskirchen@optiker-aigner.at</t>
  </si>
  <si>
    <t>https://bilder.dasschnelle.at/DasSchnelle/50/5000/9887/041815/G_041815_P_906050259.adn.gif</t>
  </si>
  <si>
    <t>Kräuterpfarrer-Zentrum, Verein Freunde der Heilkräuter, Alternativmedizin • Karlstein an der Thaya</t>
  </si>
  <si>
    <t>Alternative Heilmethoden • Kräuterpfarrer-Zentrum, Verein Freunde der Heilkräuter, Hauptstraße 17, Karlstein an der Thaya • Kontakt über aktuelle Telefonnummern ☎ und Adressen ⚑ mit Karte, Routing, Öffnungszeiten, Homepage, E-Mail, vCard und Firmendaten.</t>
  </si>
  <si>
    <t>3822</t>
  </si>
  <si>
    <t>Karlstein an der Thaya</t>
  </si>
  <si>
    <t>+4328447070</t>
  </si>
  <si>
    <t>info@kraeuterpfarrer.at</t>
  </si>
  <si>
    <t>https://bilder.dasschnelle.at/DasSchnelle/50/5000/9885/044253/G_044257_P_906309328.adn.gif</t>
  </si>
  <si>
    <t>Georg und Gabriele Stocker OHG Kies- u. Fertigbetonwerk, Transport • Neuhaus</t>
  </si>
  <si>
    <t>Beton- u. Kieswerke • Georg und Gabriele Stocker OHG Kies- u. Fertigbetonwerk, Transport, Redinger Straße 30, Neuhaus • Kontakt über aktuelle Telefonnummern ☎ und Adressen ⚑ mit Karte, Routing, Öffnungszeiten, Homepage, E-Mail, vCard und Firmendaten.</t>
  </si>
  <si>
    <t>+494985684</t>
  </si>
  <si>
    <t>https://bilder.dasschnelle.at/DasSchnelle/50/5000/9926/506075/G_506075_P_906121093.adn.gif</t>
  </si>
  <si>
    <t>Pfeiler`s Flug-Reisen GmbH • Simbach</t>
  </si>
  <si>
    <t>Reisebüros • Pfeiler`s Flug-Reisen GmbH, Innstraße 5, Simbach • Kontakt über aktuelle Telefonnummern ☎ und Adressen ⚑ mit Karte, Routing, Öffnungszeiten, Homepage, E-Mail, vCard und Firmendaten.</t>
  </si>
  <si>
    <t>Innstraße 5</t>
  </si>
  <si>
    <t>+4949856277</t>
  </si>
  <si>
    <t>+438571926032</t>
  </si>
  <si>
    <t>reisebuero@pfeiler.de</t>
  </si>
  <si>
    <t>https://bilder.dasschnelle.at/DasSchnelle/50/5000/9872/506176/G_506176_P_906189754.adn.gif</t>
  </si>
  <si>
    <t>Tischberger, Christian, Dr., Allgemeinmedizin • Laussa • Oberösterreich</t>
  </si>
  <si>
    <t>Allgemeinmedizin • Tischberger, Christian, Dr., Kirchenplatz 4, Laussa • Kontakt über aktuelle Telefonnummern ☎ und Adressen ⚑ mit Karte, Routing, Öffnungszeiten, Homepage, E-Mail, vCard und Firmendaten.</t>
  </si>
  <si>
    <t>Kirchenplatz 4</t>
  </si>
  <si>
    <t>+4372556901</t>
  </si>
  <si>
    <t>praxislaussa@aon.at</t>
  </si>
  <si>
    <t>https://bilder.dasschnelle.at/DasSchnelle/50/5000/9878/042813/G_042813_P_906221509.adn.gif</t>
  </si>
  <si>
    <t>Marker Erich GesmbH &amp; Co KG, Maler- u. Anstreicherarbeiten • Pottenstein • Niederösterreich</t>
  </si>
  <si>
    <t>Malereibetriebe • Marker Erich GesmbH &amp; Co KG, Bundesstraße 30, Pottenstein • Kontakt über aktuelle Telefonnummern ☎ und Adressen ⚑ mit Karte, Routing, Öffnungszeiten, Homepage, E-Mail, vCard und Firmendaten.</t>
  </si>
  <si>
    <t>Bundesstraße 30</t>
  </si>
  <si>
    <t>+432672878590</t>
  </si>
  <si>
    <t>office@malerei-marker.at</t>
  </si>
  <si>
    <t>https://bilder.dasschnelle.at/DasSchnelle/50/5000/9871/041355/I_041336_P_906034959_L_0035971086_1.png</t>
  </si>
  <si>
    <t>https://bilder.dasschnelle.at/DasSchnelle/50/5000/9871/041355/I_041336_P_906034959_B_0035971086_1.gal.png?height=337&amp;width=600;https://bilder.dasschnelle.at/DasSchnelle/50/5000/9871/041355/I_041336_P_906034959_B_0035971086_2.gal.png?height=450&amp;width=393;https://bilder.dasschnelle.at/DasSchnelle/50/5000/9871/041355/I_041336_P_906034959_B_0035971086_3.gal.png?height=216&amp;width=600;https://bilder.dasschnelle.at/DasSchnelle/50/5000/9871/041355/I_041336_P_906034959_B_0035971086_4.gal.png?height=242&amp;width=600</t>
  </si>
  <si>
    <t>Gasthof-Pension GÖTTLER • Simbach</t>
  </si>
  <si>
    <t>Gastgewerbe - Gasthöfe • Gasthof-Pension GÖTTLER, Pfarrkirchner Straße 24, Simbach • Kontakt über aktuelle Telefonnummern ☎ und Adressen ⚑ mit Karte, Routing, Öffnungszeiten, Homepage, E-Mail, vCard und Firmendaten.</t>
  </si>
  <si>
    <t>Pfarrkirchner Straße 24</t>
  </si>
  <si>
    <t>+49498591180</t>
  </si>
  <si>
    <t>gasthof-goettler@t-online.de</t>
  </si>
  <si>
    <t>https://bilder.dasschnelle.at/DasSchnelle/50/5000/9872/506176/G_506176_P_906277476.adn.gif</t>
  </si>
  <si>
    <t>Dr. Bernhard Distlbacher, Öffentlicher Notar • Gmünd</t>
  </si>
  <si>
    <t>Notare • Dr. Bernhard Distlbacher, Stadtplatz 39, Gmünd • Kontakt über aktuelle Telefonnummern ☎ und Adressen ⚑ mit Karte, Routing, Öffnungszeiten, Homepage, E-Mail, vCard und Firmendaten.</t>
  </si>
  <si>
    <t>Stadtplatz 39</t>
  </si>
  <si>
    <t>+43285252376</t>
  </si>
  <si>
    <t>kanzlei@diestlbacher.at</t>
  </si>
  <si>
    <t>https://bilder.dasschnelle.at/DasSchnelle/50/5000/9885/045075/G_045075_P_906304167.adn.gif</t>
  </si>
  <si>
    <t>Zirngast KFZ Ges.m.b.H Nfg KG, KFZ und Ersatzteilhandel • Leibnitz • Steiermark</t>
  </si>
  <si>
    <t>Abschleppdienste, Autohandel • Zirngast KFZ Ges.m.b.H Nfg KG, Grazer Straße 59, Leibnitz • Kontakt über aktuelle Telefonnummern ☎ und Adressen ⚑ mit Karte, Routing, Öffnungszeiten, Homepage, E-Mail, vCard und Firmendaten.</t>
  </si>
  <si>
    <t>Grazer Straße 59</t>
  </si>
  <si>
    <t>+43345283851</t>
  </si>
  <si>
    <t>office@kfz-zirngast.com</t>
  </si>
  <si>
    <t>https://bilder.dasschnelle.at/DasSchnelle/50/5000/9904/061363/G_061363_P_906123832.adn.gif</t>
  </si>
  <si>
    <t>Robert Pomberger, Tischlerei • Mariazell</t>
  </si>
  <si>
    <t>Tischlereien • Robert Pomberger, Friedhofgasse 4, Mariazell • Kontakt über aktuelle Telefonnummern ☎ und Adressen ⚑ mit Karte, Routing, Öffnungszeiten, Homepage, E-Mail, vCard und Firmendaten.</t>
  </si>
  <si>
    <t>+436765404420</t>
  </si>
  <si>
    <t>Rober.pomberger@gmx.at</t>
  </si>
  <si>
    <t>https://bilder.dasschnelle.at/DasSchnelle/50/5000/9906/061453/G_061453_P_906123943.adn.gif</t>
  </si>
  <si>
    <t>NOTARIAT SCHÄRDING • Schärding Innere Stadt • Oberösterreich</t>
  </si>
  <si>
    <t>Notare • NOTARIAT SCHÄRDING, Innbruckstraße 8, Schärding Innere Stadt • Kontakt über aktuelle Telefonnummern ☎ und Adressen ⚑ mit Karte, Routing, Öffnungszeiten, Homepage, E-Mail, vCard und Firmendaten.</t>
  </si>
  <si>
    <t>Innbruckstraße 8</t>
  </si>
  <si>
    <t>+43771223650</t>
  </si>
  <si>
    <t>office@notariat-schaerding.at</t>
  </si>
  <si>
    <t>https://bilder.dasschnelle.at/DasSchnelle/50/5000/9926/042797/I_042797_P_906329863_L_0035993267_1.png</t>
  </si>
  <si>
    <t>https://bilder.dasschnelle.at/DasSchnelle/50/5000/9926/042797/I_042797_P_906329863_B_0035993267_1.gal.png?height=654&amp;width=1200;https://bilder.dasschnelle.at/DasSchnelle/50/5000/9926/042797/I_042797_P_906329863_B_0035993267_2.gal.png?height=628&amp;width=1009;https://bilder.dasschnelle.at/DasSchnelle/50/5000/9926/042797/I_042797_P_906329863_B_0035993267_3.gal.png?height=638&amp;width=1196;https://bilder.dasschnelle.at/DasSchnelle/50/5000/9926/042797/G_042797_P_906329863.adn.gif</t>
  </si>
  <si>
    <t>Riedl Bau • Marchtrenk</t>
  </si>
  <si>
    <t>Bauunternehmen • Riedl Bau, Nelkenstraße 6, Marchtrenk • Kontakt über aktuelle Telefonnummern ☎ und Adressen ⚑ mit Karte, Routing, Öffnungszeiten, Homepage, E-Mail, vCard und Firmendaten.</t>
  </si>
  <si>
    <t>Nelkenstraße 6</t>
  </si>
  <si>
    <t>+436644240057</t>
  </si>
  <si>
    <t>riedl.bau@gmx.at</t>
  </si>
  <si>
    <t>https://bilder.dasschnelle.at/DasSchnelle/50/5000/9907/043573/I_043573_P_906205431_L_0036006221_1.png</t>
  </si>
  <si>
    <t>Volkshochschule Baden • Baden • Niederösterreich</t>
  </si>
  <si>
    <t>Volkshochschule Baden, Johannesgasse 9, Baden • Kontakt über aktuelle Telefonnummern ☎ und Adressen ⚑ mit Karte, Routing, Öffnungszeiten, Homepage, E-Mail, vCard und Firmendaten.</t>
  </si>
  <si>
    <t>Johannesgasse 9</t>
  </si>
  <si>
    <t>+43225288990</t>
  </si>
  <si>
    <t>sekretariat@vhs-baden.at</t>
  </si>
  <si>
    <t>https://bilder.dasschnelle.at/DasSchnelle/50/5000/9870/041339/I_041339_P_906055618_L_0038374677_1.png</t>
  </si>
  <si>
    <t>https://bilder.dasschnelle.at/DasSchnelle/50/5000/9870/041339/I_041339_P_906055618_B_0038374677_1.gal.png?height=471&amp;width=720;https://bilder.dasschnelle.at/DasSchnelle/50/5000/9870/041339/I_041339_P_906055618_B_0038374677_2.gal.png?height=328&amp;width=720;https://bilder.dasschnelle.at/DasSchnelle/50/5000/9870/041339/G_041339_P_906055618.adn.gif</t>
  </si>
  <si>
    <t>Zirngast Kfz GmbH Nfg KEG, Abschleppunternehmen • Neutillmitsch • Steiermark</t>
  </si>
  <si>
    <t>Abschleppdienste • Zirngast Kfz GmbH Nfg KEG, Grazerstrasse 59, Neutillmitsch • Kontakt über aktuelle Telefonnummern ☎ und Adressen ⚑ mit Karte, Routing, Öffnungszeiten, Homepage, E-Mail, vCard und Firmendaten.</t>
  </si>
  <si>
    <t>Grazerstrasse 59</t>
  </si>
  <si>
    <t>Neutillmitsch</t>
  </si>
  <si>
    <t>Malermeister Pils GmbH, Malereibetriebe • Freistadt</t>
  </si>
  <si>
    <t>Malermeister Pils GmbH, Schützengasse 4, Freistadt • Kontakt über aktuelle Telefonnummern ☎ und Adressen ⚑ mit Karte, Routing, Öffnungszeiten, Homepage, E-Mail, vCard und Firmendaten.</t>
  </si>
  <si>
    <t>Schützengasse 4</t>
  </si>
  <si>
    <t>+437942727940</t>
  </si>
  <si>
    <t>office@malerpils.at</t>
  </si>
  <si>
    <t>https://bilder.dasschnelle.at/DasSchnelle/50/5000/9882/041764/I_041764_P_906071665_L_0035993612_1.png</t>
  </si>
  <si>
    <t>https://bilder.dasschnelle.at/DasSchnelle/50/5000/9882/041764/I_041764_P_906071665_B_0035993612_1.gal.png?height=561&amp;width=841;https://bilder.dasschnelle.at/DasSchnelle/50/5000/9882/041764/I_041764_P_906071665_B_0035993612_2.gal.png?height=529&amp;width=790;https://bilder.dasschnelle.at/DasSchnelle/50/5000/9882/041764/I_041764_P_906071665_B_0035993612_3.gal.png?height=769&amp;width=1014;https://bilder.dasschnelle.at/DasSchnelle/50/5000/9882/041764/I_041764_P_906071665_B_0035993612_4.gal.png?height=479&amp;width=639</t>
  </si>
  <si>
    <t>Website</t>
  </si>
  <si>
    <t>Dasschnelle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</si>
</sst>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55"/>
  <sheetViews>
    <sheetView tabSelected="1" workbookViewId="0">
      <selection activeCell="A13" sqref="A13:XFD13"/>
    </sheetView>
  </sheetViews>
  <sheetFormatPr defaultRowHeight="15" x14ac:dyDescent="0.25"/>
  <cols>
    <col min="2" max="2" width="11.5703125" bestFit="1" customWidth="1"/>
    <col min="3" max="3" width="8.5703125" bestFit="1" customWidth="1"/>
    <col min="4" max="4" width="8.42578125" bestFit="1" customWidth="1"/>
    <col min="5" max="5" width="15.5703125" customWidth="1"/>
    <col min="6" max="6" width="13.140625" customWidth="1"/>
    <col min="7" max="7" width="11" bestFit="1" customWidth="1"/>
    <col min="8" max="8" width="15.28515625" customWidth="1"/>
    <col min="9" max="9" width="16.28515625" bestFit="1" customWidth="1"/>
    <col min="10" max="10" width="15" bestFit="1" customWidth="1"/>
    <col min="11" max="11" width="16.42578125" customWidth="1"/>
    <col min="12" max="12" width="28.7109375" customWidth="1"/>
    <col min="13" max="13" width="15.140625" customWidth="1"/>
    <col min="14" max="14" width="38" customWidth="1"/>
    <col min="17" max="17" width="10.85546875" bestFit="1" customWidth="1"/>
    <col min="18" max="19" width="10.5703125" bestFit="1" customWidth="1"/>
  </cols>
  <sheetData>
    <row r="1" spans="1:19" x14ac:dyDescent="0.25">
      <c r="B1" s="1" t="s">
        <v>46967</v>
      </c>
      <c r="C1" s="1" t="s">
        <v>46966</v>
      </c>
      <c r="D1" s="1" t="s">
        <v>15</v>
      </c>
      <c r="E1" s="1" t="s">
        <v>0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7</v>
      </c>
      <c r="S1" s="1" t="s">
        <v>8</v>
      </c>
    </row>
    <row r="2" spans="1:19" x14ac:dyDescent="0.25">
      <c r="A2" s="1">
        <v>0</v>
      </c>
      <c r="B2" t="str">
        <f>HYPERLINK("https://www.dasschnelle.at/blumen-egerth-exenberger-renate-kufstein-gewerbehof","Website")</f>
        <v>Website</v>
      </c>
      <c r="C2" t="str">
        <f>HYPERLINK("http://www.blumen-kufstein.at","Website")</f>
        <v>Website</v>
      </c>
      <c r="D2" t="str">
        <f>HYPERLINK("http://www.google.com/maps/place/47.58499,12.17076","Location")</f>
        <v>Location</v>
      </c>
      <c r="E2" t="s">
        <v>16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K2" t="s">
        <v>18</v>
      </c>
      <c r="L2" t="s">
        <v>25</v>
      </c>
      <c r="M2" t="s">
        <v>26</v>
      </c>
      <c r="N2" t="s">
        <v>27</v>
      </c>
      <c r="O2" t="s">
        <v>25</v>
      </c>
      <c r="P2" t="s">
        <v>28</v>
      </c>
      <c r="Q2" t="s">
        <v>29</v>
      </c>
      <c r="R2" t="s">
        <v>23</v>
      </c>
      <c r="S2" t="s">
        <v>24</v>
      </c>
    </row>
    <row r="3" spans="1:19" x14ac:dyDescent="0.25">
      <c r="A3" s="1">
        <v>1</v>
      </c>
      <c r="B3" t="str">
        <f>HYPERLINK("https://www.dasschnelle.at/werlberger-matthias-vorderthiersee-marbling","Website")</f>
        <v>Website</v>
      </c>
      <c r="C3" t="str">
        <f>HYPERLINK("http://www.erdbau-werlberger.at","Website")</f>
        <v>Website</v>
      </c>
      <c r="D3" t="str">
        <f>HYPERLINK("http://www.google.com/maps/place/47.6005,12.14657","Location")</f>
        <v>Location</v>
      </c>
      <c r="E3" t="s">
        <v>30</v>
      </c>
      <c r="F3" t="s">
        <v>31</v>
      </c>
      <c r="G3" t="s">
        <v>33</v>
      </c>
      <c r="H3" t="s">
        <v>34</v>
      </c>
      <c r="I3" t="s">
        <v>21</v>
      </c>
      <c r="J3" t="s">
        <v>22</v>
      </c>
      <c r="K3" t="s">
        <v>32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29</v>
      </c>
      <c r="R3" t="s">
        <v>35</v>
      </c>
      <c r="S3" t="s">
        <v>36</v>
      </c>
    </row>
    <row r="4" spans="1:19" x14ac:dyDescent="0.25">
      <c r="A4" s="1">
        <v>2</v>
      </c>
      <c r="B4" t="str">
        <f>HYPERLINK("https://www.dasschnelle.at/moser-manfred-walchsee-durchholzen","Website")</f>
        <v>Website</v>
      </c>
      <c r="C4" t="str">
        <f>HYPERLINK("http://www.spenglereimoser-walchsee.at","Website")</f>
        <v>Website</v>
      </c>
      <c r="D4" t="str">
        <f>HYPERLINK("http://www.google.com/maps/place/47.6393300,12.2845000","Location")</f>
        <v>Location</v>
      </c>
      <c r="E4" t="s">
        <v>42</v>
      </c>
      <c r="F4" t="s">
        <v>43</v>
      </c>
      <c r="G4" t="s">
        <v>45</v>
      </c>
      <c r="H4" t="s">
        <v>46</v>
      </c>
      <c r="I4" t="s">
        <v>21</v>
      </c>
      <c r="J4" t="s">
        <v>22</v>
      </c>
      <c r="K4" t="s">
        <v>44</v>
      </c>
      <c r="L4" t="s">
        <v>49</v>
      </c>
      <c r="M4" t="s">
        <v>25</v>
      </c>
      <c r="N4" t="s">
        <v>50</v>
      </c>
      <c r="O4" t="s">
        <v>25</v>
      </c>
      <c r="P4" t="s">
        <v>51</v>
      </c>
      <c r="Q4" t="s">
        <v>29</v>
      </c>
      <c r="R4" t="s">
        <v>47</v>
      </c>
      <c r="S4" t="s">
        <v>48</v>
      </c>
    </row>
    <row r="5" spans="1:19" x14ac:dyDescent="0.25">
      <c r="A5" s="1">
        <v>3</v>
      </c>
      <c r="B5" t="str">
        <f>HYPERLINK("https://www.dasschnelle.at/quatember-andrea-dr-kufstein-arkadenplatz","Website")</f>
        <v>Website</v>
      </c>
      <c r="C5" t="str">
        <f>HYPERLINK("http://www.herz-kufstein.at","Website")</f>
        <v>Website</v>
      </c>
      <c r="D5" t="str">
        <f>HYPERLINK("http://www.google.com/maps/place/47.5820200,12.1713200","Location")</f>
        <v>Location</v>
      </c>
      <c r="E5" t="s">
        <v>52</v>
      </c>
      <c r="F5" t="s">
        <v>53</v>
      </c>
      <c r="G5" t="s">
        <v>19</v>
      </c>
      <c r="H5" t="s">
        <v>20</v>
      </c>
      <c r="I5" t="s">
        <v>21</v>
      </c>
      <c r="J5" t="s">
        <v>22</v>
      </c>
      <c r="K5" t="s">
        <v>54</v>
      </c>
      <c r="L5" t="s">
        <v>57</v>
      </c>
      <c r="M5" t="s">
        <v>25</v>
      </c>
      <c r="N5" t="s">
        <v>25</v>
      </c>
      <c r="O5" t="s">
        <v>25</v>
      </c>
      <c r="P5" t="s">
        <v>58</v>
      </c>
      <c r="Q5" t="s">
        <v>29</v>
      </c>
      <c r="R5" t="s">
        <v>55</v>
      </c>
      <c r="S5" t="s">
        <v>56</v>
      </c>
    </row>
    <row r="6" spans="1:19" x14ac:dyDescent="0.25">
      <c r="A6" s="1">
        <v>4</v>
      </c>
      <c r="B6" t="str">
        <f>HYPERLINK("https://www.dasschnelle.at/atg-auto-technik-gruber-kg-eichelwang-kaiserbach","Website")</f>
        <v>Website</v>
      </c>
      <c r="C6" t="str">
        <f>HYPERLINK("http://www.autotechnik-gruber.at","Website")</f>
        <v>Website</v>
      </c>
      <c r="D6" t="str">
        <f>HYPERLINK("http://www.google.com/maps/place/47.59839,12.18747","Location")</f>
        <v>Location</v>
      </c>
      <c r="E6" t="s">
        <v>59</v>
      </c>
      <c r="F6" t="s">
        <v>60</v>
      </c>
      <c r="G6" t="s">
        <v>62</v>
      </c>
      <c r="H6" t="s">
        <v>63</v>
      </c>
      <c r="I6" t="s">
        <v>21</v>
      </c>
      <c r="J6" t="s">
        <v>22</v>
      </c>
      <c r="K6" t="s">
        <v>61</v>
      </c>
      <c r="L6" t="s">
        <v>66</v>
      </c>
      <c r="M6" t="s">
        <v>67</v>
      </c>
      <c r="N6" t="s">
        <v>68</v>
      </c>
      <c r="O6" t="s">
        <v>25</v>
      </c>
      <c r="P6" t="s">
        <v>69</v>
      </c>
      <c r="Q6" t="s">
        <v>29</v>
      </c>
      <c r="R6" t="s">
        <v>64</v>
      </c>
      <c r="S6" t="s">
        <v>65</v>
      </c>
    </row>
    <row r="7" spans="1:19" x14ac:dyDescent="0.25">
      <c r="A7" s="1">
        <v>5</v>
      </c>
      <c r="B7" t="str">
        <f>HYPERLINK("https://www.dasschnelle.at/sawires-martin-dr-med-univ-kramsach-mariatal","Website")</f>
        <v>Website</v>
      </c>
      <c r="C7" t="str">
        <f>HYPERLINK("http://www.neurologie-kufstein.at","Website")</f>
        <v>Website</v>
      </c>
      <c r="D7" t="str">
        <f>HYPERLINK("http://www.google.com/maps/place/47.4528653,11.8659686","Location")</f>
        <v>Location</v>
      </c>
      <c r="E7" t="s">
        <v>70</v>
      </c>
      <c r="F7" t="s">
        <v>71</v>
      </c>
      <c r="G7" t="s">
        <v>73</v>
      </c>
      <c r="H7" t="s">
        <v>74</v>
      </c>
      <c r="I7" t="s">
        <v>21</v>
      </c>
      <c r="J7" t="s">
        <v>22</v>
      </c>
      <c r="K7" t="s">
        <v>72</v>
      </c>
      <c r="L7" t="s">
        <v>77</v>
      </c>
      <c r="M7" t="s">
        <v>25</v>
      </c>
      <c r="N7" t="s">
        <v>78</v>
      </c>
      <c r="O7" t="s">
        <v>25</v>
      </c>
      <c r="P7" t="s">
        <v>79</v>
      </c>
      <c r="Q7" t="s">
        <v>29</v>
      </c>
      <c r="R7" t="s">
        <v>75</v>
      </c>
      <c r="S7" t="s">
        <v>76</v>
      </c>
    </row>
    <row r="8" spans="1:19" x14ac:dyDescent="0.25">
      <c r="A8" s="1">
        <v>6</v>
      </c>
      <c r="B8" t="str">
        <f>HYPERLINK("https://www.dasschnelle.at/damhofer-rudolf-reichraming-rohrbachgraben","Website")</f>
        <v>Website</v>
      </c>
      <c r="C8" t="str">
        <f>HYPERLINK("http://www.damhofer.at","Website")</f>
        <v>Website</v>
      </c>
      <c r="D8" t="str">
        <f>HYPERLINK("http://www.google.com/maps/place/47.89483,14.43634","Location")</f>
        <v>Location</v>
      </c>
      <c r="E8" t="s">
        <v>80</v>
      </c>
      <c r="F8" t="s">
        <v>81</v>
      </c>
      <c r="G8" t="s">
        <v>83</v>
      </c>
      <c r="H8" t="s">
        <v>84</v>
      </c>
      <c r="I8" t="s">
        <v>85</v>
      </c>
      <c r="J8" t="s">
        <v>22</v>
      </c>
      <c r="K8" t="s">
        <v>82</v>
      </c>
      <c r="L8" t="s">
        <v>88</v>
      </c>
      <c r="M8" t="s">
        <v>89</v>
      </c>
      <c r="N8" t="s">
        <v>90</v>
      </c>
      <c r="O8" t="s">
        <v>25</v>
      </c>
      <c r="P8" t="s">
        <v>91</v>
      </c>
      <c r="Q8" t="s">
        <v>29</v>
      </c>
      <c r="R8" t="s">
        <v>86</v>
      </c>
      <c r="S8" t="s">
        <v>87</v>
      </c>
    </row>
    <row r="9" spans="1:19" x14ac:dyDescent="0.25">
      <c r="A9" s="1">
        <v>7</v>
      </c>
      <c r="B9" t="str">
        <f>HYPERLINK("https://www.dasschnelle.at/selig-dagmar-dr-med-steyr-johann-puch-straße","Website")</f>
        <v>Website</v>
      </c>
      <c r="C9" t="str">
        <f>HYPERLINK("https://www.dasschnelle.at/selig-dagmar-dr-med-steyr-johann-puch-stra%C3%9Fe","Website")</f>
        <v>Website</v>
      </c>
      <c r="D9" t="str">
        <f>HYPERLINK("http://www.google.com/maps/place/48.04958,14.42073","Location")</f>
        <v>Location</v>
      </c>
      <c r="E9" t="s">
        <v>92</v>
      </c>
      <c r="F9" t="s">
        <v>93</v>
      </c>
      <c r="G9" t="s">
        <v>95</v>
      </c>
      <c r="H9" t="s">
        <v>96</v>
      </c>
      <c r="I9" t="s">
        <v>85</v>
      </c>
      <c r="J9" t="s">
        <v>22</v>
      </c>
      <c r="K9" t="s">
        <v>94</v>
      </c>
      <c r="L9" t="s">
        <v>99</v>
      </c>
      <c r="M9" t="s">
        <v>25</v>
      </c>
      <c r="N9" t="s">
        <v>100</v>
      </c>
      <c r="O9" t="s">
        <v>25</v>
      </c>
      <c r="P9" t="s">
        <v>101</v>
      </c>
      <c r="Q9" t="s">
        <v>29</v>
      </c>
      <c r="R9" t="s">
        <v>97</v>
      </c>
      <c r="S9" t="s">
        <v>98</v>
      </c>
    </row>
    <row r="10" spans="1:19" x14ac:dyDescent="0.25">
      <c r="A10" s="1">
        <v>8</v>
      </c>
      <c r="B10" t="str">
        <f>HYPERLINK("https://www.dasschnelle.at/nagler-daniel-petermühle-losenstein-stiedelsbach","Website")</f>
        <v>Website</v>
      </c>
      <c r="C10" t="str">
        <f>HYPERLINK("https://www.dasschnelle.at/nagler-daniel-peterm%C3%BChle-losenstein-stiedelsbach","Website")</f>
        <v>Website</v>
      </c>
      <c r="D10" t="str">
        <f>HYPERLINK("http://www.google.com/maps/place/47.9253,14.44704","Location")</f>
        <v>Location</v>
      </c>
      <c r="E10" t="s">
        <v>102</v>
      </c>
      <c r="F10" t="s">
        <v>103</v>
      </c>
      <c r="G10" t="s">
        <v>105</v>
      </c>
      <c r="H10" t="s">
        <v>106</v>
      </c>
      <c r="I10" t="s">
        <v>85</v>
      </c>
      <c r="J10" t="s">
        <v>22</v>
      </c>
      <c r="K10" t="s">
        <v>104</v>
      </c>
      <c r="L10" t="s">
        <v>109</v>
      </c>
      <c r="M10" t="s">
        <v>25</v>
      </c>
      <c r="N10" t="s">
        <v>110</v>
      </c>
      <c r="O10" t="s">
        <v>25</v>
      </c>
      <c r="P10" t="s">
        <v>111</v>
      </c>
      <c r="Q10" t="s">
        <v>29</v>
      </c>
      <c r="R10" t="s">
        <v>107</v>
      </c>
      <c r="S10" t="s">
        <v>108</v>
      </c>
    </row>
    <row r="11" spans="1:19" x14ac:dyDescent="0.25">
      <c r="A11" s="1">
        <v>9</v>
      </c>
      <c r="B11" t="str">
        <f>HYPERLINK("https://www.dasschnelle.at/mayerweg-xenia-ddr-steyr-koloman-wallisch-straße","Website")</f>
        <v>Website</v>
      </c>
      <c r="C11" t="str">
        <f>HYPERLINK("http://www.zahnarzt-mayerweg.at","Website")</f>
        <v>Website</v>
      </c>
      <c r="D11" t="str">
        <f>HYPERLINK("http://www.google.com/maps/place/48.03371,14.42452","Location")</f>
        <v>Location</v>
      </c>
      <c r="E11" t="s">
        <v>112</v>
      </c>
      <c r="F11" t="s">
        <v>113</v>
      </c>
      <c r="G11" t="s">
        <v>95</v>
      </c>
      <c r="H11" t="s">
        <v>96</v>
      </c>
      <c r="I11" t="s">
        <v>85</v>
      </c>
      <c r="J11" t="s">
        <v>22</v>
      </c>
      <c r="K11" t="s">
        <v>114</v>
      </c>
      <c r="L11" t="s">
        <v>117</v>
      </c>
      <c r="M11" t="s">
        <v>25</v>
      </c>
      <c r="N11" t="s">
        <v>118</v>
      </c>
      <c r="O11" t="s">
        <v>25</v>
      </c>
      <c r="P11" t="s">
        <v>119</v>
      </c>
      <c r="Q11" t="s">
        <v>29</v>
      </c>
      <c r="R11" t="s">
        <v>115</v>
      </c>
      <c r="S11" t="s">
        <v>116</v>
      </c>
    </row>
    <row r="12" spans="1:19" x14ac:dyDescent="0.25">
      <c r="A12" s="1">
        <v>10</v>
      </c>
      <c r="B12" t="str">
        <f>HYPERLINK("https://www.dasschnelle.at/großauer-gmbh-und-co-kg-reichraming-eisenstraße","Website")</f>
        <v>Website</v>
      </c>
      <c r="C12" t="str">
        <f>HYPERLINK("http://www.grossauer-bau.at","Website")</f>
        <v>Website</v>
      </c>
      <c r="D12" t="str">
        <f>HYPERLINK("http://www.google.com/maps/place/47.90239,14.44955","Location")</f>
        <v>Location</v>
      </c>
      <c r="E12" t="s">
        <v>120</v>
      </c>
      <c r="F12" t="s">
        <v>121</v>
      </c>
      <c r="G12" t="s">
        <v>83</v>
      </c>
      <c r="H12" t="s">
        <v>84</v>
      </c>
      <c r="I12" t="s">
        <v>85</v>
      </c>
      <c r="J12" t="s">
        <v>22</v>
      </c>
      <c r="K12" t="s">
        <v>122</v>
      </c>
      <c r="L12" t="s">
        <v>125</v>
      </c>
      <c r="M12" t="s">
        <v>126</v>
      </c>
      <c r="N12" t="s">
        <v>127</v>
      </c>
      <c r="O12" t="s">
        <v>25</v>
      </c>
      <c r="P12" t="s">
        <v>128</v>
      </c>
      <c r="Q12" t="s">
        <v>29</v>
      </c>
      <c r="R12" t="s">
        <v>123</v>
      </c>
      <c r="S12" t="s">
        <v>124</v>
      </c>
    </row>
    <row r="13" spans="1:19" x14ac:dyDescent="0.25">
      <c r="A13" s="1">
        <v>11</v>
      </c>
      <c r="B13" t="str">
        <f>HYPERLINK("https://www.dasschnelle.at/kosmetikstudio-anita-steyr-karl-punzer-straße","Website")</f>
        <v>Website</v>
      </c>
      <c r="C13" t="str">
        <f>HYPERLINK("http://www.fusspflegestudio.at","Website")</f>
        <v>Website</v>
      </c>
      <c r="D13" t="str">
        <f>HYPERLINK("http://www.google.com/maps/place/48.05216,14.44148","Location")</f>
        <v>Location</v>
      </c>
      <c r="E13" t="s">
        <v>129</v>
      </c>
      <c r="F13" t="s">
        <v>130</v>
      </c>
      <c r="G13" t="s">
        <v>95</v>
      </c>
      <c r="H13" t="s">
        <v>96</v>
      </c>
      <c r="I13" t="s">
        <v>85</v>
      </c>
      <c r="J13" t="s">
        <v>22</v>
      </c>
      <c r="K13" t="s">
        <v>131</v>
      </c>
      <c r="L13" t="s">
        <v>134</v>
      </c>
      <c r="M13" t="s">
        <v>25</v>
      </c>
      <c r="N13" t="s">
        <v>135</v>
      </c>
      <c r="O13" t="s">
        <v>25</v>
      </c>
      <c r="P13" t="s">
        <v>136</v>
      </c>
      <c r="Q13" t="s">
        <v>29</v>
      </c>
      <c r="R13" t="s">
        <v>132</v>
      </c>
      <c r="S13" t="s">
        <v>133</v>
      </c>
    </row>
    <row r="14" spans="1:19" x14ac:dyDescent="0.25">
      <c r="A14" s="1">
        <v>12</v>
      </c>
      <c r="B14" t="str">
        <f>HYPERLINK("https://www.dasschnelle.at/braunsberger-andrea-steyr-pachergasse","Website")</f>
        <v>Website</v>
      </c>
      <c r="C14" t="str">
        <f>HYPERLINK("http://www.andrea-braunsberger.com","Website")</f>
        <v>Website</v>
      </c>
      <c r="D14" t="str">
        <f>HYPERLINK("http://www.google.com/maps/place/48.0417,14.42605","Location")</f>
        <v>Location</v>
      </c>
      <c r="E14" t="s">
        <v>137</v>
      </c>
      <c r="F14" t="s">
        <v>138</v>
      </c>
      <c r="G14" t="s">
        <v>95</v>
      </c>
      <c r="H14" t="s">
        <v>96</v>
      </c>
      <c r="I14" t="s">
        <v>85</v>
      </c>
      <c r="J14" t="s">
        <v>22</v>
      </c>
      <c r="K14" t="s">
        <v>139</v>
      </c>
      <c r="L14" t="s">
        <v>142</v>
      </c>
      <c r="M14" t="s">
        <v>25</v>
      </c>
      <c r="N14" t="s">
        <v>143</v>
      </c>
      <c r="O14" t="s">
        <v>25</v>
      </c>
      <c r="P14" t="s">
        <v>144</v>
      </c>
      <c r="Q14" t="s">
        <v>29</v>
      </c>
      <c r="R14" t="s">
        <v>140</v>
      </c>
      <c r="S14" t="s">
        <v>141</v>
      </c>
    </row>
    <row r="15" spans="1:19" x14ac:dyDescent="0.25">
      <c r="A15" s="1">
        <v>13</v>
      </c>
      <c r="B15" t="str">
        <f>HYPERLINK("https://www.dasschnelle.at/mayrhofer-und-hackl-zt-gmbh-steyr-stadtplatz","Website")</f>
        <v>Website</v>
      </c>
      <c r="C15" t="str">
        <f>HYPERLINK("https://www.dasschnelle.at/mayrhofer-und-hackl-zt-gmbh-steyr-stadtplatz","Website")</f>
        <v>Website</v>
      </c>
      <c r="D15" t="str">
        <f>HYPERLINK("http://www.google.com/maps/place/48.0387900,14.4186500","Location")</f>
        <v>Location</v>
      </c>
      <c r="E15" t="s">
        <v>145</v>
      </c>
      <c r="F15" t="s">
        <v>146</v>
      </c>
      <c r="G15" t="s">
        <v>95</v>
      </c>
      <c r="H15" t="s">
        <v>96</v>
      </c>
      <c r="I15" t="s">
        <v>85</v>
      </c>
      <c r="J15" t="s">
        <v>22</v>
      </c>
      <c r="K15" t="s">
        <v>147</v>
      </c>
      <c r="L15" t="s">
        <v>150</v>
      </c>
      <c r="M15" t="s">
        <v>25</v>
      </c>
      <c r="N15" t="s">
        <v>151</v>
      </c>
      <c r="O15" t="s">
        <v>25</v>
      </c>
      <c r="P15" t="s">
        <v>152</v>
      </c>
      <c r="Q15" t="s">
        <v>29</v>
      </c>
      <c r="R15" t="s">
        <v>148</v>
      </c>
      <c r="S15" t="s">
        <v>149</v>
      </c>
    </row>
    <row r="16" spans="1:19" x14ac:dyDescent="0.25">
      <c r="A16" s="1">
        <v>14</v>
      </c>
      <c r="B16" t="str">
        <f>HYPERLINK("https://www.dasschnelle.at/steineck-karl-weyer-steyrer-straße","Website")</f>
        <v>Website</v>
      </c>
      <c r="C16" t="str">
        <f>HYPERLINK("https://www.dasschnelle.at/steineck-karl-weyer-steyrer-stra%C3%9Fe","Website")</f>
        <v>Website</v>
      </c>
      <c r="D16" t="str">
        <f>HYPERLINK("http://www.google.com/maps/place/47.85378,14.65768","Location")</f>
        <v>Location</v>
      </c>
      <c r="E16" t="s">
        <v>153</v>
      </c>
      <c r="F16" t="s">
        <v>154</v>
      </c>
      <c r="G16" t="s">
        <v>156</v>
      </c>
      <c r="H16" t="s">
        <v>157</v>
      </c>
      <c r="I16" t="s">
        <v>85</v>
      </c>
      <c r="J16" t="s">
        <v>22</v>
      </c>
      <c r="K16" t="s">
        <v>155</v>
      </c>
      <c r="L16" t="s">
        <v>160</v>
      </c>
      <c r="M16" t="s">
        <v>25</v>
      </c>
      <c r="N16" t="s">
        <v>161</v>
      </c>
      <c r="O16" t="s">
        <v>25</v>
      </c>
      <c r="P16" t="s">
        <v>162</v>
      </c>
      <c r="Q16" t="s">
        <v>29</v>
      </c>
      <c r="R16" t="s">
        <v>158</v>
      </c>
      <c r="S16" t="s">
        <v>159</v>
      </c>
    </row>
    <row r="17" spans="1:19" x14ac:dyDescent="0.25">
      <c r="A17" s="1">
        <v>15</v>
      </c>
      <c r="B17" t="str">
        <f>HYPERLINK("https://www.dasschnelle.at/slanic-romana-la-jolie-garsten-klosterstraße","Website")</f>
        <v>Website</v>
      </c>
      <c r="C17" t="str">
        <f>HYPERLINK("http://www.la-jolie.at","Website")</f>
        <v>Website</v>
      </c>
      <c r="D17" t="str">
        <f>HYPERLINK("http://www.google.com/maps/place/48.02207,14.40286","Location")</f>
        <v>Location</v>
      </c>
      <c r="E17" t="s">
        <v>163</v>
      </c>
      <c r="F17" t="s">
        <v>164</v>
      </c>
      <c r="G17" t="s">
        <v>166</v>
      </c>
      <c r="H17" t="s">
        <v>167</v>
      </c>
      <c r="I17" t="s">
        <v>85</v>
      </c>
      <c r="J17" t="s">
        <v>22</v>
      </c>
      <c r="K17" t="s">
        <v>165</v>
      </c>
      <c r="L17" t="s">
        <v>170</v>
      </c>
      <c r="M17" t="s">
        <v>25</v>
      </c>
      <c r="N17" t="s">
        <v>171</v>
      </c>
      <c r="O17" t="s">
        <v>25</v>
      </c>
      <c r="P17" t="s">
        <v>172</v>
      </c>
      <c r="Q17" t="s">
        <v>29</v>
      </c>
      <c r="R17" t="s">
        <v>168</v>
      </c>
      <c r="S17" t="s">
        <v>169</v>
      </c>
    </row>
    <row r="18" spans="1:19" x14ac:dyDescent="0.25">
      <c r="A18" s="1">
        <v>16</v>
      </c>
      <c r="B18" t="str">
        <f>HYPERLINK("https://www.dasschnelle.at/fuchshuber-gmbh-steyr-ennser-straße","Website")</f>
        <v>Website</v>
      </c>
      <c r="C18" t="str">
        <f>HYPERLINK("http://www.fuchshuber-holz.at","Website")</f>
        <v>Website</v>
      </c>
      <c r="D18" t="str">
        <f>HYPERLINK("http://www.google.com/maps/place/48.07016,14.42415","Location")</f>
        <v>Location</v>
      </c>
      <c r="E18" t="s">
        <v>173</v>
      </c>
      <c r="F18" t="s">
        <v>174</v>
      </c>
      <c r="G18" t="s">
        <v>176</v>
      </c>
      <c r="H18" t="s">
        <v>96</v>
      </c>
      <c r="I18" t="s">
        <v>177</v>
      </c>
      <c r="J18" t="s">
        <v>22</v>
      </c>
      <c r="K18" t="s">
        <v>175</v>
      </c>
      <c r="L18" t="s">
        <v>180</v>
      </c>
      <c r="M18" t="s">
        <v>181</v>
      </c>
      <c r="N18" t="s">
        <v>182</v>
      </c>
      <c r="O18" t="s">
        <v>25</v>
      </c>
      <c r="P18" t="s">
        <v>183</v>
      </c>
      <c r="Q18" t="s">
        <v>29</v>
      </c>
      <c r="R18" t="s">
        <v>178</v>
      </c>
      <c r="S18" t="s">
        <v>179</v>
      </c>
    </row>
    <row r="19" spans="1:19" x14ac:dyDescent="0.25">
      <c r="A19" s="1">
        <v>17</v>
      </c>
      <c r="B19" t="str">
        <f>HYPERLINK("https://www.dasschnelle.at/frauenhaus-steyr-steyr","Website")</f>
        <v>Website</v>
      </c>
      <c r="C19" t="str">
        <f>HYPERLINK("http://www.frauenhaus-steyr.at","Website")</f>
        <v>Website</v>
      </c>
      <c r="D19" t="str">
        <f>HYPERLINK("http://www.google.com/maps/place/48.0418838,14.4078882","Location")</f>
        <v>Location</v>
      </c>
      <c r="E19" t="s">
        <v>184</v>
      </c>
      <c r="F19" t="s">
        <v>185</v>
      </c>
      <c r="G19" t="s">
        <v>95</v>
      </c>
      <c r="H19" t="s">
        <v>96</v>
      </c>
      <c r="I19" t="s">
        <v>85</v>
      </c>
      <c r="J19" t="s">
        <v>22</v>
      </c>
      <c r="K19" t="s">
        <v>25</v>
      </c>
      <c r="L19" t="s">
        <v>188</v>
      </c>
      <c r="M19" t="s">
        <v>25</v>
      </c>
      <c r="N19" t="s">
        <v>189</v>
      </c>
      <c r="O19" t="s">
        <v>25</v>
      </c>
      <c r="P19" t="s">
        <v>190</v>
      </c>
      <c r="Q19" t="s">
        <v>29</v>
      </c>
      <c r="R19" t="s">
        <v>186</v>
      </c>
      <c r="S19" t="s">
        <v>187</v>
      </c>
    </row>
    <row r="20" spans="1:19" x14ac:dyDescent="0.25">
      <c r="A20" s="1">
        <v>18</v>
      </c>
      <c r="B20" t="str">
        <f>HYPERLINK("https://www.dasschnelle.at/mayr-andreas-dr-steyr-tomitzstraße","Website")</f>
        <v>Website</v>
      </c>
      <c r="C20" t="str">
        <f>HYPERLINK("https://www.dasschnelle.at/mayr-andreas-dr-steyr-tomitzstra%C3%9Fe","Website")</f>
        <v>Website</v>
      </c>
      <c r="D20" t="str">
        <f>HYPERLINK("http://www.google.com/maps/place/48.03707,14.41335","Location")</f>
        <v>Location</v>
      </c>
      <c r="E20" t="s">
        <v>191</v>
      </c>
      <c r="F20" t="s">
        <v>192</v>
      </c>
      <c r="G20" t="s">
        <v>95</v>
      </c>
      <c r="H20" t="s">
        <v>96</v>
      </c>
      <c r="I20" t="s">
        <v>85</v>
      </c>
      <c r="J20" t="s">
        <v>22</v>
      </c>
      <c r="K20" t="s">
        <v>193</v>
      </c>
      <c r="L20" t="s">
        <v>196</v>
      </c>
      <c r="M20" t="s">
        <v>25</v>
      </c>
      <c r="N20" t="s">
        <v>197</v>
      </c>
      <c r="O20" t="s">
        <v>25</v>
      </c>
      <c r="P20" t="s">
        <v>198</v>
      </c>
      <c r="Q20" t="s">
        <v>29</v>
      </c>
      <c r="R20" t="s">
        <v>194</v>
      </c>
      <c r="S20" t="s">
        <v>195</v>
      </c>
    </row>
    <row r="21" spans="1:19" x14ac:dyDescent="0.25">
      <c r="A21" s="1">
        <v>19</v>
      </c>
      <c r="B21" t="str">
        <f>HYPERLINK("https://www.dasschnelle.at/hopf-jürgen-gaflenz-pettendorf","Website")</f>
        <v>Website</v>
      </c>
      <c r="C21" t="str">
        <f>HYPERLINK("http://www.hafnermeister-hopf.at","Website")</f>
        <v>Website</v>
      </c>
      <c r="D21" t="str">
        <f>HYPERLINK("http://www.google.com/maps/place/47.8938764,14.7144914","Location")</f>
        <v>Location</v>
      </c>
      <c r="E21" t="s">
        <v>199</v>
      </c>
      <c r="F21" t="s">
        <v>200</v>
      </c>
      <c r="G21" t="s">
        <v>202</v>
      </c>
      <c r="H21" t="s">
        <v>203</v>
      </c>
      <c r="I21" t="s">
        <v>85</v>
      </c>
      <c r="J21" t="s">
        <v>22</v>
      </c>
      <c r="K21" t="s">
        <v>201</v>
      </c>
      <c r="L21" t="s">
        <v>206</v>
      </c>
      <c r="M21" t="s">
        <v>25</v>
      </c>
      <c r="N21" t="s">
        <v>207</v>
      </c>
      <c r="O21" t="s">
        <v>25</v>
      </c>
      <c r="P21" t="s">
        <v>208</v>
      </c>
      <c r="Q21" t="s">
        <v>29</v>
      </c>
      <c r="R21" t="s">
        <v>204</v>
      </c>
      <c r="S21" t="s">
        <v>205</v>
      </c>
    </row>
    <row r="22" spans="1:19" x14ac:dyDescent="0.25">
      <c r="A22" s="1">
        <v>20</v>
      </c>
      <c r="B22" t="str">
        <f>HYPERLINK("https://www.dasschnelle.at/nagler-peter-großraming-lumplgraben","Website")</f>
        <v>Website</v>
      </c>
      <c r="C22" t="str">
        <f>HYPERLINK("https://www.dasschnelle.at/nagler-peter-gro%C3%9Framing-lumplgraben","Website")</f>
        <v>Website</v>
      </c>
      <c r="D22" t="str">
        <f>HYPERLINK("http://www.google.com/maps/place/47.8531712,14.5198022","Location")</f>
        <v>Location</v>
      </c>
      <c r="E22" t="s">
        <v>209</v>
      </c>
      <c r="F22" t="s">
        <v>210</v>
      </c>
      <c r="G22" t="s">
        <v>212</v>
      </c>
      <c r="H22" t="s">
        <v>213</v>
      </c>
      <c r="I22" t="s">
        <v>85</v>
      </c>
      <c r="J22" t="s">
        <v>22</v>
      </c>
      <c r="K22" t="s">
        <v>211</v>
      </c>
      <c r="L22" t="s">
        <v>216</v>
      </c>
      <c r="M22" t="s">
        <v>25</v>
      </c>
      <c r="N22" t="s">
        <v>217</v>
      </c>
      <c r="O22" t="s">
        <v>25</v>
      </c>
      <c r="P22" t="s">
        <v>218</v>
      </c>
      <c r="Q22" t="s">
        <v>29</v>
      </c>
      <c r="R22" t="s">
        <v>214</v>
      </c>
      <c r="S22" t="s">
        <v>215</v>
      </c>
    </row>
    <row r="23" spans="1:19" x14ac:dyDescent="0.25">
      <c r="A23" s="1">
        <v>21</v>
      </c>
      <c r="B23" t="str">
        <f>HYPERLINK("https://www.dasschnelle.at/rußegger-sabine-weyer-marktplatz","Website")</f>
        <v>Website</v>
      </c>
      <c r="C23" t="str">
        <f>HYPERLINK("https://www.dasschnelle.at/ru%C3%9Fegger-sabine-weyer-marktplatz","Website")</f>
        <v>Website</v>
      </c>
      <c r="D23" t="str">
        <f>HYPERLINK("http://www.google.com/maps/place/47.85823,14.66486","Location")</f>
        <v>Location</v>
      </c>
      <c r="E23" t="s">
        <v>219</v>
      </c>
      <c r="F23" t="s">
        <v>220</v>
      </c>
      <c r="G23" t="s">
        <v>156</v>
      </c>
      <c r="H23" t="s">
        <v>157</v>
      </c>
      <c r="I23" t="s">
        <v>85</v>
      </c>
      <c r="J23" t="s">
        <v>22</v>
      </c>
      <c r="K23" t="s">
        <v>221</v>
      </c>
      <c r="L23" t="s">
        <v>224</v>
      </c>
      <c r="M23" t="s">
        <v>25</v>
      </c>
      <c r="N23" t="s">
        <v>225</v>
      </c>
      <c r="O23" t="s">
        <v>25</v>
      </c>
      <c r="P23" t="s">
        <v>226</v>
      </c>
      <c r="Q23" t="s">
        <v>29</v>
      </c>
      <c r="R23" t="s">
        <v>222</v>
      </c>
      <c r="S23" t="s">
        <v>223</v>
      </c>
    </row>
    <row r="24" spans="1:19" x14ac:dyDescent="0.25">
      <c r="A24" s="1">
        <v>22</v>
      </c>
      <c r="B24" t="str">
        <f>HYPERLINK("https://www.dasschnelle.at/stangl-christa-weyer-marktplatz","Website")</f>
        <v>Website</v>
      </c>
      <c r="C24" t="str">
        <f>HYPERLINK("https://www.dasschnelle.at/stangl-christa-weyer-marktplatz","Website")</f>
        <v>Website</v>
      </c>
      <c r="D24" t="str">
        <f>HYPERLINK("http://www.google.com/maps/place/47.8573,14.6642","Location")</f>
        <v>Location</v>
      </c>
      <c r="E24" t="s">
        <v>227</v>
      </c>
      <c r="F24" t="s">
        <v>228</v>
      </c>
      <c r="G24" t="s">
        <v>156</v>
      </c>
      <c r="H24" t="s">
        <v>157</v>
      </c>
      <c r="I24" t="s">
        <v>85</v>
      </c>
      <c r="J24" t="s">
        <v>22</v>
      </c>
      <c r="K24" t="s">
        <v>229</v>
      </c>
      <c r="L24" t="s">
        <v>232</v>
      </c>
      <c r="M24" t="s">
        <v>25</v>
      </c>
      <c r="N24" t="s">
        <v>233</v>
      </c>
      <c r="O24" t="s">
        <v>25</v>
      </c>
      <c r="P24" t="s">
        <v>234</v>
      </c>
      <c r="Q24" t="s">
        <v>29</v>
      </c>
      <c r="R24" t="s">
        <v>230</v>
      </c>
      <c r="S24" t="s">
        <v>231</v>
      </c>
    </row>
    <row r="25" spans="1:19" x14ac:dyDescent="0.25">
      <c r="A25" s="1">
        <v>23</v>
      </c>
      <c r="B25" t="str">
        <f>HYPERLINK("https://www.dasschnelle.at/hamertinger-max-weyer-waidhofner-straße","Website")</f>
        <v>Website</v>
      </c>
      <c r="C25" t="str">
        <f>HYPERLINK("http://www.hamertinger.at","Website")</f>
        <v>Website</v>
      </c>
      <c r="D25" t="str">
        <f>HYPERLINK("http://www.google.com/maps/place/47.86684,14.67194","Location")</f>
        <v>Location</v>
      </c>
      <c r="E25" t="s">
        <v>235</v>
      </c>
      <c r="F25" t="s">
        <v>236</v>
      </c>
      <c r="G25" t="s">
        <v>156</v>
      </c>
      <c r="H25" t="s">
        <v>157</v>
      </c>
      <c r="I25" t="s">
        <v>85</v>
      </c>
      <c r="J25" t="s">
        <v>22</v>
      </c>
      <c r="K25" t="s">
        <v>237</v>
      </c>
      <c r="L25" t="s">
        <v>240</v>
      </c>
      <c r="M25" t="s">
        <v>25</v>
      </c>
      <c r="N25" t="s">
        <v>241</v>
      </c>
      <c r="O25" t="s">
        <v>25</v>
      </c>
      <c r="P25" t="s">
        <v>242</v>
      </c>
      <c r="Q25" t="s">
        <v>29</v>
      </c>
      <c r="R25" t="s">
        <v>238</v>
      </c>
      <c r="S25" t="s">
        <v>239</v>
      </c>
    </row>
    <row r="26" spans="1:19" x14ac:dyDescent="0.25">
      <c r="A26" s="1">
        <v>24</v>
      </c>
      <c r="B26" t="str">
        <f>HYPERLINK("https://www.dasschnelle.at/restaurant-rialto-großraming-lumpelgraben","Website")</f>
        <v>Website</v>
      </c>
      <c r="C26" t="str">
        <f>HYPERLINK("http://www.restaurant-rialto.at","Website")</f>
        <v>Website</v>
      </c>
      <c r="D26" t="str">
        <f>HYPERLINK("http://www.google.com/maps/place/47.8826406,14.5488337","Location")</f>
        <v>Location</v>
      </c>
      <c r="E26" t="s">
        <v>243</v>
      </c>
      <c r="F26" t="s">
        <v>244</v>
      </c>
      <c r="G26" t="s">
        <v>212</v>
      </c>
      <c r="H26" t="s">
        <v>213</v>
      </c>
      <c r="I26" t="s">
        <v>85</v>
      </c>
      <c r="J26" t="s">
        <v>22</v>
      </c>
      <c r="K26" t="s">
        <v>245</v>
      </c>
      <c r="L26" t="s">
        <v>248</v>
      </c>
      <c r="M26" t="s">
        <v>25</v>
      </c>
      <c r="N26" t="s">
        <v>249</v>
      </c>
      <c r="O26" t="s">
        <v>25</v>
      </c>
      <c r="P26" t="s">
        <v>250</v>
      </c>
      <c r="Q26" t="s">
        <v>29</v>
      </c>
      <c r="R26" t="s">
        <v>246</v>
      </c>
      <c r="S26" t="s">
        <v>247</v>
      </c>
    </row>
    <row r="27" spans="1:19" x14ac:dyDescent="0.25">
      <c r="A27" s="1">
        <v>25</v>
      </c>
      <c r="B27" t="str">
        <f>HYPERLINK("https://www.dasschnelle.at/haidenthaler-kurt-steyr-wolfernstraße","Website")</f>
        <v>Website</v>
      </c>
      <c r="C27" t="str">
        <f>HYPERLINK("http://www.haidenthaler.com","Website")</f>
        <v>Website</v>
      </c>
      <c r="D27" t="str">
        <f>HYPERLINK("http://www.google.com/maps/place/48.05085,14.39703","Location")</f>
        <v>Location</v>
      </c>
      <c r="E27" t="s">
        <v>251</v>
      </c>
      <c r="F27" t="s">
        <v>252</v>
      </c>
      <c r="G27" t="s">
        <v>95</v>
      </c>
      <c r="H27" t="s">
        <v>96</v>
      </c>
      <c r="I27" t="s">
        <v>85</v>
      </c>
      <c r="J27" t="s">
        <v>22</v>
      </c>
      <c r="K27" t="s">
        <v>253</v>
      </c>
      <c r="L27" t="s">
        <v>256</v>
      </c>
      <c r="M27" t="s">
        <v>25</v>
      </c>
      <c r="N27" t="s">
        <v>257</v>
      </c>
      <c r="O27" t="s">
        <v>25</v>
      </c>
      <c r="P27" t="s">
        <v>258</v>
      </c>
      <c r="Q27" t="s">
        <v>29</v>
      </c>
      <c r="R27" t="s">
        <v>254</v>
      </c>
      <c r="S27" t="s">
        <v>255</v>
      </c>
    </row>
    <row r="28" spans="1:19" x14ac:dyDescent="0.25">
      <c r="A28" s="1">
        <v>26</v>
      </c>
      <c r="B28" t="str">
        <f>HYPERLINK("https://www.dasschnelle.at/gasthof-kleinschönleiten-laussa-brunngraben","Website")</f>
        <v>Website</v>
      </c>
      <c r="C28" t="str">
        <f>HYPERLINK("http://www.gasthaus-kleinschoenleiten.at","Website")</f>
        <v>Website</v>
      </c>
      <c r="D28" t="str">
        <f>HYPERLINK("http://www.google.com/maps/place/47.9552,14.41597","Location")</f>
        <v>Location</v>
      </c>
      <c r="E28" t="s">
        <v>259</v>
      </c>
      <c r="F28" t="s">
        <v>260</v>
      </c>
      <c r="G28" t="s">
        <v>262</v>
      </c>
      <c r="H28" t="s">
        <v>263</v>
      </c>
      <c r="I28" t="s">
        <v>85</v>
      </c>
      <c r="J28" t="s">
        <v>22</v>
      </c>
      <c r="K28" t="s">
        <v>261</v>
      </c>
      <c r="L28" t="s">
        <v>266</v>
      </c>
      <c r="M28" t="s">
        <v>25</v>
      </c>
      <c r="N28" t="s">
        <v>267</v>
      </c>
      <c r="O28" t="s">
        <v>268</v>
      </c>
      <c r="P28" t="s">
        <v>269</v>
      </c>
      <c r="Q28" t="s">
        <v>29</v>
      </c>
      <c r="R28" t="s">
        <v>264</v>
      </c>
      <c r="S28" t="s">
        <v>265</v>
      </c>
    </row>
    <row r="29" spans="1:19" x14ac:dyDescent="0.25">
      <c r="A29" s="1">
        <v>27</v>
      </c>
      <c r="B29" t="str">
        <f>HYPERLINK("https://www.dasschnelle.at/sprosec-hubert-großraming-rodelsbach","Website")</f>
        <v>Website</v>
      </c>
      <c r="C29" t="str">
        <f>HYPERLINK("https://www.dasschnelle.at/sprosec-hubert-gro%C3%9Framing-rodelsbach","Website")</f>
        <v>Website</v>
      </c>
      <c r="D29" t="str">
        <f>HYPERLINK("http://www.google.com/maps/place/47.88128,14.54401","Location")</f>
        <v>Location</v>
      </c>
      <c r="E29" t="s">
        <v>270</v>
      </c>
      <c r="F29" t="s">
        <v>271</v>
      </c>
      <c r="G29" t="s">
        <v>212</v>
      </c>
      <c r="H29" t="s">
        <v>213</v>
      </c>
      <c r="I29" t="s">
        <v>85</v>
      </c>
      <c r="J29" t="s">
        <v>22</v>
      </c>
      <c r="K29" t="s">
        <v>272</v>
      </c>
      <c r="L29" t="s">
        <v>275</v>
      </c>
      <c r="M29" t="s">
        <v>25</v>
      </c>
      <c r="N29" t="s">
        <v>276</v>
      </c>
      <c r="O29" t="s">
        <v>25</v>
      </c>
      <c r="P29" t="s">
        <v>277</v>
      </c>
      <c r="Q29" t="s">
        <v>29</v>
      </c>
      <c r="R29" t="s">
        <v>273</v>
      </c>
      <c r="S29" t="s">
        <v>274</v>
      </c>
    </row>
    <row r="30" spans="1:19" x14ac:dyDescent="0.25">
      <c r="A30" s="1">
        <v>28</v>
      </c>
      <c r="B30" t="str">
        <f>HYPERLINK("https://www.dasschnelle.at/peter-harald-dr-med-univ-krems-an-der-donau-karl-eybl-gasse","Website")</f>
        <v>Website</v>
      </c>
      <c r="C30" t="str">
        <f>HYPERLINK("https://www.dasschnelle.at/peter-harald-dr-med-univ-krems-an-der-donau-karl-eybl-gasse","Website")</f>
        <v>Website</v>
      </c>
      <c r="D30" t="str">
        <f>HYPERLINK("http://www.google.com/maps/place/48.4049192,15.5894592","Location")</f>
        <v>Location</v>
      </c>
      <c r="E30" t="s">
        <v>278</v>
      </c>
      <c r="F30" t="s">
        <v>279</v>
      </c>
      <c r="G30" t="s">
        <v>281</v>
      </c>
      <c r="H30" t="s">
        <v>282</v>
      </c>
      <c r="I30" t="s">
        <v>177</v>
      </c>
      <c r="J30" t="s">
        <v>22</v>
      </c>
      <c r="K30" t="s">
        <v>280</v>
      </c>
      <c r="L30" t="s">
        <v>285</v>
      </c>
      <c r="M30" t="s">
        <v>25</v>
      </c>
      <c r="N30" t="s">
        <v>286</v>
      </c>
      <c r="O30" t="s">
        <v>25</v>
      </c>
      <c r="P30" t="s">
        <v>287</v>
      </c>
      <c r="Q30" t="s">
        <v>29</v>
      </c>
      <c r="R30" t="s">
        <v>283</v>
      </c>
      <c r="S30" t="s">
        <v>284</v>
      </c>
    </row>
    <row r="31" spans="1:19" x14ac:dyDescent="0.25">
      <c r="A31" s="1">
        <v>29</v>
      </c>
      <c r="B31" t="str">
        <f>HYPERLINK("https://www.dasschnelle.at/eichelmann-adolf-krems-limbergstraße","Website")</f>
        <v>Website</v>
      </c>
      <c r="C31" t="str">
        <f>HYPERLINK("http://www.eichelmann.at","Website")</f>
        <v>Website</v>
      </c>
      <c r="D31" t="str">
        <f>HYPERLINK("http://www.google.com/maps/place/48.43687,15.61656","Location")</f>
        <v>Location</v>
      </c>
      <c r="E31" t="s">
        <v>288</v>
      </c>
      <c r="F31" t="s">
        <v>289</v>
      </c>
      <c r="G31" t="s">
        <v>281</v>
      </c>
      <c r="H31" t="s">
        <v>291</v>
      </c>
      <c r="I31" t="s">
        <v>177</v>
      </c>
      <c r="J31" t="s">
        <v>22</v>
      </c>
      <c r="K31" t="s">
        <v>290</v>
      </c>
      <c r="L31" t="s">
        <v>294</v>
      </c>
      <c r="M31" t="s">
        <v>295</v>
      </c>
      <c r="N31" t="s">
        <v>296</v>
      </c>
      <c r="O31" t="s">
        <v>25</v>
      </c>
      <c r="P31" t="s">
        <v>297</v>
      </c>
      <c r="Q31" t="s">
        <v>29</v>
      </c>
      <c r="R31" t="s">
        <v>292</v>
      </c>
      <c r="S31" t="s">
        <v>293</v>
      </c>
    </row>
    <row r="32" spans="1:19" x14ac:dyDescent="0.25">
      <c r="A32" s="1">
        <v>30</v>
      </c>
      <c r="B32" t="str">
        <f>HYPERLINK("https://www.dasschnelle.at/docekal-thomas-gars-am-kamp-maiersch","Website")</f>
        <v>Website</v>
      </c>
      <c r="C32" t="str">
        <f>HYPERLINK("http://www.baustoffe-gars.at","Website")</f>
        <v>Website</v>
      </c>
      <c r="D32" t="str">
        <f>HYPERLINK("http://www.google.com/maps/place/48.5763726,15.6850356","Location")</f>
        <v>Location</v>
      </c>
      <c r="E32" t="s">
        <v>298</v>
      </c>
      <c r="F32" t="s">
        <v>299</v>
      </c>
      <c r="G32" t="s">
        <v>301</v>
      </c>
      <c r="H32" t="s">
        <v>302</v>
      </c>
      <c r="I32" t="s">
        <v>177</v>
      </c>
      <c r="J32" t="s">
        <v>22</v>
      </c>
      <c r="K32" t="s">
        <v>300</v>
      </c>
      <c r="L32" t="s">
        <v>305</v>
      </c>
      <c r="M32" t="s">
        <v>25</v>
      </c>
      <c r="N32" t="s">
        <v>306</v>
      </c>
      <c r="O32" t="s">
        <v>25</v>
      </c>
      <c r="P32" t="s">
        <v>307</v>
      </c>
      <c r="Q32" t="s">
        <v>29</v>
      </c>
      <c r="R32" t="s">
        <v>303</v>
      </c>
      <c r="S32" t="s">
        <v>304</v>
      </c>
    </row>
    <row r="33" spans="1:19" x14ac:dyDescent="0.25">
      <c r="A33" s="1">
        <v>31</v>
      </c>
      <c r="B33" t="str">
        <f>HYPERLINK("https://www.dasschnelle.at/eckl-a-baugmbh-gföhl-langenloiser-straße","Website")</f>
        <v>Website</v>
      </c>
      <c r="C33" t="str">
        <f>HYPERLINK("http://www.ecklbau.at","Website")</f>
        <v>Website</v>
      </c>
      <c r="D33" t="str">
        <f>HYPERLINK("http://www.google.com/maps/place/48.5136,15.50733","Location")</f>
        <v>Location</v>
      </c>
      <c r="E33" t="s">
        <v>308</v>
      </c>
      <c r="F33" t="s">
        <v>309</v>
      </c>
      <c r="G33" t="s">
        <v>311</v>
      </c>
      <c r="H33" t="s">
        <v>312</v>
      </c>
      <c r="I33" t="s">
        <v>177</v>
      </c>
      <c r="J33" t="s">
        <v>22</v>
      </c>
      <c r="K33" t="s">
        <v>310</v>
      </c>
      <c r="L33" t="s">
        <v>315</v>
      </c>
      <c r="M33" t="s">
        <v>25</v>
      </c>
      <c r="N33" t="s">
        <v>316</v>
      </c>
      <c r="O33" t="s">
        <v>25</v>
      </c>
      <c r="P33" t="s">
        <v>317</v>
      </c>
      <c r="Q33" t="s">
        <v>29</v>
      </c>
      <c r="R33" t="s">
        <v>313</v>
      </c>
      <c r="S33" t="s">
        <v>314</v>
      </c>
    </row>
    <row r="34" spans="1:19" x14ac:dyDescent="0.25">
      <c r="A34" s="1">
        <v>32</v>
      </c>
      <c r="B34" t="str">
        <f>HYPERLINK("https://www.dasschnelle.at/brigitte-home-krems-steiner-landstraße","Website")</f>
        <v>Website</v>
      </c>
      <c r="C34" t="str">
        <f>HYPERLINK("http://www.brigittehome.com","Website")</f>
        <v>Website</v>
      </c>
      <c r="D34" t="str">
        <f>HYPERLINK("http://www.google.com/maps/place/48.4019789,15.5815437","Location")</f>
        <v>Location</v>
      </c>
      <c r="E34" t="s">
        <v>318</v>
      </c>
      <c r="F34" t="s">
        <v>319</v>
      </c>
      <c r="G34" t="s">
        <v>281</v>
      </c>
      <c r="H34" t="s">
        <v>291</v>
      </c>
      <c r="I34" t="s">
        <v>177</v>
      </c>
      <c r="J34" t="s">
        <v>22</v>
      </c>
      <c r="K34" t="s">
        <v>320</v>
      </c>
      <c r="L34" t="s">
        <v>323</v>
      </c>
      <c r="M34" t="s">
        <v>25</v>
      </c>
      <c r="N34" t="s">
        <v>324</v>
      </c>
      <c r="O34" t="s">
        <v>325</v>
      </c>
      <c r="P34" t="s">
        <v>326</v>
      </c>
      <c r="Q34" t="s">
        <v>29</v>
      </c>
      <c r="R34" t="s">
        <v>321</v>
      </c>
      <c r="S34" t="s">
        <v>322</v>
      </c>
    </row>
    <row r="35" spans="1:19" x14ac:dyDescent="0.25">
      <c r="A35" s="1">
        <v>33</v>
      </c>
      <c r="B35" t="str">
        <f>HYPERLINK("https://www.dasschnelle.at/steininger-petra-dr-krems-roseggerstr","Website")</f>
        <v>Website</v>
      </c>
      <c r="C35" t="str">
        <f>HYPERLINK("http://www.steininger-praxis.at","Website")</f>
        <v>Website</v>
      </c>
      <c r="D35" t="str">
        <f>HYPERLINK("http://www.google.com/maps/place/48.4085069,15.5901091","Location")</f>
        <v>Location</v>
      </c>
      <c r="E35" t="s">
        <v>327</v>
      </c>
      <c r="F35" t="s">
        <v>328</v>
      </c>
      <c r="G35" t="s">
        <v>281</v>
      </c>
      <c r="H35" t="s">
        <v>291</v>
      </c>
      <c r="I35" t="s">
        <v>177</v>
      </c>
      <c r="J35" t="s">
        <v>22</v>
      </c>
      <c r="K35" t="s">
        <v>329</v>
      </c>
      <c r="L35" t="s">
        <v>332</v>
      </c>
      <c r="M35" t="s">
        <v>25</v>
      </c>
      <c r="N35" t="s">
        <v>333</v>
      </c>
      <c r="O35" t="s">
        <v>25</v>
      </c>
      <c r="P35" t="s">
        <v>334</v>
      </c>
      <c r="Q35" t="s">
        <v>29</v>
      </c>
      <c r="R35" t="s">
        <v>330</v>
      </c>
      <c r="S35" t="s">
        <v>331</v>
      </c>
    </row>
    <row r="36" spans="1:19" x14ac:dyDescent="0.25">
      <c r="A36" s="1">
        <v>34</v>
      </c>
      <c r="B36" t="str">
        <f>HYPERLINK("https://www.dasschnelle.at/köck-gmbh-albrechtsberg","Website")</f>
        <v>Website</v>
      </c>
      <c r="C36" t="str">
        <f>HYPERLINK("http://www.koeck-gmbh.at","Website")</f>
        <v>Website</v>
      </c>
      <c r="D36" t="str">
        <f>HYPERLINK("http://www.google.com/maps/place/48.4631413,15.3725751","Location")</f>
        <v>Location</v>
      </c>
      <c r="E36" t="s">
        <v>335</v>
      </c>
      <c r="F36" t="s">
        <v>336</v>
      </c>
      <c r="G36" t="s">
        <v>337</v>
      </c>
      <c r="H36" t="s">
        <v>338</v>
      </c>
      <c r="I36" t="s">
        <v>177</v>
      </c>
      <c r="J36" t="s">
        <v>22</v>
      </c>
      <c r="K36" t="s">
        <v>25</v>
      </c>
      <c r="L36" t="s">
        <v>341</v>
      </c>
      <c r="M36" t="s">
        <v>342</v>
      </c>
      <c r="N36" t="s">
        <v>343</v>
      </c>
      <c r="O36" t="s">
        <v>344</v>
      </c>
      <c r="P36" t="s">
        <v>345</v>
      </c>
      <c r="Q36" t="s">
        <v>29</v>
      </c>
      <c r="R36" t="s">
        <v>339</v>
      </c>
      <c r="S36" t="s">
        <v>340</v>
      </c>
    </row>
    <row r="37" spans="1:19" x14ac:dyDescent="0.25">
      <c r="A37" s="1">
        <v>35</v>
      </c>
      <c r="B37" t="str">
        <f>HYPERLINK("https://www.dasschnelle.at/kfz-zierlinger-andreas-zierlinger-e-u-mautern-an-der-donau-oberbergern","Website")</f>
        <v>Website</v>
      </c>
      <c r="C37" t="str">
        <f>HYPERLINK("https://www.dasschnelle.at/kfz-zierlinger-andreas-zierlinger-e-u-mautern-an-der-donau-oberbergern","Website")</f>
        <v>Website</v>
      </c>
      <c r="D37" t="str">
        <f>HYPERLINK("http://www.google.com/maps/place/48.3659155,15.5366696","Location")</f>
        <v>Location</v>
      </c>
      <c r="E37" t="s">
        <v>346</v>
      </c>
      <c r="F37" t="s">
        <v>347</v>
      </c>
      <c r="G37" t="s">
        <v>349</v>
      </c>
      <c r="H37" t="s">
        <v>350</v>
      </c>
      <c r="I37" t="s">
        <v>177</v>
      </c>
      <c r="J37" t="s">
        <v>22</v>
      </c>
      <c r="K37" t="s">
        <v>348</v>
      </c>
      <c r="L37" t="s">
        <v>353</v>
      </c>
      <c r="M37" t="s">
        <v>25</v>
      </c>
      <c r="N37" t="s">
        <v>354</v>
      </c>
      <c r="O37" t="s">
        <v>25</v>
      </c>
      <c r="P37" t="s">
        <v>355</v>
      </c>
      <c r="Q37" t="s">
        <v>29</v>
      </c>
      <c r="R37" t="s">
        <v>351</v>
      </c>
      <c r="S37" t="s">
        <v>352</v>
      </c>
    </row>
    <row r="38" spans="1:19" x14ac:dyDescent="0.25">
      <c r="A38" s="1">
        <v>36</v>
      </c>
      <c r="B38" t="str">
        <f>HYPERLINK("https://www.dasschnelle.at/fischer-gregor-dr-lengenfeld-schickenberggasse","Website")</f>
        <v>Website</v>
      </c>
      <c r="C38" t="str">
        <f>HYPERLINK("http://www.hno-lengenfeld.at","Website")</f>
        <v>Website</v>
      </c>
      <c r="D38" t="str">
        <f>HYPERLINK("http://www.google.com/maps/place/48.47468,15.59542","Location")</f>
        <v>Location</v>
      </c>
      <c r="E38" t="s">
        <v>356</v>
      </c>
      <c r="F38" t="s">
        <v>357</v>
      </c>
      <c r="G38" t="s">
        <v>359</v>
      </c>
      <c r="H38" t="s">
        <v>360</v>
      </c>
      <c r="I38" t="s">
        <v>177</v>
      </c>
      <c r="J38" t="s">
        <v>22</v>
      </c>
      <c r="K38" t="s">
        <v>358</v>
      </c>
      <c r="L38" t="s">
        <v>363</v>
      </c>
      <c r="M38" t="s">
        <v>25</v>
      </c>
      <c r="N38" t="s">
        <v>364</v>
      </c>
      <c r="O38" t="s">
        <v>25</v>
      </c>
      <c r="P38" t="s">
        <v>365</v>
      </c>
      <c r="Q38" t="s">
        <v>29</v>
      </c>
      <c r="R38" t="s">
        <v>361</v>
      </c>
      <c r="S38" t="s">
        <v>362</v>
      </c>
    </row>
    <row r="39" spans="1:19" x14ac:dyDescent="0.25">
      <c r="A39" s="1">
        <v>37</v>
      </c>
      <c r="B39" t="str">
        <f>HYPERLINK("https://www.dasschnelle.at/suntinger-arno-dr-krems-dreifaltigkeitsplatz","Website")</f>
        <v>Website</v>
      </c>
      <c r="C39" t="str">
        <f>HYPERLINK("http://www.augenarzt-stleonhard.at","Website")</f>
        <v>Website</v>
      </c>
      <c r="D39" t="str">
        <f>HYPERLINK("http://www.google.com/maps/place/48.4101814,15.6015163","Location")</f>
        <v>Location</v>
      </c>
      <c r="E39" t="s">
        <v>366</v>
      </c>
      <c r="F39" t="s">
        <v>367</v>
      </c>
      <c r="G39" t="s">
        <v>281</v>
      </c>
      <c r="H39" t="s">
        <v>291</v>
      </c>
      <c r="I39" t="s">
        <v>177</v>
      </c>
      <c r="J39" t="s">
        <v>22</v>
      </c>
      <c r="K39" t="s">
        <v>368</v>
      </c>
      <c r="L39" t="s">
        <v>371</v>
      </c>
      <c r="M39" t="s">
        <v>25</v>
      </c>
      <c r="N39" t="s">
        <v>372</v>
      </c>
      <c r="O39" t="s">
        <v>25</v>
      </c>
      <c r="P39" t="s">
        <v>373</v>
      </c>
      <c r="Q39" t="s">
        <v>29</v>
      </c>
      <c r="R39" t="s">
        <v>369</v>
      </c>
      <c r="S39" t="s">
        <v>370</v>
      </c>
    </row>
    <row r="40" spans="1:19" x14ac:dyDescent="0.25">
      <c r="A40" s="1">
        <v>38</v>
      </c>
      <c r="B40" t="str">
        <f>HYPERLINK("https://www.dasschnelle.at/jokesch-kg-senftenberg-dorntal","Website")</f>
        <v>Website</v>
      </c>
      <c r="C40" t="str">
        <f>HYPERLINK("http://www.maler-jokesch.at","Website")</f>
        <v>Website</v>
      </c>
      <c r="D40" t="str">
        <f>HYPERLINK("http://www.google.com/maps/place/48.45166,15.56137","Location")</f>
        <v>Location</v>
      </c>
      <c r="E40" t="s">
        <v>374</v>
      </c>
      <c r="F40" t="s">
        <v>375</v>
      </c>
      <c r="G40" t="s">
        <v>377</v>
      </c>
      <c r="H40" t="s">
        <v>378</v>
      </c>
      <c r="I40" t="s">
        <v>177</v>
      </c>
      <c r="J40" t="s">
        <v>22</v>
      </c>
      <c r="K40" t="s">
        <v>376</v>
      </c>
      <c r="L40" t="s">
        <v>381</v>
      </c>
      <c r="M40" t="s">
        <v>25</v>
      </c>
      <c r="N40" t="s">
        <v>382</v>
      </c>
      <c r="O40" t="s">
        <v>25</v>
      </c>
      <c r="P40" t="s">
        <v>383</v>
      </c>
      <c r="Q40" t="s">
        <v>29</v>
      </c>
      <c r="R40" t="s">
        <v>379</v>
      </c>
      <c r="S40" t="s">
        <v>380</v>
      </c>
    </row>
    <row r="41" spans="1:19" x14ac:dyDescent="0.25">
      <c r="A41" s="1">
        <v>39</v>
      </c>
      <c r="B41" t="str">
        <f>HYPERLINK("https://www.dasschnelle.at/stein-center-grünsteidl-theiß-im-wirtschaftspark","Website")</f>
        <v>Website</v>
      </c>
      <c r="C41" t="str">
        <f>HYPERLINK("http://www.steincenter.at","Website")</f>
        <v>Website</v>
      </c>
      <c r="D41" t="str">
        <f>HYPERLINK("http://www.google.com/maps/place/48.4117603,15.6964535","Location")</f>
        <v>Location</v>
      </c>
      <c r="E41" t="s">
        <v>384</v>
      </c>
      <c r="F41" t="s">
        <v>385</v>
      </c>
      <c r="G41" t="s">
        <v>387</v>
      </c>
      <c r="H41" t="s">
        <v>388</v>
      </c>
      <c r="I41" t="s">
        <v>177</v>
      </c>
      <c r="J41" t="s">
        <v>22</v>
      </c>
      <c r="K41" t="s">
        <v>386</v>
      </c>
      <c r="L41" t="s">
        <v>391</v>
      </c>
      <c r="M41" t="s">
        <v>25</v>
      </c>
      <c r="N41" t="s">
        <v>392</v>
      </c>
      <c r="O41" t="s">
        <v>25</v>
      </c>
      <c r="P41" t="s">
        <v>393</v>
      </c>
      <c r="Q41" t="s">
        <v>29</v>
      </c>
      <c r="R41" t="s">
        <v>389</v>
      </c>
      <c r="S41" t="s">
        <v>390</v>
      </c>
    </row>
    <row r="42" spans="1:19" x14ac:dyDescent="0.25">
      <c r="A42" s="1">
        <v>40</v>
      </c>
      <c r="B42" t="str">
        <f>HYPERLINK("https://www.dasschnelle.at/gruber-auto-handelsgesmbh-gföhl-gewerbepark","Website")</f>
        <v>Website</v>
      </c>
      <c r="C42" t="str">
        <f>HYPERLINK("http://www.auto-gruber.at","Website")</f>
        <v>Website</v>
      </c>
      <c r="D42" t="str">
        <f>HYPERLINK("http://www.google.com/maps/place/48.5141200,15.5092400","Location")</f>
        <v>Location</v>
      </c>
      <c r="E42" t="s">
        <v>394</v>
      </c>
      <c r="F42" t="s">
        <v>395</v>
      </c>
      <c r="G42" t="s">
        <v>311</v>
      </c>
      <c r="H42" t="s">
        <v>312</v>
      </c>
      <c r="I42" t="s">
        <v>177</v>
      </c>
      <c r="J42" t="s">
        <v>22</v>
      </c>
      <c r="K42" t="s">
        <v>396</v>
      </c>
      <c r="L42" t="s">
        <v>399</v>
      </c>
      <c r="M42" t="s">
        <v>25</v>
      </c>
      <c r="N42" t="s">
        <v>400</v>
      </c>
      <c r="O42" t="s">
        <v>25</v>
      </c>
      <c r="P42" t="s">
        <v>401</v>
      </c>
      <c r="Q42" t="s">
        <v>29</v>
      </c>
      <c r="R42" t="s">
        <v>397</v>
      </c>
      <c r="S42" t="s">
        <v>398</v>
      </c>
    </row>
    <row r="43" spans="1:19" x14ac:dyDescent="0.25">
      <c r="A43" s="1">
        <v>41</v>
      </c>
      <c r="B43" t="str">
        <f>HYPERLINK("https://www.dasschnelle.at/armster-dominik-mag-krems-an-der-donau-täglicher-markt","Website")</f>
        <v>Website</v>
      </c>
      <c r="C43" t="str">
        <f>HYPERLINK("http://www.armster.at","Website")</f>
        <v>Website</v>
      </c>
      <c r="D43" t="str">
        <f>HYPERLINK("http://www.google.com/maps/place/48.4107654,15.6006573","Location")</f>
        <v>Location</v>
      </c>
      <c r="E43" t="s">
        <v>402</v>
      </c>
      <c r="F43" t="s">
        <v>403</v>
      </c>
      <c r="G43" t="s">
        <v>281</v>
      </c>
      <c r="H43" t="s">
        <v>282</v>
      </c>
      <c r="I43" t="s">
        <v>177</v>
      </c>
      <c r="J43" t="s">
        <v>22</v>
      </c>
      <c r="K43" t="s">
        <v>404</v>
      </c>
      <c r="L43" t="s">
        <v>407</v>
      </c>
      <c r="M43" t="s">
        <v>25</v>
      </c>
      <c r="N43" t="s">
        <v>408</v>
      </c>
      <c r="O43" t="s">
        <v>25</v>
      </c>
      <c r="P43" t="s">
        <v>409</v>
      </c>
      <c r="Q43" t="s">
        <v>29</v>
      </c>
      <c r="R43" t="s">
        <v>405</v>
      </c>
      <c r="S43" t="s">
        <v>406</v>
      </c>
    </row>
    <row r="44" spans="1:19" x14ac:dyDescent="0.25">
      <c r="A44" s="1">
        <v>42</v>
      </c>
      <c r="B44" t="str">
        <f>HYPERLINK("https://www.dasschnelle.at/lintner-andreas-langenlois-gobelsburger-straße","Website")</f>
        <v>Website</v>
      </c>
      <c r="C44" t="str">
        <f>HYPERLINK("http://www.amtz-lintner.at","Website")</f>
        <v>Website</v>
      </c>
      <c r="D44" t="str">
        <f>HYPERLINK("http://www.google.com/maps/place/48.4679,15.68933","Location")</f>
        <v>Location</v>
      </c>
      <c r="E44" t="s">
        <v>410</v>
      </c>
      <c r="F44" t="s">
        <v>411</v>
      </c>
      <c r="G44" t="s">
        <v>413</v>
      </c>
      <c r="H44" t="s">
        <v>414</v>
      </c>
      <c r="I44" t="s">
        <v>177</v>
      </c>
      <c r="J44" t="s">
        <v>22</v>
      </c>
      <c r="K44" t="s">
        <v>412</v>
      </c>
      <c r="L44" t="s">
        <v>417</v>
      </c>
      <c r="M44" t="s">
        <v>25</v>
      </c>
      <c r="N44" t="s">
        <v>418</v>
      </c>
      <c r="O44" t="s">
        <v>25</v>
      </c>
      <c r="P44" t="s">
        <v>419</v>
      </c>
      <c r="Q44" t="s">
        <v>29</v>
      </c>
      <c r="R44" t="s">
        <v>415</v>
      </c>
      <c r="S44" t="s">
        <v>416</v>
      </c>
    </row>
    <row r="45" spans="1:19" x14ac:dyDescent="0.25">
      <c r="A45" s="1">
        <v>43</v>
      </c>
      <c r="B45" t="str">
        <f>HYPERLINK("https://www.dasschnelle.at/proidl-andreas-senftenberg-unterm-hals","Website")</f>
        <v>Website</v>
      </c>
      <c r="C45" t="str">
        <f>HYPERLINK("http://www.proidl-installationen.at","Website")</f>
        <v>Website</v>
      </c>
      <c r="D45" t="str">
        <f>HYPERLINK("http://www.google.com/maps/place/48.44414,15.55846","Location")</f>
        <v>Location</v>
      </c>
      <c r="E45" t="s">
        <v>420</v>
      </c>
      <c r="F45" t="s">
        <v>421</v>
      </c>
      <c r="G45" t="s">
        <v>377</v>
      </c>
      <c r="H45" t="s">
        <v>378</v>
      </c>
      <c r="I45" t="s">
        <v>177</v>
      </c>
      <c r="J45" t="s">
        <v>22</v>
      </c>
      <c r="K45" t="s">
        <v>422</v>
      </c>
      <c r="L45" t="s">
        <v>425</v>
      </c>
      <c r="M45" t="s">
        <v>25</v>
      </c>
      <c r="N45" t="s">
        <v>426</v>
      </c>
      <c r="O45" t="s">
        <v>25</v>
      </c>
      <c r="P45" t="s">
        <v>427</v>
      </c>
      <c r="Q45" t="s">
        <v>29</v>
      </c>
      <c r="R45" t="s">
        <v>423</v>
      </c>
      <c r="S45" t="s">
        <v>424</v>
      </c>
    </row>
    <row r="46" spans="1:19" x14ac:dyDescent="0.25">
      <c r="A46" s="1">
        <v>44</v>
      </c>
      <c r="B46" t="str">
        <f>HYPERLINK("https://www.dasschnelle.at/org-von-personenbetreuung-ing-rainer-stöckl-langenlois-gobelsburger-hauptstrasse","Website")</f>
        <v>Website</v>
      </c>
      <c r="C46" t="str">
        <f>HYPERLINK("http://www.24hpflege-nu00f6.at","Website")</f>
        <v>Website</v>
      </c>
      <c r="D46" t="str">
        <f>HYPERLINK("http://www.google.com/maps/place/48.4636137,15.6937779","Location")</f>
        <v>Location</v>
      </c>
      <c r="E46" t="s">
        <v>428</v>
      </c>
      <c r="F46" t="s">
        <v>429</v>
      </c>
      <c r="G46" t="s">
        <v>413</v>
      </c>
      <c r="H46" t="s">
        <v>414</v>
      </c>
      <c r="I46" t="s">
        <v>177</v>
      </c>
      <c r="J46" t="s">
        <v>22</v>
      </c>
      <c r="K46" t="s">
        <v>430</v>
      </c>
      <c r="L46" t="s">
        <v>433</v>
      </c>
      <c r="M46" t="s">
        <v>25</v>
      </c>
      <c r="N46" t="s">
        <v>434</v>
      </c>
      <c r="O46" t="s">
        <v>435</v>
      </c>
      <c r="P46" t="s">
        <v>436</v>
      </c>
      <c r="Q46" t="s">
        <v>29</v>
      </c>
      <c r="R46" t="s">
        <v>431</v>
      </c>
      <c r="S46" t="s">
        <v>432</v>
      </c>
    </row>
    <row r="47" spans="1:19" x14ac:dyDescent="0.25">
      <c r="A47" s="1">
        <v>45</v>
      </c>
      <c r="B47" t="str">
        <f>HYPERLINK("https://www.dasschnelle.at/franz-andrä-korneuburg-schlossweg","Website")</f>
        <v>Website</v>
      </c>
      <c r="C47" t="str">
        <f>HYPERLINK("http://www.air-toshiba.at","Website")</f>
        <v>Website</v>
      </c>
      <c r="D47" t="str">
        <f>HYPERLINK("http://www.google.com/maps/place/48.3758100,16.3231100","Location")</f>
        <v>Location</v>
      </c>
      <c r="E47" t="s">
        <v>437</v>
      </c>
      <c r="F47" t="s">
        <v>438</v>
      </c>
      <c r="G47" t="s">
        <v>440</v>
      </c>
      <c r="H47" t="s">
        <v>441</v>
      </c>
      <c r="I47" t="s">
        <v>177</v>
      </c>
      <c r="J47" t="s">
        <v>22</v>
      </c>
      <c r="K47" t="s">
        <v>439</v>
      </c>
      <c r="L47" t="s">
        <v>444</v>
      </c>
      <c r="M47" t="s">
        <v>25</v>
      </c>
      <c r="N47" t="s">
        <v>445</v>
      </c>
      <c r="O47" t="s">
        <v>25</v>
      </c>
      <c r="P47" t="s">
        <v>446</v>
      </c>
      <c r="Q47" t="s">
        <v>29</v>
      </c>
      <c r="R47" t="s">
        <v>442</v>
      </c>
      <c r="S47" t="s">
        <v>443</v>
      </c>
    </row>
    <row r="48" spans="1:19" x14ac:dyDescent="0.25">
      <c r="A48" s="1">
        <v>46</v>
      </c>
      <c r="B48" t="str">
        <f>HYPERLINK("https://www.dasschnelle.at/schwarz-melanie-dein-friseur-kapfenstein","Website")</f>
        <v>Website</v>
      </c>
      <c r="C48" t="str">
        <f>HYPERLINK("http://www.haarmoni.at","Website")</f>
        <v>Website</v>
      </c>
      <c r="D48" t="str">
        <f>HYPERLINK("http://www.google.com/maps/place/46.8853291,15.9751072","Location")</f>
        <v>Location</v>
      </c>
      <c r="E48" t="s">
        <v>447</v>
      </c>
      <c r="F48" t="s">
        <v>448</v>
      </c>
      <c r="G48" t="s">
        <v>449</v>
      </c>
      <c r="H48" t="s">
        <v>450</v>
      </c>
      <c r="I48" t="s">
        <v>451</v>
      </c>
      <c r="J48" t="s">
        <v>22</v>
      </c>
      <c r="K48" t="s">
        <v>25</v>
      </c>
      <c r="L48" t="s">
        <v>454</v>
      </c>
      <c r="M48" t="s">
        <v>25</v>
      </c>
      <c r="N48" t="s">
        <v>455</v>
      </c>
      <c r="O48" t="s">
        <v>25</v>
      </c>
      <c r="P48" t="s">
        <v>456</v>
      </c>
      <c r="Q48" t="s">
        <v>29</v>
      </c>
      <c r="R48" t="s">
        <v>452</v>
      </c>
      <c r="S48" t="s">
        <v>453</v>
      </c>
    </row>
    <row r="49" spans="1:19" x14ac:dyDescent="0.25">
      <c r="A49" s="1">
        <v>47</v>
      </c>
      <c r="B49" t="str">
        <f>HYPERLINK("https://www.dasschnelle.at/leitgeb-johann-straden-straden","Website")</f>
        <v>Website</v>
      </c>
      <c r="C49" t="str">
        <f>HYPERLINK("http://www.maler-leitgeb.at","Website")</f>
        <v>Website</v>
      </c>
      <c r="D49" t="str">
        <f>HYPERLINK("http://www.google.com/maps/place/46.8098160,15.8640965","Location")</f>
        <v>Location</v>
      </c>
      <c r="E49" t="s">
        <v>457</v>
      </c>
      <c r="F49" t="s">
        <v>458</v>
      </c>
      <c r="G49" t="s">
        <v>460</v>
      </c>
      <c r="H49" t="s">
        <v>461</v>
      </c>
      <c r="I49" t="s">
        <v>451</v>
      </c>
      <c r="J49" t="s">
        <v>22</v>
      </c>
      <c r="K49" t="s">
        <v>459</v>
      </c>
      <c r="L49" t="s">
        <v>464</v>
      </c>
      <c r="M49" t="s">
        <v>25</v>
      </c>
      <c r="N49" t="s">
        <v>465</v>
      </c>
      <c r="O49" t="s">
        <v>25</v>
      </c>
      <c r="P49" t="s">
        <v>466</v>
      </c>
      <c r="Q49" t="s">
        <v>29</v>
      </c>
      <c r="R49" t="s">
        <v>462</v>
      </c>
      <c r="S49" t="s">
        <v>463</v>
      </c>
    </row>
    <row r="50" spans="1:19" x14ac:dyDescent="0.25">
      <c r="A50" s="1">
        <v>48</v>
      </c>
      <c r="B50" t="str">
        <f>HYPERLINK("https://www.dasschnelle.at/sudi-tanja-feldbach-grazer-straße","Website")</f>
        <v>Website</v>
      </c>
      <c r="C50" t="str">
        <f>HYPERLINK("https://www.dasschnelle.at/sudi-tanja-feldbach-grazer-stra%C3%9Fe","Website")</f>
        <v>Website</v>
      </c>
      <c r="D50" t="str">
        <f>HYPERLINK("http://www.google.com/maps/place/46.95706,15.88003","Location")</f>
        <v>Location</v>
      </c>
      <c r="E50" t="s">
        <v>467</v>
      </c>
      <c r="F50" t="s">
        <v>468</v>
      </c>
      <c r="G50" t="s">
        <v>470</v>
      </c>
      <c r="H50" t="s">
        <v>471</v>
      </c>
      <c r="I50" t="s">
        <v>451</v>
      </c>
      <c r="J50" t="s">
        <v>22</v>
      </c>
      <c r="K50" t="s">
        <v>469</v>
      </c>
      <c r="L50" t="s">
        <v>474</v>
      </c>
      <c r="M50" t="s">
        <v>25</v>
      </c>
      <c r="N50" t="s">
        <v>475</v>
      </c>
      <c r="O50" t="s">
        <v>25</v>
      </c>
      <c r="P50" t="s">
        <v>476</v>
      </c>
      <c r="Q50" t="s">
        <v>29</v>
      </c>
      <c r="R50" t="s">
        <v>472</v>
      </c>
      <c r="S50" t="s">
        <v>473</v>
      </c>
    </row>
    <row r="51" spans="1:19" x14ac:dyDescent="0.25">
      <c r="A51" s="1">
        <v>49</v>
      </c>
      <c r="B51" t="str">
        <f>HYPERLINK("https://www.dasschnelle.at/pein-anna-obergnas-obergnas","Website")</f>
        <v>Website</v>
      </c>
      <c r="C51" t="str">
        <f>HYPERLINK("http://www.bestattungpein.at","Website")</f>
        <v>Website</v>
      </c>
      <c r="D51" t="str">
        <f>HYPERLINK("http://www.google.com/maps/place/46.8867331,15.7919112","Location")</f>
        <v>Location</v>
      </c>
      <c r="E51" t="s">
        <v>477</v>
      </c>
      <c r="F51" t="s">
        <v>478</v>
      </c>
      <c r="G51" t="s">
        <v>480</v>
      </c>
      <c r="H51" t="s">
        <v>481</v>
      </c>
      <c r="I51" t="s">
        <v>451</v>
      </c>
      <c r="J51" t="s">
        <v>22</v>
      </c>
      <c r="K51" t="s">
        <v>479</v>
      </c>
      <c r="L51" t="s">
        <v>484</v>
      </c>
      <c r="M51" t="s">
        <v>25</v>
      </c>
      <c r="N51" t="s">
        <v>485</v>
      </c>
      <c r="O51" t="s">
        <v>25</v>
      </c>
      <c r="P51" t="s">
        <v>486</v>
      </c>
      <c r="Q51" t="s">
        <v>29</v>
      </c>
      <c r="R51" t="s">
        <v>482</v>
      </c>
      <c r="S51" t="s">
        <v>483</v>
      </c>
    </row>
    <row r="52" spans="1:19" x14ac:dyDescent="0.25">
      <c r="A52" s="1">
        <v>50</v>
      </c>
      <c r="B52" t="str">
        <f>HYPERLINK("https://www.dasschnelle.at/meixner-bau-gmbh-lödersdorf-i-lödersdorf-i","Website")</f>
        <v>Website</v>
      </c>
      <c r="C52" t="str">
        <f>HYPERLINK("http://www.meixnerbau.at","Website")</f>
        <v>Website</v>
      </c>
      <c r="D52" t="str">
        <f>HYPERLINK("http://www.google.com/maps/place/46.9575821,15.9390955","Location")</f>
        <v>Location</v>
      </c>
      <c r="E52" t="s">
        <v>487</v>
      </c>
      <c r="F52" t="s">
        <v>488</v>
      </c>
      <c r="G52" t="s">
        <v>490</v>
      </c>
      <c r="H52" t="s">
        <v>491</v>
      </c>
      <c r="I52" t="s">
        <v>451</v>
      </c>
      <c r="J52" t="s">
        <v>22</v>
      </c>
      <c r="K52" t="s">
        <v>489</v>
      </c>
      <c r="L52" t="s">
        <v>494</v>
      </c>
      <c r="M52" t="s">
        <v>25</v>
      </c>
      <c r="N52" t="s">
        <v>495</v>
      </c>
      <c r="O52" t="s">
        <v>496</v>
      </c>
      <c r="P52" t="s">
        <v>497</v>
      </c>
      <c r="Q52" t="s">
        <v>29</v>
      </c>
      <c r="R52" t="s">
        <v>492</v>
      </c>
      <c r="S52" t="s">
        <v>493</v>
      </c>
    </row>
    <row r="53" spans="1:19" x14ac:dyDescent="0.25">
      <c r="A53" s="1">
        <v>51</v>
      </c>
      <c r="B53" t="str">
        <f>HYPERLINK("https://www.dasschnelle.at/gemeindeamt-kirchberg-a-d-raab-kirchberg-an-der-raab-kirchberg-an-der-raab","Website")</f>
        <v>Website</v>
      </c>
      <c r="C53" t="str">
        <f>HYPERLINK("http://www.kirchberg-raab.gv.at","Website")</f>
        <v>Website</v>
      </c>
      <c r="D53" t="str">
        <f>HYPERLINK("http://www.google.com/maps/place/46.9858943,15.7675893","Location")</f>
        <v>Location</v>
      </c>
      <c r="E53" t="s">
        <v>498</v>
      </c>
      <c r="F53" t="s">
        <v>499</v>
      </c>
      <c r="G53" t="s">
        <v>501</v>
      </c>
      <c r="H53" t="s">
        <v>502</v>
      </c>
      <c r="I53" t="s">
        <v>451</v>
      </c>
      <c r="J53" t="s">
        <v>22</v>
      </c>
      <c r="K53" t="s">
        <v>500</v>
      </c>
      <c r="L53" t="s">
        <v>505</v>
      </c>
      <c r="M53" t="s">
        <v>506</v>
      </c>
      <c r="N53" t="s">
        <v>507</v>
      </c>
      <c r="O53" t="s">
        <v>25</v>
      </c>
      <c r="P53" t="s">
        <v>508</v>
      </c>
      <c r="Q53" t="s">
        <v>29</v>
      </c>
      <c r="R53" t="s">
        <v>503</v>
      </c>
      <c r="S53" t="s">
        <v>504</v>
      </c>
    </row>
    <row r="54" spans="1:19" x14ac:dyDescent="0.25">
      <c r="A54" s="1">
        <v>52</v>
      </c>
      <c r="B54" t="str">
        <f>HYPERLINK("https://www.dasschnelle.at/mödritscher-ord-volker-dr-med-univ-bad-gleichenberg-kaiser-franz-josef-straße","Website")</f>
        <v>Website</v>
      </c>
      <c r="C54" t="str">
        <f>HYPERLINK("http://www.zahni.at","Website")</f>
        <v>Website</v>
      </c>
      <c r="D54" t="str">
        <f>HYPERLINK("http://www.google.com/maps/place/46.87632,15.90829","Location")</f>
        <v>Location</v>
      </c>
      <c r="E54" t="s">
        <v>509</v>
      </c>
      <c r="F54" t="s">
        <v>510</v>
      </c>
      <c r="G54" t="s">
        <v>512</v>
      </c>
      <c r="H54" t="s">
        <v>513</v>
      </c>
      <c r="I54" t="s">
        <v>451</v>
      </c>
      <c r="J54" t="s">
        <v>22</v>
      </c>
      <c r="K54" t="s">
        <v>511</v>
      </c>
      <c r="L54" t="s">
        <v>516</v>
      </c>
      <c r="M54" t="s">
        <v>25</v>
      </c>
      <c r="N54" t="s">
        <v>517</v>
      </c>
      <c r="O54" t="s">
        <v>25</v>
      </c>
      <c r="P54" t="s">
        <v>518</v>
      </c>
      <c r="Q54" t="s">
        <v>29</v>
      </c>
      <c r="R54" t="s">
        <v>514</v>
      </c>
      <c r="S54" t="s">
        <v>515</v>
      </c>
    </row>
    <row r="55" spans="1:19" x14ac:dyDescent="0.25">
      <c r="A55" s="1">
        <v>53</v>
      </c>
      <c r="B55" t="str">
        <f>HYPERLINK("https://www.dasschnelle.at/lindenau-dorothea-feldbach-oswaldigasse","Website")</f>
        <v>Website</v>
      </c>
      <c r="C55" t="str">
        <f>HYPERLINK("https://www.dasschnelle.at/lindenau-dorothea-feldbach-oswaldigasse","Website")</f>
        <v>Website</v>
      </c>
      <c r="D55" t="str">
        <f>HYPERLINK("http://www.google.com/maps/place/46.94868,15.89011","Location")</f>
        <v>Location</v>
      </c>
      <c r="E55" t="s">
        <v>519</v>
      </c>
      <c r="F55" t="s">
        <v>520</v>
      </c>
      <c r="G55" t="s">
        <v>470</v>
      </c>
      <c r="H55" t="s">
        <v>471</v>
      </c>
      <c r="I55" t="s">
        <v>451</v>
      </c>
      <c r="J55" t="s">
        <v>22</v>
      </c>
      <c r="K55" t="s">
        <v>521</v>
      </c>
      <c r="L55" t="s">
        <v>524</v>
      </c>
      <c r="M55" t="s">
        <v>25</v>
      </c>
      <c r="N55" t="s">
        <v>525</v>
      </c>
      <c r="O55" t="s">
        <v>25</v>
      </c>
      <c r="P55" t="s">
        <v>526</v>
      </c>
      <c r="Q55" t="s">
        <v>29</v>
      </c>
      <c r="R55" t="s">
        <v>522</v>
      </c>
      <c r="S55" t="s">
        <v>523</v>
      </c>
    </row>
    <row r="56" spans="1:19" x14ac:dyDescent="0.25">
      <c r="A56" s="1">
        <v>54</v>
      </c>
      <c r="B56" t="str">
        <f>HYPERLINK("https://www.dasschnelle.at/legenstein-hannes-hochstraden","Website")</f>
        <v>Website</v>
      </c>
      <c r="C56" t="str">
        <f>HYPERLINK("http://www.dachdeckerei-spenglerei.at","Website")</f>
        <v>Website</v>
      </c>
      <c r="D56" t="str">
        <f>HYPERLINK("http://www.google.com/maps/place/46.8404289,15.9462945","Location")</f>
        <v>Location</v>
      </c>
      <c r="E56" t="s">
        <v>527</v>
      </c>
      <c r="F56" t="s">
        <v>528</v>
      </c>
      <c r="G56" t="s">
        <v>529</v>
      </c>
      <c r="H56" t="s">
        <v>530</v>
      </c>
      <c r="I56" t="s">
        <v>451</v>
      </c>
      <c r="J56" t="s">
        <v>22</v>
      </c>
      <c r="K56" t="s">
        <v>25</v>
      </c>
      <c r="L56" t="s">
        <v>533</v>
      </c>
      <c r="M56" t="s">
        <v>25</v>
      </c>
      <c r="N56" t="s">
        <v>534</v>
      </c>
      <c r="O56" t="s">
        <v>25</v>
      </c>
      <c r="P56" t="s">
        <v>535</v>
      </c>
      <c r="Q56" t="s">
        <v>29</v>
      </c>
      <c r="R56" t="s">
        <v>531</v>
      </c>
      <c r="S56" t="s">
        <v>532</v>
      </c>
    </row>
    <row r="57" spans="1:19" x14ac:dyDescent="0.25">
      <c r="A57" s="1">
        <v>55</v>
      </c>
      <c r="B57" t="str">
        <f>HYPERLINK("https://www.dasschnelle.at/platzer-david-sankt-stefan-im-rosental-reichersdorf","Website")</f>
        <v>Website</v>
      </c>
      <c r="C57" t="str">
        <f>HYPERLINK("http://www.maler-platzer.at","Website")</f>
        <v>Website</v>
      </c>
      <c r="D57" t="str">
        <f>HYPERLINK("http://www.google.com/maps/place/46.88464,15.73564","Location")</f>
        <v>Location</v>
      </c>
      <c r="E57" t="s">
        <v>536</v>
      </c>
      <c r="F57" t="s">
        <v>537</v>
      </c>
      <c r="G57" t="s">
        <v>539</v>
      </c>
      <c r="H57" t="s">
        <v>540</v>
      </c>
      <c r="I57" t="s">
        <v>451</v>
      </c>
      <c r="J57" t="s">
        <v>22</v>
      </c>
      <c r="K57" t="s">
        <v>538</v>
      </c>
      <c r="L57" t="s">
        <v>543</v>
      </c>
      <c r="M57" t="s">
        <v>25</v>
      </c>
      <c r="N57" t="s">
        <v>544</v>
      </c>
      <c r="O57" t="s">
        <v>25</v>
      </c>
      <c r="P57" t="s">
        <v>545</v>
      </c>
      <c r="Q57" t="s">
        <v>29</v>
      </c>
      <c r="R57" t="s">
        <v>541</v>
      </c>
      <c r="S57" t="s">
        <v>542</v>
      </c>
    </row>
    <row r="58" spans="1:19" x14ac:dyDescent="0.25">
      <c r="A58" s="1">
        <v>56</v>
      </c>
      <c r="B58" t="str">
        <f>HYPERLINK("https://www.dasschnelle.at/optik-billek-gmbh-feldbach-bürgergasse","Website")</f>
        <v>Website</v>
      </c>
      <c r="C58" t="str">
        <f>HYPERLINK("http://www.optik-billek.at","Website")</f>
        <v>Website</v>
      </c>
      <c r="D58" t="str">
        <f>HYPERLINK("http://www.google.com/maps/place/46.95268,15.89009","Location")</f>
        <v>Location</v>
      </c>
      <c r="E58" t="s">
        <v>546</v>
      </c>
      <c r="F58" t="s">
        <v>547</v>
      </c>
      <c r="G58" t="s">
        <v>470</v>
      </c>
      <c r="H58" t="s">
        <v>471</v>
      </c>
      <c r="I58" t="s">
        <v>451</v>
      </c>
      <c r="J58" t="s">
        <v>22</v>
      </c>
      <c r="K58" t="s">
        <v>548</v>
      </c>
      <c r="L58" t="s">
        <v>551</v>
      </c>
      <c r="M58" t="s">
        <v>552</v>
      </c>
      <c r="N58" t="s">
        <v>553</v>
      </c>
      <c r="O58" t="s">
        <v>25</v>
      </c>
      <c r="P58" t="s">
        <v>554</v>
      </c>
      <c r="Q58" t="s">
        <v>29</v>
      </c>
      <c r="R58" t="s">
        <v>549</v>
      </c>
      <c r="S58" t="s">
        <v>550</v>
      </c>
    </row>
    <row r="59" spans="1:19" x14ac:dyDescent="0.25">
      <c r="A59" s="1">
        <v>57</v>
      </c>
      <c r="B59" t="str">
        <f>HYPERLINK("https://www.dasschnelle.at/dorfwirt-menüexpress-backhendl-feldbach-oberweißenbach","Website")</f>
        <v>Website</v>
      </c>
      <c r="C59" t="str">
        <f>HYPERLINK("https://www.dasschnelle.at/dorfwirt-men%C3%BCexpress-backhendl-feldbach-oberwei%C3%9Fenbach","Website")</f>
        <v>Website</v>
      </c>
      <c r="D59" t="str">
        <f>HYPERLINK("http://www.google.com/maps/place/46.9365298,15.8485075","Location")</f>
        <v>Location</v>
      </c>
      <c r="E59" t="s">
        <v>555</v>
      </c>
      <c r="F59" t="s">
        <v>556</v>
      </c>
      <c r="G59" t="s">
        <v>470</v>
      </c>
      <c r="H59" t="s">
        <v>471</v>
      </c>
      <c r="I59" t="s">
        <v>451</v>
      </c>
      <c r="J59" t="s">
        <v>22</v>
      </c>
      <c r="K59" t="s">
        <v>557</v>
      </c>
      <c r="L59" t="s">
        <v>560</v>
      </c>
      <c r="M59" t="s">
        <v>25</v>
      </c>
      <c r="N59" t="s">
        <v>561</v>
      </c>
      <c r="O59" t="s">
        <v>25</v>
      </c>
      <c r="P59" t="s">
        <v>562</v>
      </c>
      <c r="Q59" t="s">
        <v>29</v>
      </c>
      <c r="R59" t="s">
        <v>558</v>
      </c>
      <c r="S59" t="s">
        <v>559</v>
      </c>
    </row>
    <row r="60" spans="1:19" x14ac:dyDescent="0.25">
      <c r="A60" s="1">
        <v>58</v>
      </c>
      <c r="B60" t="str">
        <f>HYPERLINK("https://www.dasschnelle.at/trummer-peter-gleichenberg-dorf-grazer-straße","Website")</f>
        <v>Website</v>
      </c>
      <c r="C60" t="str">
        <f>HYPERLINK("http://www.malerbetrieb-trummer.at","Website")</f>
        <v>Website</v>
      </c>
      <c r="D60" t="str">
        <f>HYPERLINK("http://www.google.com/maps/place/46.87668,15.89756","Location")</f>
        <v>Location</v>
      </c>
      <c r="E60" t="s">
        <v>563</v>
      </c>
      <c r="F60" t="s">
        <v>564</v>
      </c>
      <c r="G60" t="s">
        <v>512</v>
      </c>
      <c r="H60" t="s">
        <v>566</v>
      </c>
      <c r="I60" t="s">
        <v>451</v>
      </c>
      <c r="J60" t="s">
        <v>22</v>
      </c>
      <c r="K60" t="s">
        <v>565</v>
      </c>
      <c r="L60" t="s">
        <v>569</v>
      </c>
      <c r="M60" t="s">
        <v>25</v>
      </c>
      <c r="N60" t="s">
        <v>570</v>
      </c>
      <c r="O60" t="s">
        <v>571</v>
      </c>
      <c r="P60" t="s">
        <v>572</v>
      </c>
      <c r="Q60" t="s">
        <v>29</v>
      </c>
      <c r="R60" t="s">
        <v>567</v>
      </c>
      <c r="S60" t="s">
        <v>568</v>
      </c>
    </row>
    <row r="61" spans="1:19" x14ac:dyDescent="0.25">
      <c r="A61" s="1">
        <v>59</v>
      </c>
      <c r="B61" t="str">
        <f>HYPERLINK("https://www.dasschnelle.at/achtschin-dieter-dr-feldbach-torplatz","Website")</f>
        <v>Website</v>
      </c>
      <c r="C61" t="str">
        <f>HYPERLINK("https://www.dasschnelle.at/achtschin-dieter-dr-feldbach-torplatz","Website")</f>
        <v>Website</v>
      </c>
      <c r="D61" t="str">
        <f>HYPERLINK("http://www.google.com/maps/place/46.95247,15.88752","Location")</f>
        <v>Location</v>
      </c>
      <c r="E61" t="s">
        <v>573</v>
      </c>
      <c r="F61" t="s">
        <v>574</v>
      </c>
      <c r="G61" t="s">
        <v>470</v>
      </c>
      <c r="H61" t="s">
        <v>471</v>
      </c>
      <c r="I61" t="s">
        <v>451</v>
      </c>
      <c r="J61" t="s">
        <v>22</v>
      </c>
      <c r="K61" t="s">
        <v>575</v>
      </c>
      <c r="L61" t="s">
        <v>578</v>
      </c>
      <c r="M61" t="s">
        <v>25</v>
      </c>
      <c r="N61" t="s">
        <v>579</v>
      </c>
      <c r="O61" t="s">
        <v>25</v>
      </c>
      <c r="P61" t="s">
        <v>580</v>
      </c>
      <c r="Q61" t="s">
        <v>29</v>
      </c>
      <c r="R61" t="s">
        <v>576</v>
      </c>
      <c r="S61" t="s">
        <v>577</v>
      </c>
    </row>
    <row r="62" spans="1:19" x14ac:dyDescent="0.25">
      <c r="A62" s="1">
        <v>60</v>
      </c>
      <c r="B62" t="str">
        <f>HYPERLINK("https://www.dasschnelle.at/strohmaier-kg-sankt-stefan-im-rosental-grazerstraße","Website")</f>
        <v>Website</v>
      </c>
      <c r="C62" t="str">
        <f>HYPERLINK("https://www.dasschnelle.at/strohmaier-kg-sankt-stefan-im-rosental-grazerstra%C3%9Fe","Website")</f>
        <v>Website</v>
      </c>
      <c r="D62" t="str">
        <f>HYPERLINK("http://www.google.com/maps/place/46.90398,15.71058","Location")</f>
        <v>Location</v>
      </c>
      <c r="E62" t="s">
        <v>581</v>
      </c>
      <c r="F62" t="s">
        <v>582</v>
      </c>
      <c r="G62" t="s">
        <v>539</v>
      </c>
      <c r="H62" t="s">
        <v>540</v>
      </c>
      <c r="I62" t="s">
        <v>451</v>
      </c>
      <c r="J62" t="s">
        <v>22</v>
      </c>
      <c r="K62" t="s">
        <v>583</v>
      </c>
      <c r="L62" t="s">
        <v>586</v>
      </c>
      <c r="M62" t="s">
        <v>587</v>
      </c>
      <c r="N62" t="s">
        <v>588</v>
      </c>
      <c r="O62" t="s">
        <v>25</v>
      </c>
      <c r="P62" t="s">
        <v>589</v>
      </c>
      <c r="Q62" t="s">
        <v>29</v>
      </c>
      <c r="R62" t="s">
        <v>584</v>
      </c>
      <c r="S62" t="s">
        <v>585</v>
      </c>
    </row>
    <row r="63" spans="1:19" x14ac:dyDescent="0.25">
      <c r="A63" s="1">
        <v>61</v>
      </c>
      <c r="B63" t="str">
        <f>HYPERLINK("https://www.dasschnelle.at/decker-gesmbh-sankt-stefan-im-rosental-parkring","Website")</f>
        <v>Website</v>
      </c>
      <c r="C63" t="str">
        <f>HYPERLINK("http://www.kuehltechnik.at","Website")</f>
        <v>Website</v>
      </c>
      <c r="D63" t="str">
        <f>HYPERLINK("http://www.google.com/maps/place/46.90558,15.71044","Location")</f>
        <v>Location</v>
      </c>
      <c r="E63" t="s">
        <v>590</v>
      </c>
      <c r="F63" t="s">
        <v>591</v>
      </c>
      <c r="G63" t="s">
        <v>539</v>
      </c>
      <c r="H63" t="s">
        <v>540</v>
      </c>
      <c r="I63" t="s">
        <v>451</v>
      </c>
      <c r="J63" t="s">
        <v>22</v>
      </c>
      <c r="K63" t="s">
        <v>592</v>
      </c>
      <c r="L63" t="s">
        <v>595</v>
      </c>
      <c r="M63" t="s">
        <v>25</v>
      </c>
      <c r="N63" t="s">
        <v>596</v>
      </c>
      <c r="O63" t="s">
        <v>25</v>
      </c>
      <c r="P63" t="s">
        <v>597</v>
      </c>
      <c r="Q63" t="s">
        <v>29</v>
      </c>
      <c r="R63" t="s">
        <v>593</v>
      </c>
      <c r="S63" t="s">
        <v>594</v>
      </c>
    </row>
    <row r="64" spans="1:19" x14ac:dyDescent="0.25">
      <c r="A64" s="1">
        <v>62</v>
      </c>
      <c r="B64" t="str">
        <f>HYPERLINK("https://www.dasschnelle.at/koller-dach-feldbach-bürgergasse","Website")</f>
        <v>Website</v>
      </c>
      <c r="C64" t="str">
        <f>HYPERLINK("http://www.kollerdach.at","Website")</f>
        <v>Website</v>
      </c>
      <c r="D64" t="str">
        <f>HYPERLINK("http://www.google.com/maps/place/46.9554300,15.8896100","Location")</f>
        <v>Location</v>
      </c>
      <c r="E64" t="s">
        <v>598</v>
      </c>
      <c r="F64" t="s">
        <v>599</v>
      </c>
      <c r="G64" t="s">
        <v>470</v>
      </c>
      <c r="H64" t="s">
        <v>471</v>
      </c>
      <c r="I64" t="s">
        <v>451</v>
      </c>
      <c r="J64" t="s">
        <v>22</v>
      </c>
      <c r="K64" t="s">
        <v>600</v>
      </c>
      <c r="L64" t="s">
        <v>603</v>
      </c>
      <c r="M64" t="s">
        <v>25</v>
      </c>
      <c r="N64" t="s">
        <v>604</v>
      </c>
      <c r="O64" t="s">
        <v>605</v>
      </c>
      <c r="P64" t="s">
        <v>606</v>
      </c>
      <c r="Q64" t="s">
        <v>29</v>
      </c>
      <c r="R64" t="s">
        <v>601</v>
      </c>
      <c r="S64" t="s">
        <v>602</v>
      </c>
    </row>
    <row r="65" spans="1:19" x14ac:dyDescent="0.25">
      <c r="A65" s="1">
        <v>63</v>
      </c>
      <c r="B65" t="str">
        <f>HYPERLINK("https://www.dasschnelle.at/j-r-nahversorgung-gmbh-paldau-paldau","Website")</f>
        <v>Website</v>
      </c>
      <c r="C65" t="str">
        <f>HYPERLINK("http://www.rossmann.cc","Website")</f>
        <v>Website</v>
      </c>
      <c r="D65" t="str">
        <f>HYPERLINK("http://www.google.com/maps/place/46.9412239,15.7861405","Location")</f>
        <v>Location</v>
      </c>
      <c r="E65" t="s">
        <v>607</v>
      </c>
      <c r="F65" t="s">
        <v>608</v>
      </c>
      <c r="G65" t="s">
        <v>610</v>
      </c>
      <c r="H65" t="s">
        <v>611</v>
      </c>
      <c r="I65" t="s">
        <v>451</v>
      </c>
      <c r="J65" t="s">
        <v>22</v>
      </c>
      <c r="K65" t="s">
        <v>609</v>
      </c>
      <c r="L65" t="s">
        <v>614</v>
      </c>
      <c r="M65" t="s">
        <v>25</v>
      </c>
      <c r="N65" t="s">
        <v>615</v>
      </c>
      <c r="O65" t="s">
        <v>25</v>
      </c>
      <c r="P65" t="s">
        <v>616</v>
      </c>
      <c r="Q65" t="s">
        <v>29</v>
      </c>
      <c r="R65" t="s">
        <v>612</v>
      </c>
      <c r="S65" t="s">
        <v>613</v>
      </c>
    </row>
    <row r="66" spans="1:19" x14ac:dyDescent="0.25">
      <c r="A66" s="1">
        <v>64</v>
      </c>
      <c r="B66" t="str">
        <f>HYPERLINK("https://www.dasschnelle.at/bund-johann-haag-haag","Website")</f>
        <v>Website</v>
      </c>
      <c r="C66" t="str">
        <f>HYPERLINK("http://www.fliesen-bund.at","Website")</f>
        <v>Website</v>
      </c>
      <c r="D66" t="str">
        <f>HYPERLINK("http://www.google.com/maps/place/46.8486907,15.9000155","Location")</f>
        <v>Location</v>
      </c>
      <c r="E66" t="s">
        <v>617</v>
      </c>
      <c r="F66" t="s">
        <v>618</v>
      </c>
      <c r="G66" t="s">
        <v>512</v>
      </c>
      <c r="H66" t="s">
        <v>620</v>
      </c>
      <c r="I66" t="s">
        <v>451</v>
      </c>
      <c r="J66" t="s">
        <v>22</v>
      </c>
      <c r="K66" t="s">
        <v>619</v>
      </c>
      <c r="L66" t="s">
        <v>623</v>
      </c>
      <c r="M66" t="s">
        <v>624</v>
      </c>
      <c r="N66" t="s">
        <v>625</v>
      </c>
      <c r="O66" t="s">
        <v>626</v>
      </c>
      <c r="P66" t="s">
        <v>627</v>
      </c>
      <c r="Q66" t="s">
        <v>29</v>
      </c>
      <c r="R66" t="s">
        <v>621</v>
      </c>
      <c r="S66" t="s">
        <v>622</v>
      </c>
    </row>
    <row r="67" spans="1:19" x14ac:dyDescent="0.25">
      <c r="A67" s="1">
        <v>65</v>
      </c>
      <c r="B67" t="str">
        <f>HYPERLINK("https://www.dasschnelle.at/actual-leitgeb-kirchberg-an-der-raab-hof","Website")</f>
        <v>Website</v>
      </c>
      <c r="C67" t="str">
        <f>HYPERLINK("http://www.actual-leitgeb.at","Website")</f>
        <v>Website</v>
      </c>
      <c r="D67" t="str">
        <f>HYPERLINK("http://www.google.com/maps/place/46.9795352,15.7500057","Location")</f>
        <v>Location</v>
      </c>
      <c r="E67" t="s">
        <v>628</v>
      </c>
      <c r="F67" t="s">
        <v>629</v>
      </c>
      <c r="G67" t="s">
        <v>501</v>
      </c>
      <c r="H67" t="s">
        <v>502</v>
      </c>
      <c r="I67" t="s">
        <v>451</v>
      </c>
      <c r="J67" t="s">
        <v>22</v>
      </c>
      <c r="K67" t="s">
        <v>630</v>
      </c>
      <c r="L67" t="s">
        <v>633</v>
      </c>
      <c r="M67" t="s">
        <v>25</v>
      </c>
      <c r="N67" t="s">
        <v>634</v>
      </c>
      <c r="O67" t="s">
        <v>635</v>
      </c>
      <c r="P67" t="s">
        <v>636</v>
      </c>
      <c r="Q67" t="s">
        <v>29</v>
      </c>
      <c r="R67" t="s">
        <v>631</v>
      </c>
      <c r="S67" t="s">
        <v>632</v>
      </c>
    </row>
    <row r="68" spans="1:19" x14ac:dyDescent="0.25">
      <c r="A68" s="1">
        <v>66</v>
      </c>
      <c r="B68" t="str">
        <f>HYPERLINK("https://www.dasschnelle.at/wolf-daniela-paldau-paldau","Website")</f>
        <v>Website</v>
      </c>
      <c r="C68" t="str">
        <f>HYPERLINK("https://www.dasschnelle.at/wolf-daniela-paldau-paldau","Website")</f>
        <v>Website</v>
      </c>
      <c r="D68" t="str">
        <f>HYPERLINK("http://www.google.com/maps/place/46.9404117,15.7950202","Location")</f>
        <v>Location</v>
      </c>
      <c r="E68" t="s">
        <v>637</v>
      </c>
      <c r="F68" t="s">
        <v>638</v>
      </c>
      <c r="G68" t="s">
        <v>610</v>
      </c>
      <c r="H68" t="s">
        <v>611</v>
      </c>
      <c r="I68" t="s">
        <v>451</v>
      </c>
      <c r="J68" t="s">
        <v>22</v>
      </c>
      <c r="K68" t="s">
        <v>639</v>
      </c>
      <c r="L68" t="s">
        <v>642</v>
      </c>
      <c r="M68" t="s">
        <v>25</v>
      </c>
      <c r="N68" t="s">
        <v>643</v>
      </c>
      <c r="O68" t="s">
        <v>25</v>
      </c>
      <c r="P68" t="s">
        <v>644</v>
      </c>
      <c r="Q68" t="s">
        <v>29</v>
      </c>
      <c r="R68" t="s">
        <v>640</v>
      </c>
      <c r="S68" t="s">
        <v>641</v>
      </c>
    </row>
    <row r="69" spans="1:19" x14ac:dyDescent="0.25">
      <c r="A69" s="1">
        <v>67</v>
      </c>
      <c r="B69" t="str">
        <f>HYPERLINK("https://www.dasschnelle.at/gbh-glasbau-gmbh-hatzendorf-unterhatzendorf","Website")</f>
        <v>Website</v>
      </c>
      <c r="C69" t="str">
        <f>HYPERLINK("http://www.glasbau-hatzendorf.at","Website")</f>
        <v>Website</v>
      </c>
      <c r="D69" t="str">
        <f>HYPERLINK("http://www.google.com/maps/place/46.9698853,16.0231694","Location")</f>
        <v>Location</v>
      </c>
      <c r="E69" t="s">
        <v>645</v>
      </c>
      <c r="F69" t="s">
        <v>646</v>
      </c>
      <c r="G69" t="s">
        <v>648</v>
      </c>
      <c r="H69" t="s">
        <v>649</v>
      </c>
      <c r="I69" t="s">
        <v>451</v>
      </c>
      <c r="J69" t="s">
        <v>22</v>
      </c>
      <c r="K69" t="s">
        <v>647</v>
      </c>
      <c r="L69" t="s">
        <v>652</v>
      </c>
      <c r="M69" t="s">
        <v>25</v>
      </c>
      <c r="N69" t="s">
        <v>653</v>
      </c>
      <c r="O69" t="s">
        <v>25</v>
      </c>
      <c r="P69" t="s">
        <v>654</v>
      </c>
      <c r="Q69" t="s">
        <v>29</v>
      </c>
      <c r="R69" t="s">
        <v>650</v>
      </c>
      <c r="S69" t="s">
        <v>651</v>
      </c>
    </row>
    <row r="70" spans="1:19" x14ac:dyDescent="0.25">
      <c r="A70" s="1">
        <v>68</v>
      </c>
      <c r="B70" t="str">
        <f>HYPERLINK("https://www.dasschnelle.at/harb-katharina-sankt-stefan-im-rosental-mureckerstraße","Website")</f>
        <v>Website</v>
      </c>
      <c r="C70" t="str">
        <f>HYPERLINK("http://www.blumenkatharinaharb.at","Website")</f>
        <v>Website</v>
      </c>
      <c r="D70" t="str">
        <f>HYPERLINK("http://www.google.com/maps/place/46.90283,15.71166","Location")</f>
        <v>Location</v>
      </c>
      <c r="E70" t="s">
        <v>655</v>
      </c>
      <c r="F70" t="s">
        <v>656</v>
      </c>
      <c r="G70" t="s">
        <v>539</v>
      </c>
      <c r="H70" t="s">
        <v>540</v>
      </c>
      <c r="I70" t="s">
        <v>451</v>
      </c>
      <c r="J70" t="s">
        <v>22</v>
      </c>
      <c r="K70" t="s">
        <v>657</v>
      </c>
      <c r="L70" t="s">
        <v>660</v>
      </c>
      <c r="M70" t="s">
        <v>25</v>
      </c>
      <c r="N70" t="s">
        <v>661</v>
      </c>
      <c r="O70" t="s">
        <v>25</v>
      </c>
      <c r="P70" t="s">
        <v>662</v>
      </c>
      <c r="Q70" t="s">
        <v>29</v>
      </c>
      <c r="R70" t="s">
        <v>658</v>
      </c>
      <c r="S70" t="s">
        <v>659</v>
      </c>
    </row>
    <row r="71" spans="1:19" x14ac:dyDescent="0.25">
      <c r="A71" s="1">
        <v>69</v>
      </c>
      <c r="B71" t="str">
        <f>HYPERLINK("https://www.dasschnelle.at/ertler-monika-sankt-stefan-im-rosental-feldbacherstraße","Website")</f>
        <v>Website</v>
      </c>
      <c r="C71" t="str">
        <f>HYPERLINK("http://www.salon-monika.cc","Website")</f>
        <v>Website</v>
      </c>
      <c r="D71" t="str">
        <f>HYPERLINK("http://www.google.com/maps/place/46.90495,15.71211","Location")</f>
        <v>Location</v>
      </c>
      <c r="E71" t="s">
        <v>663</v>
      </c>
      <c r="F71" t="s">
        <v>664</v>
      </c>
      <c r="G71" t="s">
        <v>539</v>
      </c>
      <c r="H71" t="s">
        <v>540</v>
      </c>
      <c r="I71" t="s">
        <v>451</v>
      </c>
      <c r="J71" t="s">
        <v>22</v>
      </c>
      <c r="K71" t="s">
        <v>665</v>
      </c>
      <c r="L71" t="s">
        <v>668</v>
      </c>
      <c r="M71" t="s">
        <v>25</v>
      </c>
      <c r="N71" t="s">
        <v>669</v>
      </c>
      <c r="O71" t="s">
        <v>25</v>
      </c>
      <c r="P71" t="s">
        <v>670</v>
      </c>
      <c r="Q71" t="s">
        <v>29</v>
      </c>
      <c r="R71" t="s">
        <v>666</v>
      </c>
      <c r="S71" t="s">
        <v>667</v>
      </c>
    </row>
    <row r="72" spans="1:19" x14ac:dyDescent="0.25">
      <c r="A72" s="1">
        <v>70</v>
      </c>
      <c r="B72" t="str">
        <f>HYPERLINK("https://www.dasschnelle.at/malerbetrieb-rauch-gnas-kohlberg","Website")</f>
        <v>Website</v>
      </c>
      <c r="C72" t="str">
        <f>HYPERLINK("https://www.dasschnelle.at/malerbetrieb-rauch-gnas-kohlberg","Website")</f>
        <v>Website</v>
      </c>
      <c r="D72" t="str">
        <f>HYPERLINK("http://www.google.com/maps/place/46.8977761,15.8023955","Location")</f>
        <v>Location</v>
      </c>
      <c r="E72" t="s">
        <v>671</v>
      </c>
      <c r="F72" t="s">
        <v>672</v>
      </c>
      <c r="G72" t="s">
        <v>480</v>
      </c>
      <c r="H72" t="s">
        <v>674</v>
      </c>
      <c r="I72" t="s">
        <v>451</v>
      </c>
      <c r="J72" t="s">
        <v>22</v>
      </c>
      <c r="K72" t="s">
        <v>673</v>
      </c>
      <c r="L72" t="s">
        <v>677</v>
      </c>
      <c r="M72" t="s">
        <v>25</v>
      </c>
      <c r="N72" t="s">
        <v>678</v>
      </c>
      <c r="O72" t="s">
        <v>25</v>
      </c>
      <c r="P72" t="s">
        <v>679</v>
      </c>
      <c r="Q72" t="s">
        <v>29</v>
      </c>
      <c r="R72" t="s">
        <v>675</v>
      </c>
      <c r="S72" t="s">
        <v>676</v>
      </c>
    </row>
    <row r="73" spans="1:19" x14ac:dyDescent="0.25">
      <c r="A73" s="1">
        <v>71</v>
      </c>
      <c r="B73" t="str">
        <f>HYPERLINK("https://www.dasschnelle.at/friseur-hein-bad-gleichenberg-obere-brunnenstraße","Website")</f>
        <v>Website</v>
      </c>
      <c r="C73" t="str">
        <f>HYPERLINK("http://www.friseur-hein.at","Website")</f>
        <v>Website</v>
      </c>
      <c r="D73" t="str">
        <f>HYPERLINK("http://www.google.com/maps/place/46.8757,15.91076","Location")</f>
        <v>Location</v>
      </c>
      <c r="E73" t="s">
        <v>680</v>
      </c>
      <c r="F73" t="s">
        <v>681</v>
      </c>
      <c r="G73" t="s">
        <v>512</v>
      </c>
      <c r="H73" t="s">
        <v>513</v>
      </c>
      <c r="I73" t="s">
        <v>451</v>
      </c>
      <c r="J73" t="s">
        <v>22</v>
      </c>
      <c r="K73" t="s">
        <v>682</v>
      </c>
      <c r="L73" t="s">
        <v>685</v>
      </c>
      <c r="M73" t="s">
        <v>25</v>
      </c>
      <c r="N73" t="s">
        <v>686</v>
      </c>
      <c r="O73" t="s">
        <v>25</v>
      </c>
      <c r="P73" t="s">
        <v>687</v>
      </c>
      <c r="Q73" t="s">
        <v>29</v>
      </c>
      <c r="R73" t="s">
        <v>683</v>
      </c>
      <c r="S73" t="s">
        <v>684</v>
      </c>
    </row>
    <row r="74" spans="1:19" x14ac:dyDescent="0.25">
      <c r="A74" s="1">
        <v>72</v>
      </c>
      <c r="B74" t="str">
        <f>HYPERLINK("https://www.dasschnelle.at/sawe-bau-gmbh-oberzirknitz","Website")</f>
        <v>Website</v>
      </c>
      <c r="C74" t="str">
        <f>HYPERLINK("http://www.sawe-bau.at","Website")</f>
        <v>Website</v>
      </c>
      <c r="D74" t="str">
        <f>HYPERLINK("http://www.google.com/maps/place/46.8644062,15.7490761","Location")</f>
        <v>Location</v>
      </c>
      <c r="E74" t="s">
        <v>688</v>
      </c>
      <c r="F74" t="s">
        <v>689</v>
      </c>
      <c r="G74" t="s">
        <v>690</v>
      </c>
      <c r="H74" t="s">
        <v>691</v>
      </c>
      <c r="I74" t="s">
        <v>451</v>
      </c>
      <c r="J74" t="s">
        <v>22</v>
      </c>
      <c r="K74" t="s">
        <v>25</v>
      </c>
      <c r="L74" t="s">
        <v>694</v>
      </c>
      <c r="M74" t="s">
        <v>25</v>
      </c>
      <c r="N74" t="s">
        <v>695</v>
      </c>
      <c r="O74" t="s">
        <v>696</v>
      </c>
      <c r="P74" t="s">
        <v>697</v>
      </c>
      <c r="Q74" t="s">
        <v>29</v>
      </c>
      <c r="R74" t="s">
        <v>692</v>
      </c>
      <c r="S74" t="s">
        <v>693</v>
      </c>
    </row>
    <row r="75" spans="1:19" x14ac:dyDescent="0.25">
      <c r="A75" s="1">
        <v>73</v>
      </c>
      <c r="B75" t="str">
        <f>HYPERLINK("https://www.dasschnelle.at/reinisch-gesmbh-feldbach-mühldorfer-straße","Website")</f>
        <v>Website</v>
      </c>
      <c r="C75" t="str">
        <f>HYPERLINK("http://www.stein.at","Website")</f>
        <v>Website</v>
      </c>
      <c r="D75" t="str">
        <f>HYPERLINK("http://www.google.com/maps/place/46.95048,15.89421","Location")</f>
        <v>Location</v>
      </c>
      <c r="E75" t="s">
        <v>698</v>
      </c>
      <c r="F75" t="s">
        <v>699</v>
      </c>
      <c r="G75" t="s">
        <v>470</v>
      </c>
      <c r="H75" t="s">
        <v>471</v>
      </c>
      <c r="I75" t="s">
        <v>451</v>
      </c>
      <c r="J75" t="s">
        <v>22</v>
      </c>
      <c r="K75" t="s">
        <v>700</v>
      </c>
      <c r="L75" t="s">
        <v>703</v>
      </c>
      <c r="M75" t="s">
        <v>25</v>
      </c>
      <c r="N75" t="s">
        <v>704</v>
      </c>
      <c r="O75" t="s">
        <v>705</v>
      </c>
      <c r="P75" t="s">
        <v>706</v>
      </c>
      <c r="Q75" t="s">
        <v>29</v>
      </c>
      <c r="R75" t="s">
        <v>701</v>
      </c>
      <c r="S75" t="s">
        <v>702</v>
      </c>
    </row>
    <row r="76" spans="1:19" x14ac:dyDescent="0.25">
      <c r="A76" s="1">
        <v>74</v>
      </c>
      <c r="B76" t="str">
        <f>HYPERLINK("https://www.dasschnelle.at/hackerglas-straden-straden","Website")</f>
        <v>Website</v>
      </c>
      <c r="C76" t="str">
        <f>HYPERLINK("http://www.hackerglas.at","Website")</f>
        <v>Website</v>
      </c>
      <c r="D76" t="str">
        <f>HYPERLINK("http://www.google.com/maps/place/46.8081663,15.8691678","Location")</f>
        <v>Location</v>
      </c>
      <c r="E76" t="s">
        <v>707</v>
      </c>
      <c r="F76" t="s">
        <v>708</v>
      </c>
      <c r="G76" t="s">
        <v>460</v>
      </c>
      <c r="H76" t="s">
        <v>461</v>
      </c>
      <c r="I76" t="s">
        <v>451</v>
      </c>
      <c r="J76" t="s">
        <v>22</v>
      </c>
      <c r="K76" t="s">
        <v>709</v>
      </c>
      <c r="L76" t="s">
        <v>712</v>
      </c>
      <c r="M76" t="s">
        <v>25</v>
      </c>
      <c r="N76" t="s">
        <v>713</v>
      </c>
      <c r="O76" t="s">
        <v>25</v>
      </c>
      <c r="P76" t="s">
        <v>714</v>
      </c>
      <c r="Q76" t="s">
        <v>29</v>
      </c>
      <c r="R76" t="s">
        <v>710</v>
      </c>
      <c r="S76" t="s">
        <v>711</v>
      </c>
    </row>
    <row r="77" spans="1:19" x14ac:dyDescent="0.25">
      <c r="A77" s="1">
        <v>75</v>
      </c>
      <c r="B77" t="str">
        <f>HYPERLINK("https://www.dasschnelle.at/blumen-kickenweiz-riegersburg-hofberg","Website")</f>
        <v>Website</v>
      </c>
      <c r="C77" t="str">
        <f>HYPERLINK("http://www.blumen-kickenweiz.at","Website")</f>
        <v>Website</v>
      </c>
      <c r="D77" t="str">
        <f>HYPERLINK("http://www.google.com/maps/place/46.9995792,15.9425759","Location")</f>
        <v>Location</v>
      </c>
      <c r="E77" t="s">
        <v>715</v>
      </c>
      <c r="F77" t="s">
        <v>716</v>
      </c>
      <c r="G77" t="s">
        <v>718</v>
      </c>
      <c r="H77" t="s">
        <v>719</v>
      </c>
      <c r="I77" t="s">
        <v>451</v>
      </c>
      <c r="J77" t="s">
        <v>22</v>
      </c>
      <c r="K77" t="s">
        <v>717</v>
      </c>
      <c r="L77" t="s">
        <v>722</v>
      </c>
      <c r="M77" t="s">
        <v>25</v>
      </c>
      <c r="N77" t="s">
        <v>723</v>
      </c>
      <c r="O77" t="s">
        <v>724</v>
      </c>
      <c r="P77" t="s">
        <v>725</v>
      </c>
      <c r="Q77" t="s">
        <v>29</v>
      </c>
      <c r="R77" t="s">
        <v>720</v>
      </c>
      <c r="S77" t="s">
        <v>721</v>
      </c>
    </row>
    <row r="78" spans="1:19" x14ac:dyDescent="0.25">
      <c r="A78" s="1">
        <v>76</v>
      </c>
      <c r="B78" t="str">
        <f>HYPERLINK("https://www.dasschnelle.at/fessl-ad-fachwerkstätte-sankt-stefan-im-rosental-maiersdorf","Website")</f>
        <v>Website</v>
      </c>
      <c r="C78" t="str">
        <f>HYPERLINK("https://www.dasschnelle.at/fessl-ad-fachwerkst%C3%A4tte-sankt-stefan-im-rosental-maiersdorf","Website")</f>
        <v>Website</v>
      </c>
      <c r="D78" t="str">
        <f>HYPERLINK("http://www.google.com/maps/place/46.9068624,15.7081269","Location")</f>
        <v>Location</v>
      </c>
      <c r="E78" t="s">
        <v>726</v>
      </c>
      <c r="F78" t="s">
        <v>727</v>
      </c>
      <c r="G78" t="s">
        <v>539</v>
      </c>
      <c r="H78" t="s">
        <v>540</v>
      </c>
      <c r="I78" t="s">
        <v>451</v>
      </c>
      <c r="J78" t="s">
        <v>22</v>
      </c>
      <c r="K78" t="s">
        <v>728</v>
      </c>
      <c r="L78" t="s">
        <v>731</v>
      </c>
      <c r="M78" t="s">
        <v>25</v>
      </c>
      <c r="N78" t="s">
        <v>732</v>
      </c>
      <c r="O78" t="s">
        <v>25</v>
      </c>
      <c r="P78" t="s">
        <v>733</v>
      </c>
      <c r="Q78" t="s">
        <v>29</v>
      </c>
      <c r="R78" t="s">
        <v>729</v>
      </c>
      <c r="S78" t="s">
        <v>730</v>
      </c>
    </row>
    <row r="79" spans="1:19" x14ac:dyDescent="0.25">
      <c r="A79" s="1">
        <v>77</v>
      </c>
      <c r="B79" t="str">
        <f>HYPERLINK("https://www.dasschnelle.at/tuscher-transport-gmbh-poppendorf","Website")</f>
        <v>Website</v>
      </c>
      <c r="C79" t="str">
        <f>HYPERLINK("http://www.tuscher-transporte.at","Website")</f>
        <v>Website</v>
      </c>
      <c r="D79" t="str">
        <f>HYPERLINK("http://www.google.com/maps/place/46.8647598,15.8576407","Location")</f>
        <v>Location</v>
      </c>
      <c r="E79" t="s">
        <v>734</v>
      </c>
      <c r="F79" t="s">
        <v>735</v>
      </c>
      <c r="G79" t="s">
        <v>480</v>
      </c>
      <c r="H79" t="s">
        <v>736</v>
      </c>
      <c r="I79" t="s">
        <v>451</v>
      </c>
      <c r="J79" t="s">
        <v>22</v>
      </c>
      <c r="K79" t="s">
        <v>25</v>
      </c>
      <c r="L79" t="s">
        <v>739</v>
      </c>
      <c r="M79" t="s">
        <v>25</v>
      </c>
      <c r="N79" t="s">
        <v>740</v>
      </c>
      <c r="O79" t="s">
        <v>741</v>
      </c>
      <c r="P79" t="s">
        <v>742</v>
      </c>
      <c r="Q79" t="s">
        <v>29</v>
      </c>
      <c r="R79" t="s">
        <v>737</v>
      </c>
      <c r="S79" t="s">
        <v>738</v>
      </c>
    </row>
    <row r="80" spans="1:19" x14ac:dyDescent="0.25">
      <c r="A80" s="1">
        <v>78</v>
      </c>
      <c r="B80" t="str">
        <f>HYPERLINK("https://www.dasschnelle.at/installationen-ertl-kirchberg-an-der-raab-oberdorf","Website")</f>
        <v>Website</v>
      </c>
      <c r="C80" t="str">
        <f>HYPERLINK("http://www.installationen-ertl.at","Website")</f>
        <v>Website</v>
      </c>
      <c r="D80" t="str">
        <f>HYPERLINK("http://www.google.com/maps/place/46.9760071,15.7186704","Location")</f>
        <v>Location</v>
      </c>
      <c r="E80" t="s">
        <v>743</v>
      </c>
      <c r="F80" t="s">
        <v>744</v>
      </c>
      <c r="G80" t="s">
        <v>501</v>
      </c>
      <c r="H80" t="s">
        <v>502</v>
      </c>
      <c r="I80" t="s">
        <v>451</v>
      </c>
      <c r="J80" t="s">
        <v>22</v>
      </c>
      <c r="K80" t="s">
        <v>745</v>
      </c>
      <c r="L80" t="s">
        <v>748</v>
      </c>
      <c r="M80" t="s">
        <v>25</v>
      </c>
      <c r="N80" t="s">
        <v>749</v>
      </c>
      <c r="O80" t="s">
        <v>25</v>
      </c>
      <c r="P80" t="s">
        <v>750</v>
      </c>
      <c r="Q80" t="s">
        <v>29</v>
      </c>
      <c r="R80" t="s">
        <v>746</v>
      </c>
      <c r="S80" t="s">
        <v>747</v>
      </c>
    </row>
    <row r="81" spans="1:19" x14ac:dyDescent="0.25">
      <c r="A81" s="1">
        <v>79</v>
      </c>
      <c r="B81" t="str">
        <f>HYPERLINK("https://www.dasschnelle.at/pölz-und-wagner-og-fehring-industriepark","Website")</f>
        <v>Website</v>
      </c>
      <c r="C81" t="str">
        <f>HYPERLINK("http://www.poelz-wagner.at","Website")</f>
        <v>Website</v>
      </c>
      <c r="D81" t="str">
        <f>HYPERLINK("http://www.google.com/maps/place/46.95825,15.89375","Location")</f>
        <v>Location</v>
      </c>
      <c r="E81" t="s">
        <v>751</v>
      </c>
      <c r="F81" t="s">
        <v>752</v>
      </c>
      <c r="G81" t="s">
        <v>754</v>
      </c>
      <c r="H81" t="s">
        <v>755</v>
      </c>
      <c r="I81" t="s">
        <v>451</v>
      </c>
      <c r="J81" t="s">
        <v>22</v>
      </c>
      <c r="K81" t="s">
        <v>753</v>
      </c>
      <c r="L81" t="s">
        <v>758</v>
      </c>
      <c r="M81" t="s">
        <v>25</v>
      </c>
      <c r="N81" t="s">
        <v>759</v>
      </c>
      <c r="O81" t="s">
        <v>25</v>
      </c>
      <c r="P81" t="s">
        <v>760</v>
      </c>
      <c r="Q81" t="s">
        <v>29</v>
      </c>
      <c r="R81" t="s">
        <v>756</v>
      </c>
      <c r="S81" t="s">
        <v>757</v>
      </c>
    </row>
    <row r="82" spans="1:19" x14ac:dyDescent="0.25">
      <c r="A82" s="1">
        <v>80</v>
      </c>
      <c r="B82" t="str">
        <f>HYPERLINK("https://www.dasschnelle.at/mv-design-fehring-pertlstein","Website")</f>
        <v>Website</v>
      </c>
      <c r="C82" t="str">
        <f>HYPERLINK("http://www.mvdesign.at","Website")</f>
        <v>Website</v>
      </c>
      <c r="D82" t="str">
        <f>HYPERLINK("http://www.google.com/maps/place/46.9426036,15.9544314","Location")</f>
        <v>Location</v>
      </c>
      <c r="E82" t="s">
        <v>761</v>
      </c>
      <c r="F82" t="s">
        <v>762</v>
      </c>
      <c r="G82" t="s">
        <v>754</v>
      </c>
      <c r="H82" t="s">
        <v>755</v>
      </c>
      <c r="I82" t="s">
        <v>451</v>
      </c>
      <c r="J82" t="s">
        <v>22</v>
      </c>
      <c r="K82" t="s">
        <v>763</v>
      </c>
      <c r="L82" t="s">
        <v>766</v>
      </c>
      <c r="M82" t="s">
        <v>25</v>
      </c>
      <c r="N82" t="s">
        <v>767</v>
      </c>
      <c r="O82" t="s">
        <v>25</v>
      </c>
      <c r="P82" t="s">
        <v>768</v>
      </c>
      <c r="Q82" t="s">
        <v>29</v>
      </c>
      <c r="R82" t="s">
        <v>764</v>
      </c>
      <c r="S82" t="s">
        <v>765</v>
      </c>
    </row>
    <row r="83" spans="1:19" x14ac:dyDescent="0.25">
      <c r="A83" s="1">
        <v>81</v>
      </c>
      <c r="B83" t="str">
        <f>HYPERLINK("https://www.dasschnelle.at/kaufmann-rudolf-sankt-stefan-im-rosental-lichtenegg","Website")</f>
        <v>Website</v>
      </c>
      <c r="C83" t="str">
        <f>HYPERLINK("http://www.malerbetrieb-kaufmann.at","Website")</f>
        <v>Website</v>
      </c>
      <c r="D83" t="str">
        <f>HYPERLINK("http://www.google.com/maps/place/46.91022,15.73322","Location")</f>
        <v>Location</v>
      </c>
      <c r="E83" t="s">
        <v>769</v>
      </c>
      <c r="F83" t="s">
        <v>770</v>
      </c>
      <c r="G83" t="s">
        <v>539</v>
      </c>
      <c r="H83" t="s">
        <v>540</v>
      </c>
      <c r="I83" t="s">
        <v>451</v>
      </c>
      <c r="J83" t="s">
        <v>22</v>
      </c>
      <c r="K83" t="s">
        <v>771</v>
      </c>
      <c r="L83" t="s">
        <v>774</v>
      </c>
      <c r="M83" t="s">
        <v>25</v>
      </c>
      <c r="N83" t="s">
        <v>775</v>
      </c>
      <c r="O83" t="s">
        <v>25</v>
      </c>
      <c r="P83" t="s">
        <v>776</v>
      </c>
      <c r="Q83" t="s">
        <v>29</v>
      </c>
      <c r="R83" t="s">
        <v>772</v>
      </c>
      <c r="S83" t="s">
        <v>773</v>
      </c>
    </row>
    <row r="84" spans="1:19" x14ac:dyDescent="0.25">
      <c r="A84" s="1">
        <v>82</v>
      </c>
      <c r="B84" t="str">
        <f>HYPERLINK("https://www.dasschnelle.at/michelic-theresia-bergl-bergl","Website")</f>
        <v>Website</v>
      </c>
      <c r="C84" t="str">
        <f>HYPERLINK("https://www.dasschnelle.at/michelic-theresia-bergl-bergl","Website")</f>
        <v>Website</v>
      </c>
      <c r="D84" t="str">
        <f>HYPERLINK("http://www.google.com/maps/place/46.9893110,15.9406049","Location")</f>
        <v>Location</v>
      </c>
      <c r="E84" t="s">
        <v>777</v>
      </c>
      <c r="F84" t="s">
        <v>778</v>
      </c>
      <c r="G84" t="s">
        <v>718</v>
      </c>
      <c r="H84" t="s">
        <v>780</v>
      </c>
      <c r="I84" t="s">
        <v>451</v>
      </c>
      <c r="J84" t="s">
        <v>22</v>
      </c>
      <c r="K84" t="s">
        <v>779</v>
      </c>
      <c r="L84" t="s">
        <v>783</v>
      </c>
      <c r="M84" t="s">
        <v>25</v>
      </c>
      <c r="N84" t="s">
        <v>784</v>
      </c>
      <c r="O84" t="s">
        <v>25</v>
      </c>
      <c r="P84" t="s">
        <v>785</v>
      </c>
      <c r="Q84" t="s">
        <v>29</v>
      </c>
      <c r="R84" t="s">
        <v>781</v>
      </c>
      <c r="S84" t="s">
        <v>782</v>
      </c>
    </row>
    <row r="85" spans="1:19" x14ac:dyDescent="0.25">
      <c r="A85" s="1">
        <v>83</v>
      </c>
      <c r="B85" t="str">
        <f>HYPERLINK("https://www.dasschnelle.at/shark-haustechnik-gmbh-kirchberg-an-der-raab-berndorf","Website")</f>
        <v>Website</v>
      </c>
      <c r="C85" t="str">
        <f>HYPERLINK("http://www.shark-haustechnik.at","Website")</f>
        <v>Website</v>
      </c>
      <c r="D85" t="str">
        <f>HYPERLINK("http://www.google.com/maps/place/46.9713600,15.7912100","Location")</f>
        <v>Location</v>
      </c>
      <c r="E85" t="s">
        <v>786</v>
      </c>
      <c r="F85" t="s">
        <v>787</v>
      </c>
      <c r="G85" t="s">
        <v>501</v>
      </c>
      <c r="H85" t="s">
        <v>502</v>
      </c>
      <c r="I85" t="s">
        <v>451</v>
      </c>
      <c r="J85" t="s">
        <v>22</v>
      </c>
      <c r="K85" t="s">
        <v>788</v>
      </c>
      <c r="L85" t="s">
        <v>791</v>
      </c>
      <c r="M85" t="s">
        <v>25</v>
      </c>
      <c r="N85" t="s">
        <v>792</v>
      </c>
      <c r="O85" t="s">
        <v>793</v>
      </c>
      <c r="P85" t="s">
        <v>794</v>
      </c>
      <c r="Q85" t="s">
        <v>29</v>
      </c>
      <c r="R85" t="s">
        <v>789</v>
      </c>
      <c r="S85" t="s">
        <v>790</v>
      </c>
    </row>
    <row r="86" spans="1:19" x14ac:dyDescent="0.25">
      <c r="A86" s="1">
        <v>84</v>
      </c>
      <c r="B86" t="str">
        <f>HYPERLINK("https://www.dasschnelle.at/media-plus-light-tech-kreiner-e-u-gnas","Website")</f>
        <v>Website</v>
      </c>
      <c r="C86" t="str">
        <f>HYPERLINK("http://www.mediaplus-austria.com","Website")</f>
        <v>Website</v>
      </c>
      <c r="D86" t="str">
        <f>HYPERLINK("http://www.google.com/maps/place/46.8707063,15.8286868","Location")</f>
        <v>Location</v>
      </c>
      <c r="E86" t="s">
        <v>795</v>
      </c>
      <c r="F86" t="s">
        <v>796</v>
      </c>
      <c r="G86" t="s">
        <v>480</v>
      </c>
      <c r="H86" t="s">
        <v>674</v>
      </c>
      <c r="I86" t="s">
        <v>451</v>
      </c>
      <c r="J86" t="s">
        <v>22</v>
      </c>
      <c r="K86" t="s">
        <v>25</v>
      </c>
      <c r="L86" t="s">
        <v>799</v>
      </c>
      <c r="M86" t="s">
        <v>25</v>
      </c>
      <c r="N86" t="s">
        <v>800</v>
      </c>
      <c r="O86" t="s">
        <v>25</v>
      </c>
      <c r="P86" t="s">
        <v>697</v>
      </c>
      <c r="Q86" t="s">
        <v>29</v>
      </c>
      <c r="R86" t="s">
        <v>797</v>
      </c>
      <c r="S86" t="s">
        <v>798</v>
      </c>
    </row>
    <row r="87" spans="1:19" x14ac:dyDescent="0.25">
      <c r="A87" s="1">
        <v>85</v>
      </c>
      <c r="B87" t="str">
        <f>HYPERLINK("https://www.dasschnelle.at/freiraum-sankt-stefan-grazerstraße","Website")</f>
        <v>Website</v>
      </c>
      <c r="C87" t="str">
        <f>HYPERLINK("http://www.salon-freiraum.at","Website")</f>
        <v>Website</v>
      </c>
      <c r="D87" t="str">
        <f>HYPERLINK("http://www.google.com/maps/place/46.90455,15.71001","Location")</f>
        <v>Location</v>
      </c>
      <c r="E87" t="s">
        <v>801</v>
      </c>
      <c r="F87" t="s">
        <v>802</v>
      </c>
      <c r="G87" t="s">
        <v>539</v>
      </c>
      <c r="H87" t="s">
        <v>804</v>
      </c>
      <c r="I87" t="s">
        <v>451</v>
      </c>
      <c r="J87" t="s">
        <v>22</v>
      </c>
      <c r="K87" t="s">
        <v>803</v>
      </c>
      <c r="L87" t="s">
        <v>807</v>
      </c>
      <c r="M87" t="s">
        <v>25</v>
      </c>
      <c r="N87" t="s">
        <v>808</v>
      </c>
      <c r="O87" t="s">
        <v>25</v>
      </c>
      <c r="P87" t="s">
        <v>809</v>
      </c>
      <c r="Q87" t="s">
        <v>29</v>
      </c>
      <c r="R87" t="s">
        <v>805</v>
      </c>
      <c r="S87" t="s">
        <v>806</v>
      </c>
    </row>
    <row r="88" spans="1:19" x14ac:dyDescent="0.25">
      <c r="A88" s="1">
        <v>86</v>
      </c>
      <c r="B88" t="str">
        <f>HYPERLINK("https://www.dasschnelle.at/fritz-franz-gnas-gnas","Website")</f>
        <v>Website</v>
      </c>
      <c r="C88" t="str">
        <f>HYPERLINK("http://www.blumenfritz.at","Website")</f>
        <v>Website</v>
      </c>
      <c r="D88" t="str">
        <f>HYPERLINK("http://www.google.com/maps/place/46.8291285,15.8663919","Location")</f>
        <v>Location</v>
      </c>
      <c r="E88" t="s">
        <v>810</v>
      </c>
      <c r="F88" t="s">
        <v>811</v>
      </c>
      <c r="G88" t="s">
        <v>480</v>
      </c>
      <c r="H88" t="s">
        <v>674</v>
      </c>
      <c r="I88" t="s">
        <v>451</v>
      </c>
      <c r="J88" t="s">
        <v>22</v>
      </c>
      <c r="K88" t="s">
        <v>812</v>
      </c>
      <c r="L88" t="s">
        <v>815</v>
      </c>
      <c r="M88" t="s">
        <v>25</v>
      </c>
      <c r="N88" t="s">
        <v>816</v>
      </c>
      <c r="O88" t="s">
        <v>817</v>
      </c>
      <c r="P88" t="s">
        <v>818</v>
      </c>
      <c r="Q88" t="s">
        <v>29</v>
      </c>
      <c r="R88" t="s">
        <v>813</v>
      </c>
      <c r="S88" t="s">
        <v>814</v>
      </c>
    </row>
    <row r="89" spans="1:19" x14ac:dyDescent="0.25">
      <c r="A89" s="1">
        <v>87</v>
      </c>
      <c r="B89" t="str">
        <f>HYPERLINK("https://www.dasschnelle.at/abermann-michael-dr-med-kirchberg-in-tirol-lendstraße","Website")</f>
        <v>Website</v>
      </c>
      <c r="C89" t="str">
        <f>HYPERLINK("https://www.dasschnelle.at/abermann-michael-dr-med-kirchberg-in-tirol-lendstra%C3%9Fe","Website")</f>
        <v>Website</v>
      </c>
      <c r="D89" t="str">
        <f>HYPERLINK("http://www.google.com/maps/place/47.44618,12.31309","Location")</f>
        <v>Location</v>
      </c>
      <c r="E89" t="s">
        <v>819</v>
      </c>
      <c r="F89" t="s">
        <v>820</v>
      </c>
      <c r="G89" t="s">
        <v>822</v>
      </c>
      <c r="H89" t="s">
        <v>823</v>
      </c>
      <c r="I89" t="s">
        <v>21</v>
      </c>
      <c r="J89" t="s">
        <v>22</v>
      </c>
      <c r="K89" t="s">
        <v>821</v>
      </c>
      <c r="L89" t="s">
        <v>826</v>
      </c>
      <c r="M89" t="s">
        <v>827</v>
      </c>
      <c r="N89" t="s">
        <v>828</v>
      </c>
      <c r="O89" t="s">
        <v>25</v>
      </c>
      <c r="P89" t="s">
        <v>829</v>
      </c>
      <c r="Q89" t="s">
        <v>29</v>
      </c>
      <c r="R89" t="s">
        <v>824</v>
      </c>
      <c r="S89" t="s">
        <v>825</v>
      </c>
    </row>
    <row r="90" spans="1:19" x14ac:dyDescent="0.25">
      <c r="A90" s="1">
        <v>88</v>
      </c>
      <c r="B90" t="str">
        <f>HYPERLINK("https://www.dasschnelle.at/manzl-josef-dr-med-kitzbühel-kirchgasse","Website")</f>
        <v>Website</v>
      </c>
      <c r="C90" t="str">
        <f>HYPERLINK("https://www.dasschnelle.at/manzl-josef-dr-med-kitzb%C3%BChel-kirchgasse","Website")</f>
        <v>Website</v>
      </c>
      <c r="D90" t="str">
        <f>HYPERLINK("http://www.google.com/maps/place/47.44778,12.38843","Location")</f>
        <v>Location</v>
      </c>
      <c r="E90" t="s">
        <v>830</v>
      </c>
      <c r="F90" t="s">
        <v>831</v>
      </c>
      <c r="G90" t="s">
        <v>833</v>
      </c>
      <c r="H90" t="s">
        <v>834</v>
      </c>
      <c r="I90" t="s">
        <v>21</v>
      </c>
      <c r="J90" t="s">
        <v>22</v>
      </c>
      <c r="K90" t="s">
        <v>832</v>
      </c>
      <c r="L90" t="s">
        <v>837</v>
      </c>
      <c r="M90" t="s">
        <v>25</v>
      </c>
      <c r="N90" t="s">
        <v>25</v>
      </c>
      <c r="O90" t="s">
        <v>25</v>
      </c>
      <c r="P90" t="s">
        <v>838</v>
      </c>
      <c r="Q90" t="s">
        <v>29</v>
      </c>
      <c r="R90" t="s">
        <v>835</v>
      </c>
      <c r="S90" t="s">
        <v>836</v>
      </c>
    </row>
    <row r="91" spans="1:19" x14ac:dyDescent="0.25">
      <c r="A91" s="1">
        <v>89</v>
      </c>
      <c r="B91" t="str">
        <f>HYPERLINK("https://www.dasschnelle.at/berggasthof-staudachstubn-e-u-kirchberg-in-tirol-brandseite","Website")</f>
        <v>Website</v>
      </c>
      <c r="C91" t="str">
        <f>HYPERLINK("http://www.staudachstubn.at","Website")</f>
        <v>Website</v>
      </c>
      <c r="D91" t="str">
        <f>HYPERLINK("http://www.google.com/maps/place/47.4431480,12.3361709","Location")</f>
        <v>Location</v>
      </c>
      <c r="E91" t="s">
        <v>839</v>
      </c>
      <c r="F91" t="s">
        <v>840</v>
      </c>
      <c r="G91" t="s">
        <v>822</v>
      </c>
      <c r="H91" t="s">
        <v>823</v>
      </c>
      <c r="I91" t="s">
        <v>21</v>
      </c>
      <c r="J91" t="s">
        <v>22</v>
      </c>
      <c r="K91" t="s">
        <v>841</v>
      </c>
      <c r="L91" t="s">
        <v>844</v>
      </c>
      <c r="M91" t="s">
        <v>25</v>
      </c>
      <c r="N91" t="s">
        <v>845</v>
      </c>
      <c r="O91" t="s">
        <v>25</v>
      </c>
      <c r="P91" t="s">
        <v>846</v>
      </c>
      <c r="Q91" t="s">
        <v>29</v>
      </c>
      <c r="R91" t="s">
        <v>842</v>
      </c>
      <c r="S91" t="s">
        <v>843</v>
      </c>
    </row>
    <row r="92" spans="1:19" x14ac:dyDescent="0.25">
      <c r="A92" s="1">
        <v>90</v>
      </c>
      <c r="B92" t="str">
        <f>HYPERLINK("https://www.dasschnelle.at/johannes-apotheke-st-johann-in-tirol-dechant-wieshoferstraße","Website")</f>
        <v>Website</v>
      </c>
      <c r="C92" t="str">
        <f>HYPERLINK("http://www.apotheke-stjohann.at","Website")</f>
        <v>Website</v>
      </c>
      <c r="D92" t="str">
        <f>HYPERLINK("http://www.google.com/maps/place/47.5242669,12.4313150","Location")</f>
        <v>Location</v>
      </c>
      <c r="E92" t="s">
        <v>847</v>
      </c>
      <c r="F92" t="s">
        <v>848</v>
      </c>
      <c r="G92" t="s">
        <v>850</v>
      </c>
      <c r="H92" t="s">
        <v>851</v>
      </c>
      <c r="I92" t="s">
        <v>21</v>
      </c>
      <c r="J92" t="s">
        <v>22</v>
      </c>
      <c r="K92" t="s">
        <v>849</v>
      </c>
      <c r="L92" t="s">
        <v>854</v>
      </c>
      <c r="M92" t="s">
        <v>25</v>
      </c>
      <c r="N92" t="s">
        <v>855</v>
      </c>
      <c r="O92" t="s">
        <v>25</v>
      </c>
      <c r="P92" t="s">
        <v>856</v>
      </c>
      <c r="Q92" t="s">
        <v>29</v>
      </c>
      <c r="R92" t="s">
        <v>852</v>
      </c>
      <c r="S92" t="s">
        <v>853</v>
      </c>
    </row>
    <row r="93" spans="1:19" x14ac:dyDescent="0.25">
      <c r="A93" s="1">
        <v>91</v>
      </c>
      <c r="B93" t="str">
        <f>HYPERLINK("https://www.dasschnelle.at/bodner-helmut-dr-med-kitzbühel-jochberger-straße","Website")</f>
        <v>Website</v>
      </c>
      <c r="C93" t="str">
        <f>HYPERLINK("http://www.hno-kitz.at","Website")</f>
        <v>Website</v>
      </c>
      <c r="D93" t="str">
        <f>HYPERLINK("http://www.google.com/maps/place/47.44392,12.39603","Location")</f>
        <v>Location</v>
      </c>
      <c r="E93" t="s">
        <v>857</v>
      </c>
      <c r="F93" t="s">
        <v>858</v>
      </c>
      <c r="G93" t="s">
        <v>833</v>
      </c>
      <c r="H93" t="s">
        <v>834</v>
      </c>
      <c r="I93" t="s">
        <v>21</v>
      </c>
      <c r="J93" t="s">
        <v>22</v>
      </c>
      <c r="K93" t="s">
        <v>859</v>
      </c>
      <c r="L93" t="s">
        <v>862</v>
      </c>
      <c r="M93" t="s">
        <v>863</v>
      </c>
      <c r="N93" t="s">
        <v>864</v>
      </c>
      <c r="O93" t="s">
        <v>25</v>
      </c>
      <c r="P93" t="s">
        <v>865</v>
      </c>
      <c r="Q93" t="s">
        <v>29</v>
      </c>
      <c r="R93" t="s">
        <v>860</v>
      </c>
      <c r="S93" t="s">
        <v>861</v>
      </c>
    </row>
    <row r="94" spans="1:19" x14ac:dyDescent="0.25">
      <c r="A94" s="1">
        <v>92</v>
      </c>
      <c r="B94" t="str">
        <f>HYPERLINK("https://www.dasschnelle.at/zimmeter-lothar-mag-kitzbühel-rathausplatz","Website")</f>
        <v>Website</v>
      </c>
      <c r="C94" t="str">
        <f>HYPERLINK("http://www.notariat-kitzbuehel.at","Website")</f>
        <v>Website</v>
      </c>
      <c r="D94" t="str">
        <f>HYPERLINK("http://www.google.com/maps/place/47.4464,12.39055","Location")</f>
        <v>Location</v>
      </c>
      <c r="E94" t="s">
        <v>866</v>
      </c>
      <c r="F94" t="s">
        <v>867</v>
      </c>
      <c r="G94" t="s">
        <v>833</v>
      </c>
      <c r="H94" t="s">
        <v>834</v>
      </c>
      <c r="I94" t="s">
        <v>21</v>
      </c>
      <c r="J94" t="s">
        <v>22</v>
      </c>
      <c r="K94" t="s">
        <v>868</v>
      </c>
      <c r="L94" t="s">
        <v>871</v>
      </c>
      <c r="M94" t="s">
        <v>25</v>
      </c>
      <c r="N94" t="s">
        <v>872</v>
      </c>
      <c r="O94" t="s">
        <v>25</v>
      </c>
      <c r="P94" t="s">
        <v>873</v>
      </c>
      <c r="Q94" t="s">
        <v>29</v>
      </c>
      <c r="R94" t="s">
        <v>869</v>
      </c>
      <c r="S94" t="s">
        <v>870</v>
      </c>
    </row>
    <row r="95" spans="1:19" x14ac:dyDescent="0.25">
      <c r="A95" s="1">
        <v>93</v>
      </c>
      <c r="B95" t="str">
        <f>HYPERLINK("https://www.dasschnelle.at/brajer-peter-dr-westendorf-sennereiweg","Website")</f>
        <v>Website</v>
      </c>
      <c r="C95" t="str">
        <f>HYPERLINK("http://www.vertrauensarzt.org","Website")</f>
        <v>Website</v>
      </c>
      <c r="D95" t="str">
        <f>HYPERLINK("http://www.google.com/maps/place/47.43271,12.21418","Location")</f>
        <v>Location</v>
      </c>
      <c r="E95" t="s">
        <v>874</v>
      </c>
      <c r="F95" t="s">
        <v>875</v>
      </c>
      <c r="G95" t="s">
        <v>877</v>
      </c>
      <c r="H95" t="s">
        <v>878</v>
      </c>
      <c r="I95" t="s">
        <v>21</v>
      </c>
      <c r="J95" t="s">
        <v>22</v>
      </c>
      <c r="K95" t="s">
        <v>876</v>
      </c>
      <c r="L95" t="s">
        <v>881</v>
      </c>
      <c r="M95" t="s">
        <v>25</v>
      </c>
      <c r="N95" t="s">
        <v>882</v>
      </c>
      <c r="O95" t="s">
        <v>25</v>
      </c>
      <c r="P95" t="s">
        <v>883</v>
      </c>
      <c r="Q95" t="s">
        <v>29</v>
      </c>
      <c r="R95" t="s">
        <v>879</v>
      </c>
      <c r="S95" t="s">
        <v>880</v>
      </c>
    </row>
    <row r="96" spans="1:19" x14ac:dyDescent="0.25">
      <c r="A96" s="1">
        <v>94</v>
      </c>
      <c r="B96" t="str">
        <f>HYPERLINK("https://www.dasschnelle.at/gröbner-hubert-dr-med-univ-st-johann-in-tirol-murweg","Website")</f>
        <v>Website</v>
      </c>
      <c r="C96" t="str">
        <f>HYPERLINK("http://www.herzmed.at","Website")</f>
        <v>Website</v>
      </c>
      <c r="D96" t="str">
        <f>HYPERLINK("http://www.google.com/maps/place/47.5236976,12.4320792","Location")</f>
        <v>Location</v>
      </c>
      <c r="E96" t="s">
        <v>884</v>
      </c>
      <c r="F96" t="s">
        <v>885</v>
      </c>
      <c r="G96" t="s">
        <v>850</v>
      </c>
      <c r="H96" t="s">
        <v>851</v>
      </c>
      <c r="I96" t="s">
        <v>21</v>
      </c>
      <c r="J96" t="s">
        <v>22</v>
      </c>
      <c r="K96" t="s">
        <v>886</v>
      </c>
      <c r="L96" t="s">
        <v>889</v>
      </c>
      <c r="M96" t="s">
        <v>25</v>
      </c>
      <c r="N96" t="s">
        <v>890</v>
      </c>
      <c r="O96" t="s">
        <v>25</v>
      </c>
      <c r="P96" t="s">
        <v>891</v>
      </c>
      <c r="Q96" t="s">
        <v>29</v>
      </c>
      <c r="R96" t="s">
        <v>887</v>
      </c>
      <c r="S96" t="s">
        <v>888</v>
      </c>
    </row>
    <row r="97" spans="1:19" x14ac:dyDescent="0.25">
      <c r="A97" s="1">
        <v>95</v>
      </c>
      <c r="B97" t="str">
        <f>HYPERLINK("https://www.dasschnelle.at/strele-sigmund-mag-westendorf-mühltal","Website")</f>
        <v>Website</v>
      </c>
      <c r="C97" t="str">
        <f>HYPERLINK("http://www.tierarztpraxis-strele.at","Website")</f>
        <v>Website</v>
      </c>
      <c r="D97" t="str">
        <f>HYPERLINK("http://www.google.com/maps/place/47.43618,12.21378","Location")</f>
        <v>Location</v>
      </c>
      <c r="E97" t="s">
        <v>892</v>
      </c>
      <c r="F97" t="s">
        <v>893</v>
      </c>
      <c r="G97" t="s">
        <v>877</v>
      </c>
      <c r="H97" t="s">
        <v>878</v>
      </c>
      <c r="I97" t="s">
        <v>21</v>
      </c>
      <c r="J97" t="s">
        <v>22</v>
      </c>
      <c r="K97" t="s">
        <v>894</v>
      </c>
      <c r="L97" t="s">
        <v>897</v>
      </c>
      <c r="M97" t="s">
        <v>25</v>
      </c>
      <c r="N97" t="s">
        <v>898</v>
      </c>
      <c r="O97" t="s">
        <v>25</v>
      </c>
      <c r="P97" t="s">
        <v>899</v>
      </c>
      <c r="Q97" t="s">
        <v>29</v>
      </c>
      <c r="R97" t="s">
        <v>895</v>
      </c>
      <c r="S97" t="s">
        <v>896</v>
      </c>
    </row>
    <row r="98" spans="1:19" x14ac:dyDescent="0.25">
      <c r="A98" s="1">
        <v>96</v>
      </c>
      <c r="B98" t="str">
        <f>HYPERLINK("https://www.dasschnelle.at/moser-maria-luise-mag-kirchberg-in-tirol-weinbergweg","Website")</f>
        <v>Website</v>
      </c>
      <c r="C98" t="str">
        <f>HYPERLINK("http://www.maria-luise-moser.at","Website")</f>
        <v>Website</v>
      </c>
      <c r="D98" t="str">
        <f>HYPERLINK("http://www.google.com/maps/place/47.44972,12.31566","Location")</f>
        <v>Location</v>
      </c>
      <c r="E98" t="s">
        <v>900</v>
      </c>
      <c r="F98" t="s">
        <v>901</v>
      </c>
      <c r="G98" t="s">
        <v>822</v>
      </c>
      <c r="H98" t="s">
        <v>823</v>
      </c>
      <c r="I98" t="s">
        <v>21</v>
      </c>
      <c r="J98" t="s">
        <v>22</v>
      </c>
      <c r="K98" t="s">
        <v>902</v>
      </c>
      <c r="L98" t="s">
        <v>905</v>
      </c>
      <c r="M98" t="s">
        <v>25</v>
      </c>
      <c r="N98" t="s">
        <v>906</v>
      </c>
      <c r="O98" t="s">
        <v>25</v>
      </c>
      <c r="P98" t="s">
        <v>697</v>
      </c>
      <c r="Q98" t="s">
        <v>29</v>
      </c>
      <c r="R98" t="s">
        <v>903</v>
      </c>
      <c r="S98" t="s">
        <v>904</v>
      </c>
    </row>
    <row r="99" spans="1:19" x14ac:dyDescent="0.25">
      <c r="A99" s="1">
        <v>97</v>
      </c>
      <c r="B99" t="str">
        <f>HYPERLINK("https://www.dasschnelle.at/keuschnigg-robert-dr-st-johann-bahnhofstraße","Website")</f>
        <v>Website</v>
      </c>
      <c r="C99" t="str">
        <f>HYPERLINK("http://www.diezahnspangenwerkstatt.at","Website")</f>
        <v>Website</v>
      </c>
      <c r="D99" t="str">
        <f>HYPERLINK("http://www.google.com/maps/place/47.5213252,12.4305724","Location")</f>
        <v>Location</v>
      </c>
      <c r="E99" t="s">
        <v>907</v>
      </c>
      <c r="F99" t="s">
        <v>908</v>
      </c>
      <c r="G99" t="s">
        <v>850</v>
      </c>
      <c r="H99" t="s">
        <v>910</v>
      </c>
      <c r="I99" t="s">
        <v>21</v>
      </c>
      <c r="J99" t="s">
        <v>22</v>
      </c>
      <c r="K99" t="s">
        <v>909</v>
      </c>
      <c r="L99" t="s">
        <v>913</v>
      </c>
      <c r="M99" t="s">
        <v>25</v>
      </c>
      <c r="N99" t="s">
        <v>914</v>
      </c>
      <c r="O99" t="s">
        <v>25</v>
      </c>
      <c r="P99" t="s">
        <v>915</v>
      </c>
      <c r="Q99" t="s">
        <v>29</v>
      </c>
      <c r="R99" t="s">
        <v>911</v>
      </c>
      <c r="S99" t="s">
        <v>912</v>
      </c>
    </row>
    <row r="100" spans="1:19" x14ac:dyDescent="0.25">
      <c r="A100" s="1">
        <v>98</v>
      </c>
      <c r="B100" t="str">
        <f>HYPERLINK("https://www.dasschnelle.at/danzl-simon-st-ulrich-am-pillersee-schartental","Website")</f>
        <v>Website</v>
      </c>
      <c r="C100" t="str">
        <f>HYPERLINK("https://www.dasschnelle.at/danzl-simon-st-ulrich-am-pillersee-schartental","Website")</f>
        <v>Website</v>
      </c>
      <c r="D100" t="str">
        <f>HYPERLINK("http://www.google.com/maps/place/47.51658,12.57532","Location")</f>
        <v>Location</v>
      </c>
      <c r="E100" t="s">
        <v>916</v>
      </c>
      <c r="F100" t="s">
        <v>917</v>
      </c>
      <c r="G100" t="s">
        <v>919</v>
      </c>
      <c r="H100" t="s">
        <v>920</v>
      </c>
      <c r="I100" t="s">
        <v>21</v>
      </c>
      <c r="J100" t="s">
        <v>22</v>
      </c>
      <c r="K100" t="s">
        <v>918</v>
      </c>
      <c r="L100" t="s">
        <v>923</v>
      </c>
      <c r="M100" t="s">
        <v>25</v>
      </c>
      <c r="N100" t="s">
        <v>924</v>
      </c>
      <c r="O100" t="s">
        <v>25</v>
      </c>
      <c r="P100" t="s">
        <v>925</v>
      </c>
      <c r="Q100" t="s">
        <v>29</v>
      </c>
      <c r="R100" t="s">
        <v>921</v>
      </c>
      <c r="S100" t="s">
        <v>922</v>
      </c>
    </row>
    <row r="101" spans="1:19" x14ac:dyDescent="0.25">
      <c r="A101" s="1">
        <v>99</v>
      </c>
      <c r="B101" t="str">
        <f>HYPERLINK("https://www.dasschnelle.at/trattenbachalm-peter-eder-jochberg-trattenbachalm","Website")</f>
        <v>Website</v>
      </c>
      <c r="C101" t="str">
        <f>HYPERLINK("http://www.trattenbachalm.at","Website")</f>
        <v>Website</v>
      </c>
      <c r="D101" t="str">
        <f>HYPERLINK("http://www.google.com/maps/place/47.3335570,12.3614600","Location")</f>
        <v>Location</v>
      </c>
      <c r="E101" t="s">
        <v>926</v>
      </c>
      <c r="F101" t="s">
        <v>927</v>
      </c>
      <c r="G101" t="s">
        <v>929</v>
      </c>
      <c r="H101" t="s">
        <v>930</v>
      </c>
      <c r="I101" t="s">
        <v>21</v>
      </c>
      <c r="J101" t="s">
        <v>22</v>
      </c>
      <c r="K101" t="s">
        <v>928</v>
      </c>
      <c r="L101" t="s">
        <v>933</v>
      </c>
      <c r="M101" t="s">
        <v>25</v>
      </c>
      <c r="N101" t="s">
        <v>934</v>
      </c>
      <c r="O101" t="s">
        <v>25</v>
      </c>
      <c r="P101" t="s">
        <v>935</v>
      </c>
      <c r="Q101" t="s">
        <v>29</v>
      </c>
      <c r="R101" t="s">
        <v>931</v>
      </c>
      <c r="S101" t="s">
        <v>932</v>
      </c>
    </row>
    <row r="102" spans="1:19" x14ac:dyDescent="0.25">
      <c r="A102" s="1">
        <v>100</v>
      </c>
      <c r="B102" t="str">
        <f>HYPERLINK("https://www.dasschnelle.at/landegger-thomas-dr-med-st-johann-dechant-wieshoferstraße","Website")</f>
        <v>Website</v>
      </c>
      <c r="C102" t="str">
        <f>HYPERLINK("http://www.hno-landegger.at","Website")</f>
        <v>Website</v>
      </c>
      <c r="D102" t="str">
        <f>HYPERLINK("http://www.google.com/maps/place/47.5229612,12.4298573","Location")</f>
        <v>Location</v>
      </c>
      <c r="E102" t="s">
        <v>936</v>
      </c>
      <c r="F102" t="s">
        <v>937</v>
      </c>
      <c r="G102" t="s">
        <v>850</v>
      </c>
      <c r="H102" t="s">
        <v>910</v>
      </c>
      <c r="I102" t="s">
        <v>21</v>
      </c>
      <c r="J102" t="s">
        <v>22</v>
      </c>
      <c r="K102" t="s">
        <v>938</v>
      </c>
      <c r="L102" t="s">
        <v>941</v>
      </c>
      <c r="M102" t="s">
        <v>25</v>
      </c>
      <c r="N102" t="s">
        <v>942</v>
      </c>
      <c r="O102" t="s">
        <v>25</v>
      </c>
      <c r="P102" t="s">
        <v>943</v>
      </c>
      <c r="Q102" t="s">
        <v>29</v>
      </c>
      <c r="R102" t="s">
        <v>939</v>
      </c>
      <c r="S102" t="s">
        <v>940</v>
      </c>
    </row>
    <row r="103" spans="1:19" x14ac:dyDescent="0.25">
      <c r="A103" s="1">
        <v>101</v>
      </c>
      <c r="B103" t="str">
        <f>HYPERLINK("https://www.dasschnelle.at/matt-elke-dr-st-johann-in-tirol-neubauweg","Website")</f>
        <v>Website</v>
      </c>
      <c r="C103" t="str">
        <f>HYPERLINK("https://www.dasschnelle.at/matt-elke-dr-st-johann-in-tirol-neubauweg","Website")</f>
        <v>Website</v>
      </c>
      <c r="D103" t="str">
        <f>HYPERLINK("http://www.google.com/maps/place/47.5240776,12.4287326","Location")</f>
        <v>Location</v>
      </c>
      <c r="E103" t="s">
        <v>944</v>
      </c>
      <c r="F103" t="s">
        <v>945</v>
      </c>
      <c r="G103" t="s">
        <v>850</v>
      </c>
      <c r="H103" t="s">
        <v>851</v>
      </c>
      <c r="I103" t="s">
        <v>21</v>
      </c>
      <c r="J103" t="s">
        <v>22</v>
      </c>
      <c r="K103" t="s">
        <v>946</v>
      </c>
      <c r="L103" t="s">
        <v>949</v>
      </c>
      <c r="M103" t="s">
        <v>25</v>
      </c>
      <c r="N103" t="s">
        <v>950</v>
      </c>
      <c r="O103" t="s">
        <v>25</v>
      </c>
      <c r="P103" t="s">
        <v>951</v>
      </c>
      <c r="Q103" t="s">
        <v>29</v>
      </c>
      <c r="R103" t="s">
        <v>947</v>
      </c>
      <c r="S103" t="s">
        <v>948</v>
      </c>
    </row>
    <row r="104" spans="1:19" x14ac:dyDescent="0.25">
      <c r="A104" s="1">
        <v>102</v>
      </c>
      <c r="B104" t="str">
        <f>HYPERLINK("https://www.dasschnelle.at/artenova-metall-u-schmiedekunst-waidring-unterwasser","Website")</f>
        <v>Website</v>
      </c>
      <c r="C104" t="str">
        <f>HYPERLINK("http://www.artenova-crew.at","Website")</f>
        <v>Website</v>
      </c>
      <c r="D104" t="str">
        <f>HYPERLINK("http://www.google.com/maps/place/47.58386,12.5862","Location")</f>
        <v>Location</v>
      </c>
      <c r="E104" t="s">
        <v>952</v>
      </c>
      <c r="F104" t="s">
        <v>953</v>
      </c>
      <c r="G104" t="s">
        <v>955</v>
      </c>
      <c r="H104" t="s">
        <v>956</v>
      </c>
      <c r="I104" t="s">
        <v>21</v>
      </c>
      <c r="J104" t="s">
        <v>22</v>
      </c>
      <c r="K104" t="s">
        <v>954</v>
      </c>
      <c r="L104" t="s">
        <v>959</v>
      </c>
      <c r="M104" t="s">
        <v>960</v>
      </c>
      <c r="N104" t="s">
        <v>961</v>
      </c>
      <c r="O104" t="s">
        <v>962</v>
      </c>
      <c r="P104" t="s">
        <v>963</v>
      </c>
      <c r="Q104" t="s">
        <v>29</v>
      </c>
      <c r="R104" t="s">
        <v>957</v>
      </c>
      <c r="S104" t="s">
        <v>958</v>
      </c>
    </row>
    <row r="105" spans="1:19" x14ac:dyDescent="0.25">
      <c r="A105" s="1">
        <v>103</v>
      </c>
      <c r="B105" t="str">
        <f>HYPERLINK("https://www.dasschnelle.at/sereinig-michael-ddr-kitzbühel-hornweg","Website")</f>
        <v>Website</v>
      </c>
      <c r="C105" t="str">
        <f>HYPERLINK("http://www.mkg-kitz.at","Website")</f>
        <v>Website</v>
      </c>
      <c r="D105" t="str">
        <f>HYPERLINK("http://www.google.com/maps/place/47.44974,12.3947","Location")</f>
        <v>Location</v>
      </c>
      <c r="E105" t="s">
        <v>964</v>
      </c>
      <c r="F105" t="s">
        <v>965</v>
      </c>
      <c r="G105" t="s">
        <v>833</v>
      </c>
      <c r="H105" t="s">
        <v>834</v>
      </c>
      <c r="I105" t="s">
        <v>21</v>
      </c>
      <c r="J105" t="s">
        <v>22</v>
      </c>
      <c r="K105" t="s">
        <v>966</v>
      </c>
      <c r="L105" t="s">
        <v>969</v>
      </c>
      <c r="M105" t="s">
        <v>25</v>
      </c>
      <c r="N105" t="s">
        <v>970</v>
      </c>
      <c r="O105" t="s">
        <v>25</v>
      </c>
      <c r="P105" t="s">
        <v>971</v>
      </c>
      <c r="Q105" t="s">
        <v>29</v>
      </c>
      <c r="R105" t="s">
        <v>967</v>
      </c>
      <c r="S105" t="s">
        <v>968</v>
      </c>
    </row>
    <row r="106" spans="1:19" x14ac:dyDescent="0.25">
      <c r="A106" s="1">
        <v>104</v>
      </c>
      <c r="B106" t="str">
        <f>HYPERLINK("https://www.dasschnelle.at/etem-elektrotechnik-sankt-nikolai-i-s-greith","Website")</f>
        <v>Website</v>
      </c>
      <c r="C106" t="str">
        <f>HYPERLINK("http://www.etem.at","Website")</f>
        <v>Website</v>
      </c>
      <c r="D106" t="str">
        <f>HYPERLINK("http://www.google.com/maps/place/46.5982144,14.1579937","Location")</f>
        <v>Location</v>
      </c>
      <c r="E106" t="s">
        <v>972</v>
      </c>
      <c r="F106" t="s">
        <v>973</v>
      </c>
      <c r="G106" t="s">
        <v>975</v>
      </c>
      <c r="H106" t="s">
        <v>976</v>
      </c>
      <c r="I106" t="s">
        <v>451</v>
      </c>
      <c r="J106" t="s">
        <v>22</v>
      </c>
      <c r="K106" t="s">
        <v>974</v>
      </c>
      <c r="L106" t="s">
        <v>979</v>
      </c>
      <c r="M106" t="s">
        <v>25</v>
      </c>
      <c r="N106" t="s">
        <v>980</v>
      </c>
      <c r="O106" t="s">
        <v>25</v>
      </c>
      <c r="P106" t="s">
        <v>981</v>
      </c>
      <c r="Q106" t="s">
        <v>29</v>
      </c>
      <c r="R106" t="s">
        <v>977</v>
      </c>
      <c r="S106" t="s">
        <v>978</v>
      </c>
    </row>
    <row r="107" spans="1:19" x14ac:dyDescent="0.25">
      <c r="A107" s="1">
        <v>105</v>
      </c>
      <c r="B107" t="str">
        <f>HYPERLINK("https://www.dasschnelle.at/säge-u-hobelwerk-resch-sankt-nikolai-i-s-oberjahring","Website")</f>
        <v>Website</v>
      </c>
      <c r="C107" t="str">
        <f>HYPERLINK("https://www.dasschnelle.at/s%C3%A4ge-u-hobelwerk-resch-sankt-nikolai-i-s-oberjahring","Website")</f>
        <v>Website</v>
      </c>
      <c r="D107" t="str">
        <f>HYPERLINK("http://www.google.com/maps/place/46.8201152,15.4609241","Location")</f>
        <v>Location</v>
      </c>
      <c r="E107" t="s">
        <v>982</v>
      </c>
      <c r="F107" t="s">
        <v>983</v>
      </c>
      <c r="G107" t="s">
        <v>975</v>
      </c>
      <c r="H107" t="s">
        <v>976</v>
      </c>
      <c r="I107" t="s">
        <v>451</v>
      </c>
      <c r="J107" t="s">
        <v>22</v>
      </c>
      <c r="K107" t="s">
        <v>984</v>
      </c>
      <c r="L107" t="s">
        <v>987</v>
      </c>
      <c r="M107" t="s">
        <v>25</v>
      </c>
      <c r="N107" t="s">
        <v>988</v>
      </c>
      <c r="O107" t="s">
        <v>25</v>
      </c>
      <c r="P107" t="s">
        <v>989</v>
      </c>
      <c r="Q107" t="s">
        <v>29</v>
      </c>
      <c r="R107" t="s">
        <v>985</v>
      </c>
      <c r="S107" t="s">
        <v>986</v>
      </c>
    </row>
    <row r="108" spans="1:19" x14ac:dyDescent="0.25">
      <c r="A108" s="1">
        <v>106</v>
      </c>
      <c r="B108" t="str">
        <f>HYPERLINK("https://www.dasschnelle.at/reiter-hans-jürgen-wildon-kainachtalstraße","Website")</f>
        <v>Website</v>
      </c>
      <c r="C108" t="str">
        <f>HYPERLINK("http://www.fahrrad-reiter.at","Website")</f>
        <v>Website</v>
      </c>
      <c r="D108" t="str">
        <f>HYPERLINK("http://www.google.com/maps/place/46.88728,15.49969","Location")</f>
        <v>Location</v>
      </c>
      <c r="E108" t="s">
        <v>990</v>
      </c>
      <c r="F108" t="s">
        <v>991</v>
      </c>
      <c r="G108" t="s">
        <v>993</v>
      </c>
      <c r="H108" t="s">
        <v>994</v>
      </c>
      <c r="I108" t="s">
        <v>451</v>
      </c>
      <c r="J108" t="s">
        <v>22</v>
      </c>
      <c r="K108" t="s">
        <v>992</v>
      </c>
      <c r="L108" t="s">
        <v>997</v>
      </c>
      <c r="M108" t="s">
        <v>25</v>
      </c>
      <c r="N108" t="s">
        <v>998</v>
      </c>
      <c r="O108" t="s">
        <v>25</v>
      </c>
      <c r="P108" t="s">
        <v>999</v>
      </c>
      <c r="Q108" t="s">
        <v>29</v>
      </c>
      <c r="R108" t="s">
        <v>995</v>
      </c>
      <c r="S108" t="s">
        <v>996</v>
      </c>
    </row>
    <row r="109" spans="1:19" x14ac:dyDescent="0.25">
      <c r="A109" s="1">
        <v>107</v>
      </c>
      <c r="B109" t="str">
        <f>HYPERLINK("https://www.dasschnelle.at/sabathi-thomas-tillmitsch-schirkastraße","Website")</f>
        <v>Website</v>
      </c>
      <c r="C109" t="str">
        <f>HYPERLINK("http://www.sabathi.info","Website")</f>
        <v>Website</v>
      </c>
      <c r="D109" t="str">
        <f>HYPERLINK("http://www.google.com/maps/place/46.8137900,15.5103500","Location")</f>
        <v>Location</v>
      </c>
      <c r="E109" t="s">
        <v>1000</v>
      </c>
      <c r="F109" t="s">
        <v>1001</v>
      </c>
      <c r="G109" t="s">
        <v>1003</v>
      </c>
      <c r="H109" t="s">
        <v>1004</v>
      </c>
      <c r="I109" t="s">
        <v>451</v>
      </c>
      <c r="J109" t="s">
        <v>22</v>
      </c>
      <c r="K109" t="s">
        <v>1002</v>
      </c>
      <c r="L109" t="s">
        <v>1007</v>
      </c>
      <c r="M109" t="s">
        <v>25</v>
      </c>
      <c r="N109" t="s">
        <v>1008</v>
      </c>
      <c r="O109" t="s">
        <v>25</v>
      </c>
      <c r="P109" t="s">
        <v>1009</v>
      </c>
      <c r="Q109" t="s">
        <v>29</v>
      </c>
      <c r="R109" t="s">
        <v>1005</v>
      </c>
      <c r="S109" t="s">
        <v>1006</v>
      </c>
    </row>
    <row r="110" spans="1:19" x14ac:dyDescent="0.25">
      <c r="A110" s="1">
        <v>108</v>
      </c>
      <c r="B110" t="str">
        <f>HYPERLINK("https://www.dasschnelle.at/hütinger-stefan-kaindorf-grazer-straße","Website")</f>
        <v>Website</v>
      </c>
      <c r="C110" t="str">
        <f>HYPERLINK("http://www.huetinger-glas.at","Website")</f>
        <v>Website</v>
      </c>
      <c r="D110" t="str">
        <f>HYPERLINK("http://www.google.com/maps/place/46.7941,15.53791","Location")</f>
        <v>Location</v>
      </c>
      <c r="E110" t="s">
        <v>1010</v>
      </c>
      <c r="F110" t="s">
        <v>1011</v>
      </c>
      <c r="G110" t="s">
        <v>1013</v>
      </c>
      <c r="H110" t="s">
        <v>1014</v>
      </c>
      <c r="I110" t="s">
        <v>451</v>
      </c>
      <c r="J110" t="s">
        <v>22</v>
      </c>
      <c r="K110" t="s">
        <v>1012</v>
      </c>
      <c r="L110" t="s">
        <v>1017</v>
      </c>
      <c r="M110" t="s">
        <v>25</v>
      </c>
      <c r="N110" t="s">
        <v>1018</v>
      </c>
      <c r="O110" t="s">
        <v>25</v>
      </c>
      <c r="P110" t="s">
        <v>1019</v>
      </c>
      <c r="Q110" t="s">
        <v>29</v>
      </c>
      <c r="R110" t="s">
        <v>1015</v>
      </c>
      <c r="S110" t="s">
        <v>1016</v>
      </c>
    </row>
    <row r="111" spans="1:19" x14ac:dyDescent="0.25">
      <c r="A111" s="1">
        <v>109</v>
      </c>
      <c r="B111" t="str">
        <f>HYPERLINK("https://www.dasschnelle.at/überbacher-sport-leibnitz-bahnhofstraße","Website")</f>
        <v>Website</v>
      </c>
      <c r="C111" t="str">
        <f>HYPERLINK("http://www.sport-ueberbacher.at","Website")</f>
        <v>Website</v>
      </c>
      <c r="D111" t="str">
        <f>HYPERLINK("http://www.google.com/maps/place/46.7829,15.54556","Location")</f>
        <v>Location</v>
      </c>
      <c r="E111" t="s">
        <v>1020</v>
      </c>
      <c r="F111" t="s">
        <v>1021</v>
      </c>
      <c r="G111" t="s">
        <v>1013</v>
      </c>
      <c r="H111" t="s">
        <v>1023</v>
      </c>
      <c r="I111" t="s">
        <v>451</v>
      </c>
      <c r="J111" t="s">
        <v>22</v>
      </c>
      <c r="K111" t="s">
        <v>1022</v>
      </c>
      <c r="L111" t="s">
        <v>1026</v>
      </c>
      <c r="M111" t="s">
        <v>25</v>
      </c>
      <c r="N111" t="s">
        <v>1027</v>
      </c>
      <c r="O111" t="s">
        <v>25</v>
      </c>
      <c r="P111" t="s">
        <v>1028</v>
      </c>
      <c r="Q111" t="s">
        <v>29</v>
      </c>
      <c r="R111" t="s">
        <v>1024</v>
      </c>
      <c r="S111" t="s">
        <v>1025</v>
      </c>
    </row>
    <row r="112" spans="1:19" x14ac:dyDescent="0.25">
      <c r="A112" s="1">
        <v>110</v>
      </c>
      <c r="B112" t="str">
        <f>HYPERLINK("https://www.dasschnelle.at/cafe-restaurant-herg-leibnitz-27-jännerstraße","Website")</f>
        <v>Website</v>
      </c>
      <c r="C112" t="str">
        <f>HYPERLINK("http://www.familie-herg.at","Website")</f>
        <v>Website</v>
      </c>
      <c r="D112" t="str">
        <f>HYPERLINK("http://www.google.com/maps/place/46.7833,15.54179","Location")</f>
        <v>Location</v>
      </c>
      <c r="E112" t="s">
        <v>1029</v>
      </c>
      <c r="F112" t="s">
        <v>1030</v>
      </c>
      <c r="G112" t="s">
        <v>1013</v>
      </c>
      <c r="H112" t="s">
        <v>1023</v>
      </c>
      <c r="I112" t="s">
        <v>451</v>
      </c>
      <c r="J112" t="s">
        <v>22</v>
      </c>
      <c r="K112" t="s">
        <v>1031</v>
      </c>
      <c r="L112" t="s">
        <v>1034</v>
      </c>
      <c r="M112" t="s">
        <v>25</v>
      </c>
      <c r="N112" t="s">
        <v>1035</v>
      </c>
      <c r="O112" t="s">
        <v>25</v>
      </c>
      <c r="P112" t="s">
        <v>1036</v>
      </c>
      <c r="Q112" t="s">
        <v>29</v>
      </c>
      <c r="R112" t="s">
        <v>1032</v>
      </c>
      <c r="S112" t="s">
        <v>1033</v>
      </c>
    </row>
    <row r="113" spans="1:19" x14ac:dyDescent="0.25">
      <c r="A113" s="1">
        <v>111</v>
      </c>
      <c r="B113" t="str">
        <f>HYPERLINK("https://www.dasschnelle.at/adcura-schloß-arnfels-seniorenwohnen-gmbh-arnfels-hardegger-straße","Website")</f>
        <v>Website</v>
      </c>
      <c r="C113" t="str">
        <f>HYPERLINK("https://www.dasschnelle.at/adcura-schlo%C3%9F-arnfels-seniorenwohnen-gmbh-arnfels-hardegger-stra%C3%9Fe","Website")</f>
        <v>Website</v>
      </c>
      <c r="D113" t="str">
        <f>HYPERLINK("http://www.google.com/maps/place/46.67491,15.40013","Location")</f>
        <v>Location</v>
      </c>
      <c r="E113" t="s">
        <v>1037</v>
      </c>
      <c r="F113" t="s">
        <v>1038</v>
      </c>
      <c r="G113" t="s">
        <v>1040</v>
      </c>
      <c r="H113" t="s">
        <v>1041</v>
      </c>
      <c r="I113" t="s">
        <v>451</v>
      </c>
      <c r="J113" t="s">
        <v>22</v>
      </c>
      <c r="K113" t="s">
        <v>1039</v>
      </c>
      <c r="L113" t="s">
        <v>1044</v>
      </c>
      <c r="M113" t="s">
        <v>25</v>
      </c>
      <c r="N113" t="s">
        <v>1045</v>
      </c>
      <c r="O113" t="s">
        <v>25</v>
      </c>
      <c r="P113" t="s">
        <v>1046</v>
      </c>
      <c r="Q113" t="s">
        <v>29</v>
      </c>
      <c r="R113" t="s">
        <v>1042</v>
      </c>
      <c r="S113" t="s">
        <v>1043</v>
      </c>
    </row>
    <row r="114" spans="1:19" x14ac:dyDescent="0.25">
      <c r="A114" s="1">
        <v>112</v>
      </c>
      <c r="B114" t="str">
        <f>HYPERLINK("https://www.dasschnelle.at/schreiber-reinhardt-dr-med-hartberg-grazer-straße","Website")</f>
        <v>Website</v>
      </c>
      <c r="C114" t="str">
        <f>HYPERLINK("http://www.zahn-regulierung.at","Website")</f>
        <v>Website</v>
      </c>
      <c r="D114" t="str">
        <f>HYPERLINK("http://www.google.com/maps/place/47.27714,15.96577","Location")</f>
        <v>Location</v>
      </c>
      <c r="E114" t="s">
        <v>1047</v>
      </c>
      <c r="F114" t="s">
        <v>1048</v>
      </c>
      <c r="G114" t="s">
        <v>1050</v>
      </c>
      <c r="H114" t="s">
        <v>1051</v>
      </c>
      <c r="I114" t="s">
        <v>451</v>
      </c>
      <c r="J114" t="s">
        <v>22</v>
      </c>
      <c r="K114" t="s">
        <v>1049</v>
      </c>
      <c r="L114" t="s">
        <v>1054</v>
      </c>
      <c r="M114" t="s">
        <v>25</v>
      </c>
      <c r="N114" t="s">
        <v>25</v>
      </c>
      <c r="O114" t="s">
        <v>25</v>
      </c>
      <c r="P114" t="s">
        <v>1055</v>
      </c>
      <c r="Q114" t="s">
        <v>29</v>
      </c>
      <c r="R114" t="s">
        <v>1052</v>
      </c>
      <c r="S114" t="s">
        <v>1053</v>
      </c>
    </row>
    <row r="115" spans="1:19" x14ac:dyDescent="0.25">
      <c r="A115" s="1">
        <v>113</v>
      </c>
      <c r="B115" t="str">
        <f>HYPERLINK("https://www.dasschnelle.at/haider-mario-siegersdorf-bei-herberstein","Website")</f>
        <v>Website</v>
      </c>
      <c r="C115" t="str">
        <f>HYPERLINK("https://www.dasschnelle.at/haider-mario-siegersdorf-bei-herberstein","Website")</f>
        <v>Website</v>
      </c>
      <c r="D115" t="str">
        <f>HYPERLINK("http://www.google.com/maps/place/47.2114625,15.7798215","Location")</f>
        <v>Location</v>
      </c>
      <c r="E115" t="s">
        <v>1056</v>
      </c>
      <c r="F115" t="s">
        <v>1057</v>
      </c>
      <c r="G115" t="s">
        <v>1058</v>
      </c>
      <c r="H115" t="s">
        <v>1059</v>
      </c>
      <c r="I115" t="s">
        <v>451</v>
      </c>
      <c r="J115" t="s">
        <v>22</v>
      </c>
      <c r="K115" t="s">
        <v>25</v>
      </c>
      <c r="L115" t="s">
        <v>1062</v>
      </c>
      <c r="M115" t="s">
        <v>25</v>
      </c>
      <c r="N115" t="s">
        <v>1063</v>
      </c>
      <c r="O115" t="s">
        <v>25</v>
      </c>
      <c r="P115" t="s">
        <v>1064</v>
      </c>
      <c r="Q115" t="s">
        <v>29</v>
      </c>
      <c r="R115" t="s">
        <v>1060</v>
      </c>
      <c r="S115" t="s">
        <v>1061</v>
      </c>
    </row>
    <row r="116" spans="1:19" x14ac:dyDescent="0.25">
      <c r="A116" s="1">
        <v>114</v>
      </c>
      <c r="B116" t="str">
        <f>HYPERLINK("https://www.dasschnelle.at/pichler-franz-gmbh-vorau-barbara-sicharter-straße","Website")</f>
        <v>Website</v>
      </c>
      <c r="C116" t="str">
        <f>HYPERLINK("http://www.pichler-haustechnik.at","Website")</f>
        <v>Website</v>
      </c>
      <c r="D116" t="str">
        <f>HYPERLINK("http://www.google.com/maps/place/47.40427,15.87652","Location")</f>
        <v>Location</v>
      </c>
      <c r="E116" t="s">
        <v>1065</v>
      </c>
      <c r="F116" t="s">
        <v>1066</v>
      </c>
      <c r="G116" t="s">
        <v>1068</v>
      </c>
      <c r="H116" t="s">
        <v>1069</v>
      </c>
      <c r="I116" t="s">
        <v>451</v>
      </c>
      <c r="J116" t="s">
        <v>22</v>
      </c>
      <c r="K116" t="s">
        <v>1067</v>
      </c>
      <c r="L116" t="s">
        <v>1072</v>
      </c>
      <c r="M116" t="s">
        <v>25</v>
      </c>
      <c r="N116" t="s">
        <v>1073</v>
      </c>
      <c r="O116" t="s">
        <v>25</v>
      </c>
      <c r="P116" t="s">
        <v>1074</v>
      </c>
      <c r="Q116" t="s">
        <v>29</v>
      </c>
      <c r="R116" t="s">
        <v>1070</v>
      </c>
      <c r="S116" t="s">
        <v>1071</v>
      </c>
    </row>
    <row r="117" spans="1:19" x14ac:dyDescent="0.25">
      <c r="A117" s="1">
        <v>115</v>
      </c>
      <c r="B117" t="str">
        <f>HYPERLINK("https://www.dasschnelle.at/kremnitzer-petra-dr-rohrbach-an-der-lafnitz-obere-hauptstraße","Website")</f>
        <v>Website</v>
      </c>
      <c r="C117" t="str">
        <f>HYPERLINK("https://www.dasschnelle.at/kremnitzer-petra-dr-rohrbach-an-der-lafnitz-obere-hauptstra%C3%9Fe","Website")</f>
        <v>Website</v>
      </c>
      <c r="D117" t="str">
        <f>HYPERLINK("http://www.google.com/maps/place/47.39022,15.99566","Location")</f>
        <v>Location</v>
      </c>
      <c r="E117" t="s">
        <v>1075</v>
      </c>
      <c r="F117" t="s">
        <v>1076</v>
      </c>
      <c r="G117" t="s">
        <v>1078</v>
      </c>
      <c r="H117" t="s">
        <v>1079</v>
      </c>
      <c r="I117" t="s">
        <v>451</v>
      </c>
      <c r="J117" t="s">
        <v>22</v>
      </c>
      <c r="K117" t="s">
        <v>1077</v>
      </c>
      <c r="L117" t="s">
        <v>1082</v>
      </c>
      <c r="M117" t="s">
        <v>25</v>
      </c>
      <c r="N117" t="s">
        <v>25</v>
      </c>
      <c r="O117" t="s">
        <v>25</v>
      </c>
      <c r="P117" t="s">
        <v>1083</v>
      </c>
      <c r="Q117" t="s">
        <v>29</v>
      </c>
      <c r="R117" t="s">
        <v>1080</v>
      </c>
      <c r="S117" t="s">
        <v>1081</v>
      </c>
    </row>
    <row r="118" spans="1:19" x14ac:dyDescent="0.25">
      <c r="A118" s="1">
        <v>116</v>
      </c>
      <c r="B118" t="str">
        <f>HYPERLINK("https://www.dasschnelle.at/halwachs-adrian-vorau-kringstraße","Website")</f>
        <v>Website</v>
      </c>
      <c r="C118" t="str">
        <f>HYPERLINK("http://www.halwachs.rzweb.at","Website")</f>
        <v>Website</v>
      </c>
      <c r="D118" t="str">
        <f>HYPERLINK("http://www.google.com/maps/place/47.40682,15.89475","Location")</f>
        <v>Location</v>
      </c>
      <c r="E118" t="s">
        <v>1084</v>
      </c>
      <c r="F118" t="s">
        <v>1085</v>
      </c>
      <c r="G118" t="s">
        <v>1068</v>
      </c>
      <c r="H118" t="s">
        <v>1069</v>
      </c>
      <c r="I118" t="s">
        <v>451</v>
      </c>
      <c r="J118" t="s">
        <v>22</v>
      </c>
      <c r="K118" t="s">
        <v>1086</v>
      </c>
      <c r="L118" t="s">
        <v>1089</v>
      </c>
      <c r="M118" t="s">
        <v>25</v>
      </c>
      <c r="N118" t="s">
        <v>1090</v>
      </c>
      <c r="O118" t="s">
        <v>25</v>
      </c>
      <c r="P118" t="s">
        <v>1091</v>
      </c>
      <c r="Q118" t="s">
        <v>29</v>
      </c>
      <c r="R118" t="s">
        <v>1087</v>
      </c>
      <c r="S118" t="s">
        <v>1088</v>
      </c>
    </row>
    <row r="119" spans="1:19" x14ac:dyDescent="0.25">
      <c r="A119" s="1">
        <v>117</v>
      </c>
      <c r="B119" t="str">
        <f>HYPERLINK("https://www.dasschnelle.at/hämmerle-christina-dr-liezen-fronleichnamsweg","Website")</f>
        <v>Website</v>
      </c>
      <c r="C119" t="str">
        <f>HYPERLINK("http://www.ch-haemmerle.at","Website")</f>
        <v>Website</v>
      </c>
      <c r="D119" t="str">
        <f>HYPERLINK("http://www.google.com/maps/place/47.56542,14.23945","Location")</f>
        <v>Location</v>
      </c>
      <c r="E119" t="s">
        <v>1092</v>
      </c>
      <c r="F119" t="s">
        <v>1093</v>
      </c>
      <c r="G119" t="s">
        <v>1095</v>
      </c>
      <c r="H119" t="s">
        <v>1096</v>
      </c>
      <c r="I119" t="s">
        <v>451</v>
      </c>
      <c r="J119" t="s">
        <v>22</v>
      </c>
      <c r="K119" t="s">
        <v>1094</v>
      </c>
      <c r="L119" t="s">
        <v>1099</v>
      </c>
      <c r="M119" t="s">
        <v>25</v>
      </c>
      <c r="N119" t="s">
        <v>1100</v>
      </c>
      <c r="O119" t="s">
        <v>25</v>
      </c>
      <c r="P119" t="s">
        <v>1101</v>
      </c>
      <c r="Q119" t="s">
        <v>29</v>
      </c>
      <c r="R119" t="s">
        <v>1097</v>
      </c>
      <c r="S119" t="s">
        <v>1098</v>
      </c>
    </row>
    <row r="120" spans="1:19" x14ac:dyDescent="0.25">
      <c r="A120" s="1">
        <v>118</v>
      </c>
      <c r="B120" t="str">
        <f>HYPERLINK("https://www.dasschnelle.at/mayer-autohaus-gesmbh-liezen-ausseer-straße","Website")</f>
        <v>Website</v>
      </c>
      <c r="C120" t="str">
        <f>HYPERLINK("http://www.autozentrum-mayer.at","Website")</f>
        <v>Website</v>
      </c>
      <c r="D120" t="str">
        <f>HYPERLINK("http://www.google.com/maps/place/47.57011,14.21707","Location")</f>
        <v>Location</v>
      </c>
      <c r="E120" t="s">
        <v>1102</v>
      </c>
      <c r="F120" t="s">
        <v>1103</v>
      </c>
      <c r="G120" t="s">
        <v>1095</v>
      </c>
      <c r="H120" t="s">
        <v>1096</v>
      </c>
      <c r="I120" t="s">
        <v>451</v>
      </c>
      <c r="J120" t="s">
        <v>22</v>
      </c>
      <c r="K120" t="s">
        <v>1104</v>
      </c>
      <c r="L120" t="s">
        <v>1107</v>
      </c>
      <c r="M120" t="s">
        <v>25</v>
      </c>
      <c r="N120" t="s">
        <v>1108</v>
      </c>
      <c r="O120" t="s">
        <v>25</v>
      </c>
      <c r="P120" t="s">
        <v>1109</v>
      </c>
      <c r="Q120" t="s">
        <v>29</v>
      </c>
      <c r="R120" t="s">
        <v>1105</v>
      </c>
      <c r="S120" t="s">
        <v>1106</v>
      </c>
    </row>
    <row r="121" spans="1:19" x14ac:dyDescent="0.25">
      <c r="A121" s="1">
        <v>119</v>
      </c>
      <c r="B121" t="str">
        <f>HYPERLINK("https://www.dasschnelle.at/bund-sabine-stainach-hauptplatz","Website")</f>
        <v>Website</v>
      </c>
      <c r="C121" t="str">
        <f>HYPERLINK("http://www.rosa-blumen.com","Website")</f>
        <v>Website</v>
      </c>
      <c r="D121" t="str">
        <f>HYPERLINK("http://www.google.com/maps/place/47.53372,14.10777","Location")</f>
        <v>Location</v>
      </c>
      <c r="E121" t="s">
        <v>1110</v>
      </c>
      <c r="F121" t="s">
        <v>1111</v>
      </c>
      <c r="G121" t="s">
        <v>1113</v>
      </c>
      <c r="H121" t="s">
        <v>1114</v>
      </c>
      <c r="I121" t="s">
        <v>451</v>
      </c>
      <c r="J121" t="s">
        <v>22</v>
      </c>
      <c r="K121" t="s">
        <v>1112</v>
      </c>
      <c r="L121" t="s">
        <v>1117</v>
      </c>
      <c r="M121" t="s">
        <v>25</v>
      </c>
      <c r="N121" t="s">
        <v>1118</v>
      </c>
      <c r="O121" t="s">
        <v>25</v>
      </c>
      <c r="P121" t="s">
        <v>1119</v>
      </c>
      <c r="Q121" t="s">
        <v>29</v>
      </c>
      <c r="R121" t="s">
        <v>1115</v>
      </c>
      <c r="S121" t="s">
        <v>1116</v>
      </c>
    </row>
    <row r="122" spans="1:19" x14ac:dyDescent="0.25">
      <c r="A122" s="1">
        <v>120</v>
      </c>
      <c r="B122" t="str">
        <f>HYPERLINK("https://www.dasschnelle.at/bradaric-a-gmbh-sankt-gallen-oberer-markt","Website")</f>
        <v>Website</v>
      </c>
      <c r="C122" t="str">
        <f>HYPERLINK("http://www.ab-dach.at","Website")</f>
        <v>Website</v>
      </c>
      <c r="D122" t="str">
        <f>HYPERLINK("http://www.google.com/maps/place/47.69034,14.6164","Location")</f>
        <v>Location</v>
      </c>
      <c r="E122" t="s">
        <v>1120</v>
      </c>
      <c r="F122" t="s">
        <v>1121</v>
      </c>
      <c r="G122" t="s">
        <v>1123</v>
      </c>
      <c r="H122" t="s">
        <v>1124</v>
      </c>
      <c r="I122" t="s">
        <v>451</v>
      </c>
      <c r="J122" t="s">
        <v>22</v>
      </c>
      <c r="K122" t="s">
        <v>1122</v>
      </c>
      <c r="L122" t="s">
        <v>1127</v>
      </c>
      <c r="M122" t="s">
        <v>25</v>
      </c>
      <c r="N122" t="s">
        <v>1128</v>
      </c>
      <c r="O122" t="s">
        <v>25</v>
      </c>
      <c r="P122" t="s">
        <v>1129</v>
      </c>
      <c r="Q122" t="s">
        <v>29</v>
      </c>
      <c r="R122" t="s">
        <v>1125</v>
      </c>
      <c r="S122" t="s">
        <v>1126</v>
      </c>
    </row>
    <row r="123" spans="1:19" x14ac:dyDescent="0.25">
      <c r="A123" s="1">
        <v>121</v>
      </c>
      <c r="B123" t="str">
        <f>HYPERLINK("https://www.dasschnelle.at/bestattung-schlömicher-bad-mitterndorf-bad-mitterndorf","Website")</f>
        <v>Website</v>
      </c>
      <c r="C123" t="str">
        <f>HYPERLINK("http://www.bestattung-schloemicher.at","Website")</f>
        <v>Website</v>
      </c>
      <c r="D123" t="str">
        <f>HYPERLINK("http://www.google.com/maps/place/47.5550840,13.9339484","Location")</f>
        <v>Location</v>
      </c>
      <c r="E123" t="s">
        <v>1130</v>
      </c>
      <c r="F123" t="s">
        <v>1131</v>
      </c>
      <c r="G123" t="s">
        <v>1133</v>
      </c>
      <c r="H123" t="s">
        <v>1134</v>
      </c>
      <c r="I123" t="s">
        <v>451</v>
      </c>
      <c r="J123" t="s">
        <v>22</v>
      </c>
      <c r="K123" t="s">
        <v>1132</v>
      </c>
      <c r="L123" t="s">
        <v>1137</v>
      </c>
      <c r="M123" t="s">
        <v>25</v>
      </c>
      <c r="N123" t="s">
        <v>1138</v>
      </c>
      <c r="O123" t="s">
        <v>25</v>
      </c>
      <c r="P123" t="s">
        <v>1139</v>
      </c>
      <c r="Q123" t="s">
        <v>29</v>
      </c>
      <c r="R123" t="s">
        <v>1135</v>
      </c>
      <c r="S123" t="s">
        <v>1136</v>
      </c>
    </row>
    <row r="124" spans="1:19" x14ac:dyDescent="0.25">
      <c r="A124" s="1">
        <v>122</v>
      </c>
      <c r="B124" t="str">
        <f>HYPERLINK("https://www.dasschnelle.at/elektro-weißensteiner-liezen-döllacher-straße","Website")</f>
        <v>Website</v>
      </c>
      <c r="C124" t="str">
        <f>HYPERLINK("https://www.dasschnelle.at/elektro-wei%C3%9Fensteiner-liezen-d%C3%B6llacher-stra%C3%9Fe","Website")</f>
        <v>Website</v>
      </c>
      <c r="D124" t="str">
        <f>HYPERLINK("http://www.google.com/maps/place/47.56776,14.2403","Location")</f>
        <v>Location</v>
      </c>
      <c r="E124" t="s">
        <v>1140</v>
      </c>
      <c r="F124" t="s">
        <v>1141</v>
      </c>
      <c r="G124" t="s">
        <v>1095</v>
      </c>
      <c r="H124" t="s">
        <v>1096</v>
      </c>
      <c r="I124" t="s">
        <v>451</v>
      </c>
      <c r="J124" t="s">
        <v>22</v>
      </c>
      <c r="K124" t="s">
        <v>1142</v>
      </c>
      <c r="L124" t="s">
        <v>1145</v>
      </c>
      <c r="M124" t="s">
        <v>25</v>
      </c>
      <c r="N124" t="s">
        <v>1146</v>
      </c>
      <c r="O124" t="s">
        <v>25</v>
      </c>
      <c r="P124" t="s">
        <v>1147</v>
      </c>
      <c r="Q124" t="s">
        <v>29</v>
      </c>
      <c r="R124" t="s">
        <v>1143</v>
      </c>
      <c r="S124" t="s">
        <v>1144</v>
      </c>
    </row>
    <row r="125" spans="1:19" x14ac:dyDescent="0.25">
      <c r="A125" s="1">
        <v>123</v>
      </c>
      <c r="B125" t="str">
        <f>HYPERLINK("https://www.dasschnelle.at/winkler-brigitte-liezen-hauptplatz","Website")</f>
        <v>Website</v>
      </c>
      <c r="C125" t="str">
        <f>HYPERLINK("https://www.dasschnelle.at/winkler-brigitte-liezen-hauptplatz","Website")</f>
        <v>Website</v>
      </c>
      <c r="D125" t="str">
        <f>HYPERLINK("http://www.google.com/maps/place/47.56737,14.24201","Location")</f>
        <v>Location</v>
      </c>
      <c r="E125" t="s">
        <v>1148</v>
      </c>
      <c r="F125" t="s">
        <v>1149</v>
      </c>
      <c r="G125" t="s">
        <v>1095</v>
      </c>
      <c r="H125" t="s">
        <v>1096</v>
      </c>
      <c r="I125" t="s">
        <v>451</v>
      </c>
      <c r="J125" t="s">
        <v>22</v>
      </c>
      <c r="K125" t="s">
        <v>1150</v>
      </c>
      <c r="L125" t="s">
        <v>1153</v>
      </c>
      <c r="M125" t="s">
        <v>25</v>
      </c>
      <c r="N125" t="s">
        <v>25</v>
      </c>
      <c r="O125" t="s">
        <v>25</v>
      </c>
      <c r="P125" t="s">
        <v>1154</v>
      </c>
      <c r="Q125" t="s">
        <v>29</v>
      </c>
      <c r="R125" t="s">
        <v>1151</v>
      </c>
      <c r="S125" t="s">
        <v>1152</v>
      </c>
    </row>
    <row r="126" spans="1:19" x14ac:dyDescent="0.25">
      <c r="A126" s="1">
        <v>124</v>
      </c>
      <c r="B126" t="str">
        <f>HYPERLINK("https://www.dasschnelle.at/pranjic-jozo-pruggern-pruggern","Website")</f>
        <v>Website</v>
      </c>
      <c r="C126" t="str">
        <f>HYPERLINK("http://www.joschi.online","Website")</f>
        <v>Website</v>
      </c>
      <c r="D126" t="str">
        <f>HYPERLINK("http://www.google.com/maps/place/47.4098227,13.8916140","Location")</f>
        <v>Location</v>
      </c>
      <c r="E126" t="s">
        <v>1155</v>
      </c>
      <c r="F126" t="s">
        <v>1156</v>
      </c>
      <c r="G126" t="s">
        <v>1158</v>
      </c>
      <c r="H126" t="s">
        <v>1159</v>
      </c>
      <c r="I126" t="s">
        <v>451</v>
      </c>
      <c r="J126" t="s">
        <v>22</v>
      </c>
      <c r="K126" t="s">
        <v>1157</v>
      </c>
      <c r="L126" t="s">
        <v>1162</v>
      </c>
      <c r="M126" t="s">
        <v>25</v>
      </c>
      <c r="N126" t="s">
        <v>1163</v>
      </c>
      <c r="O126" t="s">
        <v>25</v>
      </c>
      <c r="P126" t="s">
        <v>1164</v>
      </c>
      <c r="Q126" t="s">
        <v>29</v>
      </c>
      <c r="R126" t="s">
        <v>1160</v>
      </c>
      <c r="S126" t="s">
        <v>1161</v>
      </c>
    </row>
    <row r="127" spans="1:19" x14ac:dyDescent="0.25">
      <c r="A127" s="1">
        <v>125</v>
      </c>
      <c r="B127" t="str">
        <f>HYPERLINK("https://www.dasschnelle.at/pilz-christine-ramsau-am-dachstein-ramsau","Website")</f>
        <v>Website</v>
      </c>
      <c r="C127" t="str">
        <f>HYPERLINK("http://www.friseurtiptop.at","Website")</f>
        <v>Website</v>
      </c>
      <c r="D127" t="str">
        <f>HYPERLINK("http://www.google.com/maps/place/47.4210188,13.6586461","Location")</f>
        <v>Location</v>
      </c>
      <c r="E127" t="s">
        <v>1165</v>
      </c>
      <c r="F127" t="s">
        <v>1166</v>
      </c>
      <c r="G127" t="s">
        <v>1168</v>
      </c>
      <c r="H127" t="s">
        <v>1169</v>
      </c>
      <c r="I127" t="s">
        <v>451</v>
      </c>
      <c r="J127" t="s">
        <v>22</v>
      </c>
      <c r="K127" t="s">
        <v>1167</v>
      </c>
      <c r="L127" t="s">
        <v>1172</v>
      </c>
      <c r="M127" t="s">
        <v>25</v>
      </c>
      <c r="N127" t="s">
        <v>1173</v>
      </c>
      <c r="O127" t="s">
        <v>25</v>
      </c>
      <c r="P127" t="s">
        <v>1174</v>
      </c>
      <c r="Q127" t="s">
        <v>29</v>
      </c>
      <c r="R127" t="s">
        <v>1170</v>
      </c>
      <c r="S127" t="s">
        <v>1171</v>
      </c>
    </row>
    <row r="128" spans="1:19" x14ac:dyDescent="0.25">
      <c r="A128" s="1">
        <v>126</v>
      </c>
      <c r="B128" t="str">
        <f>HYPERLINK("https://www.dasschnelle.at/grießer-elke-liezen-fronleichnamsweg","Website")</f>
        <v>Website</v>
      </c>
      <c r="C128" t="str">
        <f>HYPERLINK("https://www.dasschnelle.at/grie%C3%9Fer-elke-liezen-fronleichnamsweg","Website")</f>
        <v>Website</v>
      </c>
      <c r="D128" t="str">
        <f>HYPERLINK("http://www.google.com/maps/place/47.56549,14.24225","Location")</f>
        <v>Location</v>
      </c>
      <c r="E128" t="s">
        <v>1175</v>
      </c>
      <c r="F128" t="s">
        <v>1176</v>
      </c>
      <c r="G128" t="s">
        <v>1095</v>
      </c>
      <c r="H128" t="s">
        <v>1096</v>
      </c>
      <c r="I128" t="s">
        <v>451</v>
      </c>
      <c r="J128" t="s">
        <v>22</v>
      </c>
      <c r="K128" t="s">
        <v>1177</v>
      </c>
      <c r="L128" t="s">
        <v>1180</v>
      </c>
      <c r="M128" t="s">
        <v>25</v>
      </c>
      <c r="N128" t="s">
        <v>1181</v>
      </c>
      <c r="O128" t="s">
        <v>25</v>
      </c>
      <c r="P128" t="s">
        <v>1182</v>
      </c>
      <c r="Q128" t="s">
        <v>29</v>
      </c>
      <c r="R128" t="s">
        <v>1178</v>
      </c>
      <c r="S128" t="s">
        <v>1179</v>
      </c>
    </row>
    <row r="129" spans="1:19" x14ac:dyDescent="0.25">
      <c r="A129" s="1">
        <v>127</v>
      </c>
      <c r="B129" t="str">
        <f>HYPERLINK("https://www.dasschnelle.at/reith-johannes-donnersbachwald","Website")</f>
        <v>Website</v>
      </c>
      <c r="C129" t="str">
        <f>HYPERLINK("http://www.reith-erdbau.at","Website")</f>
        <v>Website</v>
      </c>
      <c r="D129" t="str">
        <f>HYPERLINK("http://www.google.com/maps/place/47.3832936,14.1183373","Location")</f>
        <v>Location</v>
      </c>
      <c r="E129" t="s">
        <v>1183</v>
      </c>
      <c r="F129" t="s">
        <v>1184</v>
      </c>
      <c r="G129" t="s">
        <v>1185</v>
      </c>
      <c r="H129" t="s">
        <v>1186</v>
      </c>
      <c r="I129" t="s">
        <v>451</v>
      </c>
      <c r="J129" t="s">
        <v>22</v>
      </c>
      <c r="K129" t="s">
        <v>25</v>
      </c>
      <c r="L129" t="s">
        <v>1189</v>
      </c>
      <c r="M129" t="s">
        <v>25</v>
      </c>
      <c r="N129" t="s">
        <v>1190</v>
      </c>
      <c r="O129" t="s">
        <v>25</v>
      </c>
      <c r="P129" t="s">
        <v>1191</v>
      </c>
      <c r="Q129" t="s">
        <v>29</v>
      </c>
      <c r="R129" t="s">
        <v>1187</v>
      </c>
      <c r="S129" t="s">
        <v>1188</v>
      </c>
    </row>
    <row r="130" spans="1:19" x14ac:dyDescent="0.25">
      <c r="A130" s="1">
        <v>128</v>
      </c>
      <c r="B130" t="str">
        <f>HYPERLINK("https://www.dasschnelle.at/preimesberger-thomas-dr-bad-aussee-oppauerplatz","Website")</f>
        <v>Website</v>
      </c>
      <c r="C130" t="str">
        <f>HYPERLINK("https://www.dasschnelle.at/preimesberger-thomas-dr-bad-aussee-oppauerplatz","Website")</f>
        <v>Website</v>
      </c>
      <c r="D130" t="str">
        <f>HYPERLINK("http://www.google.com/maps/place/47.60856,13.78393","Location")</f>
        <v>Location</v>
      </c>
      <c r="E130" t="s">
        <v>1192</v>
      </c>
      <c r="F130" t="s">
        <v>1193</v>
      </c>
      <c r="G130" t="s">
        <v>1195</v>
      </c>
      <c r="H130" t="s">
        <v>1196</v>
      </c>
      <c r="I130" t="s">
        <v>451</v>
      </c>
      <c r="J130" t="s">
        <v>22</v>
      </c>
      <c r="K130" t="s">
        <v>1194</v>
      </c>
      <c r="L130" t="s">
        <v>1199</v>
      </c>
      <c r="M130" t="s">
        <v>25</v>
      </c>
      <c r="N130" t="s">
        <v>1200</v>
      </c>
      <c r="O130" t="s">
        <v>25</v>
      </c>
      <c r="P130" t="s">
        <v>1201</v>
      </c>
      <c r="Q130" t="s">
        <v>29</v>
      </c>
      <c r="R130" t="s">
        <v>1197</v>
      </c>
      <c r="S130" t="s">
        <v>1198</v>
      </c>
    </row>
    <row r="131" spans="1:19" x14ac:dyDescent="0.25">
      <c r="A131" s="1">
        <v>129</v>
      </c>
      <c r="B131" t="str">
        <f>HYPERLINK("https://www.dasschnelle.at/neuser-günter-liezen-hauptplatz","Website")</f>
        <v>Website</v>
      </c>
      <c r="C131" t="str">
        <f>HYPERLINK("http://www.hu00f6rzentrum.at","Website")</f>
        <v>Website</v>
      </c>
      <c r="D131" t="str">
        <f>HYPERLINK("http://www.google.com/maps/place/47.56739,14.2423","Location")</f>
        <v>Location</v>
      </c>
      <c r="E131" t="s">
        <v>1202</v>
      </c>
      <c r="F131" t="s">
        <v>1203</v>
      </c>
      <c r="G131" t="s">
        <v>1095</v>
      </c>
      <c r="H131" t="s">
        <v>1096</v>
      </c>
      <c r="I131" t="s">
        <v>451</v>
      </c>
      <c r="J131" t="s">
        <v>22</v>
      </c>
      <c r="K131" t="s">
        <v>1204</v>
      </c>
      <c r="L131" t="s">
        <v>1207</v>
      </c>
      <c r="M131" t="s">
        <v>25</v>
      </c>
      <c r="N131" t="s">
        <v>1208</v>
      </c>
      <c r="O131" t="s">
        <v>25</v>
      </c>
      <c r="P131" t="s">
        <v>1209</v>
      </c>
      <c r="Q131" t="s">
        <v>29</v>
      </c>
      <c r="R131" t="s">
        <v>1205</v>
      </c>
      <c r="S131" t="s">
        <v>1206</v>
      </c>
    </row>
    <row r="132" spans="1:19" x14ac:dyDescent="0.25">
      <c r="A132" s="1">
        <v>130</v>
      </c>
      <c r="B132" t="str">
        <f>HYPERLINK("https://www.dasschnelle.at/bacher-und-steininger-immobilienmakler-kg-liezen-hauptplatz","Website")</f>
        <v>Website</v>
      </c>
      <c r="C132" t="str">
        <f>HYPERLINK("http://www.wohn4you.at","Website")</f>
        <v>Website</v>
      </c>
      <c r="D132" t="str">
        <f>HYPERLINK("http://www.google.com/maps/place/47.56685,14.24224","Location")</f>
        <v>Location</v>
      </c>
      <c r="E132" t="s">
        <v>1210</v>
      </c>
      <c r="F132" t="s">
        <v>1211</v>
      </c>
      <c r="G132" t="s">
        <v>1095</v>
      </c>
      <c r="H132" t="s">
        <v>1096</v>
      </c>
      <c r="I132" t="s">
        <v>451</v>
      </c>
      <c r="J132" t="s">
        <v>22</v>
      </c>
      <c r="K132" t="s">
        <v>1212</v>
      </c>
      <c r="L132" t="s">
        <v>1215</v>
      </c>
      <c r="M132" t="s">
        <v>25</v>
      </c>
      <c r="N132" t="s">
        <v>1216</v>
      </c>
      <c r="O132" t="s">
        <v>25</v>
      </c>
      <c r="P132" t="s">
        <v>1217</v>
      </c>
      <c r="Q132" t="s">
        <v>29</v>
      </c>
      <c r="R132" t="s">
        <v>1213</v>
      </c>
      <c r="S132" t="s">
        <v>1214</v>
      </c>
    </row>
    <row r="133" spans="1:19" x14ac:dyDescent="0.25">
      <c r="A133" s="1">
        <v>131</v>
      </c>
      <c r="B133" t="str">
        <f>HYPERLINK("https://www.dasschnelle.at/tierschutz-bezirk-liezen-tierheim-trieben-trieben-industriestraße","Website")</f>
        <v>Website</v>
      </c>
      <c r="C133" t="str">
        <f>HYPERLINK("http://www.tierheimtrieben.blogspot.co.at","Website")</f>
        <v>Website</v>
      </c>
      <c r="D133" t="str">
        <f>HYPERLINK("http://www.google.com/maps/place/47.49144,14.48549","Location")</f>
        <v>Location</v>
      </c>
      <c r="E133" t="s">
        <v>1218</v>
      </c>
      <c r="F133" t="s">
        <v>1219</v>
      </c>
      <c r="G133" t="s">
        <v>1221</v>
      </c>
      <c r="H133" t="s">
        <v>1222</v>
      </c>
      <c r="I133" t="s">
        <v>451</v>
      </c>
      <c r="J133" t="s">
        <v>22</v>
      </c>
      <c r="K133" t="s">
        <v>1220</v>
      </c>
      <c r="L133" t="s">
        <v>1225</v>
      </c>
      <c r="M133" t="s">
        <v>25</v>
      </c>
      <c r="N133" t="s">
        <v>1226</v>
      </c>
      <c r="O133" t="s">
        <v>25</v>
      </c>
      <c r="P133" t="s">
        <v>1227</v>
      </c>
      <c r="Q133" t="s">
        <v>29</v>
      </c>
      <c r="R133" t="s">
        <v>1223</v>
      </c>
      <c r="S133" t="s">
        <v>1224</v>
      </c>
    </row>
    <row r="134" spans="1:19" x14ac:dyDescent="0.25">
      <c r="A134" s="1">
        <v>132</v>
      </c>
      <c r="B134" t="str">
        <f>HYPERLINK("https://www.dasschnelle.at/schnuderl-melitta-liezen-ausseer-straße","Website")</f>
        <v>Website</v>
      </c>
      <c r="C134" t="str">
        <f>HYPERLINK("http://www.hotel-restaurant-schnuderl.at","Website")</f>
        <v>Website</v>
      </c>
      <c r="D134" t="str">
        <f>HYPERLINK("http://www.google.com/maps/place/47.5692,14.23885","Location")</f>
        <v>Location</v>
      </c>
      <c r="E134" t="s">
        <v>1228</v>
      </c>
      <c r="F134" t="s">
        <v>1229</v>
      </c>
      <c r="G134" t="s">
        <v>1095</v>
      </c>
      <c r="H134" t="s">
        <v>1096</v>
      </c>
      <c r="I134" t="s">
        <v>451</v>
      </c>
      <c r="J134" t="s">
        <v>22</v>
      </c>
      <c r="K134" t="s">
        <v>1230</v>
      </c>
      <c r="L134" t="s">
        <v>1233</v>
      </c>
      <c r="M134" t="s">
        <v>25</v>
      </c>
      <c r="N134" t="s">
        <v>1234</v>
      </c>
      <c r="O134" t="s">
        <v>25</v>
      </c>
      <c r="P134" t="s">
        <v>1235</v>
      </c>
      <c r="Q134" t="s">
        <v>29</v>
      </c>
      <c r="R134" t="s">
        <v>1231</v>
      </c>
      <c r="S134" t="s">
        <v>1232</v>
      </c>
    </row>
    <row r="135" spans="1:19" x14ac:dyDescent="0.25">
      <c r="A135" s="1">
        <v>133</v>
      </c>
      <c r="B135" t="str">
        <f>HYPERLINK("https://www.dasschnelle.at/jansenberger-heinrich-treglwang-treglwang","Website")</f>
        <v>Website</v>
      </c>
      <c r="C135" t="str">
        <f>HYPERLINK("http://www.sauna-tischler.at","Website")</f>
        <v>Website</v>
      </c>
      <c r="D135" t="str">
        <f>HYPERLINK("http://www.google.com/maps/place/47.4738465,14.5917201","Location")</f>
        <v>Location</v>
      </c>
      <c r="E135" t="s">
        <v>1236</v>
      </c>
      <c r="F135" t="s">
        <v>1237</v>
      </c>
      <c r="G135" t="s">
        <v>1239</v>
      </c>
      <c r="H135" t="s">
        <v>1240</v>
      </c>
      <c r="I135" t="s">
        <v>451</v>
      </c>
      <c r="J135" t="s">
        <v>22</v>
      </c>
      <c r="K135" t="s">
        <v>1238</v>
      </c>
      <c r="L135" t="s">
        <v>1243</v>
      </c>
      <c r="M135" t="s">
        <v>25</v>
      </c>
      <c r="N135" t="s">
        <v>1244</v>
      </c>
      <c r="O135" t="s">
        <v>25</v>
      </c>
      <c r="P135" t="s">
        <v>1245</v>
      </c>
      <c r="Q135" t="s">
        <v>29</v>
      </c>
      <c r="R135" t="s">
        <v>1241</v>
      </c>
      <c r="S135" t="s">
        <v>1242</v>
      </c>
    </row>
    <row r="136" spans="1:19" x14ac:dyDescent="0.25">
      <c r="A136" s="1">
        <v>134</v>
      </c>
      <c r="B136" t="str">
        <f>HYPERLINK("https://www.dasschnelle.at/schupfer-bernhard-aigen-im-ennstal-ketten","Website")</f>
        <v>Website</v>
      </c>
      <c r="C136" t="str">
        <f>HYPERLINK("http://www.schupferdach.at","Website")</f>
        <v>Website</v>
      </c>
      <c r="D136" t="str">
        <f>HYPERLINK("http://www.google.com/maps/place/47.5283459,14.1467683","Location")</f>
        <v>Location</v>
      </c>
      <c r="E136" t="s">
        <v>1246</v>
      </c>
      <c r="F136" t="s">
        <v>1247</v>
      </c>
      <c r="G136" t="s">
        <v>1249</v>
      </c>
      <c r="H136" t="s">
        <v>1250</v>
      </c>
      <c r="I136" t="s">
        <v>451</v>
      </c>
      <c r="J136" t="s">
        <v>22</v>
      </c>
      <c r="K136" t="s">
        <v>1248</v>
      </c>
      <c r="L136" t="s">
        <v>1253</v>
      </c>
      <c r="M136" t="s">
        <v>25</v>
      </c>
      <c r="N136" t="s">
        <v>1254</v>
      </c>
      <c r="O136" t="s">
        <v>25</v>
      </c>
      <c r="P136" t="s">
        <v>1255</v>
      </c>
      <c r="Q136" t="s">
        <v>29</v>
      </c>
      <c r="R136" t="s">
        <v>1251</v>
      </c>
      <c r="S136" t="s">
        <v>1252</v>
      </c>
    </row>
    <row r="137" spans="1:19" x14ac:dyDescent="0.25">
      <c r="A137" s="1">
        <v>135</v>
      </c>
      <c r="B137" t="str">
        <f>HYPERLINK("https://www.dasschnelle.at/leitner-harald-ardning-frauenberg","Website")</f>
        <v>Website</v>
      </c>
      <c r="C137" t="str">
        <f>HYPERLINK("http://www.leitner-garten.at","Website")</f>
        <v>Website</v>
      </c>
      <c r="D137" t="str">
        <f>HYPERLINK("http://www.google.com/maps/place/47.5898313,14.3921384","Location")</f>
        <v>Location</v>
      </c>
      <c r="E137" t="s">
        <v>1256</v>
      </c>
      <c r="F137" t="s">
        <v>1257</v>
      </c>
      <c r="G137" t="s">
        <v>1259</v>
      </c>
      <c r="H137" t="s">
        <v>1260</v>
      </c>
      <c r="I137" t="s">
        <v>451</v>
      </c>
      <c r="J137" t="s">
        <v>22</v>
      </c>
      <c r="K137" t="s">
        <v>1258</v>
      </c>
      <c r="L137" t="s">
        <v>1263</v>
      </c>
      <c r="M137" t="s">
        <v>25</v>
      </c>
      <c r="N137" t="s">
        <v>1264</v>
      </c>
      <c r="O137" t="s">
        <v>25</v>
      </c>
      <c r="P137" t="s">
        <v>1265</v>
      </c>
      <c r="Q137" t="s">
        <v>29</v>
      </c>
      <c r="R137" t="s">
        <v>1261</v>
      </c>
      <c r="S137" t="s">
        <v>1262</v>
      </c>
    </row>
    <row r="138" spans="1:19" x14ac:dyDescent="0.25">
      <c r="A138" s="1">
        <v>136</v>
      </c>
      <c r="B138" t="str">
        <f>HYPERLINK("https://www.dasschnelle.at/arzbacher-manfred-gesmbh-schladming-salzburgerstraße","Website")</f>
        <v>Website</v>
      </c>
      <c r="C138" t="str">
        <f>HYPERLINK("http://www.arzbacher.at","Website")</f>
        <v>Website</v>
      </c>
      <c r="D138" t="str">
        <f>HYPERLINK("http://www.google.com/maps/place/47.39104,13.68146","Location")</f>
        <v>Location</v>
      </c>
      <c r="E138" t="s">
        <v>1266</v>
      </c>
      <c r="F138" t="s">
        <v>1267</v>
      </c>
      <c r="G138" t="s">
        <v>1269</v>
      </c>
      <c r="H138" t="s">
        <v>1270</v>
      </c>
      <c r="I138" t="s">
        <v>451</v>
      </c>
      <c r="J138" t="s">
        <v>22</v>
      </c>
      <c r="K138" t="s">
        <v>1268</v>
      </c>
      <c r="L138" t="s">
        <v>1273</v>
      </c>
      <c r="M138" t="s">
        <v>25</v>
      </c>
      <c r="N138" t="s">
        <v>1274</v>
      </c>
      <c r="O138" t="s">
        <v>25</v>
      </c>
      <c r="P138" t="s">
        <v>1275</v>
      </c>
      <c r="Q138" t="s">
        <v>29</v>
      </c>
      <c r="R138" t="s">
        <v>1271</v>
      </c>
      <c r="S138" t="s">
        <v>1272</v>
      </c>
    </row>
    <row r="139" spans="1:19" x14ac:dyDescent="0.25">
      <c r="A139" s="1">
        <v>137</v>
      </c>
      <c r="B139" t="str">
        <f>HYPERLINK("https://www.dasschnelle.at/mwalser-vollwärmeschutz-og-landeck-hochgallmig","Website")</f>
        <v>Website</v>
      </c>
      <c r="C139" t="str">
        <f>HYPERLINK("http://www.mwalser-wdvs.at","Website")</f>
        <v>Website</v>
      </c>
      <c r="D139" t="str">
        <f>HYPERLINK("http://www.google.com/maps/place/47.1142327,10.5948558","Location")</f>
        <v>Location</v>
      </c>
      <c r="E139" t="s">
        <v>1276</v>
      </c>
      <c r="F139" t="s">
        <v>1277</v>
      </c>
      <c r="G139" t="s">
        <v>1279</v>
      </c>
      <c r="H139" t="s">
        <v>1280</v>
      </c>
      <c r="I139" t="s">
        <v>21</v>
      </c>
      <c r="J139" t="s">
        <v>22</v>
      </c>
      <c r="K139" t="s">
        <v>1278</v>
      </c>
      <c r="L139" t="s">
        <v>1283</v>
      </c>
      <c r="M139" t="s">
        <v>25</v>
      </c>
      <c r="N139" t="s">
        <v>1284</v>
      </c>
      <c r="O139" t="s">
        <v>25</v>
      </c>
      <c r="P139" t="s">
        <v>1285</v>
      </c>
      <c r="Q139" t="s">
        <v>29</v>
      </c>
      <c r="R139" t="s">
        <v>1281</v>
      </c>
      <c r="S139" t="s">
        <v>1282</v>
      </c>
    </row>
    <row r="140" spans="1:19" x14ac:dyDescent="0.25">
      <c r="A140" s="1">
        <v>138</v>
      </c>
      <c r="B140" t="str">
        <f>HYPERLINK("https://www.dasschnelle.at/steiner-heinrich-braunau-salzburger-vorstadt","Website")</f>
        <v>Website</v>
      </c>
      <c r="C140" t="str">
        <f>HYPERLINK("http://www.h-steiner.com","Website")</f>
        <v>Website</v>
      </c>
      <c r="D140" t="str">
        <f>HYPERLINK("http://www.google.com/maps/place/48.2562887,13.0355317","Location")</f>
        <v>Location</v>
      </c>
      <c r="E140" t="s">
        <v>1286</v>
      </c>
      <c r="F140" t="s">
        <v>1287</v>
      </c>
      <c r="G140" t="s">
        <v>1289</v>
      </c>
      <c r="H140" t="s">
        <v>1290</v>
      </c>
      <c r="I140" t="s">
        <v>85</v>
      </c>
      <c r="J140" t="s">
        <v>22</v>
      </c>
      <c r="K140" t="s">
        <v>1288</v>
      </c>
      <c r="L140" t="s">
        <v>1293</v>
      </c>
      <c r="M140" t="s">
        <v>25</v>
      </c>
      <c r="N140" t="s">
        <v>1294</v>
      </c>
      <c r="O140" t="s">
        <v>25</v>
      </c>
      <c r="P140" t="s">
        <v>1295</v>
      </c>
      <c r="Q140" t="s">
        <v>29</v>
      </c>
      <c r="R140" t="s">
        <v>1291</v>
      </c>
      <c r="S140" t="s">
        <v>1292</v>
      </c>
    </row>
    <row r="141" spans="1:19" x14ac:dyDescent="0.25">
      <c r="A141" s="1">
        <v>139</v>
      </c>
      <c r="B141" t="str">
        <f>HYPERLINK("https://www.dasschnelle.at/schlögl-und-auer-gesmbh-himmellindach-industriezeile","Website")</f>
        <v>Website</v>
      </c>
      <c r="C141" t="str">
        <f>HYPERLINK("http://www.schloegl-auer.at","Website")</f>
        <v>Website</v>
      </c>
      <c r="D141" t="str">
        <f>HYPERLINK("http://www.google.com/maps/place/48.2469100,13.0633300","Location")</f>
        <v>Location</v>
      </c>
      <c r="E141" t="s">
        <v>1296</v>
      </c>
      <c r="F141" t="s">
        <v>1297</v>
      </c>
      <c r="G141" t="s">
        <v>1289</v>
      </c>
      <c r="H141" t="s">
        <v>1299</v>
      </c>
      <c r="I141" t="s">
        <v>85</v>
      </c>
      <c r="J141" t="s">
        <v>22</v>
      </c>
      <c r="K141" t="s">
        <v>1298</v>
      </c>
      <c r="L141" t="s">
        <v>1302</v>
      </c>
      <c r="M141" t="s">
        <v>1303</v>
      </c>
      <c r="N141" t="s">
        <v>1304</v>
      </c>
      <c r="O141" t="s">
        <v>1305</v>
      </c>
      <c r="P141" t="s">
        <v>1306</v>
      </c>
      <c r="Q141" t="s">
        <v>29</v>
      </c>
      <c r="R141" t="s">
        <v>1300</v>
      </c>
      <c r="S141" t="s">
        <v>1301</v>
      </c>
    </row>
    <row r="142" spans="1:19" x14ac:dyDescent="0.25">
      <c r="A142" s="1">
        <v>140</v>
      </c>
      <c r="B142" t="str">
        <f>HYPERLINK("https://www.dasschnelle.at/schenett-kurt-braunau-am-inn-himmellindach","Website")</f>
        <v>Website</v>
      </c>
      <c r="C142" t="str">
        <f>HYPERLINK("http://www.maler-schenett.at","Website")</f>
        <v>Website</v>
      </c>
      <c r="D142" t="str">
        <f>HYPERLINK("http://www.google.com/maps/place/48.2336014,13.0582128","Location")</f>
        <v>Location</v>
      </c>
      <c r="E142" t="s">
        <v>1307</v>
      </c>
      <c r="F142" t="s">
        <v>1308</v>
      </c>
      <c r="G142" t="s">
        <v>1289</v>
      </c>
      <c r="H142" t="s">
        <v>1310</v>
      </c>
      <c r="I142" t="s">
        <v>85</v>
      </c>
      <c r="J142" t="s">
        <v>22</v>
      </c>
      <c r="K142" t="s">
        <v>1309</v>
      </c>
      <c r="L142" t="s">
        <v>1313</v>
      </c>
      <c r="M142" t="s">
        <v>25</v>
      </c>
      <c r="N142" t="s">
        <v>1314</v>
      </c>
      <c r="O142" t="s">
        <v>25</v>
      </c>
      <c r="P142" t="s">
        <v>697</v>
      </c>
      <c r="Q142" t="s">
        <v>29</v>
      </c>
      <c r="R142" t="s">
        <v>1311</v>
      </c>
      <c r="S142" t="s">
        <v>1312</v>
      </c>
    </row>
    <row r="143" spans="1:19" x14ac:dyDescent="0.25">
      <c r="A143" s="1">
        <v>141</v>
      </c>
      <c r="B143" t="str">
        <f>HYPERLINK("https://www.dasschnelle.at/weinbrenner-dietmar-schalchen-hauptstraße","Website")</f>
        <v>Website</v>
      </c>
      <c r="C143" t="str">
        <f>HYPERLINK("http://www.gasthausbraeu.at","Website")</f>
        <v>Website</v>
      </c>
      <c r="D143" t="str">
        <f>HYPERLINK("http://www.google.com/maps/place/48.12088,13.16061","Location")</f>
        <v>Location</v>
      </c>
      <c r="E143" t="s">
        <v>1315</v>
      </c>
      <c r="F143" t="s">
        <v>1316</v>
      </c>
      <c r="G143" t="s">
        <v>1318</v>
      </c>
      <c r="H143" t="s">
        <v>1319</v>
      </c>
      <c r="I143" t="s">
        <v>85</v>
      </c>
      <c r="J143" t="s">
        <v>22</v>
      </c>
      <c r="K143" t="s">
        <v>1317</v>
      </c>
      <c r="L143" t="s">
        <v>1322</v>
      </c>
      <c r="M143" t="s">
        <v>25</v>
      </c>
      <c r="N143" t="s">
        <v>1323</v>
      </c>
      <c r="O143" t="s">
        <v>25</v>
      </c>
      <c r="P143" t="s">
        <v>1324</v>
      </c>
      <c r="Q143" t="s">
        <v>29</v>
      </c>
      <c r="R143" t="s">
        <v>1320</v>
      </c>
      <c r="S143" t="s">
        <v>1321</v>
      </c>
    </row>
    <row r="144" spans="1:19" x14ac:dyDescent="0.25">
      <c r="A144" s="1">
        <v>142</v>
      </c>
      <c r="B144" t="str">
        <f>HYPERLINK("https://www.dasschnelle.at/seidl-margit-uttendorf-uttendorf","Website")</f>
        <v>Website</v>
      </c>
      <c r="C144" t="str">
        <f>HYPERLINK("http://www.gehvital.at","Website")</f>
        <v>Website</v>
      </c>
      <c r="D144" t="str">
        <f>HYPERLINK("http://www.google.com/maps/place/48.1552259,13.1180723","Location")</f>
        <v>Location</v>
      </c>
      <c r="E144" t="s">
        <v>1325</v>
      </c>
      <c r="F144" t="s">
        <v>1326</v>
      </c>
      <c r="G144" t="s">
        <v>1328</v>
      </c>
      <c r="H144" t="s">
        <v>1329</v>
      </c>
      <c r="I144" t="s">
        <v>85</v>
      </c>
      <c r="J144" t="s">
        <v>22</v>
      </c>
      <c r="K144" t="s">
        <v>1327</v>
      </c>
      <c r="L144" t="s">
        <v>1332</v>
      </c>
      <c r="M144" t="s">
        <v>25</v>
      </c>
      <c r="N144" t="s">
        <v>1333</v>
      </c>
      <c r="O144" t="s">
        <v>25</v>
      </c>
      <c r="P144" t="s">
        <v>1334</v>
      </c>
      <c r="Q144" t="s">
        <v>29</v>
      </c>
      <c r="R144" t="s">
        <v>1330</v>
      </c>
      <c r="S144" t="s">
        <v>1331</v>
      </c>
    </row>
    <row r="145" spans="1:19" x14ac:dyDescent="0.25">
      <c r="A145" s="1">
        <v>143</v>
      </c>
      <c r="B145" t="str">
        <f>HYPERLINK("https://www.dasschnelle.at/zagler-alois-braunau-am-inn-salzburger-vorstadt","Website")</f>
        <v>Website</v>
      </c>
      <c r="C145" t="str">
        <f>HYPERLINK("https://www.dasschnelle.at/zagler-alois-braunau-am-inn-salzburger-vorstadt","Website")</f>
        <v>Website</v>
      </c>
      <c r="D145" t="str">
        <f>HYPERLINK("http://www.google.com/maps/place/48.2561289,13.0358207","Location")</f>
        <v>Location</v>
      </c>
      <c r="E145" t="s">
        <v>1335</v>
      </c>
      <c r="F145" t="s">
        <v>1336</v>
      </c>
      <c r="G145" t="s">
        <v>1289</v>
      </c>
      <c r="H145" t="s">
        <v>1310</v>
      </c>
      <c r="I145" t="s">
        <v>85</v>
      </c>
      <c r="J145" t="s">
        <v>22</v>
      </c>
      <c r="K145" t="s">
        <v>1337</v>
      </c>
      <c r="L145" t="s">
        <v>1340</v>
      </c>
      <c r="M145" t="s">
        <v>25</v>
      </c>
      <c r="N145" t="s">
        <v>25</v>
      </c>
      <c r="O145" t="s">
        <v>25</v>
      </c>
      <c r="P145" t="s">
        <v>1341</v>
      </c>
      <c r="Q145" t="s">
        <v>29</v>
      </c>
      <c r="R145" t="s">
        <v>1338</v>
      </c>
      <c r="S145" t="s">
        <v>1339</v>
      </c>
    </row>
    <row r="146" spans="1:19" x14ac:dyDescent="0.25">
      <c r="A146" s="1">
        <v>144</v>
      </c>
      <c r="B146" t="str">
        <f>HYPERLINK("https://www.dasschnelle.at/elektro-luger-gmbh-braunau-salzburger-straße","Website")</f>
        <v>Website</v>
      </c>
      <c r="C146" t="str">
        <f>HYPERLINK("http://www.elektro-luger-gmbh.at","Website")</f>
        <v>Website</v>
      </c>
      <c r="D146" t="str">
        <f>HYPERLINK("http://www.google.com/maps/place/48.2508063,13.0363616","Location")</f>
        <v>Location</v>
      </c>
      <c r="E146" t="s">
        <v>1342</v>
      </c>
      <c r="F146" t="s">
        <v>1343</v>
      </c>
      <c r="G146" t="s">
        <v>1289</v>
      </c>
      <c r="H146" t="s">
        <v>1290</v>
      </c>
      <c r="I146" t="s">
        <v>85</v>
      </c>
      <c r="J146" t="s">
        <v>22</v>
      </c>
      <c r="K146" t="s">
        <v>1344</v>
      </c>
      <c r="L146" t="s">
        <v>1347</v>
      </c>
      <c r="M146" t="s">
        <v>25</v>
      </c>
      <c r="N146" t="s">
        <v>1348</v>
      </c>
      <c r="O146" t="s">
        <v>1349</v>
      </c>
      <c r="P146" t="s">
        <v>1350</v>
      </c>
      <c r="Q146" t="s">
        <v>29</v>
      </c>
      <c r="R146" t="s">
        <v>1345</v>
      </c>
      <c r="S146" t="s">
        <v>1346</v>
      </c>
    </row>
    <row r="147" spans="1:19" x14ac:dyDescent="0.25">
      <c r="A147" s="1">
        <v>145</v>
      </c>
      <c r="B147" t="str">
        <f>HYPERLINK("https://www.dasschnelle.at/preiss-gerhard-altheim-stadtplatz","Website")</f>
        <v>Website</v>
      </c>
      <c r="C147" t="str">
        <f>HYPERLINK("https://glaserei-preiss.stadtausstellung.at/","Website")</f>
        <v>Website</v>
      </c>
      <c r="D147" t="str">
        <f>HYPERLINK("http://www.google.com/maps/place/48.2496,13.23161","Location")</f>
        <v>Location</v>
      </c>
      <c r="E147" t="s">
        <v>1351</v>
      </c>
      <c r="F147" t="s">
        <v>1352</v>
      </c>
      <c r="G147" t="s">
        <v>1354</v>
      </c>
      <c r="H147" t="s">
        <v>1355</v>
      </c>
      <c r="I147" t="s">
        <v>85</v>
      </c>
      <c r="J147" t="s">
        <v>22</v>
      </c>
      <c r="K147" t="s">
        <v>1353</v>
      </c>
      <c r="L147" t="s">
        <v>1358</v>
      </c>
      <c r="M147" t="s">
        <v>25</v>
      </c>
      <c r="N147" t="s">
        <v>1359</v>
      </c>
      <c r="O147" t="s">
        <v>1360</v>
      </c>
      <c r="P147" t="s">
        <v>1361</v>
      </c>
      <c r="Q147" t="s">
        <v>29</v>
      </c>
      <c r="R147" t="s">
        <v>1356</v>
      </c>
      <c r="S147" t="s">
        <v>1357</v>
      </c>
    </row>
    <row r="148" spans="1:19" x14ac:dyDescent="0.25">
      <c r="A148" s="1">
        <v>146</v>
      </c>
      <c r="B148" t="str">
        <f>HYPERLINK("https://www.dasschnelle.at/hintermayr-gmbh-mattighofen-rosengasse","Website")</f>
        <v>Website</v>
      </c>
      <c r="C148" t="str">
        <f>HYPERLINK("http://www.hintermayr.at","Website")</f>
        <v>Website</v>
      </c>
      <c r="D148" t="str">
        <f>HYPERLINK("http://www.google.com/maps/place/48.10194,13.14896","Location")</f>
        <v>Location</v>
      </c>
      <c r="E148" t="s">
        <v>1362</v>
      </c>
      <c r="F148" t="s">
        <v>1363</v>
      </c>
      <c r="G148" t="s">
        <v>1365</v>
      </c>
      <c r="H148" t="s">
        <v>1366</v>
      </c>
      <c r="I148" t="s">
        <v>85</v>
      </c>
      <c r="J148" t="s">
        <v>22</v>
      </c>
      <c r="K148" t="s">
        <v>1364</v>
      </c>
      <c r="L148" t="s">
        <v>1369</v>
      </c>
      <c r="M148" t="s">
        <v>25</v>
      </c>
      <c r="N148" t="s">
        <v>1370</v>
      </c>
      <c r="O148" t="s">
        <v>1371</v>
      </c>
      <c r="P148" t="s">
        <v>697</v>
      </c>
      <c r="Q148" t="s">
        <v>29</v>
      </c>
      <c r="R148" t="s">
        <v>1367</v>
      </c>
      <c r="S148" t="s">
        <v>1368</v>
      </c>
    </row>
    <row r="149" spans="1:19" x14ac:dyDescent="0.25">
      <c r="A149" s="1">
        <v>147</v>
      </c>
      <c r="B149" t="str">
        <f>HYPERLINK("https://www.dasschnelle.at/ginzinger-birgit-weng-im-innkreis-elling","Website")</f>
        <v>Website</v>
      </c>
      <c r="C149" t="str">
        <f>HYPERLINK("http://www.ginzinger-weng.at","Website")</f>
        <v>Website</v>
      </c>
      <c r="D149" t="str">
        <f>HYPERLINK("http://www.google.com/maps/place/48.2527579,13.1624952","Location")</f>
        <v>Location</v>
      </c>
      <c r="E149" t="s">
        <v>1372</v>
      </c>
      <c r="F149" t="s">
        <v>1373</v>
      </c>
      <c r="G149" t="s">
        <v>1375</v>
      </c>
      <c r="H149" t="s">
        <v>1376</v>
      </c>
      <c r="I149" t="s">
        <v>85</v>
      </c>
      <c r="J149" t="s">
        <v>22</v>
      </c>
      <c r="K149" t="s">
        <v>1374</v>
      </c>
      <c r="L149" t="s">
        <v>1379</v>
      </c>
      <c r="M149" t="s">
        <v>25</v>
      </c>
      <c r="N149" t="s">
        <v>1380</v>
      </c>
      <c r="O149" t="s">
        <v>25</v>
      </c>
      <c r="P149" t="s">
        <v>1381</v>
      </c>
      <c r="Q149" t="s">
        <v>29</v>
      </c>
      <c r="R149" t="s">
        <v>1377</v>
      </c>
      <c r="S149" t="s">
        <v>1378</v>
      </c>
    </row>
    <row r="150" spans="1:19" x14ac:dyDescent="0.25">
      <c r="A150" s="1">
        <v>148</v>
      </c>
      <c r="B150" t="str">
        <f>HYPERLINK("https://www.dasschnelle.at/eder-heizung-sanitär-gmbh-eggelsberg-gundertshausen","Website")</f>
        <v>Website</v>
      </c>
      <c r="C150" t="str">
        <f>HYPERLINK("http://www.eder-heizung.com","Website")</f>
        <v>Website</v>
      </c>
      <c r="D150" t="str">
        <f>HYPERLINK("http://www.google.com/maps/place/48.0876729,12.9969420","Location")</f>
        <v>Location</v>
      </c>
      <c r="E150" t="s">
        <v>1382</v>
      </c>
      <c r="F150" t="s">
        <v>1383</v>
      </c>
      <c r="G150" t="s">
        <v>1385</v>
      </c>
      <c r="H150" t="s">
        <v>1386</v>
      </c>
      <c r="I150" t="s">
        <v>85</v>
      </c>
      <c r="J150" t="s">
        <v>22</v>
      </c>
      <c r="K150" t="s">
        <v>1384</v>
      </c>
      <c r="L150" t="s">
        <v>1389</v>
      </c>
      <c r="M150" t="s">
        <v>25</v>
      </c>
      <c r="N150" t="s">
        <v>1390</v>
      </c>
      <c r="O150" t="s">
        <v>25</v>
      </c>
      <c r="P150" t="s">
        <v>1391</v>
      </c>
      <c r="Q150" t="s">
        <v>29</v>
      </c>
      <c r="R150" t="s">
        <v>1387</v>
      </c>
      <c r="S150" t="s">
        <v>1388</v>
      </c>
    </row>
    <row r="151" spans="1:19" x14ac:dyDescent="0.25">
      <c r="A151" s="1">
        <v>149</v>
      </c>
      <c r="B151" t="str">
        <f>HYPERLINK("https://www.dasschnelle.at/landfahrschule-aspach-marktplatz","Website")</f>
        <v>Website</v>
      </c>
      <c r="C151" t="str">
        <f>HYPERLINK("http://www.landfahrschule.at","Website")</f>
        <v>Website</v>
      </c>
      <c r="D151" t="str">
        <f>HYPERLINK("http://www.google.com/maps/place/48.20809,13.4864","Location")</f>
        <v>Location</v>
      </c>
      <c r="E151" t="s">
        <v>1392</v>
      </c>
      <c r="F151" t="s">
        <v>1393</v>
      </c>
      <c r="G151" t="s">
        <v>1395</v>
      </c>
      <c r="H151" t="s">
        <v>1396</v>
      </c>
      <c r="I151" t="s">
        <v>85</v>
      </c>
      <c r="J151" t="s">
        <v>22</v>
      </c>
      <c r="K151" t="s">
        <v>1394</v>
      </c>
      <c r="L151" t="s">
        <v>1399</v>
      </c>
      <c r="M151" t="s">
        <v>25</v>
      </c>
      <c r="N151" t="s">
        <v>1400</v>
      </c>
      <c r="O151" t="s">
        <v>25</v>
      </c>
      <c r="P151" t="s">
        <v>1401</v>
      </c>
      <c r="Q151" t="s">
        <v>29</v>
      </c>
      <c r="R151" t="s">
        <v>1397</v>
      </c>
      <c r="S151" t="s">
        <v>1398</v>
      </c>
    </row>
    <row r="152" spans="1:19" x14ac:dyDescent="0.25">
      <c r="A152" s="1">
        <v>150</v>
      </c>
      <c r="B152" t="str">
        <f>HYPERLINK("https://www.dasschnelle.at/bodingbauer-gerald-dr-braunau-am-inn-palmplatz","Website")</f>
        <v>Website</v>
      </c>
      <c r="C152" t="str">
        <f>HYPERLINK("https://www.dasschnelle.at/bodingbauer-gerald-dr-braunau-am-inn-palmplatz","Website")</f>
        <v>Website</v>
      </c>
      <c r="D152" t="str">
        <f>HYPERLINK("http://www.google.com/maps/place/48.2576703,13.0363336","Location")</f>
        <v>Location</v>
      </c>
      <c r="E152" t="s">
        <v>1402</v>
      </c>
      <c r="F152" t="s">
        <v>1403</v>
      </c>
      <c r="G152" t="s">
        <v>1289</v>
      </c>
      <c r="H152" t="s">
        <v>1310</v>
      </c>
      <c r="I152" t="s">
        <v>85</v>
      </c>
      <c r="J152" t="s">
        <v>22</v>
      </c>
      <c r="K152" t="s">
        <v>1404</v>
      </c>
      <c r="L152" t="s">
        <v>1407</v>
      </c>
      <c r="M152" t="s">
        <v>25</v>
      </c>
      <c r="N152" t="s">
        <v>25</v>
      </c>
      <c r="O152" t="s">
        <v>25</v>
      </c>
      <c r="P152" t="s">
        <v>1408</v>
      </c>
      <c r="Q152" t="s">
        <v>29</v>
      </c>
      <c r="R152" t="s">
        <v>1405</v>
      </c>
      <c r="S152" t="s">
        <v>1406</v>
      </c>
    </row>
    <row r="153" spans="1:19" x14ac:dyDescent="0.25">
      <c r="A153" s="1">
        <v>151</v>
      </c>
      <c r="B153" t="str">
        <f>HYPERLINK("https://www.dasschnelle.at/winklhofer-installationen-schöngumprechting-schöngumprechting","Website")</f>
        <v>Website</v>
      </c>
      <c r="C153" t="str">
        <f>HYPERLINK("http://www.winklhofer-installationen.at","Website")</f>
        <v>Website</v>
      </c>
      <c r="D153" t="str">
        <f>HYPERLINK("http://www.google.com/maps/place/48.0336700,13.0623500","Location")</f>
        <v>Location</v>
      </c>
      <c r="E153" t="s">
        <v>1409</v>
      </c>
      <c r="F153" t="s">
        <v>1410</v>
      </c>
      <c r="G153" t="s">
        <v>1412</v>
      </c>
      <c r="H153" t="s">
        <v>1413</v>
      </c>
      <c r="I153" t="s">
        <v>85</v>
      </c>
      <c r="J153" t="s">
        <v>22</v>
      </c>
      <c r="K153" t="s">
        <v>1411</v>
      </c>
      <c r="L153" t="s">
        <v>1416</v>
      </c>
      <c r="M153" t="s">
        <v>25</v>
      </c>
      <c r="N153" t="s">
        <v>1417</v>
      </c>
      <c r="O153" t="s">
        <v>25</v>
      </c>
      <c r="P153" t="s">
        <v>1418</v>
      </c>
      <c r="Q153" t="s">
        <v>29</v>
      </c>
      <c r="R153" t="s">
        <v>1414</v>
      </c>
      <c r="S153" t="s">
        <v>1415</v>
      </c>
    </row>
    <row r="154" spans="1:19" x14ac:dyDescent="0.25">
      <c r="A154" s="1">
        <v>152</v>
      </c>
      <c r="B154" t="str">
        <f>HYPERLINK("https://www.dasschnelle.at/lindlbauer-thomas-gmbh-mauerkirchen-bernhoferstraße","Website")</f>
        <v>Website</v>
      </c>
      <c r="C154" t="str">
        <f>HYPERLINK("http://www.lindlbauer-trasporte.at","Website")</f>
        <v>Website</v>
      </c>
      <c r="D154" t="str">
        <f>HYPERLINK("http://www.google.com/maps/place/48.19269,13.13137","Location")</f>
        <v>Location</v>
      </c>
      <c r="E154" t="s">
        <v>1419</v>
      </c>
      <c r="F154" t="s">
        <v>1420</v>
      </c>
      <c r="G154" t="s">
        <v>1422</v>
      </c>
      <c r="H154" t="s">
        <v>1423</v>
      </c>
      <c r="I154" t="s">
        <v>85</v>
      </c>
      <c r="J154" t="s">
        <v>22</v>
      </c>
      <c r="K154" t="s">
        <v>1421</v>
      </c>
      <c r="L154" t="s">
        <v>1426</v>
      </c>
      <c r="M154" t="s">
        <v>25</v>
      </c>
      <c r="N154" t="s">
        <v>1427</v>
      </c>
      <c r="O154" t="s">
        <v>1428</v>
      </c>
      <c r="P154" t="s">
        <v>1429</v>
      </c>
      <c r="Q154" t="s">
        <v>29</v>
      </c>
      <c r="R154" t="s">
        <v>1424</v>
      </c>
      <c r="S154" t="s">
        <v>1425</v>
      </c>
    </row>
    <row r="155" spans="1:19" x14ac:dyDescent="0.25">
      <c r="A155" s="1">
        <v>153</v>
      </c>
      <c r="B155" t="str">
        <f>HYPERLINK("https://www.dasschnelle.at/bestattungshaus-werner-schröppel-e-u-braunau-salzburger-straße","Website")</f>
        <v>Website</v>
      </c>
      <c r="C155" t="str">
        <f>HYPERLINK("http://www.bestattungshaus-braunau.at","Website")</f>
        <v>Website</v>
      </c>
      <c r="D155" t="str">
        <f>HYPERLINK("http://www.google.com/maps/place/48.2508063,13.0363616","Location")</f>
        <v>Location</v>
      </c>
      <c r="E155" t="s">
        <v>1430</v>
      </c>
      <c r="F155" t="s">
        <v>1431</v>
      </c>
      <c r="G155" t="s">
        <v>1289</v>
      </c>
      <c r="H155" t="s">
        <v>1290</v>
      </c>
      <c r="I155" t="s">
        <v>85</v>
      </c>
      <c r="J155" t="s">
        <v>22</v>
      </c>
      <c r="K155" t="s">
        <v>1344</v>
      </c>
      <c r="L155" t="s">
        <v>1432</v>
      </c>
      <c r="M155" t="s">
        <v>25</v>
      </c>
      <c r="N155" t="s">
        <v>1433</v>
      </c>
      <c r="O155" t="s">
        <v>1434</v>
      </c>
      <c r="P155" t="s">
        <v>1435</v>
      </c>
      <c r="Q155" t="s">
        <v>29</v>
      </c>
      <c r="R155" t="s">
        <v>1345</v>
      </c>
      <c r="S155" t="s">
        <v>1346</v>
      </c>
    </row>
    <row r="156" spans="1:19" x14ac:dyDescent="0.25">
      <c r="A156" s="1">
        <v>154</v>
      </c>
      <c r="B156" t="str">
        <f>HYPERLINK("https://www.dasschnelle.at/estermann-und-partner-keg-mattighofen-stadtplatz","Website")</f>
        <v>Website</v>
      </c>
      <c r="C156" t="str">
        <f>HYPERLINK("http://www.estermann-partner.at","Website")</f>
        <v>Website</v>
      </c>
      <c r="D156" t="str">
        <f>HYPERLINK("http://www.google.com/maps/place/48.10527,13.1493","Location")</f>
        <v>Location</v>
      </c>
      <c r="E156" t="s">
        <v>1436</v>
      </c>
      <c r="F156" t="s">
        <v>1437</v>
      </c>
      <c r="G156" t="s">
        <v>1365</v>
      </c>
      <c r="H156" t="s">
        <v>1366</v>
      </c>
      <c r="I156" t="s">
        <v>85</v>
      </c>
      <c r="J156" t="s">
        <v>22</v>
      </c>
      <c r="K156" t="s">
        <v>1438</v>
      </c>
      <c r="L156" t="s">
        <v>1441</v>
      </c>
      <c r="M156" t="s">
        <v>25</v>
      </c>
      <c r="N156" t="s">
        <v>1442</v>
      </c>
      <c r="O156" t="s">
        <v>1443</v>
      </c>
      <c r="P156" t="s">
        <v>1444</v>
      </c>
      <c r="Q156" t="s">
        <v>29</v>
      </c>
      <c r="R156" t="s">
        <v>1439</v>
      </c>
      <c r="S156" t="s">
        <v>1440</v>
      </c>
    </row>
    <row r="157" spans="1:19" x14ac:dyDescent="0.25">
      <c r="A157" s="1">
        <v>155</v>
      </c>
      <c r="B157" t="str">
        <f>HYPERLINK("https://www.dasschnelle.at/huber-kurt-weng-i-innkreis-bauerding","Website")</f>
        <v>Website</v>
      </c>
      <c r="C157" t="str">
        <f>HYPERLINK("http://www.einrichtungspartner-huber.at","Website")</f>
        <v>Website</v>
      </c>
      <c r="D157" t="str">
        <f>HYPERLINK("http://www.google.com/maps/place/48.2450245,13.1827264","Location")</f>
        <v>Location</v>
      </c>
      <c r="E157" t="s">
        <v>1445</v>
      </c>
      <c r="F157" t="s">
        <v>1446</v>
      </c>
      <c r="G157" t="s">
        <v>1375</v>
      </c>
      <c r="H157" t="s">
        <v>1448</v>
      </c>
      <c r="I157" t="s">
        <v>85</v>
      </c>
      <c r="J157" t="s">
        <v>22</v>
      </c>
      <c r="K157" t="s">
        <v>1447</v>
      </c>
      <c r="L157" t="s">
        <v>1451</v>
      </c>
      <c r="M157" t="s">
        <v>25</v>
      </c>
      <c r="N157" t="s">
        <v>1452</v>
      </c>
      <c r="O157" t="s">
        <v>1453</v>
      </c>
      <c r="P157" t="s">
        <v>1454</v>
      </c>
      <c r="Q157" t="s">
        <v>29</v>
      </c>
      <c r="R157" t="s">
        <v>1449</v>
      </c>
      <c r="S157" t="s">
        <v>1450</v>
      </c>
    </row>
    <row r="158" spans="1:19" x14ac:dyDescent="0.25">
      <c r="A158" s="1">
        <v>156</v>
      </c>
      <c r="B158" t="str">
        <f>HYPERLINK("https://www.dasschnelle.at/grießner-wolfgang-dr-braunau-am-inn-poststallgasse","Website")</f>
        <v>Website</v>
      </c>
      <c r="C158" t="str">
        <f>HYPERLINK("http://www.augenarzt-griessner.at","Website")</f>
        <v>Website</v>
      </c>
      <c r="D158" t="str">
        <f>HYPERLINK("http://www.google.com/maps/place/48.2587883,13.0337857","Location")</f>
        <v>Location</v>
      </c>
      <c r="E158" t="s">
        <v>1455</v>
      </c>
      <c r="F158" t="s">
        <v>1456</v>
      </c>
      <c r="G158" t="s">
        <v>1289</v>
      </c>
      <c r="H158" t="s">
        <v>1310</v>
      </c>
      <c r="I158" t="s">
        <v>85</v>
      </c>
      <c r="J158" t="s">
        <v>22</v>
      </c>
      <c r="K158" t="s">
        <v>1457</v>
      </c>
      <c r="L158" t="s">
        <v>1460</v>
      </c>
      <c r="M158" t="s">
        <v>1461</v>
      </c>
      <c r="N158" t="s">
        <v>25</v>
      </c>
      <c r="O158" t="s">
        <v>25</v>
      </c>
      <c r="P158" t="s">
        <v>1462</v>
      </c>
      <c r="Q158" t="s">
        <v>29</v>
      </c>
      <c r="R158" t="s">
        <v>1458</v>
      </c>
      <c r="S158" t="s">
        <v>1459</v>
      </c>
    </row>
    <row r="159" spans="1:19" x14ac:dyDescent="0.25">
      <c r="A159" s="1">
        <v>157</v>
      </c>
      <c r="B159" t="str">
        <f>HYPERLINK("https://www.dasschnelle.at/blumenwerkstatt-creativ-e-u-braunau-am-inn-salzburger-vorstadt","Website")</f>
        <v>Website</v>
      </c>
      <c r="C159" t="str">
        <f>HYPERLINK("http://www.blumenwerkstatt-creativ.at","Website")</f>
        <v>Website</v>
      </c>
      <c r="D159" t="str">
        <f>HYPERLINK("http://www.google.com/maps/place/48.2560883,13.0361622","Location")</f>
        <v>Location</v>
      </c>
      <c r="E159" t="s">
        <v>1463</v>
      </c>
      <c r="F159" t="s">
        <v>1464</v>
      </c>
      <c r="G159" t="s">
        <v>1289</v>
      </c>
      <c r="H159" t="s">
        <v>1310</v>
      </c>
      <c r="I159" t="s">
        <v>85</v>
      </c>
      <c r="J159" t="s">
        <v>22</v>
      </c>
      <c r="K159" t="s">
        <v>1465</v>
      </c>
      <c r="L159" t="s">
        <v>1468</v>
      </c>
      <c r="M159" t="s">
        <v>25</v>
      </c>
      <c r="N159" t="s">
        <v>1469</v>
      </c>
      <c r="O159" t="s">
        <v>25</v>
      </c>
      <c r="P159" t="s">
        <v>1470</v>
      </c>
      <c r="Q159" t="s">
        <v>29</v>
      </c>
      <c r="R159" t="s">
        <v>1466</v>
      </c>
      <c r="S159" t="s">
        <v>1467</v>
      </c>
    </row>
    <row r="160" spans="1:19" x14ac:dyDescent="0.25">
      <c r="A160" s="1">
        <v>158</v>
      </c>
      <c r="B160" t="str">
        <f>HYPERLINK("https://www.dasschnelle.at/dorninger-ralph-amstetten-ardaggerstraße","Website")</f>
        <v>Website</v>
      </c>
      <c r="C160" t="str">
        <f>HYPERLINK("http://www.uhren-dorninger.at","Website")</f>
        <v>Website</v>
      </c>
      <c r="D160" t="str">
        <f>HYPERLINK("http://www.google.com/maps/place/48.13094,14.86723","Location")</f>
        <v>Location</v>
      </c>
      <c r="E160" t="s">
        <v>1471</v>
      </c>
      <c r="F160" t="s">
        <v>1472</v>
      </c>
      <c r="G160" t="s">
        <v>1474</v>
      </c>
      <c r="H160" t="s">
        <v>1475</v>
      </c>
      <c r="I160" t="s">
        <v>177</v>
      </c>
      <c r="J160" t="s">
        <v>22</v>
      </c>
      <c r="K160" t="s">
        <v>1473</v>
      </c>
      <c r="L160" t="s">
        <v>1478</v>
      </c>
      <c r="M160" t="s">
        <v>25</v>
      </c>
      <c r="N160" t="s">
        <v>1479</v>
      </c>
      <c r="O160" t="s">
        <v>25</v>
      </c>
      <c r="P160" t="s">
        <v>1480</v>
      </c>
      <c r="Q160" t="s">
        <v>29</v>
      </c>
      <c r="R160" t="s">
        <v>1476</v>
      </c>
      <c r="S160" t="s">
        <v>1477</v>
      </c>
    </row>
    <row r="161" spans="1:19" x14ac:dyDescent="0.25">
      <c r="A161" s="1">
        <v>159</v>
      </c>
      <c r="B161" t="str">
        <f>HYPERLINK("https://www.dasschnelle.at/engertsberger-dieter-st-valentin-schubertviertel","Website")</f>
        <v>Website</v>
      </c>
      <c r="C161" t="str">
        <f>HYPERLINK("http://www.engertsberger-massage.at","Website")</f>
        <v>Website</v>
      </c>
      <c r="D161" t="str">
        <f>HYPERLINK("http://www.google.com/maps/place/48.17418,14.5276","Location")</f>
        <v>Location</v>
      </c>
      <c r="E161" t="s">
        <v>1481</v>
      </c>
      <c r="F161" t="s">
        <v>1482</v>
      </c>
      <c r="G161" t="s">
        <v>1484</v>
      </c>
      <c r="H161" t="s">
        <v>1485</v>
      </c>
      <c r="I161" t="s">
        <v>177</v>
      </c>
      <c r="J161" t="s">
        <v>22</v>
      </c>
      <c r="K161" t="s">
        <v>1483</v>
      </c>
      <c r="L161" t="s">
        <v>1488</v>
      </c>
      <c r="M161" t="s">
        <v>25</v>
      </c>
      <c r="N161" t="s">
        <v>1489</v>
      </c>
      <c r="O161" t="s">
        <v>25</v>
      </c>
      <c r="P161" t="s">
        <v>1490</v>
      </c>
      <c r="Q161" t="s">
        <v>29</v>
      </c>
      <c r="R161" t="s">
        <v>1486</v>
      </c>
      <c r="S161" t="s">
        <v>1487</v>
      </c>
    </row>
    <row r="162" spans="1:19" x14ac:dyDescent="0.25">
      <c r="A162" s="1">
        <v>160</v>
      </c>
      <c r="B162" t="str">
        <f>HYPERLINK("https://www.dasschnelle.at/aigner-werner-euratsfeld-lindenweg","Website")</f>
        <v>Website</v>
      </c>
      <c r="C162" t="str">
        <f>HYPERLINK("https://www.dasschnelle.at/aigner-werner-euratsfeld-lindenweg","Website")</f>
        <v>Website</v>
      </c>
      <c r="D162" t="str">
        <f>HYPERLINK("http://www.google.com/maps/place/48.07819,14.93621","Location")</f>
        <v>Location</v>
      </c>
      <c r="E162" t="s">
        <v>1491</v>
      </c>
      <c r="F162" t="s">
        <v>1492</v>
      </c>
      <c r="G162" t="s">
        <v>1494</v>
      </c>
      <c r="H162" t="s">
        <v>1495</v>
      </c>
      <c r="I162" t="s">
        <v>177</v>
      </c>
      <c r="J162" t="s">
        <v>22</v>
      </c>
      <c r="K162" t="s">
        <v>1493</v>
      </c>
      <c r="L162" t="s">
        <v>1498</v>
      </c>
      <c r="M162" t="s">
        <v>25</v>
      </c>
      <c r="N162" t="s">
        <v>1499</v>
      </c>
      <c r="O162" t="s">
        <v>25</v>
      </c>
      <c r="P162" t="s">
        <v>1500</v>
      </c>
      <c r="Q162" t="s">
        <v>29</v>
      </c>
      <c r="R162" t="s">
        <v>1496</v>
      </c>
      <c r="S162" t="s">
        <v>1497</v>
      </c>
    </row>
    <row r="163" spans="1:19" x14ac:dyDescent="0.25">
      <c r="A163" s="1">
        <v>161</v>
      </c>
      <c r="B163" t="str">
        <f>HYPERLINK("https://www.dasschnelle.at/hojas-gmbh-waidhofen-weyrerstraße","Website")</f>
        <v>Website</v>
      </c>
      <c r="C163" t="str">
        <f>HYPERLINK("http://www.opel-hojas.at","Website")</f>
        <v>Website</v>
      </c>
      <c r="D163" t="str">
        <f>HYPERLINK("http://www.google.com/maps/place/47.9481238,14.7641729","Location")</f>
        <v>Location</v>
      </c>
      <c r="E163" t="s">
        <v>1501</v>
      </c>
      <c r="F163" t="s">
        <v>1502</v>
      </c>
      <c r="G163" t="s">
        <v>1504</v>
      </c>
      <c r="H163" t="s">
        <v>1505</v>
      </c>
      <c r="I163" t="s">
        <v>177</v>
      </c>
      <c r="J163" t="s">
        <v>22</v>
      </c>
      <c r="K163" t="s">
        <v>1503</v>
      </c>
      <c r="L163" t="s">
        <v>1508</v>
      </c>
      <c r="M163" t="s">
        <v>1509</v>
      </c>
      <c r="N163" t="s">
        <v>1510</v>
      </c>
      <c r="O163" t="s">
        <v>25</v>
      </c>
      <c r="P163" t="s">
        <v>1511</v>
      </c>
      <c r="Q163" t="s">
        <v>29</v>
      </c>
      <c r="R163" t="s">
        <v>1506</v>
      </c>
      <c r="S163" t="s">
        <v>1507</v>
      </c>
    </row>
    <row r="164" spans="1:19" x14ac:dyDescent="0.25">
      <c r="A164" s="1">
        <v>162</v>
      </c>
      <c r="B164" t="str">
        <f>HYPERLINK("https://www.dasschnelle.at/hehenberger-bettina-oed-pyhra","Website")</f>
        <v>Website</v>
      </c>
      <c r="C164" t="str">
        <f>HYPERLINK("https://www.dasschnelle.at/hehenberger-bettina-oed-pyhra","Website")</f>
        <v>Website</v>
      </c>
      <c r="D164" t="str">
        <f>HYPERLINK("http://www.google.com/maps/place/48.11509,14.74506","Location")</f>
        <v>Location</v>
      </c>
      <c r="E164" t="s">
        <v>1512</v>
      </c>
      <c r="F164" t="s">
        <v>1513</v>
      </c>
      <c r="G164" t="s">
        <v>1515</v>
      </c>
      <c r="H164" t="s">
        <v>1516</v>
      </c>
      <c r="I164" t="s">
        <v>177</v>
      </c>
      <c r="J164" t="s">
        <v>22</v>
      </c>
      <c r="K164" t="s">
        <v>1514</v>
      </c>
      <c r="L164" t="s">
        <v>1519</v>
      </c>
      <c r="M164" t="s">
        <v>25</v>
      </c>
      <c r="N164" t="s">
        <v>1520</v>
      </c>
      <c r="O164" t="s">
        <v>25</v>
      </c>
      <c r="P164" t="s">
        <v>1521</v>
      </c>
      <c r="Q164" t="s">
        <v>29</v>
      </c>
      <c r="R164" t="s">
        <v>1517</v>
      </c>
      <c r="S164" t="s">
        <v>1518</v>
      </c>
    </row>
    <row r="165" spans="1:19" x14ac:dyDescent="0.25">
      <c r="A165" s="1">
        <v>163</v>
      </c>
      <c r="B165" t="str">
        <f>HYPERLINK("https://www.dasschnelle.at/schweidler-ernst-dr-amstetten-wiener-straße","Website")</f>
        <v>Website</v>
      </c>
      <c r="C165" t="str">
        <f>HYPERLINK("http://www.lachenistleben.at","Website")</f>
        <v>Website</v>
      </c>
      <c r="D165" t="str">
        <f>HYPERLINK("http://www.google.com/maps/place/48.12283,14.87569","Location")</f>
        <v>Location</v>
      </c>
      <c r="E165" t="s">
        <v>1522</v>
      </c>
      <c r="F165" t="s">
        <v>1523</v>
      </c>
      <c r="G165" t="s">
        <v>1474</v>
      </c>
      <c r="H165" t="s">
        <v>1475</v>
      </c>
      <c r="I165" t="s">
        <v>177</v>
      </c>
      <c r="J165" t="s">
        <v>22</v>
      </c>
      <c r="K165" t="s">
        <v>1524</v>
      </c>
      <c r="L165" t="s">
        <v>1527</v>
      </c>
      <c r="M165" t="s">
        <v>1528</v>
      </c>
      <c r="N165" t="s">
        <v>1529</v>
      </c>
      <c r="O165" t="s">
        <v>25</v>
      </c>
      <c r="P165" t="s">
        <v>1530</v>
      </c>
      <c r="Q165" t="s">
        <v>29</v>
      </c>
      <c r="R165" t="s">
        <v>1525</v>
      </c>
      <c r="S165" t="s">
        <v>1526</v>
      </c>
    </row>
    <row r="166" spans="1:19" x14ac:dyDescent="0.25">
      <c r="A166" s="1">
        <v>164</v>
      </c>
      <c r="B166" t="str">
        <f>HYPERLINK("https://www.dasschnelle.at/wirt-am-eck-og-amstetten-hauptplatz","Website")</f>
        <v>Website</v>
      </c>
      <c r="C166" t="str">
        <f>HYPERLINK("http://www.am-eck.at","Website")</f>
        <v>Website</v>
      </c>
      <c r="D166" t="str">
        <f>HYPERLINK("http://www.google.com/maps/place/48.12322,14.87102","Location")</f>
        <v>Location</v>
      </c>
      <c r="E166" t="s">
        <v>1531</v>
      </c>
      <c r="F166" t="s">
        <v>1532</v>
      </c>
      <c r="G166" t="s">
        <v>1474</v>
      </c>
      <c r="H166" t="s">
        <v>1475</v>
      </c>
      <c r="I166" t="s">
        <v>177</v>
      </c>
      <c r="J166" t="s">
        <v>22</v>
      </c>
      <c r="K166" t="s">
        <v>1533</v>
      </c>
      <c r="L166" t="s">
        <v>1536</v>
      </c>
      <c r="M166" t="s">
        <v>25</v>
      </c>
      <c r="N166" t="s">
        <v>1537</v>
      </c>
      <c r="O166" t="s">
        <v>25</v>
      </c>
      <c r="P166" t="s">
        <v>1538</v>
      </c>
      <c r="Q166" t="s">
        <v>29</v>
      </c>
      <c r="R166" t="s">
        <v>1534</v>
      </c>
      <c r="S166" t="s">
        <v>1535</v>
      </c>
    </row>
    <row r="167" spans="1:19" x14ac:dyDescent="0.25">
      <c r="A167" s="1">
        <v>165</v>
      </c>
      <c r="B167" t="str">
        <f>HYPERLINK("https://www.dasschnelle.at/frisiersalon-marion-haag-josef-aigner-straße","Website")</f>
        <v>Website</v>
      </c>
      <c r="C167" t="str">
        <f>HYPERLINK("https://www.dasschnelle.at/frisiersalon-marion-haag-josef-aigner-stra%C3%9Fe","Website")</f>
        <v>Website</v>
      </c>
      <c r="D167" t="str">
        <f>HYPERLINK("http://www.google.com/maps/place/48.10577,14.5745","Location")</f>
        <v>Location</v>
      </c>
      <c r="E167" t="s">
        <v>1539</v>
      </c>
      <c r="F167" t="s">
        <v>1540</v>
      </c>
      <c r="G167" t="s">
        <v>1542</v>
      </c>
      <c r="H167" t="s">
        <v>620</v>
      </c>
      <c r="I167" t="s">
        <v>177</v>
      </c>
      <c r="J167" t="s">
        <v>22</v>
      </c>
      <c r="K167" t="s">
        <v>1541</v>
      </c>
      <c r="L167" t="s">
        <v>1545</v>
      </c>
      <c r="M167" t="s">
        <v>25</v>
      </c>
      <c r="N167" t="s">
        <v>1546</v>
      </c>
      <c r="O167" t="s">
        <v>25</v>
      </c>
      <c r="P167" t="s">
        <v>1547</v>
      </c>
      <c r="Q167" t="s">
        <v>29</v>
      </c>
      <c r="R167" t="s">
        <v>1543</v>
      </c>
      <c r="S167" t="s">
        <v>1544</v>
      </c>
    </row>
    <row r="168" spans="1:19" x14ac:dyDescent="0.25">
      <c r="A168" s="1">
        <v>166</v>
      </c>
      <c r="B168" t="str">
        <f>HYPERLINK("https://www.dasschnelle.at/röcklinger-rita-waidhofen-hoher-markt","Website")</f>
        <v>Website</v>
      </c>
      <c r="C168" t="str">
        <f>HYPERLINK("http://www.ganz-schoen.at","Website")</f>
        <v>Website</v>
      </c>
      <c r="D168" t="str">
        <f>HYPERLINK("http://www.google.com/maps/place/47.9596633,14.7741425","Location")</f>
        <v>Location</v>
      </c>
      <c r="E168" t="s">
        <v>1548</v>
      </c>
      <c r="F168" t="s">
        <v>1549</v>
      </c>
      <c r="G168" t="s">
        <v>1504</v>
      </c>
      <c r="H168" t="s">
        <v>1505</v>
      </c>
      <c r="I168" t="s">
        <v>177</v>
      </c>
      <c r="J168" t="s">
        <v>22</v>
      </c>
      <c r="K168" t="s">
        <v>1550</v>
      </c>
      <c r="L168" t="s">
        <v>1553</v>
      </c>
      <c r="M168" t="s">
        <v>25</v>
      </c>
      <c r="N168" t="s">
        <v>1554</v>
      </c>
      <c r="O168" t="s">
        <v>25</v>
      </c>
      <c r="P168" t="s">
        <v>1555</v>
      </c>
      <c r="Q168" t="s">
        <v>29</v>
      </c>
      <c r="R168" t="s">
        <v>1551</v>
      </c>
      <c r="S168" t="s">
        <v>1552</v>
      </c>
    </row>
    <row r="169" spans="1:19" x14ac:dyDescent="0.25">
      <c r="A169" s="1">
        <v>167</v>
      </c>
      <c r="B169" t="str">
        <f>HYPERLINK("https://www.dasschnelle.at/gruber-franz-stephanshart-empfing","Website")</f>
        <v>Website</v>
      </c>
      <c r="C169" t="str">
        <f>HYPERLINK("https://www.dasschnelle.at/gruber-franz-stephanshart-empfing","Website")</f>
        <v>Website</v>
      </c>
      <c r="D169" t="str">
        <f>HYPERLINK("http://www.google.com/maps/place/48.16054,14.80826","Location")</f>
        <v>Location</v>
      </c>
      <c r="E169" t="s">
        <v>1556</v>
      </c>
      <c r="F169" t="s">
        <v>1557</v>
      </c>
      <c r="G169" t="s">
        <v>1559</v>
      </c>
      <c r="H169" t="s">
        <v>1560</v>
      </c>
      <c r="I169" t="s">
        <v>177</v>
      </c>
      <c r="J169" t="s">
        <v>22</v>
      </c>
      <c r="K169" t="s">
        <v>1558</v>
      </c>
      <c r="L169" t="s">
        <v>1563</v>
      </c>
      <c r="M169" t="s">
        <v>25</v>
      </c>
      <c r="N169" t="s">
        <v>1564</v>
      </c>
      <c r="O169" t="s">
        <v>25</v>
      </c>
      <c r="P169" t="s">
        <v>1565</v>
      </c>
      <c r="Q169" t="s">
        <v>29</v>
      </c>
      <c r="R169" t="s">
        <v>1561</v>
      </c>
      <c r="S169" t="s">
        <v>1562</v>
      </c>
    </row>
    <row r="170" spans="1:19" x14ac:dyDescent="0.25">
      <c r="A170" s="1">
        <v>168</v>
      </c>
      <c r="B170" t="str">
        <f>HYPERLINK("https://www.dasschnelle.at/pruckner-christoph-euratsfeld-schmiedberg","Website")</f>
        <v>Website</v>
      </c>
      <c r="C170" t="str">
        <f>HYPERLINK("http://www.pruckner-christoph.at","Website")</f>
        <v>Website</v>
      </c>
      <c r="D170" t="str">
        <f>HYPERLINK("http://www.google.com/maps/place/48.0816,14.9312","Location")</f>
        <v>Location</v>
      </c>
      <c r="E170" t="s">
        <v>1566</v>
      </c>
      <c r="F170" t="s">
        <v>1567</v>
      </c>
      <c r="G170" t="s">
        <v>1494</v>
      </c>
      <c r="H170" t="s">
        <v>1495</v>
      </c>
      <c r="I170" t="s">
        <v>177</v>
      </c>
      <c r="J170" t="s">
        <v>22</v>
      </c>
      <c r="K170" t="s">
        <v>1568</v>
      </c>
      <c r="L170" t="s">
        <v>1571</v>
      </c>
      <c r="M170" t="s">
        <v>25</v>
      </c>
      <c r="N170" t="s">
        <v>1572</v>
      </c>
      <c r="O170" t="s">
        <v>1573</v>
      </c>
      <c r="P170" t="s">
        <v>1574</v>
      </c>
      <c r="Q170" t="s">
        <v>29</v>
      </c>
      <c r="R170" t="s">
        <v>1569</v>
      </c>
      <c r="S170" t="s">
        <v>1570</v>
      </c>
    </row>
    <row r="171" spans="1:19" x14ac:dyDescent="0.25">
      <c r="A171" s="1">
        <v>169</v>
      </c>
      <c r="B171" t="str">
        <f>HYPERLINK("https://www.dasschnelle.at/cm-metallbau-e-u-amstetten-peter-mitterhofer-straße","Website")</f>
        <v>Website</v>
      </c>
      <c r="C171" t="str">
        <f>HYPERLINK("http://www.cm-metallbau.at","Website")</f>
        <v>Website</v>
      </c>
      <c r="D171" t="str">
        <f>HYPERLINK("http://www.google.com/maps/place/48.07217,14.75229","Location")</f>
        <v>Location</v>
      </c>
      <c r="E171" t="s">
        <v>1575</v>
      </c>
      <c r="F171" t="s">
        <v>1576</v>
      </c>
      <c r="G171" t="s">
        <v>1474</v>
      </c>
      <c r="H171" t="s">
        <v>1475</v>
      </c>
      <c r="I171" t="s">
        <v>177</v>
      </c>
      <c r="J171" t="s">
        <v>22</v>
      </c>
      <c r="K171" t="s">
        <v>1577</v>
      </c>
      <c r="L171" t="s">
        <v>1580</v>
      </c>
      <c r="M171" t="s">
        <v>25</v>
      </c>
      <c r="N171" t="s">
        <v>1581</v>
      </c>
      <c r="O171" t="s">
        <v>25</v>
      </c>
      <c r="P171" t="s">
        <v>1582</v>
      </c>
      <c r="Q171" t="s">
        <v>29</v>
      </c>
      <c r="R171" t="s">
        <v>1578</v>
      </c>
      <c r="S171" t="s">
        <v>1579</v>
      </c>
    </row>
    <row r="172" spans="1:19" x14ac:dyDescent="0.25">
      <c r="A172" s="1">
        <v>170</v>
      </c>
      <c r="B172" t="str">
        <f>HYPERLINK("https://www.dasschnelle.at/schuller-installateur-und-anlagenbau-waidhofen-an-der-ybbs-ötscherblickstraße","Website")</f>
        <v>Website</v>
      </c>
      <c r="C172" t="str">
        <f>HYPERLINK("http://www.schuller-anlagenbau.at","Website")</f>
        <v>Website</v>
      </c>
      <c r="D172" t="str">
        <f>HYPERLINK("http://www.google.com/maps/place/47.9949994,14.8714513","Location")</f>
        <v>Location</v>
      </c>
      <c r="E172" t="s">
        <v>1583</v>
      </c>
      <c r="F172" t="s">
        <v>1584</v>
      </c>
      <c r="G172" t="s">
        <v>1504</v>
      </c>
      <c r="H172" t="s">
        <v>1586</v>
      </c>
      <c r="I172" t="s">
        <v>177</v>
      </c>
      <c r="J172" t="s">
        <v>22</v>
      </c>
      <c r="K172" t="s">
        <v>1585</v>
      </c>
      <c r="L172" t="s">
        <v>1589</v>
      </c>
      <c r="M172" t="s">
        <v>25</v>
      </c>
      <c r="N172" t="s">
        <v>1590</v>
      </c>
      <c r="O172" t="s">
        <v>25</v>
      </c>
      <c r="P172" t="s">
        <v>1591</v>
      </c>
      <c r="Q172" t="s">
        <v>29</v>
      </c>
      <c r="R172" t="s">
        <v>1587</v>
      </c>
      <c r="S172" t="s">
        <v>1588</v>
      </c>
    </row>
    <row r="173" spans="1:19" x14ac:dyDescent="0.25">
      <c r="A173" s="1">
        <v>171</v>
      </c>
      <c r="B173" t="str">
        <f>HYPERLINK("https://www.dasschnelle.at/injoy-amstetten-hauptplatz","Website")</f>
        <v>Website</v>
      </c>
      <c r="C173" t="str">
        <f>HYPERLINK("http://www.injoy-amstetten.at","Website")</f>
        <v>Website</v>
      </c>
      <c r="D173" t="str">
        <f>HYPERLINK("http://www.google.com/maps/place/48.12275,14.87377","Location")</f>
        <v>Location</v>
      </c>
      <c r="E173" t="s">
        <v>1592</v>
      </c>
      <c r="F173" t="s">
        <v>1593</v>
      </c>
      <c r="G173" t="s">
        <v>1474</v>
      </c>
      <c r="H173" t="s">
        <v>1475</v>
      </c>
      <c r="I173" t="s">
        <v>177</v>
      </c>
      <c r="J173" t="s">
        <v>22</v>
      </c>
      <c r="K173" t="s">
        <v>1594</v>
      </c>
      <c r="L173" t="s">
        <v>1597</v>
      </c>
      <c r="M173" t="s">
        <v>25</v>
      </c>
      <c r="N173" t="s">
        <v>1598</v>
      </c>
      <c r="O173" t="s">
        <v>25</v>
      </c>
      <c r="P173" t="s">
        <v>1599</v>
      </c>
      <c r="Q173" t="s">
        <v>29</v>
      </c>
      <c r="R173" t="s">
        <v>1595</v>
      </c>
      <c r="S173" t="s">
        <v>1596</v>
      </c>
    </row>
    <row r="174" spans="1:19" x14ac:dyDescent="0.25">
      <c r="A174" s="1">
        <v>172</v>
      </c>
      <c r="B174" t="str">
        <f>HYPERLINK("https://www.dasschnelle.at/joker-möbelhandel-kerschbaumer-ulmerfeld-freisingerstraße","Website")</f>
        <v>Website</v>
      </c>
      <c r="C174" t="str">
        <f>HYPERLINK("http://www.joker-moebel.at","Website")</f>
        <v>Website</v>
      </c>
      <c r="D174" t="str">
        <f>HYPERLINK("http://www.google.com/maps/place/48.07834,14.828","Location")</f>
        <v>Location</v>
      </c>
      <c r="E174" t="s">
        <v>1600</v>
      </c>
      <c r="F174" t="s">
        <v>1601</v>
      </c>
      <c r="G174" t="s">
        <v>1603</v>
      </c>
      <c r="H174" t="s">
        <v>1604</v>
      </c>
      <c r="I174" t="s">
        <v>177</v>
      </c>
      <c r="J174" t="s">
        <v>22</v>
      </c>
      <c r="K174" t="s">
        <v>1602</v>
      </c>
      <c r="L174" t="s">
        <v>1607</v>
      </c>
      <c r="M174" t="s">
        <v>25</v>
      </c>
      <c r="N174" t="s">
        <v>1608</v>
      </c>
      <c r="O174" t="s">
        <v>25</v>
      </c>
      <c r="P174" t="s">
        <v>1609</v>
      </c>
      <c r="Q174" t="s">
        <v>29</v>
      </c>
      <c r="R174" t="s">
        <v>1605</v>
      </c>
      <c r="S174" t="s">
        <v>1606</v>
      </c>
    </row>
    <row r="175" spans="1:19" x14ac:dyDescent="0.25">
      <c r="A175" s="1">
        <v>173</v>
      </c>
      <c r="B175" t="str">
        <f>HYPERLINK("https://www.dasschnelle.at/raab-martin-windhag-st-ägyder-straße","Website")</f>
        <v>Website</v>
      </c>
      <c r="C175" t="str">
        <f>HYPERLINK("http://www.wandersaege-raab.at","Website")</f>
        <v>Website</v>
      </c>
      <c r="D175" t="str">
        <f>HYPERLINK("http://www.google.com/maps/place/47.98523,14.86177","Location")</f>
        <v>Location</v>
      </c>
      <c r="E175" t="s">
        <v>1610</v>
      </c>
      <c r="F175" t="s">
        <v>1611</v>
      </c>
      <c r="G175" t="s">
        <v>1504</v>
      </c>
      <c r="H175" t="s">
        <v>1613</v>
      </c>
      <c r="I175" t="s">
        <v>177</v>
      </c>
      <c r="J175" t="s">
        <v>22</v>
      </c>
      <c r="K175" t="s">
        <v>1612</v>
      </c>
      <c r="L175" t="s">
        <v>1616</v>
      </c>
      <c r="M175" t="s">
        <v>25</v>
      </c>
      <c r="N175" t="s">
        <v>1617</v>
      </c>
      <c r="O175" t="s">
        <v>25</v>
      </c>
      <c r="P175" t="s">
        <v>1618</v>
      </c>
      <c r="Q175" t="s">
        <v>29</v>
      </c>
      <c r="R175" t="s">
        <v>1614</v>
      </c>
      <c r="S175" t="s">
        <v>1615</v>
      </c>
    </row>
    <row r="176" spans="1:19" x14ac:dyDescent="0.25">
      <c r="A176" s="1">
        <v>174</v>
      </c>
      <c r="B176" t="str">
        <f>HYPERLINK("https://www.dasschnelle.at/mitsubishi-auto-hit-kfz-gmbh-st-georgen-am-ybbsfelde-gewerbestraße","Website")</f>
        <v>Website</v>
      </c>
      <c r="C176" t="str">
        <f>HYPERLINK("http://www.kfz-autohit.at","Website")</f>
        <v>Website</v>
      </c>
      <c r="D176" t="str">
        <f>HYPERLINK("http://www.google.com/maps/place/48.11574,14.93735","Location")</f>
        <v>Location</v>
      </c>
      <c r="E176" t="s">
        <v>1619</v>
      </c>
      <c r="F176" t="s">
        <v>1620</v>
      </c>
      <c r="G176" t="s">
        <v>1622</v>
      </c>
      <c r="H176" t="s">
        <v>1623</v>
      </c>
      <c r="I176" t="s">
        <v>177</v>
      </c>
      <c r="J176" t="s">
        <v>22</v>
      </c>
      <c r="K176" t="s">
        <v>1621</v>
      </c>
      <c r="L176" t="s">
        <v>1626</v>
      </c>
      <c r="M176" t="s">
        <v>25</v>
      </c>
      <c r="N176" t="s">
        <v>1627</v>
      </c>
      <c r="O176" t="s">
        <v>25</v>
      </c>
      <c r="P176" t="s">
        <v>1628</v>
      </c>
      <c r="Q176" t="s">
        <v>29</v>
      </c>
      <c r="R176" t="s">
        <v>1624</v>
      </c>
      <c r="S176" t="s">
        <v>1625</v>
      </c>
    </row>
    <row r="177" spans="1:19" x14ac:dyDescent="0.25">
      <c r="A177" s="1">
        <v>175</v>
      </c>
      <c r="B177" t="str">
        <f>HYPERLINK("https://www.dasschnelle.at/manfred-grazer-amstetten-bahnhofstraße","Website")</f>
        <v>Website</v>
      </c>
      <c r="C177" t="str">
        <f>HYPERLINK("http://www.kueche-grazer.at","Website")</f>
        <v>Website</v>
      </c>
      <c r="D177" t="str">
        <f>HYPERLINK("http://www.google.com/maps/place/48.12317,14.87831","Location")</f>
        <v>Location</v>
      </c>
      <c r="E177" t="s">
        <v>1629</v>
      </c>
      <c r="F177" t="s">
        <v>1630</v>
      </c>
      <c r="G177" t="s">
        <v>1474</v>
      </c>
      <c r="H177" t="s">
        <v>1475</v>
      </c>
      <c r="I177" t="s">
        <v>177</v>
      </c>
      <c r="J177" t="s">
        <v>22</v>
      </c>
      <c r="K177" t="s">
        <v>1631</v>
      </c>
      <c r="L177" t="s">
        <v>1634</v>
      </c>
      <c r="M177" t="s">
        <v>25</v>
      </c>
      <c r="N177" t="s">
        <v>1635</v>
      </c>
      <c r="O177" t="s">
        <v>25</v>
      </c>
      <c r="P177" t="s">
        <v>1636</v>
      </c>
      <c r="Q177" t="s">
        <v>29</v>
      </c>
      <c r="R177" t="s">
        <v>1632</v>
      </c>
      <c r="S177" t="s">
        <v>1633</v>
      </c>
    </row>
    <row r="178" spans="1:19" x14ac:dyDescent="0.25">
      <c r="A178" s="1">
        <v>176</v>
      </c>
      <c r="B178" t="str">
        <f>HYPERLINK("https://www.dasschnelle.at/ötscher-berufskleidung-götzl-gmbh-amstetten-ötscherplatz","Website")</f>
        <v>Website</v>
      </c>
      <c r="C178" t="str">
        <f>HYPERLINK("http://www.oetscher.com","Website")</f>
        <v>Website</v>
      </c>
      <c r="D178" t="str">
        <f>HYPERLINK("http://www.google.com/maps/place/48.12274,14.89092","Location")</f>
        <v>Location</v>
      </c>
      <c r="E178" t="s">
        <v>1637</v>
      </c>
      <c r="F178" t="s">
        <v>1638</v>
      </c>
      <c r="G178" t="s">
        <v>1474</v>
      </c>
      <c r="H178" t="s">
        <v>1475</v>
      </c>
      <c r="I178" t="s">
        <v>177</v>
      </c>
      <c r="J178" t="s">
        <v>22</v>
      </c>
      <c r="K178" t="s">
        <v>1639</v>
      </c>
      <c r="L178" t="s">
        <v>1642</v>
      </c>
      <c r="M178" t="s">
        <v>25</v>
      </c>
      <c r="N178" t="s">
        <v>1643</v>
      </c>
      <c r="O178" t="s">
        <v>25</v>
      </c>
      <c r="P178" t="s">
        <v>1644</v>
      </c>
      <c r="Q178" t="s">
        <v>29</v>
      </c>
      <c r="R178" t="s">
        <v>1640</v>
      </c>
      <c r="S178" t="s">
        <v>1641</v>
      </c>
    </row>
    <row r="179" spans="1:19" x14ac:dyDescent="0.25">
      <c r="A179" s="1">
        <v>177</v>
      </c>
      <c r="B179" t="str">
        <f>HYPERLINK("https://www.dasschnelle.at/hatzmann-die-augenoptik-waidhofen-an-der-ybbs-unterer-stadtplatz","Website")</f>
        <v>Website</v>
      </c>
      <c r="C179" t="str">
        <f>HYPERLINK("http://www.hatzmann.at","Website")</f>
        <v>Website</v>
      </c>
      <c r="D179" t="str">
        <f>HYPERLINK("http://www.google.com/maps/place/47.9602083,14.7737709","Location")</f>
        <v>Location</v>
      </c>
      <c r="E179" t="s">
        <v>1645</v>
      </c>
      <c r="F179" t="s">
        <v>1646</v>
      </c>
      <c r="G179" t="s">
        <v>1504</v>
      </c>
      <c r="H179" t="s">
        <v>1586</v>
      </c>
      <c r="I179" t="s">
        <v>177</v>
      </c>
      <c r="J179" t="s">
        <v>22</v>
      </c>
      <c r="K179" t="s">
        <v>1647</v>
      </c>
      <c r="L179" t="s">
        <v>1650</v>
      </c>
      <c r="M179" t="s">
        <v>25</v>
      </c>
      <c r="N179" t="s">
        <v>1651</v>
      </c>
      <c r="O179" t="s">
        <v>1652</v>
      </c>
      <c r="P179" t="s">
        <v>1653</v>
      </c>
      <c r="Q179" t="s">
        <v>29</v>
      </c>
      <c r="R179" t="s">
        <v>1648</v>
      </c>
      <c r="S179" t="s">
        <v>1649</v>
      </c>
    </row>
    <row r="180" spans="1:19" x14ac:dyDescent="0.25">
      <c r="A180" s="1">
        <v>178</v>
      </c>
      <c r="B180" t="str">
        <f>HYPERLINK("https://www.dasschnelle.at/mundr-montagen-thann-thann","Website")</f>
        <v>Website</v>
      </c>
      <c r="C180" t="str">
        <f>HYPERLINK("http://www.mr-montagen.at","Website")</f>
        <v>Website</v>
      </c>
      <c r="D180" t="str">
        <f>HYPERLINK("http://www.google.com/maps/place/47.8783627,14.8076525","Location")</f>
        <v>Location</v>
      </c>
      <c r="E180" t="s">
        <v>1654</v>
      </c>
      <c r="F180" t="s">
        <v>1655</v>
      </c>
      <c r="G180" t="s">
        <v>1657</v>
      </c>
      <c r="H180" t="s">
        <v>1658</v>
      </c>
      <c r="I180" t="s">
        <v>177</v>
      </c>
      <c r="J180" t="s">
        <v>22</v>
      </c>
      <c r="K180" t="s">
        <v>1656</v>
      </c>
      <c r="L180" t="s">
        <v>1661</v>
      </c>
      <c r="M180" t="s">
        <v>25</v>
      </c>
      <c r="N180" t="s">
        <v>1662</v>
      </c>
      <c r="O180" t="s">
        <v>25</v>
      </c>
      <c r="P180" t="s">
        <v>1663</v>
      </c>
      <c r="Q180" t="s">
        <v>29</v>
      </c>
      <c r="R180" t="s">
        <v>1659</v>
      </c>
      <c r="S180" t="s">
        <v>1660</v>
      </c>
    </row>
    <row r="181" spans="1:19" x14ac:dyDescent="0.25">
      <c r="A181" s="1">
        <v>179</v>
      </c>
      <c r="B181" t="str">
        <f>HYPERLINK("https://www.dasschnelle.at/pichler-anton-gesmbh-schwarzenberg-schwarzenberg","Website")</f>
        <v>Website</v>
      </c>
      <c r="C181" t="str">
        <f>HYPERLINK("http://www.antonpichler.at","Website")</f>
        <v>Website</v>
      </c>
      <c r="D181" t="str">
        <f>HYPERLINK("http://www.google.com/maps/place/47.9464626,14.8243576","Location")</f>
        <v>Location</v>
      </c>
      <c r="E181" t="s">
        <v>1664</v>
      </c>
      <c r="F181" t="s">
        <v>1665</v>
      </c>
      <c r="G181" t="s">
        <v>1667</v>
      </c>
      <c r="H181" t="s">
        <v>1668</v>
      </c>
      <c r="I181" t="s">
        <v>177</v>
      </c>
      <c r="J181" t="s">
        <v>22</v>
      </c>
      <c r="K181" t="s">
        <v>1666</v>
      </c>
      <c r="L181" t="s">
        <v>1671</v>
      </c>
      <c r="M181" t="s">
        <v>1672</v>
      </c>
      <c r="N181" t="s">
        <v>1673</v>
      </c>
      <c r="O181" t="s">
        <v>25</v>
      </c>
      <c r="P181" t="s">
        <v>1674</v>
      </c>
      <c r="Q181" t="s">
        <v>29</v>
      </c>
      <c r="R181" t="s">
        <v>1669</v>
      </c>
      <c r="S181" t="s">
        <v>1670</v>
      </c>
    </row>
    <row r="182" spans="1:19" x14ac:dyDescent="0.25">
      <c r="A182" s="1">
        <v>180</v>
      </c>
      <c r="B182" t="str">
        <f>HYPERLINK("https://www.dasschnelle.at/kollermann-grissenberger-erwin-mag-amstetten-burgfriedstraße","Website")</f>
        <v>Website</v>
      </c>
      <c r="C182" t="str">
        <f>HYPERLINK("https://www.dasschnelle.at/kollermann-grissenberger-erwin-mag-amstetten-burgfriedstra%C3%9Fe","Website")</f>
        <v>Website</v>
      </c>
      <c r="D182" t="str">
        <f>HYPERLINK("http://www.google.com/maps/place/48.11697,14.94939","Location")</f>
        <v>Location</v>
      </c>
      <c r="E182" t="s">
        <v>1675</v>
      </c>
      <c r="F182" t="s">
        <v>1676</v>
      </c>
      <c r="G182" t="s">
        <v>1474</v>
      </c>
      <c r="H182" t="s">
        <v>1475</v>
      </c>
      <c r="I182" t="s">
        <v>177</v>
      </c>
      <c r="J182" t="s">
        <v>22</v>
      </c>
      <c r="K182" t="s">
        <v>1677</v>
      </c>
      <c r="L182" t="s">
        <v>1680</v>
      </c>
      <c r="M182" t="s">
        <v>25</v>
      </c>
      <c r="N182" t="s">
        <v>1681</v>
      </c>
      <c r="O182" t="s">
        <v>25</v>
      </c>
      <c r="P182" t="s">
        <v>1682</v>
      </c>
      <c r="Q182" t="s">
        <v>29</v>
      </c>
      <c r="R182" t="s">
        <v>1678</v>
      </c>
      <c r="S182" t="s">
        <v>1679</v>
      </c>
    </row>
    <row r="183" spans="1:19" x14ac:dyDescent="0.25">
      <c r="A183" s="1">
        <v>181</v>
      </c>
      <c r="B183" t="str">
        <f>HYPERLINK("https://www.dasschnelle.at/esletzbichler-bus-gmbh-waidhofen-wienerstraße","Website")</f>
        <v>Website</v>
      </c>
      <c r="C183" t="str">
        <f>HYPERLINK("http://www.esletzbichler.at","Website")</f>
        <v>Website</v>
      </c>
      <c r="D183" t="str">
        <f>HYPERLINK("http://www.google.com/maps/place/47.9681800,14.7670313","Location")</f>
        <v>Location</v>
      </c>
      <c r="E183" t="s">
        <v>1683</v>
      </c>
      <c r="F183" t="s">
        <v>1684</v>
      </c>
      <c r="G183" t="s">
        <v>1504</v>
      </c>
      <c r="H183" t="s">
        <v>1505</v>
      </c>
      <c r="I183" t="s">
        <v>177</v>
      </c>
      <c r="J183" t="s">
        <v>22</v>
      </c>
      <c r="K183" t="s">
        <v>1685</v>
      </c>
      <c r="L183" t="s">
        <v>1688</v>
      </c>
      <c r="M183" t="s">
        <v>25</v>
      </c>
      <c r="N183" t="s">
        <v>1689</v>
      </c>
      <c r="O183" t="s">
        <v>1690</v>
      </c>
      <c r="P183" t="s">
        <v>1691</v>
      </c>
      <c r="Q183" t="s">
        <v>29</v>
      </c>
      <c r="R183" t="s">
        <v>1686</v>
      </c>
      <c r="S183" t="s">
        <v>1687</v>
      </c>
    </row>
    <row r="184" spans="1:19" x14ac:dyDescent="0.25">
      <c r="A184" s="1">
        <v>182</v>
      </c>
      <c r="B184" t="str">
        <f>HYPERLINK("https://www.dasschnelle.at/dr-josef-steiner-waidhofen-weyrerstraße","Website")</f>
        <v>Website</v>
      </c>
      <c r="C184" t="str">
        <f>HYPERLINK("http://www.drjosefsteiner.at","Website")</f>
        <v>Website</v>
      </c>
      <c r="D184" t="str">
        <f>HYPERLINK("http://www.google.com/maps/place/47.9582289,14.7655409","Location")</f>
        <v>Location</v>
      </c>
      <c r="E184" t="s">
        <v>1692</v>
      </c>
      <c r="F184" t="s">
        <v>1693</v>
      </c>
      <c r="G184" t="s">
        <v>1504</v>
      </c>
      <c r="H184" t="s">
        <v>1505</v>
      </c>
      <c r="I184" t="s">
        <v>177</v>
      </c>
      <c r="J184" t="s">
        <v>22</v>
      </c>
      <c r="K184" t="s">
        <v>1694</v>
      </c>
      <c r="L184" t="s">
        <v>1697</v>
      </c>
      <c r="M184" t="s">
        <v>25</v>
      </c>
      <c r="N184" t="s">
        <v>1698</v>
      </c>
      <c r="O184" t="s">
        <v>25</v>
      </c>
      <c r="P184" t="s">
        <v>1699</v>
      </c>
      <c r="Q184" t="s">
        <v>29</v>
      </c>
      <c r="R184" t="s">
        <v>1695</v>
      </c>
      <c r="S184" t="s">
        <v>1696</v>
      </c>
    </row>
    <row r="185" spans="1:19" x14ac:dyDescent="0.25">
      <c r="A185" s="1">
        <v>183</v>
      </c>
      <c r="B185" t="str">
        <f>HYPERLINK("https://www.dasschnelle.at/wasinger-glas-und-metall-design-gmbh-seitenstetten-weberfeld","Website")</f>
        <v>Website</v>
      </c>
      <c r="C185" t="str">
        <f>HYPERLINK("http://www.wasinger-glas-metall.at","Website")</f>
        <v>Website</v>
      </c>
      <c r="D185" t="str">
        <f>HYPERLINK("http://www.google.com/maps/place/48.03346,14.6388","Location")</f>
        <v>Location</v>
      </c>
      <c r="E185" t="s">
        <v>1700</v>
      </c>
      <c r="F185" t="s">
        <v>1701</v>
      </c>
      <c r="G185" t="s">
        <v>1703</v>
      </c>
      <c r="H185" t="s">
        <v>1704</v>
      </c>
      <c r="I185" t="s">
        <v>177</v>
      </c>
      <c r="J185" t="s">
        <v>22</v>
      </c>
      <c r="K185" t="s">
        <v>1702</v>
      </c>
      <c r="L185" t="s">
        <v>1707</v>
      </c>
      <c r="M185" t="s">
        <v>25</v>
      </c>
      <c r="N185" t="s">
        <v>1708</v>
      </c>
      <c r="O185" t="s">
        <v>1709</v>
      </c>
      <c r="P185" t="s">
        <v>1710</v>
      </c>
      <c r="Q185" t="s">
        <v>29</v>
      </c>
      <c r="R185" t="s">
        <v>1705</v>
      </c>
      <c r="S185" t="s">
        <v>1706</v>
      </c>
    </row>
    <row r="186" spans="1:19" x14ac:dyDescent="0.25">
      <c r="A186" s="1">
        <v>184</v>
      </c>
      <c r="B186" t="str">
        <f>HYPERLINK("https://www.dasschnelle.at/katzensteiner-weinzettel-und-wolfram-waidhofen-an-der-ybbs-hauptplatz","Website")</f>
        <v>Website</v>
      </c>
      <c r="C186" t="str">
        <f>HYPERLINK("http://www.derkinderdoktor.at","Website")</f>
        <v>Website</v>
      </c>
      <c r="D186" t="str">
        <f>HYPERLINK("http://www.google.com/maps/place/47.9581218,14.7810134","Location")</f>
        <v>Location</v>
      </c>
      <c r="E186" t="s">
        <v>1711</v>
      </c>
      <c r="F186" t="s">
        <v>1712</v>
      </c>
      <c r="G186" t="s">
        <v>1504</v>
      </c>
      <c r="H186" t="s">
        <v>1586</v>
      </c>
      <c r="I186" t="s">
        <v>177</v>
      </c>
      <c r="J186" t="s">
        <v>22</v>
      </c>
      <c r="K186" t="s">
        <v>1713</v>
      </c>
      <c r="L186" t="s">
        <v>1716</v>
      </c>
      <c r="M186" t="s">
        <v>25</v>
      </c>
      <c r="N186" t="s">
        <v>1717</v>
      </c>
      <c r="O186" t="s">
        <v>25</v>
      </c>
      <c r="P186" t="s">
        <v>1718</v>
      </c>
      <c r="Q186" t="s">
        <v>29</v>
      </c>
      <c r="R186" t="s">
        <v>1714</v>
      </c>
      <c r="S186" t="s">
        <v>1715</v>
      </c>
    </row>
    <row r="187" spans="1:19" x14ac:dyDescent="0.25">
      <c r="A187" s="1">
        <v>185</v>
      </c>
      <c r="B187" t="str">
        <f>HYPERLINK("https://www.dasschnelle.at/popp-reinhard-dr-amstetten-preinsbacher-straße","Website")</f>
        <v>Website</v>
      </c>
      <c r="C187" t="str">
        <f>HYPERLINK("http://www.klassischehomu00f6opathie.at","Website")</f>
        <v>Website</v>
      </c>
      <c r="D187" t="str">
        <f>HYPERLINK("http://www.google.com/maps/place/48.12536,14.87973","Location")</f>
        <v>Location</v>
      </c>
      <c r="E187" t="s">
        <v>1719</v>
      </c>
      <c r="F187" t="s">
        <v>1720</v>
      </c>
      <c r="G187" t="s">
        <v>1474</v>
      </c>
      <c r="H187" t="s">
        <v>1475</v>
      </c>
      <c r="I187" t="s">
        <v>177</v>
      </c>
      <c r="J187" t="s">
        <v>22</v>
      </c>
      <c r="K187" t="s">
        <v>1721</v>
      </c>
      <c r="L187" t="s">
        <v>1724</v>
      </c>
      <c r="M187" t="s">
        <v>25</v>
      </c>
      <c r="N187" t="s">
        <v>1725</v>
      </c>
      <c r="O187" t="s">
        <v>25</v>
      </c>
      <c r="P187" t="s">
        <v>1726</v>
      </c>
      <c r="Q187" t="s">
        <v>29</v>
      </c>
      <c r="R187" t="s">
        <v>1722</v>
      </c>
      <c r="S187" t="s">
        <v>1723</v>
      </c>
    </row>
    <row r="188" spans="1:19" x14ac:dyDescent="0.25">
      <c r="A188" s="1">
        <v>186</v>
      </c>
      <c r="B188" t="str">
        <f>HYPERLINK("https://www.dasschnelle.at/dr-med-tanja-keller-neunteibl-amstetten-hauptplatz","Website")</f>
        <v>Website</v>
      </c>
      <c r="C188" t="str">
        <f>HYPERLINK("http://www.tria1.at","Website")</f>
        <v>Website</v>
      </c>
      <c r="D188" t="str">
        <f>HYPERLINK("http://www.google.com/maps/place/48.12275,14.87276","Location")</f>
        <v>Location</v>
      </c>
      <c r="E188" t="s">
        <v>1727</v>
      </c>
      <c r="F188" t="s">
        <v>1728</v>
      </c>
      <c r="G188" t="s">
        <v>1474</v>
      </c>
      <c r="H188" t="s">
        <v>1475</v>
      </c>
      <c r="I188" t="s">
        <v>177</v>
      </c>
      <c r="J188" t="s">
        <v>22</v>
      </c>
      <c r="K188" t="s">
        <v>1713</v>
      </c>
      <c r="L188" t="s">
        <v>1730</v>
      </c>
      <c r="M188" t="s">
        <v>25</v>
      </c>
      <c r="N188" t="s">
        <v>25</v>
      </c>
      <c r="O188" t="s">
        <v>25</v>
      </c>
      <c r="P188" t="s">
        <v>1731</v>
      </c>
      <c r="Q188" t="s">
        <v>29</v>
      </c>
      <c r="R188" t="s">
        <v>1595</v>
      </c>
      <c r="S188" t="s">
        <v>1729</v>
      </c>
    </row>
    <row r="189" spans="1:19" x14ac:dyDescent="0.25">
      <c r="A189" s="1">
        <v>187</v>
      </c>
      <c r="B189" t="str">
        <f>HYPERLINK("https://www.dasschnelle.at/höglinger-johannes-ulmerfeld-freisingerstraße","Website")</f>
        <v>Website</v>
      </c>
      <c r="C189" t="str">
        <f>HYPERLINK("http://www.hoeglinger-tapezierer.at","Website")</f>
        <v>Website</v>
      </c>
      <c r="D189" t="str">
        <f>HYPERLINK("http://www.google.com/maps/place/48.07861,14.82672","Location")</f>
        <v>Location</v>
      </c>
      <c r="E189" t="s">
        <v>1732</v>
      </c>
      <c r="F189" t="s">
        <v>1733</v>
      </c>
      <c r="G189" t="s">
        <v>1603</v>
      </c>
      <c r="H189" t="s">
        <v>1604</v>
      </c>
      <c r="I189" t="s">
        <v>177</v>
      </c>
      <c r="J189" t="s">
        <v>22</v>
      </c>
      <c r="K189" t="s">
        <v>1734</v>
      </c>
      <c r="L189" t="s">
        <v>1737</v>
      </c>
      <c r="M189" t="s">
        <v>25</v>
      </c>
      <c r="N189" t="s">
        <v>1738</v>
      </c>
      <c r="O189" t="s">
        <v>25</v>
      </c>
      <c r="P189" t="s">
        <v>1739</v>
      </c>
      <c r="Q189" t="s">
        <v>29</v>
      </c>
      <c r="R189" t="s">
        <v>1735</v>
      </c>
      <c r="S189" t="s">
        <v>1736</v>
      </c>
    </row>
    <row r="190" spans="1:19" x14ac:dyDescent="0.25">
      <c r="A190" s="1">
        <v>188</v>
      </c>
      <c r="B190" t="str">
        <f>HYPERLINK("https://www.dasschnelle.at/mayrhofer-doris-neufurth-am-sonnenweg","Website")</f>
        <v>Website</v>
      </c>
      <c r="C190" t="str">
        <f>HYPERLINK("https://www.dasschnelle.at/mayrhofer-doris-neufurth-am-sonnenweg","Website")</f>
        <v>Website</v>
      </c>
      <c r="D190" t="str">
        <f>HYPERLINK("http://www.google.com/maps/place/48.07814,14.80881","Location")</f>
        <v>Location</v>
      </c>
      <c r="E190" t="s">
        <v>1740</v>
      </c>
      <c r="F190" t="s">
        <v>1741</v>
      </c>
      <c r="G190" t="s">
        <v>1603</v>
      </c>
      <c r="H190" t="s">
        <v>1743</v>
      </c>
      <c r="I190" t="s">
        <v>177</v>
      </c>
      <c r="J190" t="s">
        <v>22</v>
      </c>
      <c r="K190" t="s">
        <v>1742</v>
      </c>
      <c r="L190" t="s">
        <v>1746</v>
      </c>
      <c r="M190" t="s">
        <v>25</v>
      </c>
      <c r="N190" t="s">
        <v>25</v>
      </c>
      <c r="O190" t="s">
        <v>25</v>
      </c>
      <c r="P190" t="s">
        <v>1747</v>
      </c>
      <c r="Q190" t="s">
        <v>29</v>
      </c>
      <c r="R190" t="s">
        <v>1744</v>
      </c>
      <c r="S190" t="s">
        <v>1745</v>
      </c>
    </row>
    <row r="191" spans="1:19" x14ac:dyDescent="0.25">
      <c r="A191" s="1">
        <v>189</v>
      </c>
      <c r="B191" t="str">
        <f>HYPERLINK("https://www.dasschnelle.at/prinz-karosserie-und-lackiertechnik-seitenstetten-gewerbepark-pölla","Website")</f>
        <v>Website</v>
      </c>
      <c r="C191" t="str">
        <f>HYPERLINK("http://www.karosserie-prinz.at","Website")</f>
        <v>Website</v>
      </c>
      <c r="D191" t="str">
        <f>HYPERLINK("http://www.google.com/maps/place/48.04152,14.63328","Location")</f>
        <v>Location</v>
      </c>
      <c r="E191" t="s">
        <v>1748</v>
      </c>
      <c r="F191" t="s">
        <v>1749</v>
      </c>
      <c r="G191" t="s">
        <v>1703</v>
      </c>
      <c r="H191" t="s">
        <v>1704</v>
      </c>
      <c r="I191" t="s">
        <v>177</v>
      </c>
      <c r="J191" t="s">
        <v>22</v>
      </c>
      <c r="K191" t="s">
        <v>1750</v>
      </c>
      <c r="L191" t="s">
        <v>1753</v>
      </c>
      <c r="M191" t="s">
        <v>25</v>
      </c>
      <c r="N191" t="s">
        <v>1754</v>
      </c>
      <c r="O191" t="s">
        <v>25</v>
      </c>
      <c r="P191" t="s">
        <v>1755</v>
      </c>
      <c r="Q191" t="s">
        <v>29</v>
      </c>
      <c r="R191" t="s">
        <v>1751</v>
      </c>
      <c r="S191" t="s">
        <v>1752</v>
      </c>
    </row>
    <row r="192" spans="1:19" x14ac:dyDescent="0.25">
      <c r="A192" s="1">
        <v>190</v>
      </c>
      <c r="B192" t="str">
        <f>HYPERLINK("https://www.dasschnelle.at/kfz-technik-robitza-hof-am-leithaberge-obere-hauptstraße","Website")</f>
        <v>Website</v>
      </c>
      <c r="C192" t="str">
        <f>HYPERLINK("http://www.kfz-robitza.at","Website")</f>
        <v>Website</v>
      </c>
      <c r="D192" t="str">
        <f>HYPERLINK("http://www.google.com/maps/place/47.9192,16.55996","Location")</f>
        <v>Location</v>
      </c>
      <c r="E192" t="s">
        <v>1756</v>
      </c>
      <c r="F192" t="s">
        <v>1757</v>
      </c>
      <c r="G192" t="s">
        <v>1759</v>
      </c>
      <c r="H192" t="s">
        <v>1760</v>
      </c>
      <c r="I192" t="s">
        <v>177</v>
      </c>
      <c r="J192" t="s">
        <v>22</v>
      </c>
      <c r="K192" t="s">
        <v>1758</v>
      </c>
      <c r="L192" t="s">
        <v>1763</v>
      </c>
      <c r="M192" t="s">
        <v>25</v>
      </c>
      <c r="N192" t="s">
        <v>1764</v>
      </c>
      <c r="O192" t="s">
        <v>25</v>
      </c>
      <c r="P192" t="s">
        <v>1765</v>
      </c>
      <c r="Q192" t="s">
        <v>29</v>
      </c>
      <c r="R192" t="s">
        <v>1761</v>
      </c>
      <c r="S192" t="s">
        <v>1762</v>
      </c>
    </row>
    <row r="193" spans="1:19" x14ac:dyDescent="0.25">
      <c r="A193" s="1">
        <v>191</v>
      </c>
      <c r="B193" t="str">
        <f>HYPERLINK("https://www.dasschnelle.at/neugebauer-josef-bruck-pachfurther-straße","Website")</f>
        <v>Website</v>
      </c>
      <c r="C193" t="str">
        <f>HYPERLINK("http://www.bestattung-neugebauer.at","Website")</f>
        <v>Website</v>
      </c>
      <c r="D193" t="str">
        <f>HYPERLINK("http://www.google.com/maps/place/48.0281198,16.7808989","Location")</f>
        <v>Location</v>
      </c>
      <c r="E193" t="s">
        <v>1766</v>
      </c>
      <c r="F193" t="s">
        <v>1767</v>
      </c>
      <c r="G193" t="s">
        <v>1769</v>
      </c>
      <c r="H193" t="s">
        <v>1770</v>
      </c>
      <c r="I193" t="s">
        <v>177</v>
      </c>
      <c r="J193" t="s">
        <v>22</v>
      </c>
      <c r="K193" t="s">
        <v>1768</v>
      </c>
      <c r="L193" t="s">
        <v>1773</v>
      </c>
      <c r="M193" t="s">
        <v>25</v>
      </c>
      <c r="N193" t="s">
        <v>1774</v>
      </c>
      <c r="O193" t="s">
        <v>25</v>
      </c>
      <c r="P193" t="s">
        <v>1775</v>
      </c>
      <c r="Q193" t="s">
        <v>29</v>
      </c>
      <c r="R193" t="s">
        <v>1771</v>
      </c>
      <c r="S193" t="s">
        <v>1772</v>
      </c>
    </row>
    <row r="194" spans="1:19" x14ac:dyDescent="0.25">
      <c r="A194" s="1">
        <v>192</v>
      </c>
      <c r="B194" t="str">
        <f>HYPERLINK("https://www.dasschnelle.at/bastel-optik-gmbh-bruck-hauptplatz","Website")</f>
        <v>Website</v>
      </c>
      <c r="C194" t="str">
        <f>HYPERLINK("http://www.optik-bastel.at","Website")</f>
        <v>Website</v>
      </c>
      <c r="D194" t="str">
        <f>HYPERLINK("http://www.google.com/maps/place/48.0247514,16.7784049","Location")</f>
        <v>Location</v>
      </c>
      <c r="E194" t="s">
        <v>1776</v>
      </c>
      <c r="F194" t="s">
        <v>1777</v>
      </c>
      <c r="G194" t="s">
        <v>1769</v>
      </c>
      <c r="H194" t="s">
        <v>1770</v>
      </c>
      <c r="I194" t="s">
        <v>177</v>
      </c>
      <c r="J194" t="s">
        <v>22</v>
      </c>
      <c r="K194" t="s">
        <v>1778</v>
      </c>
      <c r="L194" t="s">
        <v>1781</v>
      </c>
      <c r="M194" t="s">
        <v>25</v>
      </c>
      <c r="N194" t="s">
        <v>1782</v>
      </c>
      <c r="O194" t="s">
        <v>25</v>
      </c>
      <c r="P194" t="s">
        <v>1783</v>
      </c>
      <c r="Q194" t="s">
        <v>29</v>
      </c>
      <c r="R194" t="s">
        <v>1779</v>
      </c>
      <c r="S194" t="s">
        <v>1780</v>
      </c>
    </row>
    <row r="195" spans="1:19" x14ac:dyDescent="0.25">
      <c r="A195" s="1">
        <v>193</v>
      </c>
      <c r="B195" t="str">
        <f>HYPERLINK("https://www.dasschnelle.at/altmann-sonja-bruck-altstadt","Website")</f>
        <v>Website</v>
      </c>
      <c r="C195" t="str">
        <f>HYPERLINK("http://notar-altmann.at","Website")</f>
        <v>Website</v>
      </c>
      <c r="D195" t="str">
        <f>HYPERLINK("http://www.google.com/maps/place/48.0216816,16.7771075","Location")</f>
        <v>Location</v>
      </c>
      <c r="E195" t="s">
        <v>1784</v>
      </c>
      <c r="F195" t="s">
        <v>1785</v>
      </c>
      <c r="G195" t="s">
        <v>1769</v>
      </c>
      <c r="H195" t="s">
        <v>1770</v>
      </c>
      <c r="I195" t="s">
        <v>177</v>
      </c>
      <c r="J195" t="s">
        <v>22</v>
      </c>
      <c r="K195" t="s">
        <v>1786</v>
      </c>
      <c r="L195" t="s">
        <v>1789</v>
      </c>
      <c r="M195" t="s">
        <v>25</v>
      </c>
      <c r="N195" t="s">
        <v>1790</v>
      </c>
      <c r="O195" t="s">
        <v>25</v>
      </c>
      <c r="P195" t="s">
        <v>1791</v>
      </c>
      <c r="Q195" t="s">
        <v>29</v>
      </c>
      <c r="R195" t="s">
        <v>1787</v>
      </c>
      <c r="S195" t="s">
        <v>1788</v>
      </c>
    </row>
    <row r="196" spans="1:19" x14ac:dyDescent="0.25">
      <c r="A196" s="1">
        <v>194</v>
      </c>
      <c r="B196" t="str">
        <f>HYPERLINK("https://www.dasschnelle.at/novak-andreas-prellenkirchen-kapellenweg","Website")</f>
        <v>Website</v>
      </c>
      <c r="C196" t="str">
        <f>HYPERLINK("http://www.raumausstatter-novak.at","Website")</f>
        <v>Website</v>
      </c>
      <c r="D196" t="str">
        <f>HYPERLINK("http://www.google.com/maps/place/48.07526,16.95808","Location")</f>
        <v>Location</v>
      </c>
      <c r="E196" t="s">
        <v>1792</v>
      </c>
      <c r="F196" t="s">
        <v>1793</v>
      </c>
      <c r="G196" t="s">
        <v>1795</v>
      </c>
      <c r="H196" t="s">
        <v>1796</v>
      </c>
      <c r="I196" t="s">
        <v>177</v>
      </c>
      <c r="J196" t="s">
        <v>22</v>
      </c>
      <c r="K196" t="s">
        <v>1794</v>
      </c>
      <c r="L196" t="s">
        <v>1799</v>
      </c>
      <c r="M196" t="s">
        <v>25</v>
      </c>
      <c r="N196" t="s">
        <v>1800</v>
      </c>
      <c r="O196" t="s">
        <v>25</v>
      </c>
      <c r="P196" t="s">
        <v>1801</v>
      </c>
      <c r="Q196" t="s">
        <v>29</v>
      </c>
      <c r="R196" t="s">
        <v>1797</v>
      </c>
      <c r="S196" t="s">
        <v>1798</v>
      </c>
    </row>
    <row r="197" spans="1:19" x14ac:dyDescent="0.25">
      <c r="A197" s="1">
        <v>195</v>
      </c>
      <c r="B197" t="str">
        <f>HYPERLINK("https://www.dasschnelle.at/kladler-norbert-auto-kladler-norbert-hof-feldgasse","Website")</f>
        <v>Website</v>
      </c>
      <c r="C197" t="str">
        <f>HYPERLINK("http://www.auto-kladler.at/","Website")</f>
        <v>Website</v>
      </c>
      <c r="D197" t="str">
        <f>HYPERLINK("http://www.google.com/maps/place/47.9461136,16.5795412","Location")</f>
        <v>Location</v>
      </c>
      <c r="E197" t="s">
        <v>1802</v>
      </c>
      <c r="F197" t="s">
        <v>1803</v>
      </c>
      <c r="G197" t="s">
        <v>1759</v>
      </c>
      <c r="H197" t="s">
        <v>1805</v>
      </c>
      <c r="I197" t="s">
        <v>177</v>
      </c>
      <c r="J197" t="s">
        <v>22</v>
      </c>
      <c r="K197" t="s">
        <v>1804</v>
      </c>
      <c r="L197" t="s">
        <v>1808</v>
      </c>
      <c r="M197" t="s">
        <v>25</v>
      </c>
      <c r="N197" t="s">
        <v>1809</v>
      </c>
      <c r="O197" t="s">
        <v>25</v>
      </c>
      <c r="P197" t="s">
        <v>1810</v>
      </c>
      <c r="Q197" t="s">
        <v>29</v>
      </c>
      <c r="R197" t="s">
        <v>1806</v>
      </c>
      <c r="S197" t="s">
        <v>1807</v>
      </c>
    </row>
    <row r="198" spans="1:19" x14ac:dyDescent="0.25">
      <c r="A198" s="1">
        <v>196</v>
      </c>
      <c r="B198" t="str">
        <f>HYPERLINK("https://www.dasschnelle.at/murlasits-josef-bruck-semmelweisgasse","Website")</f>
        <v>Website</v>
      </c>
      <c r="C198" t="str">
        <f>HYPERLINK("http://www.murlasits.info","Website")</f>
        <v>Website</v>
      </c>
      <c r="D198" t="str">
        <f>HYPERLINK("http://www.google.com/maps/place/48.0295332,16.7735083","Location")</f>
        <v>Location</v>
      </c>
      <c r="E198" t="s">
        <v>1811</v>
      </c>
      <c r="F198" t="s">
        <v>1812</v>
      </c>
      <c r="G198" t="s">
        <v>1769</v>
      </c>
      <c r="H198" t="s">
        <v>1770</v>
      </c>
      <c r="I198" t="s">
        <v>177</v>
      </c>
      <c r="J198" t="s">
        <v>22</v>
      </c>
      <c r="K198" t="s">
        <v>1813</v>
      </c>
      <c r="L198" t="s">
        <v>1816</v>
      </c>
      <c r="M198" t="s">
        <v>25</v>
      </c>
      <c r="N198" t="s">
        <v>1817</v>
      </c>
      <c r="O198" t="s">
        <v>25</v>
      </c>
      <c r="P198" t="s">
        <v>1818</v>
      </c>
      <c r="Q198" t="s">
        <v>29</v>
      </c>
      <c r="R198" t="s">
        <v>1814</v>
      </c>
      <c r="S198" t="s">
        <v>1815</v>
      </c>
    </row>
    <row r="199" spans="1:19" x14ac:dyDescent="0.25">
      <c r="A199" s="1">
        <v>197</v>
      </c>
      <c r="B199" t="str">
        <f>HYPERLINK("https://www.dasschnelle.at/niefergall-anna-hainburg-an-der-donau-ungarstraße","Website")</f>
        <v>Website</v>
      </c>
      <c r="C199" t="str">
        <f>HYPERLINK("https://www.dasschnelle.at/niefergall-anna-hainburg-an-der-donau-ungarstra%C3%9Fe","Website")</f>
        <v>Website</v>
      </c>
      <c r="D199" t="str">
        <f>HYPERLINK("http://www.google.com/maps/place/48.14731,16.94393","Location")</f>
        <v>Location</v>
      </c>
      <c r="E199" t="s">
        <v>1819</v>
      </c>
      <c r="F199" t="s">
        <v>1820</v>
      </c>
      <c r="G199" t="s">
        <v>1822</v>
      </c>
      <c r="H199" t="s">
        <v>1823</v>
      </c>
      <c r="I199" t="s">
        <v>177</v>
      </c>
      <c r="J199" t="s">
        <v>22</v>
      </c>
      <c r="K199" t="s">
        <v>1821</v>
      </c>
      <c r="L199" t="s">
        <v>1826</v>
      </c>
      <c r="M199" t="s">
        <v>25</v>
      </c>
      <c r="N199" t="s">
        <v>1827</v>
      </c>
      <c r="O199" t="s">
        <v>25</v>
      </c>
      <c r="P199" t="s">
        <v>1828</v>
      </c>
      <c r="Q199" t="s">
        <v>29</v>
      </c>
      <c r="R199" t="s">
        <v>1824</v>
      </c>
      <c r="S199" t="s">
        <v>1825</v>
      </c>
    </row>
    <row r="200" spans="1:19" x14ac:dyDescent="0.25">
      <c r="A200" s="1">
        <v>198</v>
      </c>
      <c r="B200" t="str">
        <f>HYPERLINK("https://www.dasschnelle.at/familypark-sankt-margarethen-im-burgenland-märchenparkweg","Website")</f>
        <v>Website</v>
      </c>
      <c r="C200" t="str">
        <f>HYPERLINK("http://www.familypark.at","Website")</f>
        <v>Website</v>
      </c>
      <c r="D200" t="str">
        <f>HYPERLINK("http://www.google.com/maps/place/47.8031100,16.6065500","Location")</f>
        <v>Location</v>
      </c>
      <c r="E200" t="s">
        <v>1829</v>
      </c>
      <c r="F200" t="s">
        <v>1830</v>
      </c>
      <c r="G200" t="s">
        <v>1832</v>
      </c>
      <c r="H200" t="s">
        <v>1833</v>
      </c>
      <c r="I200" t="s">
        <v>1834</v>
      </c>
      <c r="J200" t="s">
        <v>22</v>
      </c>
      <c r="K200" t="s">
        <v>1831</v>
      </c>
      <c r="L200" t="s">
        <v>1837</v>
      </c>
      <c r="M200" t="s">
        <v>25</v>
      </c>
      <c r="N200" t="s">
        <v>1838</v>
      </c>
      <c r="O200" t="s">
        <v>1839</v>
      </c>
      <c r="P200" t="s">
        <v>1840</v>
      </c>
      <c r="Q200" t="s">
        <v>29</v>
      </c>
      <c r="R200" t="s">
        <v>1835</v>
      </c>
      <c r="S200" t="s">
        <v>1836</v>
      </c>
    </row>
    <row r="201" spans="1:19" x14ac:dyDescent="0.25">
      <c r="A201" s="1">
        <v>199</v>
      </c>
      <c r="B201" t="str">
        <f>HYPERLINK("https://www.dasschnelle.at/gaugg-marion-christine-dr-bruckneudorf-parndorferstraße","Website")</f>
        <v>Website</v>
      </c>
      <c r="C201" t="str">
        <f>HYPERLINK("http://www.dr-gaugg.at","Website")</f>
        <v>Website</v>
      </c>
      <c r="D201" t="str">
        <f>HYPERLINK("http://www.google.com/maps/place/48.01989,16.78876","Location")</f>
        <v>Location</v>
      </c>
      <c r="E201" t="s">
        <v>1841</v>
      </c>
      <c r="F201" t="s">
        <v>1842</v>
      </c>
      <c r="G201" t="s">
        <v>1769</v>
      </c>
      <c r="H201" t="s">
        <v>1844</v>
      </c>
      <c r="I201" t="s">
        <v>177</v>
      </c>
      <c r="J201" t="s">
        <v>22</v>
      </c>
      <c r="K201" t="s">
        <v>1843</v>
      </c>
      <c r="L201" t="s">
        <v>1847</v>
      </c>
      <c r="M201" t="s">
        <v>25</v>
      </c>
      <c r="N201" t="s">
        <v>1848</v>
      </c>
      <c r="O201" t="s">
        <v>25</v>
      </c>
      <c r="P201" t="s">
        <v>1849</v>
      </c>
      <c r="Q201" t="s">
        <v>29</v>
      </c>
      <c r="R201" t="s">
        <v>1845</v>
      </c>
      <c r="S201" t="s">
        <v>1846</v>
      </c>
    </row>
    <row r="202" spans="1:19" x14ac:dyDescent="0.25">
      <c r="A202" s="1">
        <v>200</v>
      </c>
      <c r="B202" t="str">
        <f>HYPERLINK("https://www.dasschnelle.at/meszlenyi-romana-halbturn-budapester-straße","Website")</f>
        <v>Website</v>
      </c>
      <c r="C202" t="str">
        <f>HYPERLINK("http://www.gruenwerkstatt.eu","Website")</f>
        <v>Website</v>
      </c>
      <c r="D202" t="str">
        <f>HYPERLINK("http://www.google.com/maps/place/47.86983,16.97729","Location")</f>
        <v>Location</v>
      </c>
      <c r="E202" t="s">
        <v>1850</v>
      </c>
      <c r="F202" t="s">
        <v>1851</v>
      </c>
      <c r="G202" t="s">
        <v>1853</v>
      </c>
      <c r="H202" t="s">
        <v>1854</v>
      </c>
      <c r="I202" t="s">
        <v>1834</v>
      </c>
      <c r="J202" t="s">
        <v>22</v>
      </c>
      <c r="K202" t="s">
        <v>1852</v>
      </c>
      <c r="L202" t="s">
        <v>1857</v>
      </c>
      <c r="M202" t="s">
        <v>25</v>
      </c>
      <c r="N202" t="s">
        <v>1858</v>
      </c>
      <c r="O202" t="s">
        <v>25</v>
      </c>
      <c r="P202" t="s">
        <v>1859</v>
      </c>
      <c r="Q202" t="s">
        <v>29</v>
      </c>
      <c r="R202" t="s">
        <v>1855</v>
      </c>
      <c r="S202" t="s">
        <v>1856</v>
      </c>
    </row>
    <row r="203" spans="1:19" x14ac:dyDescent="0.25">
      <c r="A203" s="1">
        <v>201</v>
      </c>
      <c r="B203" t="str">
        <f>HYPERLINK("https://www.dasschnelle.at/maurovich-herbert-kittsee-eisenstädter-straße","Website")</f>
        <v>Website</v>
      </c>
      <c r="C203" t="str">
        <f>HYPERLINK("https://www.dasschnelle.at/maurovich-herbert-kittsee-eisenst%C3%A4dter-stra%C3%9Fe","Website")</f>
        <v>Website</v>
      </c>
      <c r="D203" t="str">
        <f>HYPERLINK("http://www.google.com/maps/place/48.09148,17.05645","Location")</f>
        <v>Location</v>
      </c>
      <c r="E203" t="s">
        <v>1860</v>
      </c>
      <c r="F203" t="s">
        <v>1861</v>
      </c>
      <c r="G203" t="s">
        <v>1863</v>
      </c>
      <c r="H203" t="s">
        <v>1864</v>
      </c>
      <c r="I203" t="s">
        <v>1834</v>
      </c>
      <c r="J203" t="s">
        <v>22</v>
      </c>
      <c r="K203" t="s">
        <v>1862</v>
      </c>
      <c r="L203" t="s">
        <v>1867</v>
      </c>
      <c r="M203" t="s">
        <v>25</v>
      </c>
      <c r="N203" t="s">
        <v>1868</v>
      </c>
      <c r="O203" t="s">
        <v>25</v>
      </c>
      <c r="P203" t="s">
        <v>1869</v>
      </c>
      <c r="Q203" t="s">
        <v>29</v>
      </c>
      <c r="R203" t="s">
        <v>1865</v>
      </c>
      <c r="S203" t="s">
        <v>1866</v>
      </c>
    </row>
    <row r="204" spans="1:19" x14ac:dyDescent="0.25">
      <c r="A204" s="1">
        <v>202</v>
      </c>
      <c r="B204" t="str">
        <f>HYPERLINK("https://www.dasschnelle.at/strudler-michael-podersdorf-am-see-satzgasse","Website")</f>
        <v>Website</v>
      </c>
      <c r="C204" t="str">
        <f>HYPERLINK("https://www.dasschnelle.at/strudler-michael-podersdorf-am-see-satzgasse","Website")</f>
        <v>Website</v>
      </c>
      <c r="D204" t="str">
        <f>HYPERLINK("http://www.google.com/maps/place/47.8512,16.82649","Location")</f>
        <v>Location</v>
      </c>
      <c r="E204" t="s">
        <v>1870</v>
      </c>
      <c r="F204" t="s">
        <v>1871</v>
      </c>
      <c r="G204" t="s">
        <v>1873</v>
      </c>
      <c r="H204" t="s">
        <v>1874</v>
      </c>
      <c r="I204" t="s">
        <v>1834</v>
      </c>
      <c r="J204" t="s">
        <v>22</v>
      </c>
      <c r="K204" t="s">
        <v>1872</v>
      </c>
      <c r="L204" t="s">
        <v>1877</v>
      </c>
      <c r="M204" t="s">
        <v>25</v>
      </c>
      <c r="N204" t="s">
        <v>1878</v>
      </c>
      <c r="O204" t="s">
        <v>25</v>
      </c>
      <c r="P204" t="s">
        <v>1879</v>
      </c>
      <c r="Q204" t="s">
        <v>29</v>
      </c>
      <c r="R204" t="s">
        <v>1875</v>
      </c>
      <c r="S204" t="s">
        <v>1876</v>
      </c>
    </row>
    <row r="205" spans="1:19" x14ac:dyDescent="0.25">
      <c r="A205" s="1">
        <v>203</v>
      </c>
      <c r="B205" t="str">
        <f>HYPERLINK("https://www.dasschnelle.at/hajdu-und-co-kg-kittsee-schulstraße","Website")</f>
        <v>Website</v>
      </c>
      <c r="C205" t="str">
        <f>HYPERLINK("https://www.dasschnelle.at/hajdu-und-co-kg-kittsee-schulstra%C3%9Fe","Website")</f>
        <v>Website</v>
      </c>
      <c r="D205" t="str">
        <f>HYPERLINK("http://www.google.com/maps/place/48.09606,17.0626","Location")</f>
        <v>Location</v>
      </c>
      <c r="E205" t="s">
        <v>1880</v>
      </c>
      <c r="F205" t="s">
        <v>1881</v>
      </c>
      <c r="G205" t="s">
        <v>1863</v>
      </c>
      <c r="H205" t="s">
        <v>1864</v>
      </c>
      <c r="I205" t="s">
        <v>1834</v>
      </c>
      <c r="J205" t="s">
        <v>22</v>
      </c>
      <c r="K205" t="s">
        <v>1882</v>
      </c>
      <c r="L205" t="s">
        <v>1885</v>
      </c>
      <c r="M205" t="s">
        <v>25</v>
      </c>
      <c r="N205" t="s">
        <v>1886</v>
      </c>
      <c r="O205" t="s">
        <v>25</v>
      </c>
      <c r="P205" t="s">
        <v>1887</v>
      </c>
      <c r="Q205" t="s">
        <v>29</v>
      </c>
      <c r="R205" t="s">
        <v>1883</v>
      </c>
      <c r="S205" t="s">
        <v>1884</v>
      </c>
    </row>
    <row r="206" spans="1:19" x14ac:dyDescent="0.25">
      <c r="A206" s="1">
        <v>204</v>
      </c>
      <c r="B206" t="str">
        <f>HYPERLINK("https://www.dasschnelle.at/wimmer-gesmbh-bruck-burgenlandstraße","Website")</f>
        <v>Website</v>
      </c>
      <c r="C206" t="str">
        <f>HYPERLINK("https://www.dasschnelle.at/wimmer-gesmbh-bruck-burgenlandstra%C3%9Fe","Website")</f>
        <v>Website</v>
      </c>
      <c r="D206" t="str">
        <f>HYPERLINK("http://www.google.com/maps/place/48.0244903,16.7789517","Location")</f>
        <v>Location</v>
      </c>
      <c r="E206" t="s">
        <v>1888</v>
      </c>
      <c r="F206" t="s">
        <v>1889</v>
      </c>
      <c r="G206" t="s">
        <v>1769</v>
      </c>
      <c r="H206" t="s">
        <v>1770</v>
      </c>
      <c r="I206" t="s">
        <v>177</v>
      </c>
      <c r="J206" t="s">
        <v>22</v>
      </c>
      <c r="K206" t="s">
        <v>1890</v>
      </c>
      <c r="L206" t="s">
        <v>1893</v>
      </c>
      <c r="M206" t="s">
        <v>1894</v>
      </c>
      <c r="N206" t="s">
        <v>1895</v>
      </c>
      <c r="O206" t="s">
        <v>25</v>
      </c>
      <c r="P206" t="s">
        <v>1896</v>
      </c>
      <c r="Q206" t="s">
        <v>29</v>
      </c>
      <c r="R206" t="s">
        <v>1891</v>
      </c>
      <c r="S206" t="s">
        <v>1892</v>
      </c>
    </row>
    <row r="207" spans="1:19" x14ac:dyDescent="0.25">
      <c r="A207" s="1">
        <v>205</v>
      </c>
      <c r="B207" t="str">
        <f>HYPERLINK("https://www.dasschnelle.at/spallinger-eva-ellen-zurndorf-leithagasse","Website")</f>
        <v>Website</v>
      </c>
      <c r="C207" t="str">
        <f>HYPERLINK("http://www.spallinger.at","Website")</f>
        <v>Website</v>
      </c>
      <c r="D207" t="str">
        <f>HYPERLINK("http://www.google.com/maps/place/47.98843,17.01","Location")</f>
        <v>Location</v>
      </c>
      <c r="E207" t="s">
        <v>1897</v>
      </c>
      <c r="F207" t="s">
        <v>1898</v>
      </c>
      <c r="G207" t="s">
        <v>1900</v>
      </c>
      <c r="H207" t="s">
        <v>1901</v>
      </c>
      <c r="I207" t="s">
        <v>1834</v>
      </c>
      <c r="J207" t="s">
        <v>22</v>
      </c>
      <c r="K207" t="s">
        <v>1899</v>
      </c>
      <c r="L207" t="s">
        <v>1904</v>
      </c>
      <c r="M207" t="s">
        <v>25</v>
      </c>
      <c r="N207" t="s">
        <v>1905</v>
      </c>
      <c r="O207" t="s">
        <v>25</v>
      </c>
      <c r="P207" t="s">
        <v>1906</v>
      </c>
      <c r="Q207" t="s">
        <v>29</v>
      </c>
      <c r="R207" t="s">
        <v>1902</v>
      </c>
      <c r="S207" t="s">
        <v>1903</v>
      </c>
    </row>
    <row r="208" spans="1:19" x14ac:dyDescent="0.25">
      <c r="A208" s="1">
        <v>206</v>
      </c>
      <c r="B208" t="str">
        <f>HYPERLINK("https://www.dasschnelle.at/hruby-dagmar-gols-heideweg","Website")</f>
        <v>Website</v>
      </c>
      <c r="C208" t="str">
        <f>HYPERLINK("http://www.physiohruby.at","Website")</f>
        <v>Website</v>
      </c>
      <c r="D208" t="str">
        <f>HYPERLINK("http://www.google.com/maps/place/47.88946,16.9067","Location")</f>
        <v>Location</v>
      </c>
      <c r="E208" t="s">
        <v>1907</v>
      </c>
      <c r="F208" t="s">
        <v>1908</v>
      </c>
      <c r="G208" t="s">
        <v>1910</v>
      </c>
      <c r="H208" t="s">
        <v>1911</v>
      </c>
      <c r="I208" t="s">
        <v>1834</v>
      </c>
      <c r="J208" t="s">
        <v>22</v>
      </c>
      <c r="K208" t="s">
        <v>1909</v>
      </c>
      <c r="L208" t="s">
        <v>1914</v>
      </c>
      <c r="M208" t="s">
        <v>25</v>
      </c>
      <c r="N208" t="s">
        <v>1915</v>
      </c>
      <c r="O208" t="s">
        <v>25</v>
      </c>
      <c r="P208" t="s">
        <v>1916</v>
      </c>
      <c r="Q208" t="s">
        <v>29</v>
      </c>
      <c r="R208" t="s">
        <v>1912</v>
      </c>
      <c r="S208" t="s">
        <v>1913</v>
      </c>
    </row>
    <row r="209" spans="1:19" x14ac:dyDescent="0.25">
      <c r="A209" s="1">
        <v>207</v>
      </c>
      <c r="B209" t="str">
        <f>HYPERLINK("https://www.dasschnelle.at/schmidt-edith-nickelsdorf-buchengasse","Website")</f>
        <v>Website</v>
      </c>
      <c r="C209" t="str">
        <f>HYPERLINK("https://www.dasschnelle.at/schmidt-edith-nickelsdorf-buchengasse","Website")</f>
        <v>Website</v>
      </c>
      <c r="D209" t="str">
        <f>HYPERLINK("http://www.google.com/maps/place/47.93932,17.06352","Location")</f>
        <v>Location</v>
      </c>
      <c r="E209" t="s">
        <v>1917</v>
      </c>
      <c r="F209" t="s">
        <v>1918</v>
      </c>
      <c r="G209" t="s">
        <v>1920</v>
      </c>
      <c r="H209" t="s">
        <v>1921</v>
      </c>
      <c r="I209" t="s">
        <v>1834</v>
      </c>
      <c r="J209" t="s">
        <v>22</v>
      </c>
      <c r="K209" t="s">
        <v>1919</v>
      </c>
      <c r="L209" t="s">
        <v>1924</v>
      </c>
      <c r="M209" t="s">
        <v>25</v>
      </c>
      <c r="N209" t="s">
        <v>1925</v>
      </c>
      <c r="O209" t="s">
        <v>25</v>
      </c>
      <c r="P209" t="s">
        <v>1926</v>
      </c>
      <c r="Q209" t="s">
        <v>29</v>
      </c>
      <c r="R209" t="s">
        <v>1922</v>
      </c>
      <c r="S209" t="s">
        <v>1923</v>
      </c>
    </row>
    <row r="210" spans="1:19" x14ac:dyDescent="0.25">
      <c r="A210" s="1">
        <v>208</v>
      </c>
      <c r="B210" t="str">
        <f>HYPERLINK("https://www.dasschnelle.at/gschwendtner-wolfgang-dr-med-frauenkirchen-hauptstraße","Website")</f>
        <v>Website</v>
      </c>
      <c r="C210" t="str">
        <f>HYPERLINK("https://www.dasschnelle.at/gschwendtner-wolfgang-dr-med-frauenkirchen-hauptstra%C3%9Fe","Website")</f>
        <v>Website</v>
      </c>
      <c r="D210" t="str">
        <f>HYPERLINK("http://www.google.com/maps/place/47.83654,16.92552","Location")</f>
        <v>Location</v>
      </c>
      <c r="E210" t="s">
        <v>1927</v>
      </c>
      <c r="F210" t="s">
        <v>1928</v>
      </c>
      <c r="G210" t="s">
        <v>1930</v>
      </c>
      <c r="H210" t="s">
        <v>1931</v>
      </c>
      <c r="I210" t="s">
        <v>1834</v>
      </c>
      <c r="J210" t="s">
        <v>22</v>
      </c>
      <c r="K210" t="s">
        <v>1929</v>
      </c>
      <c r="L210" t="s">
        <v>1934</v>
      </c>
      <c r="M210" t="s">
        <v>25</v>
      </c>
      <c r="N210" t="s">
        <v>25</v>
      </c>
      <c r="O210" t="s">
        <v>25</v>
      </c>
      <c r="P210" t="s">
        <v>1935</v>
      </c>
      <c r="Q210" t="s">
        <v>29</v>
      </c>
      <c r="R210" t="s">
        <v>1932</v>
      </c>
      <c r="S210" t="s">
        <v>1933</v>
      </c>
    </row>
    <row r="211" spans="1:19" x14ac:dyDescent="0.25">
      <c r="A211" s="1">
        <v>209</v>
      </c>
      <c r="B211" t="str">
        <f>HYPERLINK("https://www.dasschnelle.at/radics-andreas-mag-neusiedl-am-see-obere-hauptstraße","Website")</f>
        <v>Website</v>
      </c>
      <c r="C211" t="str">
        <f>HYPERLINK("http://www.radics-steuerberatung.at","Website")</f>
        <v>Website</v>
      </c>
      <c r="D211" t="str">
        <f>HYPERLINK("http://www.google.com/maps/place/47.9499889,16.8396397","Location")</f>
        <v>Location</v>
      </c>
      <c r="E211" t="s">
        <v>1936</v>
      </c>
      <c r="F211" t="s">
        <v>1937</v>
      </c>
      <c r="G211" t="s">
        <v>1939</v>
      </c>
      <c r="H211" t="s">
        <v>1940</v>
      </c>
      <c r="I211" t="s">
        <v>1834</v>
      </c>
      <c r="J211" t="s">
        <v>22</v>
      </c>
      <c r="K211" t="s">
        <v>1938</v>
      </c>
      <c r="L211" t="s">
        <v>1943</v>
      </c>
      <c r="M211" t="s">
        <v>25</v>
      </c>
      <c r="N211" t="s">
        <v>1944</v>
      </c>
      <c r="O211" t="s">
        <v>25</v>
      </c>
      <c r="P211" t="s">
        <v>1945</v>
      </c>
      <c r="Q211" t="s">
        <v>29</v>
      </c>
      <c r="R211" t="s">
        <v>1941</v>
      </c>
      <c r="S211" t="s">
        <v>1942</v>
      </c>
    </row>
    <row r="212" spans="1:19" x14ac:dyDescent="0.25">
      <c r="A212" s="1">
        <v>210</v>
      </c>
      <c r="B212" t="str">
        <f>HYPERLINK("https://www.dasschnelle.at/ing-gisch-lorenz-gmbh-neusiedl-untere-hauptstraße","Website")</f>
        <v>Website</v>
      </c>
      <c r="C212" t="str">
        <f>HYPERLINK("http://www.gischedv.at","Website")</f>
        <v>Website</v>
      </c>
      <c r="D212" t="str">
        <f>HYPERLINK("http://www.google.com/maps/place/47.9455200,16.8476199","Location")</f>
        <v>Location</v>
      </c>
      <c r="E212" t="s">
        <v>1946</v>
      </c>
      <c r="F212" t="s">
        <v>1947</v>
      </c>
      <c r="G212" t="s">
        <v>1939</v>
      </c>
      <c r="H212" t="s">
        <v>1949</v>
      </c>
      <c r="I212" t="s">
        <v>1834</v>
      </c>
      <c r="J212" t="s">
        <v>22</v>
      </c>
      <c r="K212" t="s">
        <v>1948</v>
      </c>
      <c r="L212" t="s">
        <v>1952</v>
      </c>
      <c r="M212" t="s">
        <v>25</v>
      </c>
      <c r="N212" t="s">
        <v>1953</v>
      </c>
      <c r="O212" t="s">
        <v>25</v>
      </c>
      <c r="P212" t="s">
        <v>1954</v>
      </c>
      <c r="Q212" t="s">
        <v>29</v>
      </c>
      <c r="R212" t="s">
        <v>1950</v>
      </c>
      <c r="S212" t="s">
        <v>1951</v>
      </c>
    </row>
    <row r="213" spans="1:19" x14ac:dyDescent="0.25">
      <c r="A213" s="1">
        <v>211</v>
      </c>
      <c r="B213" t="str">
        <f>HYPERLINK("https://www.dasschnelle.at/kummer-martin-mönchhof-am-schranken","Website")</f>
        <v>Website</v>
      </c>
      <c r="C213" t="str">
        <f>HYPERLINK("https://www.dasschnelle.at/kummer-martin-m%C3%B6nchhof-am-schranken","Website")</f>
        <v>Website</v>
      </c>
      <c r="D213" t="str">
        <f>HYPERLINK("http://www.google.com/maps/place/47.88682,16.93715","Location")</f>
        <v>Location</v>
      </c>
      <c r="E213" t="s">
        <v>1955</v>
      </c>
      <c r="F213" t="s">
        <v>1956</v>
      </c>
      <c r="G213" t="s">
        <v>1958</v>
      </c>
      <c r="H213" t="s">
        <v>1959</v>
      </c>
      <c r="I213" t="s">
        <v>1834</v>
      </c>
      <c r="J213" t="s">
        <v>22</v>
      </c>
      <c r="K213" t="s">
        <v>1957</v>
      </c>
      <c r="L213" t="s">
        <v>1962</v>
      </c>
      <c r="M213" t="s">
        <v>1963</v>
      </c>
      <c r="N213" t="s">
        <v>1964</v>
      </c>
      <c r="O213" t="s">
        <v>25</v>
      </c>
      <c r="P213" t="s">
        <v>1965</v>
      </c>
      <c r="Q213" t="s">
        <v>29</v>
      </c>
      <c r="R213" t="s">
        <v>1960</v>
      </c>
      <c r="S213" t="s">
        <v>1961</v>
      </c>
    </row>
    <row r="214" spans="1:19" x14ac:dyDescent="0.25">
      <c r="A214" s="1">
        <v>212</v>
      </c>
      <c r="B214" t="str">
        <f>HYPERLINK("https://www.dasschnelle.at/roman-nagl-e-u-heiligenkreuz-priefamtann","Website")</f>
        <v>Website</v>
      </c>
      <c r="C214" t="str">
        <f>HYPERLINK("http://www.installation-nagl.at","Website")</f>
        <v>Website</v>
      </c>
      <c r="D214" t="str">
        <f>HYPERLINK("http://www.google.com/maps/place/48.0612,16.1207","Location")</f>
        <v>Location</v>
      </c>
      <c r="E214" t="s">
        <v>1966</v>
      </c>
      <c r="F214" t="s">
        <v>1967</v>
      </c>
      <c r="G214" t="s">
        <v>1969</v>
      </c>
      <c r="H214" t="s">
        <v>1970</v>
      </c>
      <c r="I214" t="s">
        <v>177</v>
      </c>
      <c r="J214" t="s">
        <v>22</v>
      </c>
      <c r="K214" t="s">
        <v>1968</v>
      </c>
      <c r="L214" t="s">
        <v>1973</v>
      </c>
      <c r="M214" t="s">
        <v>25</v>
      </c>
      <c r="N214" t="s">
        <v>1974</v>
      </c>
      <c r="O214" t="s">
        <v>25</v>
      </c>
      <c r="P214" t="s">
        <v>1975</v>
      </c>
      <c r="Q214" t="s">
        <v>29</v>
      </c>
      <c r="R214" t="s">
        <v>1971</v>
      </c>
      <c r="S214" t="s">
        <v>1972</v>
      </c>
    </row>
    <row r="215" spans="1:19" x14ac:dyDescent="0.25">
      <c r="A215" s="1">
        <v>213</v>
      </c>
      <c r="B215" t="str">
        <f>HYPERLINK("https://www.dasschnelle.at/hd-baumeister-baden-haidhofsiedlung-gewerbestraße","Website")</f>
        <v>Website</v>
      </c>
      <c r="C215" t="str">
        <f>HYPERLINK("http://www.hd-baumeister.at","Website")</f>
        <v>Website</v>
      </c>
      <c r="D215" t="str">
        <f>HYPERLINK("http://www.google.com/maps/place/47.9740954,16.2790582","Location")</f>
        <v>Location</v>
      </c>
      <c r="E215" t="s">
        <v>1976</v>
      </c>
      <c r="F215" t="s">
        <v>1977</v>
      </c>
      <c r="G215" t="s">
        <v>1979</v>
      </c>
      <c r="H215" t="s">
        <v>1980</v>
      </c>
      <c r="I215" t="s">
        <v>177</v>
      </c>
      <c r="J215" t="s">
        <v>22</v>
      </c>
      <c r="K215" t="s">
        <v>1978</v>
      </c>
      <c r="L215" t="s">
        <v>1983</v>
      </c>
      <c r="M215" t="s">
        <v>25</v>
      </c>
      <c r="N215" t="s">
        <v>1984</v>
      </c>
      <c r="O215" t="s">
        <v>1985</v>
      </c>
      <c r="P215" t="s">
        <v>1986</v>
      </c>
      <c r="Q215" t="s">
        <v>29</v>
      </c>
      <c r="R215" t="s">
        <v>1981</v>
      </c>
      <c r="S215" t="s">
        <v>1982</v>
      </c>
    </row>
    <row r="216" spans="1:19" x14ac:dyDescent="0.25">
      <c r="A216" s="1">
        <v>214</v>
      </c>
      <c r="B216" t="str">
        <f>HYPERLINK("https://www.dasschnelle.at/kult-und-bad-badplanung-u-installation-gas-wasser-heizung-baden-pfarrgasse","Website")</f>
        <v>Website</v>
      </c>
      <c r="C216" t="str">
        <f>HYPERLINK("http://www.kultundbad.at","Website")</f>
        <v>Website</v>
      </c>
      <c r="D216" t="str">
        <f>HYPERLINK("http://www.google.com/maps/place/48.00922,16.23608","Location")</f>
        <v>Location</v>
      </c>
      <c r="E216" t="s">
        <v>1987</v>
      </c>
      <c r="F216" t="s">
        <v>1988</v>
      </c>
      <c r="G216" t="s">
        <v>1979</v>
      </c>
      <c r="H216" t="s">
        <v>1980</v>
      </c>
      <c r="I216" t="s">
        <v>177</v>
      </c>
      <c r="J216" t="s">
        <v>22</v>
      </c>
      <c r="K216" t="s">
        <v>1989</v>
      </c>
      <c r="L216" t="s">
        <v>1992</v>
      </c>
      <c r="M216" t="s">
        <v>25</v>
      </c>
      <c r="N216" t="s">
        <v>1993</v>
      </c>
      <c r="O216" t="s">
        <v>25</v>
      </c>
      <c r="P216" t="s">
        <v>1994</v>
      </c>
      <c r="Q216" t="s">
        <v>29</v>
      </c>
      <c r="R216" t="s">
        <v>1990</v>
      </c>
      <c r="S216" t="s">
        <v>1991</v>
      </c>
    </row>
    <row r="217" spans="1:19" x14ac:dyDescent="0.25">
      <c r="A217" s="1">
        <v>215</v>
      </c>
      <c r="B217" t="str">
        <f>HYPERLINK("https://www.dasschnelle.at/degeorgi-helmuth-gmbh-baden-am-hörmbach","Website")</f>
        <v>Website</v>
      </c>
      <c r="C217" t="str">
        <f>HYPERLINK("http://www.degeorgi.at","Website")</f>
        <v>Website</v>
      </c>
      <c r="D217" t="str">
        <f>HYPERLINK("http://www.google.com/maps/place/47.9855128,16.2642790","Location")</f>
        <v>Location</v>
      </c>
      <c r="E217" t="s">
        <v>1995</v>
      </c>
      <c r="F217" t="s">
        <v>1996</v>
      </c>
      <c r="G217" t="s">
        <v>1979</v>
      </c>
      <c r="H217" t="s">
        <v>1980</v>
      </c>
      <c r="I217" t="s">
        <v>177</v>
      </c>
      <c r="J217" t="s">
        <v>22</v>
      </c>
      <c r="K217" t="s">
        <v>1997</v>
      </c>
      <c r="L217" t="s">
        <v>2000</v>
      </c>
      <c r="M217" t="s">
        <v>25</v>
      </c>
      <c r="N217" t="s">
        <v>2001</v>
      </c>
      <c r="O217" t="s">
        <v>25</v>
      </c>
      <c r="P217" t="s">
        <v>2002</v>
      </c>
      <c r="Q217" t="s">
        <v>29</v>
      </c>
      <c r="R217" t="s">
        <v>1998</v>
      </c>
      <c r="S217" t="s">
        <v>1999</v>
      </c>
    </row>
    <row r="218" spans="1:19" x14ac:dyDescent="0.25">
      <c r="A218" s="1">
        <v>216</v>
      </c>
      <c r="B218" t="str">
        <f>HYPERLINK("https://www.dasschnelle.at/dance-studio-zehender-keg-baden-kaiser-franz-joseph-ring","Website")</f>
        <v>Website</v>
      </c>
      <c r="C218" t="str">
        <f>HYPERLINK("http://www.tanzwelt.at","Website")</f>
        <v>Website</v>
      </c>
      <c r="D218" t="str">
        <f>HYPERLINK("http://www.google.com/maps/place/48.00395,16.23789","Location")</f>
        <v>Location</v>
      </c>
      <c r="E218" t="s">
        <v>2003</v>
      </c>
      <c r="F218" t="s">
        <v>2004</v>
      </c>
      <c r="G218" t="s">
        <v>1979</v>
      </c>
      <c r="H218" t="s">
        <v>1980</v>
      </c>
      <c r="I218" t="s">
        <v>177</v>
      </c>
      <c r="J218" t="s">
        <v>22</v>
      </c>
      <c r="K218" t="s">
        <v>2005</v>
      </c>
      <c r="L218" t="s">
        <v>2008</v>
      </c>
      <c r="M218" t="s">
        <v>25</v>
      </c>
      <c r="N218" t="s">
        <v>2009</v>
      </c>
      <c r="O218" t="s">
        <v>25</v>
      </c>
      <c r="P218" t="s">
        <v>2010</v>
      </c>
      <c r="Q218" t="s">
        <v>29</v>
      </c>
      <c r="R218" t="s">
        <v>2006</v>
      </c>
      <c r="S218" t="s">
        <v>2007</v>
      </c>
    </row>
    <row r="219" spans="1:19" x14ac:dyDescent="0.25">
      <c r="A219" s="1">
        <v>217</v>
      </c>
      <c r="B219" t="str">
        <f>HYPERLINK("https://www.dasschnelle.at/herbich-robert-dr-med-baden-palffygasse","Website")</f>
        <v>Website</v>
      </c>
      <c r="C219" t="str">
        <f>HYPERLINK("https://www.dasschnelle.at/herbich-robert-dr-med-baden-palffygasse","Website")</f>
        <v>Website</v>
      </c>
      <c r="D219" t="str">
        <f>HYPERLINK("http://www.google.com/maps/place/48.0049887,16.2431718","Location")</f>
        <v>Location</v>
      </c>
      <c r="E219" t="s">
        <v>2011</v>
      </c>
      <c r="F219" t="s">
        <v>2012</v>
      </c>
      <c r="G219" t="s">
        <v>1979</v>
      </c>
      <c r="H219" t="s">
        <v>1980</v>
      </c>
      <c r="I219" t="s">
        <v>177</v>
      </c>
      <c r="J219" t="s">
        <v>22</v>
      </c>
      <c r="K219" t="s">
        <v>2013</v>
      </c>
      <c r="L219" t="s">
        <v>2016</v>
      </c>
      <c r="M219" t="s">
        <v>25</v>
      </c>
      <c r="N219" t="s">
        <v>25</v>
      </c>
      <c r="O219" t="s">
        <v>25</v>
      </c>
      <c r="P219" t="s">
        <v>2017</v>
      </c>
      <c r="Q219" t="s">
        <v>29</v>
      </c>
      <c r="R219" t="s">
        <v>2014</v>
      </c>
      <c r="S219" t="s">
        <v>2015</v>
      </c>
    </row>
    <row r="220" spans="1:19" x14ac:dyDescent="0.25">
      <c r="A220" s="1">
        <v>218</v>
      </c>
      <c r="B220" t="str">
        <f>HYPERLINK("https://www.dasschnelle.at/kläranlage-des-abwasserverbandes-trumau-schönau-trumau-dr-körner-straße","Website")</f>
        <v>Website</v>
      </c>
      <c r="C220" t="str">
        <f>HYPERLINK("http://www.tsug.at","Website")</f>
        <v>Website</v>
      </c>
      <c r="D220" t="str">
        <f>HYPERLINK("http://www.google.com/maps/place/48.0054410,16.3544787","Location")</f>
        <v>Location</v>
      </c>
      <c r="E220" t="s">
        <v>2018</v>
      </c>
      <c r="F220" t="s">
        <v>2019</v>
      </c>
      <c r="G220" t="s">
        <v>2021</v>
      </c>
      <c r="H220" t="s">
        <v>2022</v>
      </c>
      <c r="I220" t="s">
        <v>177</v>
      </c>
      <c r="J220" t="s">
        <v>22</v>
      </c>
      <c r="K220" t="s">
        <v>2020</v>
      </c>
      <c r="L220" t="s">
        <v>2025</v>
      </c>
      <c r="M220" t="s">
        <v>2026</v>
      </c>
      <c r="N220" t="s">
        <v>2027</v>
      </c>
      <c r="O220" t="s">
        <v>25</v>
      </c>
      <c r="P220" t="s">
        <v>2028</v>
      </c>
      <c r="Q220" t="s">
        <v>29</v>
      </c>
      <c r="R220" t="s">
        <v>2023</v>
      </c>
      <c r="S220" t="s">
        <v>2024</v>
      </c>
    </row>
    <row r="221" spans="1:19" x14ac:dyDescent="0.25">
      <c r="A221" s="1">
        <v>219</v>
      </c>
      <c r="B221" t="str">
        <f>HYPERLINK("https://www.dasschnelle.at/kinderarztpraxis-dr-günter-ullreich-dr-manfred-weiss-und-dr-karin-moser-tribuswinkel-schloßallee","Website")</f>
        <v>Website</v>
      </c>
      <c r="C221" t="str">
        <f>HYPERLINK("http://www.diekinderaerzte.at","Website")</f>
        <v>Website</v>
      </c>
      <c r="D221" t="str">
        <f>HYPERLINK("http://www.google.com/maps/place/48.00603,16.27326","Location")</f>
        <v>Location</v>
      </c>
      <c r="E221" t="s">
        <v>2029</v>
      </c>
      <c r="F221" t="s">
        <v>2030</v>
      </c>
      <c r="G221" t="s">
        <v>2032</v>
      </c>
      <c r="H221" t="s">
        <v>2033</v>
      </c>
      <c r="I221" t="s">
        <v>177</v>
      </c>
      <c r="J221" t="s">
        <v>22</v>
      </c>
      <c r="K221" t="s">
        <v>2031</v>
      </c>
      <c r="L221" t="s">
        <v>2036</v>
      </c>
      <c r="M221" t="s">
        <v>25</v>
      </c>
      <c r="N221" t="s">
        <v>2037</v>
      </c>
      <c r="O221" t="s">
        <v>25</v>
      </c>
      <c r="P221" t="s">
        <v>2038</v>
      </c>
      <c r="Q221" t="s">
        <v>29</v>
      </c>
      <c r="R221" t="s">
        <v>2034</v>
      </c>
      <c r="S221" t="s">
        <v>2035</v>
      </c>
    </row>
    <row r="222" spans="1:19" x14ac:dyDescent="0.25">
      <c r="A222" s="1">
        <v>220</v>
      </c>
      <c r="B222" t="str">
        <f>HYPERLINK("https://www.dasschnelle.at/schneider-gabriela-dr-med-dent-sooß-hauptstraße","Website")</f>
        <v>Website</v>
      </c>
      <c r="C222" t="str">
        <f>HYPERLINK("http://www.zahnaerztin-sooss.at","Website")</f>
        <v>Website</v>
      </c>
      <c r="D222" t="str">
        <f>HYPERLINK("http://www.google.com/maps/place/47.98465,16.2148","Location")</f>
        <v>Location</v>
      </c>
      <c r="E222" t="s">
        <v>2039</v>
      </c>
      <c r="F222" t="s">
        <v>2040</v>
      </c>
      <c r="G222" t="s">
        <v>2042</v>
      </c>
      <c r="H222" t="s">
        <v>2043</v>
      </c>
      <c r="I222" t="s">
        <v>177</v>
      </c>
      <c r="J222" t="s">
        <v>22</v>
      </c>
      <c r="K222" t="s">
        <v>2041</v>
      </c>
      <c r="L222" t="s">
        <v>2046</v>
      </c>
      <c r="M222" t="s">
        <v>25</v>
      </c>
      <c r="N222" t="s">
        <v>2047</v>
      </c>
      <c r="O222" t="s">
        <v>25</v>
      </c>
      <c r="P222" t="s">
        <v>2048</v>
      </c>
      <c r="Q222" t="s">
        <v>29</v>
      </c>
      <c r="R222" t="s">
        <v>2044</v>
      </c>
      <c r="S222" t="s">
        <v>2045</v>
      </c>
    </row>
    <row r="223" spans="1:19" x14ac:dyDescent="0.25">
      <c r="A223" s="1">
        <v>221</v>
      </c>
      <c r="B223" t="str">
        <f>HYPERLINK("https://www.dasschnelle.at/baader-johannes-gesmbh-tribuswinkel-bartensteinplatz","Website")</f>
        <v>Website</v>
      </c>
      <c r="C223" t="str">
        <f>HYPERLINK("http://www.gebaeudereinigung-baader.at","Website")</f>
        <v>Website</v>
      </c>
      <c r="D223" t="str">
        <f>HYPERLINK("http://www.google.com/maps/place/48.00505,16.27036","Location")</f>
        <v>Location</v>
      </c>
      <c r="E223" t="s">
        <v>2049</v>
      </c>
      <c r="F223" t="s">
        <v>2050</v>
      </c>
      <c r="G223" t="s">
        <v>2032</v>
      </c>
      <c r="H223" t="s">
        <v>2033</v>
      </c>
      <c r="I223" t="s">
        <v>177</v>
      </c>
      <c r="J223" t="s">
        <v>22</v>
      </c>
      <c r="K223" t="s">
        <v>2051</v>
      </c>
      <c r="L223" t="s">
        <v>2054</v>
      </c>
      <c r="M223" t="s">
        <v>25</v>
      </c>
      <c r="N223" t="s">
        <v>2055</v>
      </c>
      <c r="O223" t="s">
        <v>2056</v>
      </c>
      <c r="P223" t="s">
        <v>2057</v>
      </c>
      <c r="Q223" t="s">
        <v>29</v>
      </c>
      <c r="R223" t="s">
        <v>2052</v>
      </c>
      <c r="S223" t="s">
        <v>2053</v>
      </c>
    </row>
    <row r="224" spans="1:19" x14ac:dyDescent="0.25">
      <c r="A224" s="1">
        <v>222</v>
      </c>
      <c r="B224" t="str">
        <f>HYPERLINK("https://www.dasschnelle.at/tb-elektrotechnik-ltd-bad-vöslau-konrad-poll-straße","Website")</f>
        <v>Website</v>
      </c>
      <c r="C224" t="str">
        <f>HYPERLINK("https://www.dasschnelle.at/tb-elektrotechnik-ltd-bad-v%C3%B6slau-konrad-poll-stra%C3%9Fe","Website")</f>
        <v>Website</v>
      </c>
      <c r="D224" t="str">
        <f>HYPERLINK("http://www.google.com/maps/place/47.9625606,16.2177573","Location")</f>
        <v>Location</v>
      </c>
      <c r="E224" t="s">
        <v>2058</v>
      </c>
      <c r="F224" t="s">
        <v>2059</v>
      </c>
      <c r="G224" t="s">
        <v>2061</v>
      </c>
      <c r="H224" t="s">
        <v>2062</v>
      </c>
      <c r="I224" t="s">
        <v>177</v>
      </c>
      <c r="J224" t="s">
        <v>22</v>
      </c>
      <c r="K224" t="s">
        <v>2060</v>
      </c>
      <c r="L224" t="s">
        <v>2065</v>
      </c>
      <c r="M224" t="s">
        <v>25</v>
      </c>
      <c r="N224" t="s">
        <v>2066</v>
      </c>
      <c r="O224" t="s">
        <v>25</v>
      </c>
      <c r="P224" t="s">
        <v>2067</v>
      </c>
      <c r="Q224" t="s">
        <v>29</v>
      </c>
      <c r="R224" t="s">
        <v>2063</v>
      </c>
      <c r="S224" t="s">
        <v>2064</v>
      </c>
    </row>
    <row r="225" spans="1:19" x14ac:dyDescent="0.25">
      <c r="A225" s="1">
        <v>223</v>
      </c>
      <c r="B225" t="str">
        <f>HYPERLINK("https://www.dasschnelle.at/cepko-alexander-kg-alland-hauptstraße","Website")</f>
        <v>Website</v>
      </c>
      <c r="C225" t="str">
        <f>HYPERLINK("http://www.cepko.at","Website")</f>
        <v>Website</v>
      </c>
      <c r="D225" t="str">
        <f>HYPERLINK("http://www.google.com/maps/place/48.05724,16.07671","Location")</f>
        <v>Location</v>
      </c>
      <c r="E225" t="s">
        <v>2068</v>
      </c>
      <c r="F225" t="s">
        <v>2069</v>
      </c>
      <c r="G225" t="s">
        <v>2071</v>
      </c>
      <c r="H225" t="s">
        <v>2072</v>
      </c>
      <c r="I225" t="s">
        <v>177</v>
      </c>
      <c r="J225" t="s">
        <v>22</v>
      </c>
      <c r="K225" t="s">
        <v>2070</v>
      </c>
      <c r="L225" t="s">
        <v>2075</v>
      </c>
      <c r="M225" t="s">
        <v>25</v>
      </c>
      <c r="N225" t="s">
        <v>2076</v>
      </c>
      <c r="O225" t="s">
        <v>25</v>
      </c>
      <c r="P225" t="s">
        <v>2077</v>
      </c>
      <c r="Q225" t="s">
        <v>29</v>
      </c>
      <c r="R225" t="s">
        <v>2073</v>
      </c>
      <c r="S225" t="s">
        <v>2074</v>
      </c>
    </row>
    <row r="226" spans="1:19" x14ac:dyDescent="0.25">
      <c r="A226" s="1">
        <v>224</v>
      </c>
      <c r="B226" t="str">
        <f>HYPERLINK("https://www.dasschnelle.at/smalyuk-nataliya-dr-traiskirchen-hauptplatz","Website")</f>
        <v>Website</v>
      </c>
      <c r="C226" t="str">
        <f>HYPERLINK("https://www.dasschnelle.at/smalyuk-nataliya-dr-traiskirchen-hauptplatz","Website")</f>
        <v>Website</v>
      </c>
      <c r="D226" t="str">
        <f>HYPERLINK("http://www.google.com/maps/place/48.0134736,16.2941737","Location")</f>
        <v>Location</v>
      </c>
      <c r="E226" t="s">
        <v>2078</v>
      </c>
      <c r="F226" t="s">
        <v>2079</v>
      </c>
      <c r="G226" t="s">
        <v>2081</v>
      </c>
      <c r="H226" t="s">
        <v>2082</v>
      </c>
      <c r="I226" t="s">
        <v>177</v>
      </c>
      <c r="J226" t="s">
        <v>22</v>
      </c>
      <c r="K226" t="s">
        <v>2080</v>
      </c>
      <c r="L226" t="s">
        <v>2085</v>
      </c>
      <c r="M226" t="s">
        <v>25</v>
      </c>
      <c r="N226" t="s">
        <v>2086</v>
      </c>
      <c r="O226" t="s">
        <v>25</v>
      </c>
      <c r="P226" t="s">
        <v>2087</v>
      </c>
      <c r="Q226" t="s">
        <v>29</v>
      </c>
      <c r="R226" t="s">
        <v>2083</v>
      </c>
      <c r="S226" t="s">
        <v>2084</v>
      </c>
    </row>
    <row r="227" spans="1:19" x14ac:dyDescent="0.25">
      <c r="A227" s="1">
        <v>225</v>
      </c>
      <c r="B227" t="str">
        <f>HYPERLINK("https://www.dasschnelle.at/rupsch-gmbh-leobersdorf-südbahnstraße","Website")</f>
        <v>Website</v>
      </c>
      <c r="C227" t="str">
        <f>HYPERLINK("http://www.rupsch.at/","Website")</f>
        <v>Website</v>
      </c>
      <c r="D227" t="str">
        <f>HYPERLINK("http://www.google.com/maps/place/47.93135,16.21868","Location")</f>
        <v>Location</v>
      </c>
      <c r="E227" t="s">
        <v>2088</v>
      </c>
      <c r="F227" t="s">
        <v>2089</v>
      </c>
      <c r="G227" t="s">
        <v>2091</v>
      </c>
      <c r="H227" t="s">
        <v>2092</v>
      </c>
      <c r="I227" t="s">
        <v>177</v>
      </c>
      <c r="J227" t="s">
        <v>22</v>
      </c>
      <c r="K227" t="s">
        <v>2090</v>
      </c>
      <c r="L227" t="s">
        <v>2095</v>
      </c>
      <c r="M227" t="s">
        <v>2096</v>
      </c>
      <c r="N227" t="s">
        <v>2097</v>
      </c>
      <c r="O227" t="s">
        <v>25</v>
      </c>
      <c r="P227" t="s">
        <v>2098</v>
      </c>
      <c r="Q227" t="s">
        <v>29</v>
      </c>
      <c r="R227" t="s">
        <v>2093</v>
      </c>
      <c r="S227" t="s">
        <v>2094</v>
      </c>
    </row>
    <row r="228" spans="1:19" x14ac:dyDescent="0.25">
      <c r="A228" s="1">
        <v>226</v>
      </c>
      <c r="B228" t="str">
        <f>HYPERLINK("https://www.dasschnelle.at/schindler-s-montage-service-traiskirchen-pfaffstättner-straße","Website")</f>
        <v>Website</v>
      </c>
      <c r="C228" t="str">
        <f>HYPERLINK("http://www.montage-schindler.at","Website")</f>
        <v>Website</v>
      </c>
      <c r="D228" t="str">
        <f>HYPERLINK("http://www.google.com/maps/place/48.02881,16.30251","Location")</f>
        <v>Location</v>
      </c>
      <c r="E228" t="s">
        <v>2099</v>
      </c>
      <c r="F228" t="s">
        <v>2100</v>
      </c>
      <c r="G228" t="s">
        <v>2081</v>
      </c>
      <c r="H228" t="s">
        <v>2082</v>
      </c>
      <c r="I228" t="s">
        <v>177</v>
      </c>
      <c r="J228" t="s">
        <v>22</v>
      </c>
      <c r="K228" t="s">
        <v>2101</v>
      </c>
      <c r="L228" t="s">
        <v>2104</v>
      </c>
      <c r="M228" t="s">
        <v>25</v>
      </c>
      <c r="N228" t="s">
        <v>2105</v>
      </c>
      <c r="O228" t="s">
        <v>2106</v>
      </c>
      <c r="P228" t="s">
        <v>2107</v>
      </c>
      <c r="Q228" t="s">
        <v>29</v>
      </c>
      <c r="R228" t="s">
        <v>2102</v>
      </c>
      <c r="S228" t="s">
        <v>2103</v>
      </c>
    </row>
    <row r="229" spans="1:19" x14ac:dyDescent="0.25">
      <c r="A229" s="1">
        <v>227</v>
      </c>
      <c r="B229" t="str">
        <f>HYPERLINK("https://www.dasschnelle.at/frisiersalon-margit-baden-brusattiplatz","Website")</f>
        <v>Website</v>
      </c>
      <c r="C229" t="str">
        <f>HYPERLINK("https://www.dasschnelle.at/frisiersalon-margit-baden-brusattiplatz","Website")</f>
        <v>Website</v>
      </c>
      <c r="D229" t="str">
        <f>HYPERLINK("http://www.google.com/maps/place/48.00837,16.23009","Location")</f>
        <v>Location</v>
      </c>
      <c r="E229" t="s">
        <v>2108</v>
      </c>
      <c r="F229" t="s">
        <v>2109</v>
      </c>
      <c r="G229" t="s">
        <v>1979</v>
      </c>
      <c r="H229" t="s">
        <v>1980</v>
      </c>
      <c r="I229" t="s">
        <v>177</v>
      </c>
      <c r="J229" t="s">
        <v>22</v>
      </c>
      <c r="K229" t="s">
        <v>2110</v>
      </c>
      <c r="L229" t="s">
        <v>2113</v>
      </c>
      <c r="M229" t="s">
        <v>25</v>
      </c>
      <c r="N229" t="s">
        <v>2114</v>
      </c>
      <c r="O229" t="s">
        <v>25</v>
      </c>
      <c r="P229" t="s">
        <v>2115</v>
      </c>
      <c r="Q229" t="s">
        <v>29</v>
      </c>
      <c r="R229" t="s">
        <v>2111</v>
      </c>
      <c r="S229" t="s">
        <v>2112</v>
      </c>
    </row>
    <row r="230" spans="1:19" x14ac:dyDescent="0.25">
      <c r="A230" s="1">
        <v>228</v>
      </c>
      <c r="B230" t="str">
        <f>HYPERLINK("https://www.dasschnelle.at/junghofer-installationen-gmbh-traiskirchen-anton-wildgans-gasse","Website")</f>
        <v>Website</v>
      </c>
      <c r="C230" t="str">
        <f>HYPERLINK("http://www.junghofer.at","Website")</f>
        <v>Website</v>
      </c>
      <c r="D230" t="str">
        <f>HYPERLINK("http://www.google.com/maps/place/48.02208,16.29022","Location")</f>
        <v>Location</v>
      </c>
      <c r="E230" t="s">
        <v>2116</v>
      </c>
      <c r="F230" t="s">
        <v>2117</v>
      </c>
      <c r="G230" t="s">
        <v>2081</v>
      </c>
      <c r="H230" t="s">
        <v>2082</v>
      </c>
      <c r="I230" t="s">
        <v>177</v>
      </c>
      <c r="J230" t="s">
        <v>22</v>
      </c>
      <c r="K230" t="s">
        <v>2118</v>
      </c>
      <c r="L230" t="s">
        <v>2121</v>
      </c>
      <c r="M230" t="s">
        <v>2122</v>
      </c>
      <c r="N230" t="s">
        <v>2123</v>
      </c>
      <c r="O230" t="s">
        <v>25</v>
      </c>
      <c r="P230" t="s">
        <v>2124</v>
      </c>
      <c r="Q230" t="s">
        <v>29</v>
      </c>
      <c r="R230" t="s">
        <v>2119</v>
      </c>
      <c r="S230" t="s">
        <v>2120</v>
      </c>
    </row>
    <row r="231" spans="1:19" x14ac:dyDescent="0.25">
      <c r="A231" s="1">
        <v>229</v>
      </c>
      <c r="B231" t="str">
        <f>HYPERLINK("https://www.dasschnelle.at/catomio-istvan-dr-med-ebreichsdorf-wiener-straße","Website")</f>
        <v>Website</v>
      </c>
      <c r="C231" t="str">
        <f>HYPERLINK("http://www.catomio.at","Website")</f>
        <v>Website</v>
      </c>
      <c r="D231" t="str">
        <f>HYPERLINK("http://www.google.com/maps/place/47.9723846,16.3974625","Location")</f>
        <v>Location</v>
      </c>
      <c r="E231" t="s">
        <v>2125</v>
      </c>
      <c r="F231" t="s">
        <v>2126</v>
      </c>
      <c r="G231" t="s">
        <v>2128</v>
      </c>
      <c r="H231" t="s">
        <v>2129</v>
      </c>
      <c r="I231" t="s">
        <v>177</v>
      </c>
      <c r="J231" t="s">
        <v>22</v>
      </c>
      <c r="K231" t="s">
        <v>2127</v>
      </c>
      <c r="L231" t="s">
        <v>2132</v>
      </c>
      <c r="M231" t="s">
        <v>25</v>
      </c>
      <c r="N231" t="s">
        <v>2133</v>
      </c>
      <c r="O231" t="s">
        <v>25</v>
      </c>
      <c r="P231" t="s">
        <v>2134</v>
      </c>
      <c r="Q231" t="s">
        <v>29</v>
      </c>
      <c r="R231" t="s">
        <v>2130</v>
      </c>
      <c r="S231" t="s">
        <v>2131</v>
      </c>
    </row>
    <row r="232" spans="1:19" x14ac:dyDescent="0.25">
      <c r="A232" s="1">
        <v>230</v>
      </c>
      <c r="B232" t="str">
        <f>HYPERLINK("https://www.dasschnelle.at/wöhrer-elektro-gmbh-leobersdorf-hauptschulplatz","Website")</f>
        <v>Website</v>
      </c>
      <c r="C232" t="str">
        <f>HYPERLINK("http://www.elektro-woehrer.at","Website")</f>
        <v>Website</v>
      </c>
      <c r="D232" t="str">
        <f>HYPERLINK("http://www.google.com/maps/place/47.9297100,16.2155000","Location")</f>
        <v>Location</v>
      </c>
      <c r="E232" t="s">
        <v>2135</v>
      </c>
      <c r="F232" t="s">
        <v>2136</v>
      </c>
      <c r="G232" t="s">
        <v>2091</v>
      </c>
      <c r="H232" t="s">
        <v>2092</v>
      </c>
      <c r="I232" t="s">
        <v>177</v>
      </c>
      <c r="J232" t="s">
        <v>22</v>
      </c>
      <c r="K232" t="s">
        <v>2137</v>
      </c>
      <c r="L232" t="s">
        <v>2140</v>
      </c>
      <c r="M232" t="s">
        <v>2141</v>
      </c>
      <c r="N232" t="s">
        <v>2142</v>
      </c>
      <c r="O232" t="s">
        <v>25</v>
      </c>
      <c r="P232" t="s">
        <v>2143</v>
      </c>
      <c r="Q232" t="s">
        <v>29</v>
      </c>
      <c r="R232" t="s">
        <v>2138</v>
      </c>
      <c r="S232" t="s">
        <v>2139</v>
      </c>
    </row>
    <row r="233" spans="1:19" x14ac:dyDescent="0.25">
      <c r="A233" s="1">
        <v>231</v>
      </c>
      <c r="B233" t="str">
        <f>HYPERLINK("https://www.dasschnelle.at/mauk-manuel-kottingbrunn-gewerbestraße","Website")</f>
        <v>Website</v>
      </c>
      <c r="C233" t="str">
        <f>HYPERLINK("http://www.mauk-schrott.at","Website")</f>
        <v>Website</v>
      </c>
      <c r="D233" t="str">
        <f>HYPERLINK("http://www.google.com/maps/place/47.9512998,16.219259","Location")</f>
        <v>Location</v>
      </c>
      <c r="E233" t="s">
        <v>2144</v>
      </c>
      <c r="F233" t="s">
        <v>2145</v>
      </c>
      <c r="G233" t="s">
        <v>2147</v>
      </c>
      <c r="H233" t="s">
        <v>2148</v>
      </c>
      <c r="I233" t="s">
        <v>177</v>
      </c>
      <c r="J233" t="s">
        <v>22</v>
      </c>
      <c r="K233" t="s">
        <v>2146</v>
      </c>
      <c r="L233" t="s">
        <v>2151</v>
      </c>
      <c r="M233" t="s">
        <v>25</v>
      </c>
      <c r="N233" t="s">
        <v>2152</v>
      </c>
      <c r="O233" t="s">
        <v>25</v>
      </c>
      <c r="P233" t="s">
        <v>2153</v>
      </c>
      <c r="Q233" t="s">
        <v>29</v>
      </c>
      <c r="R233" t="s">
        <v>2149</v>
      </c>
      <c r="S233" t="s">
        <v>2150</v>
      </c>
    </row>
    <row r="234" spans="1:19" x14ac:dyDescent="0.25">
      <c r="A234" s="1">
        <v>232</v>
      </c>
      <c r="B234" t="str">
        <f>HYPERLINK("https://www.dasschnelle.at/ruhdorfer-christina-ddr-traiskirchen-schwechatstraße","Website")</f>
        <v>Website</v>
      </c>
      <c r="C234" t="str">
        <f>HYPERLINK("http://www.zahn2you.at","Website")</f>
        <v>Website</v>
      </c>
      <c r="D234" t="str">
        <f>HYPERLINK("http://www.google.com/maps/place/48.01951,16.3232","Location")</f>
        <v>Location</v>
      </c>
      <c r="E234" t="s">
        <v>2154</v>
      </c>
      <c r="F234" t="s">
        <v>2155</v>
      </c>
      <c r="G234" t="s">
        <v>2081</v>
      </c>
      <c r="H234" t="s">
        <v>2082</v>
      </c>
      <c r="I234" t="s">
        <v>177</v>
      </c>
      <c r="J234" t="s">
        <v>22</v>
      </c>
      <c r="K234" t="s">
        <v>2156</v>
      </c>
      <c r="L234" t="s">
        <v>2159</v>
      </c>
      <c r="M234" t="s">
        <v>25</v>
      </c>
      <c r="N234" t="s">
        <v>2160</v>
      </c>
      <c r="O234" t="s">
        <v>25</v>
      </c>
      <c r="P234" t="s">
        <v>2161</v>
      </c>
      <c r="Q234" t="s">
        <v>29</v>
      </c>
      <c r="R234" t="s">
        <v>2157</v>
      </c>
      <c r="S234" t="s">
        <v>2158</v>
      </c>
    </row>
    <row r="235" spans="1:19" x14ac:dyDescent="0.25">
      <c r="A235" s="1">
        <v>233</v>
      </c>
      <c r="B235" t="str">
        <f>HYPERLINK("https://www.dasschnelle.at/wutzlhofer-thomas-gmbh-tattendorf-johann-landauer-straße","Website")</f>
        <v>Website</v>
      </c>
      <c r="C235" t="str">
        <f>HYPERLINK("http://www.wutzlhofer.com","Website")</f>
        <v>Website</v>
      </c>
      <c r="D235" t="str">
        <f>HYPERLINK("http://www.google.com/maps/place/47.95399,16.29986","Location")</f>
        <v>Location</v>
      </c>
      <c r="E235" t="s">
        <v>2162</v>
      </c>
      <c r="F235" t="s">
        <v>2163</v>
      </c>
      <c r="G235" t="s">
        <v>2165</v>
      </c>
      <c r="H235" t="s">
        <v>2166</v>
      </c>
      <c r="I235" t="s">
        <v>177</v>
      </c>
      <c r="J235" t="s">
        <v>22</v>
      </c>
      <c r="K235" t="s">
        <v>2164</v>
      </c>
      <c r="L235" t="s">
        <v>2169</v>
      </c>
      <c r="M235" t="s">
        <v>25</v>
      </c>
      <c r="N235" t="s">
        <v>2170</v>
      </c>
      <c r="O235" t="s">
        <v>25</v>
      </c>
      <c r="P235" t="s">
        <v>2171</v>
      </c>
      <c r="Q235" t="s">
        <v>29</v>
      </c>
      <c r="R235" t="s">
        <v>2167</v>
      </c>
      <c r="S235" t="s">
        <v>2168</v>
      </c>
    </row>
    <row r="236" spans="1:19" x14ac:dyDescent="0.25">
      <c r="A236" s="1">
        <v>234</v>
      </c>
      <c r="B236" t="str">
        <f>HYPERLINK("https://www.dasschnelle.at/göschl-gesmbh-kottingbrunn-industriestraße","Website")</f>
        <v>Website</v>
      </c>
      <c r="C236" t="str">
        <f>HYPERLINK("http://www.goeschl-metallbau.at","Website")</f>
        <v>Website</v>
      </c>
      <c r="D236" t="str">
        <f>HYPERLINK("http://www.google.com/maps/place/47.94963,16.22046","Location")</f>
        <v>Location</v>
      </c>
      <c r="E236" t="s">
        <v>2172</v>
      </c>
      <c r="F236" t="s">
        <v>2173</v>
      </c>
      <c r="G236" t="s">
        <v>2147</v>
      </c>
      <c r="H236" t="s">
        <v>2148</v>
      </c>
      <c r="I236" t="s">
        <v>177</v>
      </c>
      <c r="J236" t="s">
        <v>22</v>
      </c>
      <c r="K236" t="s">
        <v>2174</v>
      </c>
      <c r="L236" t="s">
        <v>2177</v>
      </c>
      <c r="M236" t="s">
        <v>2178</v>
      </c>
      <c r="N236" t="s">
        <v>2179</v>
      </c>
      <c r="O236" t="s">
        <v>25</v>
      </c>
      <c r="P236" t="s">
        <v>2180</v>
      </c>
      <c r="Q236" t="s">
        <v>29</v>
      </c>
      <c r="R236" t="s">
        <v>2175</v>
      </c>
      <c r="S236" t="s">
        <v>2176</v>
      </c>
    </row>
    <row r="237" spans="1:19" x14ac:dyDescent="0.25">
      <c r="A237" s="1">
        <v>235</v>
      </c>
      <c r="B237" t="str">
        <f>HYPERLINK("https://www.dasschnelle.at/schwarzott-gmbh-baden-wiener-straße","Website")</f>
        <v>Website</v>
      </c>
      <c r="C237" t="str">
        <f>HYPERLINK("http://www.schwarzott.at","Website")</f>
        <v>Website</v>
      </c>
      <c r="D237" t="str">
        <f>HYPERLINK("http://www.google.com/maps/place/48.0101358,16.2421152","Location")</f>
        <v>Location</v>
      </c>
      <c r="E237" t="s">
        <v>2181</v>
      </c>
      <c r="F237" t="s">
        <v>2182</v>
      </c>
      <c r="G237" t="s">
        <v>1979</v>
      </c>
      <c r="H237" t="s">
        <v>1980</v>
      </c>
      <c r="I237" t="s">
        <v>177</v>
      </c>
      <c r="J237" t="s">
        <v>22</v>
      </c>
      <c r="K237" t="s">
        <v>2183</v>
      </c>
      <c r="L237" t="s">
        <v>2186</v>
      </c>
      <c r="M237" t="s">
        <v>25</v>
      </c>
      <c r="N237" t="s">
        <v>2187</v>
      </c>
      <c r="O237" t="s">
        <v>25</v>
      </c>
      <c r="P237" t="s">
        <v>2188</v>
      </c>
      <c r="Q237" t="s">
        <v>29</v>
      </c>
      <c r="R237" t="s">
        <v>2184</v>
      </c>
      <c r="S237" t="s">
        <v>2185</v>
      </c>
    </row>
    <row r="238" spans="1:19" x14ac:dyDescent="0.25">
      <c r="A238" s="1">
        <v>236</v>
      </c>
      <c r="B238" t="str">
        <f>HYPERLINK("https://www.dasschnelle.at/vollnhofer-almuth-leobersdorf-hauptstraße","Website")</f>
        <v>Website</v>
      </c>
      <c r="C238" t="str">
        <f>HYPERLINK("http://www.leobersdorf-friseur.at","Website")</f>
        <v>Website</v>
      </c>
      <c r="D238" t="str">
        <f>HYPERLINK("http://www.google.com/maps/place/47.92675,16.21623","Location")</f>
        <v>Location</v>
      </c>
      <c r="E238" t="s">
        <v>2189</v>
      </c>
      <c r="F238" t="s">
        <v>2190</v>
      </c>
      <c r="G238" t="s">
        <v>2091</v>
      </c>
      <c r="H238" t="s">
        <v>2092</v>
      </c>
      <c r="I238" t="s">
        <v>177</v>
      </c>
      <c r="J238" t="s">
        <v>22</v>
      </c>
      <c r="K238" t="s">
        <v>2191</v>
      </c>
      <c r="L238" t="s">
        <v>2194</v>
      </c>
      <c r="M238" t="s">
        <v>25</v>
      </c>
      <c r="N238" t="s">
        <v>2195</v>
      </c>
      <c r="O238" t="s">
        <v>25</v>
      </c>
      <c r="P238" t="s">
        <v>2196</v>
      </c>
      <c r="Q238" t="s">
        <v>29</v>
      </c>
      <c r="R238" t="s">
        <v>2192</v>
      </c>
      <c r="S238" t="s">
        <v>2193</v>
      </c>
    </row>
    <row r="239" spans="1:19" x14ac:dyDescent="0.25">
      <c r="A239" s="1">
        <v>237</v>
      </c>
      <c r="B239" t="str">
        <f>HYPERLINK("https://www.dasschnelle.at/swiatek-caroline-dr-oberwaltersdorf-hauptstraße","Website")</f>
        <v>Website</v>
      </c>
      <c r="C239" t="str">
        <f>HYPERLINK("http://www.zahnarztdrswiatek.at","Website")</f>
        <v>Website</v>
      </c>
      <c r="D239" t="str">
        <f>HYPERLINK("http://www.google.com/maps/place/47.97667,16.32306","Location")</f>
        <v>Location</v>
      </c>
      <c r="E239" t="s">
        <v>2197</v>
      </c>
      <c r="F239" t="s">
        <v>2198</v>
      </c>
      <c r="G239" t="s">
        <v>2200</v>
      </c>
      <c r="H239" t="s">
        <v>2201</v>
      </c>
      <c r="I239" t="s">
        <v>177</v>
      </c>
      <c r="J239" t="s">
        <v>22</v>
      </c>
      <c r="K239" t="s">
        <v>2199</v>
      </c>
      <c r="L239" t="s">
        <v>2204</v>
      </c>
      <c r="M239" t="s">
        <v>25</v>
      </c>
      <c r="N239" t="s">
        <v>2205</v>
      </c>
      <c r="O239" t="s">
        <v>25</v>
      </c>
      <c r="P239" t="s">
        <v>2206</v>
      </c>
      <c r="Q239" t="s">
        <v>29</v>
      </c>
      <c r="R239" t="s">
        <v>2202</v>
      </c>
      <c r="S239" t="s">
        <v>2203</v>
      </c>
    </row>
    <row r="240" spans="1:19" x14ac:dyDescent="0.25">
      <c r="A240" s="1">
        <v>238</v>
      </c>
      <c r="B240" t="str">
        <f>HYPERLINK("https://www.dasschnelle.at/wimmer-martin-bad-vöslau-steinbruchgasse","Website")</f>
        <v>Website</v>
      </c>
      <c r="C240" t="str">
        <f>HYPERLINK("http://www.ihrmobilertischler.weebly.com","Website")</f>
        <v>Website</v>
      </c>
      <c r="D240" t="str">
        <f>HYPERLINK("http://www.google.com/maps/place/47.96472,16.1847","Location")</f>
        <v>Location</v>
      </c>
      <c r="E240" t="s">
        <v>2207</v>
      </c>
      <c r="F240" t="s">
        <v>2208</v>
      </c>
      <c r="G240" t="s">
        <v>2061</v>
      </c>
      <c r="H240" t="s">
        <v>2062</v>
      </c>
      <c r="I240" t="s">
        <v>177</v>
      </c>
      <c r="J240" t="s">
        <v>22</v>
      </c>
      <c r="K240" t="s">
        <v>2209</v>
      </c>
      <c r="L240" t="s">
        <v>2212</v>
      </c>
      <c r="M240" t="s">
        <v>25</v>
      </c>
      <c r="N240" t="s">
        <v>2213</v>
      </c>
      <c r="O240" t="s">
        <v>25</v>
      </c>
      <c r="P240" t="s">
        <v>2214</v>
      </c>
      <c r="Q240" t="s">
        <v>29</v>
      </c>
      <c r="R240" t="s">
        <v>2210</v>
      </c>
      <c r="S240" t="s">
        <v>2211</v>
      </c>
    </row>
    <row r="241" spans="1:19" x14ac:dyDescent="0.25">
      <c r="A241" s="1">
        <v>239</v>
      </c>
      <c r="B241" t="str">
        <f>HYPERLINK("https://www.dasschnelle.at/edok-elektrotechnik-baden-kiebitzmühlgasse","Website")</f>
        <v>Website</v>
      </c>
      <c r="C241" t="str">
        <f>HYPERLINK("http://www.edok.at","Website")</f>
        <v>Website</v>
      </c>
      <c r="D241" t="str">
        <f>HYPERLINK("http://www.google.com/maps/place/47.97863,16.27469","Location")</f>
        <v>Location</v>
      </c>
      <c r="E241" t="s">
        <v>2215</v>
      </c>
      <c r="F241" t="s">
        <v>2216</v>
      </c>
      <c r="G241" t="s">
        <v>1979</v>
      </c>
      <c r="H241" t="s">
        <v>1980</v>
      </c>
      <c r="I241" t="s">
        <v>177</v>
      </c>
      <c r="J241" t="s">
        <v>22</v>
      </c>
      <c r="K241" t="s">
        <v>2217</v>
      </c>
      <c r="L241" t="s">
        <v>2220</v>
      </c>
      <c r="M241" t="s">
        <v>25</v>
      </c>
      <c r="N241" t="s">
        <v>2221</v>
      </c>
      <c r="O241" t="s">
        <v>2222</v>
      </c>
      <c r="P241" t="s">
        <v>2223</v>
      </c>
      <c r="Q241" t="s">
        <v>29</v>
      </c>
      <c r="R241" t="s">
        <v>2218</v>
      </c>
      <c r="S241" t="s">
        <v>2219</v>
      </c>
    </row>
    <row r="242" spans="1:19" x14ac:dyDescent="0.25">
      <c r="A242" s="1">
        <v>240</v>
      </c>
      <c r="B242" t="str">
        <f>HYPERLINK("https://www.dasschnelle.at/unterberger-martin-di-enzesfeld-lindabrunn-wiener-neustädterstraße","Website")</f>
        <v>Website</v>
      </c>
      <c r="C242" t="str">
        <f>HYPERLINK("https://www.dasschnelle.at/unterberger-martin-di-enzesfeld-lindabrunn-wiener-neust%C3%A4dterstra%C3%9Fe","Website")</f>
        <v>Website</v>
      </c>
      <c r="D242" t="str">
        <f>HYPERLINK("http://www.google.com/maps/place/47.91555,16.18733","Location")</f>
        <v>Location</v>
      </c>
      <c r="E242" t="s">
        <v>2224</v>
      </c>
      <c r="F242" t="s">
        <v>2225</v>
      </c>
      <c r="G242" t="s">
        <v>2227</v>
      </c>
      <c r="H242" t="s">
        <v>2228</v>
      </c>
      <c r="I242" t="s">
        <v>177</v>
      </c>
      <c r="J242" t="s">
        <v>22</v>
      </c>
      <c r="K242" t="s">
        <v>2226</v>
      </c>
      <c r="L242" t="s">
        <v>2231</v>
      </c>
      <c r="M242" t="s">
        <v>25</v>
      </c>
      <c r="N242" t="s">
        <v>2232</v>
      </c>
      <c r="O242" t="s">
        <v>25</v>
      </c>
      <c r="P242" t="s">
        <v>2233</v>
      </c>
      <c r="Q242" t="s">
        <v>29</v>
      </c>
      <c r="R242" t="s">
        <v>2229</v>
      </c>
      <c r="S242" t="s">
        <v>2230</v>
      </c>
    </row>
    <row r="243" spans="1:19" x14ac:dyDescent="0.25">
      <c r="A243" s="1">
        <v>241</v>
      </c>
      <c r="B243" t="str">
        <f>HYPERLINK("https://www.dasschnelle.at/pertiller-alois-berndorf-bei-salzburg-haunsbergstraße","Website")</f>
        <v>Website</v>
      </c>
      <c r="C243" t="str">
        <f>HYPERLINK("https://www.dasschnelle.at/pertiller-alois-berndorf-bei-salzburg-haunsbergstra%C3%9Fe","Website")</f>
        <v>Website</v>
      </c>
      <c r="D243" t="str">
        <f>HYPERLINK("http://www.google.com/maps/place/47.99627,13.06055","Location")</f>
        <v>Location</v>
      </c>
      <c r="E243" t="s">
        <v>2234</v>
      </c>
      <c r="F243" t="s">
        <v>2235</v>
      </c>
      <c r="G243" t="s">
        <v>2237</v>
      </c>
      <c r="H243" t="s">
        <v>2238</v>
      </c>
      <c r="I243" t="s">
        <v>2239</v>
      </c>
      <c r="J243" t="s">
        <v>22</v>
      </c>
      <c r="K243" t="s">
        <v>2236</v>
      </c>
      <c r="L243" t="s">
        <v>2242</v>
      </c>
      <c r="M243" t="s">
        <v>2243</v>
      </c>
      <c r="N243" t="s">
        <v>2244</v>
      </c>
      <c r="O243" t="s">
        <v>25</v>
      </c>
      <c r="P243" t="s">
        <v>2245</v>
      </c>
      <c r="Q243" t="s">
        <v>29</v>
      </c>
      <c r="R243" t="s">
        <v>2240</v>
      </c>
      <c r="S243" t="s">
        <v>2241</v>
      </c>
    </row>
    <row r="244" spans="1:19" x14ac:dyDescent="0.25">
      <c r="A244" s="1">
        <v>242</v>
      </c>
      <c r="B244" t="str">
        <f>HYPERLINK("https://www.dasschnelle.at/cepko-alexander-kg-altenmarkt-an-der-triesting-altenmarkt-an-der-triesting","Website")</f>
        <v>Website</v>
      </c>
      <c r="C244" t="str">
        <f>HYPERLINK("http://www.cepko.at","Website")</f>
        <v>Website</v>
      </c>
      <c r="D244" t="str">
        <f>HYPERLINK("http://www.google.com/maps/place/48.0154209,15.9949395","Location")</f>
        <v>Location</v>
      </c>
      <c r="E244" t="s">
        <v>2246</v>
      </c>
      <c r="F244" t="s">
        <v>2247</v>
      </c>
      <c r="G244" t="s">
        <v>2249</v>
      </c>
      <c r="H244" t="s">
        <v>2250</v>
      </c>
      <c r="I244" t="s">
        <v>177</v>
      </c>
      <c r="J244" t="s">
        <v>22</v>
      </c>
      <c r="K244" t="s">
        <v>2248</v>
      </c>
      <c r="L244" t="s">
        <v>2253</v>
      </c>
      <c r="M244" t="s">
        <v>25</v>
      </c>
      <c r="N244" t="s">
        <v>2076</v>
      </c>
      <c r="O244" t="s">
        <v>25</v>
      </c>
      <c r="P244" t="s">
        <v>2254</v>
      </c>
      <c r="Q244" t="s">
        <v>29</v>
      </c>
      <c r="R244" t="s">
        <v>2251</v>
      </c>
      <c r="S244" t="s">
        <v>2252</v>
      </c>
    </row>
    <row r="245" spans="1:19" x14ac:dyDescent="0.25">
      <c r="A245" s="1">
        <v>243</v>
      </c>
      <c r="B245" t="str">
        <f>HYPERLINK("https://www.dasschnelle.at/ing-thomas-birbamer-e-u-berndorf-essentherstraße","Website")</f>
        <v>Website</v>
      </c>
      <c r="C245" t="str">
        <f>HYPERLINK("http://www.birbamer-fenster.at","Website")</f>
        <v>Website</v>
      </c>
      <c r="D245" t="str">
        <f>HYPERLINK("http://www.google.com/maps/place/47.9363866,16.1029632","Location")</f>
        <v>Location</v>
      </c>
      <c r="E245" t="s">
        <v>2255</v>
      </c>
      <c r="F245" t="s">
        <v>2256</v>
      </c>
      <c r="G245" t="s">
        <v>2258</v>
      </c>
      <c r="H245" t="s">
        <v>2259</v>
      </c>
      <c r="I245" t="s">
        <v>177</v>
      </c>
      <c r="J245" t="s">
        <v>22</v>
      </c>
      <c r="K245" t="s">
        <v>2257</v>
      </c>
      <c r="L245" t="s">
        <v>2262</v>
      </c>
      <c r="M245" t="s">
        <v>25</v>
      </c>
      <c r="N245" t="s">
        <v>2263</v>
      </c>
      <c r="O245" t="s">
        <v>25</v>
      </c>
      <c r="P245" t="s">
        <v>2264</v>
      </c>
      <c r="Q245" t="s">
        <v>29</v>
      </c>
      <c r="R245" t="s">
        <v>2260</v>
      </c>
      <c r="S245" t="s">
        <v>2261</v>
      </c>
    </row>
    <row r="246" spans="1:19" x14ac:dyDescent="0.25">
      <c r="A246" s="1">
        <v>244</v>
      </c>
      <c r="B246" t="str">
        <f>HYPERLINK("https://www.dasschnelle.at/gestra-spiel-u-freizeiteinrichtungen-gmbh-waldneukirchen-wimbergstraße","Website")</f>
        <v>Website</v>
      </c>
      <c r="C246" t="str">
        <f>HYPERLINK("http://www.gestra.at","Website")</f>
        <v>Website</v>
      </c>
      <c r="D246" t="str">
        <f>HYPERLINK("http://www.google.com/maps/place/48.02056,14.254","Location")</f>
        <v>Location</v>
      </c>
      <c r="E246" t="s">
        <v>2265</v>
      </c>
      <c r="F246" t="s">
        <v>2266</v>
      </c>
      <c r="G246" t="s">
        <v>2268</v>
      </c>
      <c r="H246" t="s">
        <v>2269</v>
      </c>
      <c r="I246" t="s">
        <v>85</v>
      </c>
      <c r="J246" t="s">
        <v>22</v>
      </c>
      <c r="K246" t="s">
        <v>2267</v>
      </c>
      <c r="L246" t="s">
        <v>2272</v>
      </c>
      <c r="M246" t="s">
        <v>2273</v>
      </c>
      <c r="N246" t="s">
        <v>2274</v>
      </c>
      <c r="O246" t="s">
        <v>2275</v>
      </c>
      <c r="P246" t="s">
        <v>2276</v>
      </c>
      <c r="Q246" t="s">
        <v>29</v>
      </c>
      <c r="R246" t="s">
        <v>2270</v>
      </c>
      <c r="S246" t="s">
        <v>2271</v>
      </c>
    </row>
    <row r="247" spans="1:19" x14ac:dyDescent="0.25">
      <c r="A247" s="1">
        <v>245</v>
      </c>
      <c r="B247" t="str">
        <f>HYPERLINK("https://www.dasschnelle.at/gmainer-barbara-bad-hall-bahnhofstraße","Website")</f>
        <v>Website</v>
      </c>
      <c r="C247" t="str">
        <f>HYPERLINK("http://www.frau-wolle.co.at","Website")</f>
        <v>Website</v>
      </c>
      <c r="D247" t="str">
        <f>HYPERLINK("http://www.google.com/maps/place/48.0355300,14.2080100","Location")</f>
        <v>Location</v>
      </c>
      <c r="E247" t="s">
        <v>2277</v>
      </c>
      <c r="F247" t="s">
        <v>2278</v>
      </c>
      <c r="G247" t="s">
        <v>2280</v>
      </c>
      <c r="H247" t="s">
        <v>2281</v>
      </c>
      <c r="I247" t="s">
        <v>85</v>
      </c>
      <c r="J247" t="s">
        <v>22</v>
      </c>
      <c r="K247" t="s">
        <v>2279</v>
      </c>
      <c r="L247" t="s">
        <v>2284</v>
      </c>
      <c r="M247" t="s">
        <v>25</v>
      </c>
      <c r="N247" t="s">
        <v>2285</v>
      </c>
      <c r="O247" t="s">
        <v>25</v>
      </c>
      <c r="P247" t="s">
        <v>2286</v>
      </c>
      <c r="Q247" t="s">
        <v>29</v>
      </c>
      <c r="R247" t="s">
        <v>2282</v>
      </c>
      <c r="S247" t="s">
        <v>2283</v>
      </c>
    </row>
    <row r="248" spans="1:19" x14ac:dyDescent="0.25">
      <c r="A248" s="1">
        <v>246</v>
      </c>
      <c r="B248" t="str">
        <f>HYPERLINK("https://www.dasschnelle.at/instec-installationstechnik-gmbh-st-wolfgang-im-salzkammergut-schwarzenbach","Website")</f>
        <v>Website</v>
      </c>
      <c r="C248" t="str">
        <f>HYPERLINK("http://www.instec.at","Website")</f>
        <v>Website</v>
      </c>
      <c r="D248" t="str">
        <f>HYPERLINK("http://www.google.com/maps/place/47.7283262,13.4891295","Location")</f>
        <v>Location</v>
      </c>
      <c r="E248" t="s">
        <v>2287</v>
      </c>
      <c r="F248" t="s">
        <v>2288</v>
      </c>
      <c r="G248" t="s">
        <v>2290</v>
      </c>
      <c r="H248" t="s">
        <v>2291</v>
      </c>
      <c r="I248" t="s">
        <v>85</v>
      </c>
      <c r="J248" t="s">
        <v>22</v>
      </c>
      <c r="K248" t="s">
        <v>2289</v>
      </c>
      <c r="L248" t="s">
        <v>2294</v>
      </c>
      <c r="M248" t="s">
        <v>2295</v>
      </c>
      <c r="N248" t="s">
        <v>2296</v>
      </c>
      <c r="O248" t="s">
        <v>2297</v>
      </c>
      <c r="P248" t="s">
        <v>2298</v>
      </c>
      <c r="Q248" t="s">
        <v>29</v>
      </c>
      <c r="R248" t="s">
        <v>2292</v>
      </c>
      <c r="S248" t="s">
        <v>2293</v>
      </c>
    </row>
    <row r="249" spans="1:19" x14ac:dyDescent="0.25">
      <c r="A249" s="1">
        <v>247</v>
      </c>
      <c r="B249" t="str">
        <f>HYPERLINK("https://www.dasschnelle.at/bernhard-herzog-kg-berndorf-untere-ödlitzer-straße","Website")</f>
        <v>Website</v>
      </c>
      <c r="C249" t="str">
        <f>HYPERLINK("https://www.dasschnelle.at/bernhard-herzog-kg-berndorf-untere-%C3%B6dlitzer-stra%C3%9Fe","Website")</f>
        <v>Website</v>
      </c>
      <c r="D249" t="str">
        <f>HYPERLINK("http://www.google.com/maps/place/47.94175,16.14575","Location")</f>
        <v>Location</v>
      </c>
      <c r="E249" t="s">
        <v>2299</v>
      </c>
      <c r="F249" t="s">
        <v>2300</v>
      </c>
      <c r="G249" t="s">
        <v>2258</v>
      </c>
      <c r="H249" t="s">
        <v>2259</v>
      </c>
      <c r="I249" t="s">
        <v>177</v>
      </c>
      <c r="J249" t="s">
        <v>22</v>
      </c>
      <c r="K249" t="s">
        <v>2301</v>
      </c>
      <c r="L249" t="s">
        <v>2304</v>
      </c>
      <c r="M249" t="s">
        <v>25</v>
      </c>
      <c r="N249" t="s">
        <v>2305</v>
      </c>
      <c r="O249" t="s">
        <v>25</v>
      </c>
      <c r="P249" t="s">
        <v>2306</v>
      </c>
      <c r="Q249" t="s">
        <v>29</v>
      </c>
      <c r="R249" t="s">
        <v>2302</v>
      </c>
      <c r="S249" t="s">
        <v>2303</v>
      </c>
    </row>
    <row r="250" spans="1:19" x14ac:dyDescent="0.25">
      <c r="A250" s="1">
        <v>248</v>
      </c>
      <c r="B250" t="str">
        <f>HYPERLINK("https://www.dasschnelle.at/fürst-gabriele-berndorf-neufeldweg","Website")</f>
        <v>Website</v>
      </c>
      <c r="C250" t="str">
        <f>HYPERLINK("http://www.lbsvital.at","Website")</f>
        <v>Website</v>
      </c>
      <c r="D250" t="str">
        <f>HYPERLINK("http://www.google.com/maps/place/47.9366,16.14248","Location")</f>
        <v>Location</v>
      </c>
      <c r="E250" t="s">
        <v>2307</v>
      </c>
      <c r="F250" t="s">
        <v>2308</v>
      </c>
      <c r="G250" t="s">
        <v>2258</v>
      </c>
      <c r="H250" t="s">
        <v>2259</v>
      </c>
      <c r="I250" t="s">
        <v>177</v>
      </c>
      <c r="J250" t="s">
        <v>22</v>
      </c>
      <c r="K250" t="s">
        <v>2309</v>
      </c>
      <c r="L250" t="s">
        <v>2312</v>
      </c>
      <c r="M250" t="s">
        <v>25</v>
      </c>
      <c r="N250" t="s">
        <v>2313</v>
      </c>
      <c r="O250" t="s">
        <v>25</v>
      </c>
      <c r="P250" t="s">
        <v>2314</v>
      </c>
      <c r="Q250" t="s">
        <v>29</v>
      </c>
      <c r="R250" t="s">
        <v>2310</v>
      </c>
      <c r="S250" t="s">
        <v>2311</v>
      </c>
    </row>
    <row r="251" spans="1:19" x14ac:dyDescent="0.25">
      <c r="A251" s="1">
        <v>249</v>
      </c>
      <c r="B251" t="str">
        <f>HYPERLINK("https://www.dasschnelle.at/käfmüller-reinhold-sport-2000-bad-aussee-ischler-straße","Website")</f>
        <v>Website</v>
      </c>
      <c r="C251" t="str">
        <f>HYPERLINK("https://www.dasschnelle.at/k%C3%A4fm%C3%BCller-reinhold-sport-2000-bad-aussee-ischler-stra%C3%9Fe","Website")</f>
        <v>Website</v>
      </c>
      <c r="D251" t="str">
        <f>HYPERLINK("http://www.google.com/maps/place/47.60932,13.78252","Location")</f>
        <v>Location</v>
      </c>
      <c r="E251" t="s">
        <v>2315</v>
      </c>
      <c r="F251" t="s">
        <v>2316</v>
      </c>
      <c r="G251" t="s">
        <v>1195</v>
      </c>
      <c r="H251" t="s">
        <v>1196</v>
      </c>
      <c r="I251" t="s">
        <v>451</v>
      </c>
      <c r="J251" t="s">
        <v>22</v>
      </c>
      <c r="K251" t="s">
        <v>2317</v>
      </c>
      <c r="L251" t="s">
        <v>2320</v>
      </c>
      <c r="M251" t="s">
        <v>25</v>
      </c>
      <c r="N251" t="s">
        <v>2321</v>
      </c>
      <c r="O251" t="s">
        <v>25</v>
      </c>
      <c r="P251" t="s">
        <v>2322</v>
      </c>
      <c r="Q251" t="s">
        <v>29</v>
      </c>
      <c r="R251" t="s">
        <v>2318</v>
      </c>
      <c r="S251" t="s">
        <v>2319</v>
      </c>
    </row>
    <row r="252" spans="1:19" x14ac:dyDescent="0.25">
      <c r="A252" s="1">
        <v>250</v>
      </c>
      <c r="B252" t="str">
        <f>HYPERLINK("https://www.dasschnelle.at/kohnhauser-lorenz-dr-med-dent-sankt-gilgen-schwarzenbrunnerstraße","Website")</f>
        <v>Website</v>
      </c>
      <c r="C252" t="str">
        <f>HYPERLINK("https://www.dasschnelle.at/kohnhauser-lorenz-dr-med-dent-sankt-gilgen-schwarzenbrunnerstra%C3%9Fe","Website")</f>
        <v>Website</v>
      </c>
      <c r="D252" t="str">
        <f>HYPERLINK("http://www.google.com/maps/place/47.76657,13.36407","Location")</f>
        <v>Location</v>
      </c>
      <c r="E252" t="s">
        <v>2323</v>
      </c>
      <c r="F252" t="s">
        <v>2324</v>
      </c>
      <c r="G252" t="s">
        <v>2326</v>
      </c>
      <c r="H252" t="s">
        <v>2327</v>
      </c>
      <c r="I252" t="s">
        <v>2239</v>
      </c>
      <c r="J252" t="s">
        <v>22</v>
      </c>
      <c r="K252" t="s">
        <v>2325</v>
      </c>
      <c r="L252" t="s">
        <v>2330</v>
      </c>
      <c r="M252" t="s">
        <v>25</v>
      </c>
      <c r="N252" t="s">
        <v>2331</v>
      </c>
      <c r="O252" t="s">
        <v>25</v>
      </c>
      <c r="P252" t="s">
        <v>2332</v>
      </c>
      <c r="Q252" t="s">
        <v>29</v>
      </c>
      <c r="R252" t="s">
        <v>2328</v>
      </c>
      <c r="S252" t="s">
        <v>2329</v>
      </c>
    </row>
    <row r="253" spans="1:19" x14ac:dyDescent="0.25">
      <c r="A253" s="1">
        <v>251</v>
      </c>
      <c r="B253" t="str">
        <f>HYPERLINK("https://www.dasschnelle.at/stummer-erdbau-u-transportgmbh-au","Website")</f>
        <v>Website</v>
      </c>
      <c r="C253" t="str">
        <f>HYPERLINK("http://www.stummer.cc/","Website")</f>
        <v>Website</v>
      </c>
      <c r="D253" t="str">
        <f>HYPERLINK("http://www.google.com/maps/place/47.6201920,13.6281480","Location")</f>
        <v>Location</v>
      </c>
      <c r="E253" t="s">
        <v>2333</v>
      </c>
      <c r="F253" t="s">
        <v>2334</v>
      </c>
      <c r="G253" t="s">
        <v>2335</v>
      </c>
      <c r="H253" t="s">
        <v>2336</v>
      </c>
      <c r="I253" t="s">
        <v>85</v>
      </c>
      <c r="J253" t="s">
        <v>22</v>
      </c>
      <c r="K253" t="s">
        <v>25</v>
      </c>
      <c r="L253" t="s">
        <v>2339</v>
      </c>
      <c r="M253" t="s">
        <v>2340</v>
      </c>
      <c r="N253" t="s">
        <v>2341</v>
      </c>
      <c r="O253" t="s">
        <v>2342</v>
      </c>
      <c r="P253" t="s">
        <v>2343</v>
      </c>
      <c r="Q253" t="s">
        <v>29</v>
      </c>
      <c r="R253" t="s">
        <v>2337</v>
      </c>
      <c r="S253" t="s">
        <v>2338</v>
      </c>
    </row>
    <row r="254" spans="1:19" x14ac:dyDescent="0.25">
      <c r="A254" s="1">
        <v>252</v>
      </c>
      <c r="B254" t="str">
        <f>HYPERLINK("https://www.dasschnelle.at/frisiersalon-fuchs-goisern-dr-matthia-promenade","Website")</f>
        <v>Website</v>
      </c>
      <c r="C254" t="str">
        <f>HYPERLINK("https://www.dasschnelle.at/frisiersalon-fuchs-goisern-dr-matthia-promenade","Website")</f>
        <v>Website</v>
      </c>
      <c r="D254" t="str">
        <f>HYPERLINK("http://www.google.com/maps/place/47.6411625,13.6161798","Location")</f>
        <v>Location</v>
      </c>
      <c r="E254" t="s">
        <v>2344</v>
      </c>
      <c r="F254" t="s">
        <v>2345</v>
      </c>
      <c r="G254" t="s">
        <v>2335</v>
      </c>
      <c r="H254" t="s">
        <v>2347</v>
      </c>
      <c r="I254" t="s">
        <v>85</v>
      </c>
      <c r="J254" t="s">
        <v>22</v>
      </c>
      <c r="K254" t="s">
        <v>2346</v>
      </c>
      <c r="L254" t="s">
        <v>2350</v>
      </c>
      <c r="M254" t="s">
        <v>25</v>
      </c>
      <c r="N254" t="s">
        <v>2351</v>
      </c>
      <c r="O254" t="s">
        <v>25</v>
      </c>
      <c r="P254" t="s">
        <v>2352</v>
      </c>
      <c r="Q254" t="s">
        <v>29</v>
      </c>
      <c r="R254" t="s">
        <v>2348</v>
      </c>
      <c r="S254" t="s">
        <v>2349</v>
      </c>
    </row>
    <row r="255" spans="1:19" x14ac:dyDescent="0.25">
      <c r="A255" s="1">
        <v>253</v>
      </c>
      <c r="B255" t="str">
        <f>HYPERLINK("https://www.dasschnelle.at/schmaranzer-daniel-bad-goisern-stambach","Website")</f>
        <v>Website</v>
      </c>
      <c r="C255" t="str">
        <f>HYPERLINK("https://www.dasschnelle.at/schmaranzer-daniel-bad-goisern-stambach","Website")</f>
        <v>Website</v>
      </c>
      <c r="D255" t="str">
        <f>HYPERLINK("http://www.google.com/maps/place/47.6311998,13.6258917","Location")</f>
        <v>Location</v>
      </c>
      <c r="E255" t="s">
        <v>2353</v>
      </c>
      <c r="F255" t="s">
        <v>2354</v>
      </c>
      <c r="G255" t="s">
        <v>2335</v>
      </c>
      <c r="H255" t="s">
        <v>2356</v>
      </c>
      <c r="I255" t="s">
        <v>85</v>
      </c>
      <c r="J255" t="s">
        <v>22</v>
      </c>
      <c r="K255" t="s">
        <v>2355</v>
      </c>
      <c r="L255" t="s">
        <v>2359</v>
      </c>
      <c r="M255" t="s">
        <v>2360</v>
      </c>
      <c r="N255" t="s">
        <v>2361</v>
      </c>
      <c r="O255" t="s">
        <v>2362</v>
      </c>
      <c r="P255" t="s">
        <v>2363</v>
      </c>
      <c r="Q255" t="s">
        <v>29</v>
      </c>
      <c r="R255" t="s">
        <v>2357</v>
      </c>
      <c r="S255" t="s">
        <v>2358</v>
      </c>
    </row>
    <row r="256" spans="1:19" x14ac:dyDescent="0.25">
      <c r="A256" s="1">
        <v>254</v>
      </c>
      <c r="B256" t="str">
        <f>HYPERLINK("https://www.dasschnelle.at/hillbrand-thomas-grundlsee-gößl","Website")</f>
        <v>Website</v>
      </c>
      <c r="C256" t="str">
        <f>HYPERLINK("http://www.baggerarbeiten-hillbrand.at","Website")</f>
        <v>Website</v>
      </c>
      <c r="D256" t="str">
        <f>HYPERLINK("http://www.google.com/maps/place/47.6399948,13.9040072","Location")</f>
        <v>Location</v>
      </c>
      <c r="E256" t="s">
        <v>2364</v>
      </c>
      <c r="F256" t="s">
        <v>2365</v>
      </c>
      <c r="G256" t="s">
        <v>2367</v>
      </c>
      <c r="H256" t="s">
        <v>2368</v>
      </c>
      <c r="I256" t="s">
        <v>451</v>
      </c>
      <c r="J256" t="s">
        <v>22</v>
      </c>
      <c r="K256" t="s">
        <v>2366</v>
      </c>
      <c r="L256" t="s">
        <v>2371</v>
      </c>
      <c r="M256" t="s">
        <v>25</v>
      </c>
      <c r="N256" t="s">
        <v>2372</v>
      </c>
      <c r="O256" t="s">
        <v>2373</v>
      </c>
      <c r="P256" t="s">
        <v>697</v>
      </c>
      <c r="Q256" t="s">
        <v>29</v>
      </c>
      <c r="R256" t="s">
        <v>2369</v>
      </c>
      <c r="S256" t="s">
        <v>2370</v>
      </c>
    </row>
    <row r="257" spans="1:19" x14ac:dyDescent="0.25">
      <c r="A257" s="1">
        <v>255</v>
      </c>
      <c r="B257" t="str">
        <f>HYPERLINK("https://www.dasschnelle.at/hager-ing-installationsgesmbh-und-co-kg-bad-ischl-salzburger-straße","Website")</f>
        <v>Website</v>
      </c>
      <c r="C257" t="str">
        <f>HYPERLINK("http://www.hager-kg.at","Website")</f>
        <v>Website</v>
      </c>
      <c r="D257" t="str">
        <f>HYPERLINK("http://www.google.com/maps/place/47.71553,13.56853","Location")</f>
        <v>Location</v>
      </c>
      <c r="E257" t="s">
        <v>2374</v>
      </c>
      <c r="F257" t="s">
        <v>2375</v>
      </c>
      <c r="G257" t="s">
        <v>2377</v>
      </c>
      <c r="H257" t="s">
        <v>2378</v>
      </c>
      <c r="I257" t="s">
        <v>85</v>
      </c>
      <c r="J257" t="s">
        <v>22</v>
      </c>
      <c r="K257" t="s">
        <v>2376</v>
      </c>
      <c r="L257" t="s">
        <v>2381</v>
      </c>
      <c r="M257" t="s">
        <v>2382</v>
      </c>
      <c r="N257" t="s">
        <v>2383</v>
      </c>
      <c r="O257" t="s">
        <v>25</v>
      </c>
      <c r="P257" t="s">
        <v>2384</v>
      </c>
      <c r="Q257" t="s">
        <v>29</v>
      </c>
      <c r="R257" t="s">
        <v>2379</v>
      </c>
      <c r="S257" t="s">
        <v>2380</v>
      </c>
    </row>
    <row r="258" spans="1:19" x14ac:dyDescent="0.25">
      <c r="A258" s="1">
        <v>256</v>
      </c>
      <c r="B258" t="str">
        <f>HYPERLINK("https://www.dasschnelle.at/zum-pfandl-bad-ischl-salzburger-straße","Website")</f>
        <v>Website</v>
      </c>
      <c r="C258" t="str">
        <f>HYPERLINK("http://www.gasthof-pfandl.at","Website")</f>
        <v>Website</v>
      </c>
      <c r="D258" t="str">
        <f>HYPERLINK("http://www.google.com/maps/place/47.71715,13.59106","Location")</f>
        <v>Location</v>
      </c>
      <c r="E258" t="s">
        <v>2385</v>
      </c>
      <c r="F258" t="s">
        <v>2386</v>
      </c>
      <c r="G258" t="s">
        <v>2377</v>
      </c>
      <c r="H258" t="s">
        <v>2378</v>
      </c>
      <c r="I258" t="s">
        <v>85</v>
      </c>
      <c r="J258" t="s">
        <v>22</v>
      </c>
      <c r="K258" t="s">
        <v>2387</v>
      </c>
      <c r="L258" t="s">
        <v>2390</v>
      </c>
      <c r="M258" t="s">
        <v>25</v>
      </c>
      <c r="N258" t="s">
        <v>2391</v>
      </c>
      <c r="O258" t="s">
        <v>25</v>
      </c>
      <c r="P258" t="s">
        <v>2392</v>
      </c>
      <c r="Q258" t="s">
        <v>29</v>
      </c>
      <c r="R258" t="s">
        <v>2388</v>
      </c>
      <c r="S258" t="s">
        <v>2389</v>
      </c>
    </row>
    <row r="259" spans="1:19" x14ac:dyDescent="0.25">
      <c r="A259" s="1">
        <v>257</v>
      </c>
      <c r="B259" t="str">
        <f>HYPERLINK("https://www.dasschnelle.at/gruber-madeleine-bad-ischl-hasnerallee","Website")</f>
        <v>Website</v>
      </c>
      <c r="C259" t="str">
        <f>HYPERLINK("https://www.dasschnelle.at/gruber-madeleine-bad-ischl-hasnerallee","Website")</f>
        <v>Website</v>
      </c>
      <c r="D259" t="str">
        <f>HYPERLINK("http://www.google.com/maps/place/47.7090715,13.6173297","Location")</f>
        <v>Location</v>
      </c>
      <c r="E259" t="s">
        <v>2393</v>
      </c>
      <c r="F259" t="s">
        <v>2394</v>
      </c>
      <c r="G259" t="s">
        <v>2377</v>
      </c>
      <c r="H259" t="s">
        <v>2378</v>
      </c>
      <c r="I259" t="s">
        <v>85</v>
      </c>
      <c r="J259" t="s">
        <v>22</v>
      </c>
      <c r="K259" t="s">
        <v>2395</v>
      </c>
      <c r="L259" t="s">
        <v>2398</v>
      </c>
      <c r="M259" t="s">
        <v>25</v>
      </c>
      <c r="N259" t="s">
        <v>2399</v>
      </c>
      <c r="O259" t="s">
        <v>25</v>
      </c>
      <c r="P259" t="s">
        <v>2400</v>
      </c>
      <c r="Q259" t="s">
        <v>29</v>
      </c>
      <c r="R259" t="s">
        <v>2396</v>
      </c>
      <c r="S259" t="s">
        <v>2397</v>
      </c>
    </row>
    <row r="260" spans="1:19" x14ac:dyDescent="0.25">
      <c r="A260" s="1">
        <v>258</v>
      </c>
      <c r="B260" t="str">
        <f>HYPERLINK("https://www.dasschnelle.at/schwarz-wagendorffer-und-co-elektrizitätswerk-gmbh-bad-aussee-pratergasse","Website")</f>
        <v>Website</v>
      </c>
      <c r="C260" t="str">
        <f>HYPERLINK("http://www.ewerk.at","Website")</f>
        <v>Website</v>
      </c>
      <c r="D260" t="str">
        <f>HYPERLINK("http://www.google.com/maps/place/47.60717,13.78528","Location")</f>
        <v>Location</v>
      </c>
      <c r="E260" t="s">
        <v>2401</v>
      </c>
      <c r="F260" t="s">
        <v>2402</v>
      </c>
      <c r="G260" t="s">
        <v>1195</v>
      </c>
      <c r="H260" t="s">
        <v>1196</v>
      </c>
      <c r="I260" t="s">
        <v>451</v>
      </c>
      <c r="J260" t="s">
        <v>22</v>
      </c>
      <c r="K260" t="s">
        <v>2403</v>
      </c>
      <c r="L260" t="s">
        <v>2406</v>
      </c>
      <c r="M260" t="s">
        <v>2407</v>
      </c>
      <c r="N260" t="s">
        <v>2408</v>
      </c>
      <c r="O260" t="s">
        <v>2409</v>
      </c>
      <c r="P260" t="s">
        <v>2410</v>
      </c>
      <c r="Q260" t="s">
        <v>29</v>
      </c>
      <c r="R260" t="s">
        <v>2404</v>
      </c>
      <c r="S260" t="s">
        <v>2405</v>
      </c>
    </row>
    <row r="261" spans="1:19" x14ac:dyDescent="0.25">
      <c r="A261" s="1">
        <v>259</v>
      </c>
      <c r="B261" t="str">
        <f>HYPERLINK("https://www.dasschnelle.at/höllwerth-michael-goisern-untere-marktstraße","Website")</f>
        <v>Website</v>
      </c>
      <c r="C261" t="str">
        <f>HYPERLINK("http://www.musikhaus-hoellwerth.at","Website")</f>
        <v>Website</v>
      </c>
      <c r="D261" t="str">
        <f>HYPERLINK("http://www.google.com/maps/place/47.64181,13.61604","Location")</f>
        <v>Location</v>
      </c>
      <c r="E261" t="s">
        <v>2411</v>
      </c>
      <c r="F261" t="s">
        <v>2412</v>
      </c>
      <c r="G261" t="s">
        <v>2335</v>
      </c>
      <c r="H261" t="s">
        <v>2347</v>
      </c>
      <c r="I261" t="s">
        <v>85</v>
      </c>
      <c r="J261" t="s">
        <v>22</v>
      </c>
      <c r="K261" t="s">
        <v>2413</v>
      </c>
      <c r="L261" t="s">
        <v>2416</v>
      </c>
      <c r="M261" t="s">
        <v>25</v>
      </c>
      <c r="N261" t="s">
        <v>2417</v>
      </c>
      <c r="O261" t="s">
        <v>25</v>
      </c>
      <c r="P261" t="s">
        <v>2418</v>
      </c>
      <c r="Q261" t="s">
        <v>29</v>
      </c>
      <c r="R261" t="s">
        <v>2414</v>
      </c>
      <c r="S261" t="s">
        <v>2415</v>
      </c>
    </row>
    <row r="262" spans="1:19" x14ac:dyDescent="0.25">
      <c r="A262" s="1">
        <v>260</v>
      </c>
      <c r="B262" t="str">
        <f>HYPERLINK("https://www.dasschnelle.at/mei-lan-chen-bad-ischl-rettenbachweg","Website")</f>
        <v>Website</v>
      </c>
      <c r="C262" t="str">
        <f>HYPERLINK("http://www.umeko.at","Website")</f>
        <v>Website</v>
      </c>
      <c r="D262" t="str">
        <f>HYPERLINK("http://www.google.com/maps/place/47.71432,13.62854","Location")</f>
        <v>Location</v>
      </c>
      <c r="E262" t="s">
        <v>2419</v>
      </c>
      <c r="F262" t="s">
        <v>2420</v>
      </c>
      <c r="G262" t="s">
        <v>2377</v>
      </c>
      <c r="H262" t="s">
        <v>2378</v>
      </c>
      <c r="I262" t="s">
        <v>85</v>
      </c>
      <c r="J262" t="s">
        <v>22</v>
      </c>
      <c r="K262" t="s">
        <v>2421</v>
      </c>
      <c r="L262" t="s">
        <v>2424</v>
      </c>
      <c r="M262" t="s">
        <v>25</v>
      </c>
      <c r="N262" t="s">
        <v>2425</v>
      </c>
      <c r="O262" t="s">
        <v>25</v>
      </c>
      <c r="P262" t="s">
        <v>2426</v>
      </c>
      <c r="Q262" t="s">
        <v>29</v>
      </c>
      <c r="R262" t="s">
        <v>2422</v>
      </c>
      <c r="S262" t="s">
        <v>2423</v>
      </c>
    </row>
    <row r="263" spans="1:19" x14ac:dyDescent="0.25">
      <c r="A263" s="1">
        <v>261</v>
      </c>
      <c r="B263" t="str">
        <f>HYPERLINK("https://www.dasschnelle.at/lichtenegger-alfred-bad-goisern-untere-marktstraße","Website")</f>
        <v>Website</v>
      </c>
      <c r="C263" t="str">
        <f>HYPERLINK("https://www.dasschnelle.at/lichtenegger-alfred-bad-goisern-untere-marktstra%C3%9Fe","Website")</f>
        <v>Website</v>
      </c>
      <c r="D263" t="str">
        <f>HYPERLINK("http://www.google.com/maps/place/47.64181,13.61604","Location")</f>
        <v>Location</v>
      </c>
      <c r="E263" t="s">
        <v>2427</v>
      </c>
      <c r="F263" t="s">
        <v>2428</v>
      </c>
      <c r="G263" t="s">
        <v>2335</v>
      </c>
      <c r="H263" t="s">
        <v>2356</v>
      </c>
      <c r="I263" t="s">
        <v>85</v>
      </c>
      <c r="J263" t="s">
        <v>22</v>
      </c>
      <c r="K263" t="s">
        <v>2413</v>
      </c>
      <c r="L263" t="s">
        <v>2429</v>
      </c>
      <c r="M263" t="s">
        <v>2430</v>
      </c>
      <c r="N263" t="s">
        <v>2431</v>
      </c>
      <c r="O263" t="s">
        <v>25</v>
      </c>
      <c r="P263" t="s">
        <v>2432</v>
      </c>
      <c r="Q263" t="s">
        <v>29</v>
      </c>
      <c r="R263" t="s">
        <v>2414</v>
      </c>
      <c r="S263" t="s">
        <v>2415</v>
      </c>
    </row>
    <row r="264" spans="1:19" x14ac:dyDescent="0.25">
      <c r="A264" s="1">
        <v>262</v>
      </c>
      <c r="B264" t="str">
        <f>HYPERLINK("https://www.dasschnelle.at/pölzleitner-josef-bad-goisern-am-hallstättersee-josef-putz-straße","Website")</f>
        <v>Website</v>
      </c>
      <c r="C264" t="str">
        <f>HYPERLINK("http://www.pu00f6lzleitner.at","Website")</f>
        <v>Website</v>
      </c>
      <c r="D264" t="str">
        <f>HYPERLINK("http://www.google.com/maps/place/47.64321,13.61847","Location")</f>
        <v>Location</v>
      </c>
      <c r="E264" t="s">
        <v>2433</v>
      </c>
      <c r="F264" t="s">
        <v>2434</v>
      </c>
      <c r="G264" t="s">
        <v>2335</v>
      </c>
      <c r="H264" t="s">
        <v>2436</v>
      </c>
      <c r="I264" t="s">
        <v>85</v>
      </c>
      <c r="J264" t="s">
        <v>22</v>
      </c>
      <c r="K264" t="s">
        <v>2435</v>
      </c>
      <c r="L264" t="s">
        <v>2439</v>
      </c>
      <c r="M264" t="s">
        <v>25</v>
      </c>
      <c r="N264" t="s">
        <v>2440</v>
      </c>
      <c r="O264" t="s">
        <v>25</v>
      </c>
      <c r="P264" t="s">
        <v>2441</v>
      </c>
      <c r="Q264" t="s">
        <v>29</v>
      </c>
      <c r="R264" t="s">
        <v>2437</v>
      </c>
      <c r="S264" t="s">
        <v>2438</v>
      </c>
    </row>
    <row r="265" spans="1:19" x14ac:dyDescent="0.25">
      <c r="A265" s="1">
        <v>263</v>
      </c>
      <c r="B265" t="str">
        <f>HYPERLINK("https://www.dasschnelle.at/fashion-optik-by-straubinger-bad-ischl-kreuzplatz","Website")</f>
        <v>Website</v>
      </c>
      <c r="C265" t="str">
        <f>HYPERLINK("https://www.dasschnelle.at/fashion-optik-by-straubinger-bad-ischl-kreuzplatz","Website")</f>
        <v>Website</v>
      </c>
      <c r="D265" t="str">
        <f>HYPERLINK("http://www.google.com/maps/place/47.71322,13.62124","Location")</f>
        <v>Location</v>
      </c>
      <c r="E265" t="s">
        <v>2442</v>
      </c>
      <c r="F265" t="s">
        <v>2443</v>
      </c>
      <c r="G265" t="s">
        <v>2377</v>
      </c>
      <c r="H265" t="s">
        <v>2378</v>
      </c>
      <c r="I265" t="s">
        <v>85</v>
      </c>
      <c r="J265" t="s">
        <v>22</v>
      </c>
      <c r="K265" t="s">
        <v>2444</v>
      </c>
      <c r="L265" t="s">
        <v>2447</v>
      </c>
      <c r="M265" t="s">
        <v>25</v>
      </c>
      <c r="N265" t="s">
        <v>2448</v>
      </c>
      <c r="O265" t="s">
        <v>25</v>
      </c>
      <c r="P265" t="s">
        <v>2449</v>
      </c>
      <c r="Q265" t="s">
        <v>29</v>
      </c>
      <c r="R265" t="s">
        <v>2445</v>
      </c>
      <c r="S265" t="s">
        <v>2446</v>
      </c>
    </row>
    <row r="266" spans="1:19" x14ac:dyDescent="0.25">
      <c r="A266" s="1">
        <v>264</v>
      </c>
      <c r="B266" t="str">
        <f>HYPERLINK("https://www.dasschnelle.at/größwang-roland-mag-bad-ischl-pfarrgasse","Website")</f>
        <v>Website</v>
      </c>
      <c r="C266" t="str">
        <f>HYPERLINK("https://www.dasschnelle.at/gr%C3%B6%C3%9Fwang-roland-mag-bad-ischl-pfarrgasse","Website")</f>
        <v>Website</v>
      </c>
      <c r="D266" t="str">
        <f>HYPERLINK("http://www.google.com/maps/place/47.71092,13.62159","Location")</f>
        <v>Location</v>
      </c>
      <c r="E266" t="s">
        <v>2450</v>
      </c>
      <c r="F266" t="s">
        <v>2451</v>
      </c>
      <c r="G266" t="s">
        <v>2377</v>
      </c>
      <c r="H266" t="s">
        <v>2378</v>
      </c>
      <c r="I266" t="s">
        <v>85</v>
      </c>
      <c r="J266" t="s">
        <v>22</v>
      </c>
      <c r="K266" t="s">
        <v>2452</v>
      </c>
      <c r="L266" t="s">
        <v>2455</v>
      </c>
      <c r="M266" t="s">
        <v>25</v>
      </c>
      <c r="N266" t="s">
        <v>2456</v>
      </c>
      <c r="O266" t="s">
        <v>25</v>
      </c>
      <c r="P266" t="s">
        <v>2457</v>
      </c>
      <c r="Q266" t="s">
        <v>29</v>
      </c>
      <c r="R266" t="s">
        <v>2453</v>
      </c>
      <c r="S266" t="s">
        <v>2454</v>
      </c>
    </row>
    <row r="267" spans="1:19" x14ac:dyDescent="0.25">
      <c r="A267" s="1">
        <v>265</v>
      </c>
      <c r="B267" t="str">
        <f>HYPERLINK("https://www.dasschnelle.at/chen-yemao-bad-ischl-salzburger-straße","Website")</f>
        <v>Website</v>
      </c>
      <c r="C267" t="str">
        <f>HYPERLINK("https://www.dasschnelle.at/chen-yemao-bad-ischl-salzburger-stra%C3%9Fe","Website")</f>
        <v>Website</v>
      </c>
      <c r="D267" t="str">
        <f>HYPERLINK("http://www.google.com/maps/place/47.71841,13.59454","Location")</f>
        <v>Location</v>
      </c>
      <c r="E267" t="s">
        <v>2458</v>
      </c>
      <c r="F267" t="s">
        <v>2459</v>
      </c>
      <c r="G267" t="s">
        <v>2377</v>
      </c>
      <c r="H267" t="s">
        <v>2378</v>
      </c>
      <c r="I267" t="s">
        <v>85</v>
      </c>
      <c r="J267" t="s">
        <v>22</v>
      </c>
      <c r="K267" t="s">
        <v>2460</v>
      </c>
      <c r="L267" t="s">
        <v>2463</v>
      </c>
      <c r="M267" t="s">
        <v>25</v>
      </c>
      <c r="N267" t="s">
        <v>2464</v>
      </c>
      <c r="O267" t="s">
        <v>25</v>
      </c>
      <c r="P267" t="s">
        <v>2465</v>
      </c>
      <c r="Q267" t="s">
        <v>29</v>
      </c>
      <c r="R267" t="s">
        <v>2461</v>
      </c>
      <c r="S267" t="s">
        <v>2462</v>
      </c>
    </row>
    <row r="268" spans="1:19" x14ac:dyDescent="0.25">
      <c r="A268" s="1">
        <v>266</v>
      </c>
      <c r="B268" t="str">
        <f>HYPERLINK("https://www.dasschnelle.at/bau-und-möbeltischlerei-kasbichler-st-wolfgang-im-salzkammergut-schwarzenbach","Website")</f>
        <v>Website</v>
      </c>
      <c r="C268" t="str">
        <f>HYPERLINK("https://www.dasschnelle.at/bau-und-m%C3%B6beltischlerei-kasbichler-st-wolfgang-im-salzkammergut-schwarzenbach","Website")</f>
        <v>Website</v>
      </c>
      <c r="D268" t="str">
        <f>HYPERLINK("http://www.google.com/maps/place/47.7307283,13.4814402","Location")</f>
        <v>Location</v>
      </c>
      <c r="E268" t="s">
        <v>2466</v>
      </c>
      <c r="F268" t="s">
        <v>2467</v>
      </c>
      <c r="G268" t="s">
        <v>2290</v>
      </c>
      <c r="H268" t="s">
        <v>2291</v>
      </c>
      <c r="I268" t="s">
        <v>85</v>
      </c>
      <c r="J268" t="s">
        <v>22</v>
      </c>
      <c r="K268" t="s">
        <v>2468</v>
      </c>
      <c r="L268" t="s">
        <v>2471</v>
      </c>
      <c r="M268" t="s">
        <v>25</v>
      </c>
      <c r="N268" t="s">
        <v>2472</v>
      </c>
      <c r="O268" t="s">
        <v>25</v>
      </c>
      <c r="P268" t="s">
        <v>2473</v>
      </c>
      <c r="Q268" t="s">
        <v>29</v>
      </c>
      <c r="R268" t="s">
        <v>2469</v>
      </c>
      <c r="S268" t="s">
        <v>2470</v>
      </c>
    </row>
    <row r="269" spans="1:19" x14ac:dyDescent="0.25">
      <c r="A269" s="1">
        <v>267</v>
      </c>
      <c r="B269" t="str">
        <f>HYPERLINK("https://www.dasschnelle.at/cassel-alexandra-pizzeria-romana-bad-goisern-am-hallstättersee-kirchengasse","Website")</f>
        <v>Website</v>
      </c>
      <c r="C269" t="str">
        <f>HYPERLINK("https://www.dasschnelle.at/cassel-alexandra-pizzeria-romana-bad-goisern-am-hallst%C3%A4ttersee-kirchengasse","Website")</f>
        <v>Website</v>
      </c>
      <c r="D269" t="str">
        <f>HYPERLINK("http://www.google.com/maps/place/47.64273,13.61671","Location")</f>
        <v>Location</v>
      </c>
      <c r="E269" t="s">
        <v>2474</v>
      </c>
      <c r="F269" t="s">
        <v>2475</v>
      </c>
      <c r="G269" t="s">
        <v>2335</v>
      </c>
      <c r="H269" t="s">
        <v>2436</v>
      </c>
      <c r="I269" t="s">
        <v>85</v>
      </c>
      <c r="J269" t="s">
        <v>22</v>
      </c>
      <c r="K269" t="s">
        <v>2476</v>
      </c>
      <c r="L269" t="s">
        <v>2479</v>
      </c>
      <c r="M269" t="s">
        <v>25</v>
      </c>
      <c r="N269" t="s">
        <v>2480</v>
      </c>
      <c r="O269" t="s">
        <v>25</v>
      </c>
      <c r="P269" t="s">
        <v>2481</v>
      </c>
      <c r="Q269" t="s">
        <v>29</v>
      </c>
      <c r="R269" t="s">
        <v>2477</v>
      </c>
      <c r="S269" t="s">
        <v>2478</v>
      </c>
    </row>
    <row r="270" spans="1:19" x14ac:dyDescent="0.25">
      <c r="A270" s="1">
        <v>268</v>
      </c>
      <c r="B270" t="str">
        <f>HYPERLINK("https://www.dasschnelle.at/lindenthaler-markus-küchenkastl-bad-ischl-kaiser-franz-josef-straße","Website")</f>
        <v>Website</v>
      </c>
      <c r="C270" t="str">
        <f>HYPERLINK("http://www.kuechenkastl.at","Website")</f>
        <v>Website</v>
      </c>
      <c r="D270" t="str">
        <f>HYPERLINK("http://www.google.com/maps/place/47.71365,13.6226","Location")</f>
        <v>Location</v>
      </c>
      <c r="E270" t="s">
        <v>2482</v>
      </c>
      <c r="F270" t="s">
        <v>2483</v>
      </c>
      <c r="G270" t="s">
        <v>2377</v>
      </c>
      <c r="H270" t="s">
        <v>2378</v>
      </c>
      <c r="I270" t="s">
        <v>85</v>
      </c>
      <c r="J270" t="s">
        <v>22</v>
      </c>
      <c r="K270" t="s">
        <v>2484</v>
      </c>
      <c r="L270" t="s">
        <v>2487</v>
      </c>
      <c r="M270" t="s">
        <v>25</v>
      </c>
      <c r="N270" t="s">
        <v>2488</v>
      </c>
      <c r="O270" t="s">
        <v>25</v>
      </c>
      <c r="P270" t="s">
        <v>2489</v>
      </c>
      <c r="Q270" t="s">
        <v>29</v>
      </c>
      <c r="R270" t="s">
        <v>2485</v>
      </c>
      <c r="S270" t="s">
        <v>2486</v>
      </c>
    </row>
    <row r="271" spans="1:19" x14ac:dyDescent="0.25">
      <c r="A271" s="1">
        <v>269</v>
      </c>
      <c r="B271" t="str">
        <f>HYPERLINK("https://www.dasschnelle.at/gusenleitner-gerhard-strobl-eisenstraße","Website")</f>
        <v>Website</v>
      </c>
      <c r="C271" t="str">
        <f>HYPERLINK("https://www.dasschnelle.at/gusenleitner-gerhard-strobl-eisenstra%C3%9Fe","Website")</f>
        <v>Website</v>
      </c>
      <c r="D271" t="str">
        <f>HYPERLINK("http://www.google.com/maps/place/47.71503,13.48369","Location")</f>
        <v>Location</v>
      </c>
      <c r="E271" t="s">
        <v>2490</v>
      </c>
      <c r="F271" t="s">
        <v>2491</v>
      </c>
      <c r="G271" t="s">
        <v>2493</v>
      </c>
      <c r="H271" t="s">
        <v>2494</v>
      </c>
      <c r="I271" t="s">
        <v>2239</v>
      </c>
      <c r="J271" t="s">
        <v>22</v>
      </c>
      <c r="K271" t="s">
        <v>2492</v>
      </c>
      <c r="L271" t="s">
        <v>2497</v>
      </c>
      <c r="M271" t="s">
        <v>25</v>
      </c>
      <c r="N271" t="s">
        <v>2498</v>
      </c>
      <c r="O271" t="s">
        <v>25</v>
      </c>
      <c r="P271" t="s">
        <v>2499</v>
      </c>
      <c r="Q271" t="s">
        <v>29</v>
      </c>
      <c r="R271" t="s">
        <v>2495</v>
      </c>
      <c r="S271" t="s">
        <v>2496</v>
      </c>
    </row>
    <row r="272" spans="1:19" x14ac:dyDescent="0.25">
      <c r="A272" s="1">
        <v>270</v>
      </c>
      <c r="B272" t="str">
        <f>HYPERLINK("https://www.dasschnelle.at/pomberger-peter-bad-goisern-pichlern","Website")</f>
        <v>Website</v>
      </c>
      <c r="C272" t="str">
        <f>HYPERLINK("http://www.tischlerei-pomberger.at","Website")</f>
        <v>Website</v>
      </c>
      <c r="D272" t="str">
        <f>HYPERLINK("http://www.google.com/maps/place/47.6403750,13.6640600","Location")</f>
        <v>Location</v>
      </c>
      <c r="E272" t="s">
        <v>2500</v>
      </c>
      <c r="F272" t="s">
        <v>2501</v>
      </c>
      <c r="G272" t="s">
        <v>2335</v>
      </c>
      <c r="H272" t="s">
        <v>2356</v>
      </c>
      <c r="I272" t="s">
        <v>85</v>
      </c>
      <c r="J272" t="s">
        <v>22</v>
      </c>
      <c r="K272" t="s">
        <v>2502</v>
      </c>
      <c r="L272" t="s">
        <v>2505</v>
      </c>
      <c r="M272" t="s">
        <v>25</v>
      </c>
      <c r="N272" t="s">
        <v>2506</v>
      </c>
      <c r="O272" t="s">
        <v>25</v>
      </c>
      <c r="P272" t="s">
        <v>2507</v>
      </c>
      <c r="Q272" t="s">
        <v>29</v>
      </c>
      <c r="R272" t="s">
        <v>2503</v>
      </c>
      <c r="S272" t="s">
        <v>2504</v>
      </c>
    </row>
    <row r="273" spans="1:19" x14ac:dyDescent="0.25">
      <c r="A273" s="1">
        <v>271</v>
      </c>
      <c r="B273" t="str">
        <f>HYPERLINK("https://www.dasschnelle.at/hippesroither-glaserei-vorm-alois-stadler-gesmbh-und-co-kg-bad-ischl-auböckplatz","Website")</f>
        <v>Website</v>
      </c>
      <c r="C273" t="str">
        <f>HYPERLINK("https://www.dasschnelle.at/hippesroither-glaserei-vorm-alois-stadler-gesmbh-und-co-kg-bad-ischl-aub%C3%B6ckplatz","Website")</f>
        <v>Website</v>
      </c>
      <c r="D273" t="str">
        <f>HYPERLINK("http://www.google.com/maps/place/47.7112,13.62426","Location")</f>
        <v>Location</v>
      </c>
      <c r="E273" t="s">
        <v>2508</v>
      </c>
      <c r="F273" t="s">
        <v>2509</v>
      </c>
      <c r="G273" t="s">
        <v>2377</v>
      </c>
      <c r="H273" t="s">
        <v>2378</v>
      </c>
      <c r="I273" t="s">
        <v>85</v>
      </c>
      <c r="J273" t="s">
        <v>22</v>
      </c>
      <c r="K273" t="s">
        <v>2510</v>
      </c>
      <c r="L273" t="s">
        <v>2513</v>
      </c>
      <c r="M273" t="s">
        <v>25</v>
      </c>
      <c r="N273" t="s">
        <v>2514</v>
      </c>
      <c r="O273" t="s">
        <v>25</v>
      </c>
      <c r="P273" t="s">
        <v>2515</v>
      </c>
      <c r="Q273" t="s">
        <v>29</v>
      </c>
      <c r="R273" t="s">
        <v>2511</v>
      </c>
      <c r="S273" t="s">
        <v>2512</v>
      </c>
    </row>
    <row r="274" spans="1:19" x14ac:dyDescent="0.25">
      <c r="A274" s="1">
        <v>272</v>
      </c>
      <c r="B274" t="str">
        <f>HYPERLINK("https://www.dasschnelle.at/unterberger-christina-bad-goisern-am-hallstättersee-weißenbach","Website")</f>
        <v>Website</v>
      </c>
      <c r="C274" t="str">
        <f>HYPERLINK("http://www.friseurstudio-cu.at","Website")</f>
        <v>Website</v>
      </c>
      <c r="D274" t="str">
        <f>HYPERLINK("http://www.google.com/maps/place/47.6666546,13.6044006","Location")</f>
        <v>Location</v>
      </c>
      <c r="E274" t="s">
        <v>2516</v>
      </c>
      <c r="F274" t="s">
        <v>2517</v>
      </c>
      <c r="G274" t="s">
        <v>2335</v>
      </c>
      <c r="H274" t="s">
        <v>2436</v>
      </c>
      <c r="I274" t="s">
        <v>85</v>
      </c>
      <c r="J274" t="s">
        <v>22</v>
      </c>
      <c r="K274" t="s">
        <v>2518</v>
      </c>
      <c r="L274" t="s">
        <v>2521</v>
      </c>
      <c r="M274" t="s">
        <v>25</v>
      </c>
      <c r="N274" t="s">
        <v>2522</v>
      </c>
      <c r="O274" t="s">
        <v>25</v>
      </c>
      <c r="P274" t="s">
        <v>2523</v>
      </c>
      <c r="Q274" t="s">
        <v>29</v>
      </c>
      <c r="R274" t="s">
        <v>2519</v>
      </c>
      <c r="S274" t="s">
        <v>2520</v>
      </c>
    </row>
    <row r="275" spans="1:19" x14ac:dyDescent="0.25">
      <c r="A275" s="1">
        <v>273</v>
      </c>
      <c r="B275" t="str">
        <f>HYPERLINK("https://www.dasschnelle.at/puttinger-christian-dr-med-bad-ischl-pfarrgasse","Website")</f>
        <v>Website</v>
      </c>
      <c r="C275" t="str">
        <f>HYPERLINK("http://www.drputtinger.at","Website")</f>
        <v>Website</v>
      </c>
      <c r="D275" t="str">
        <f>HYPERLINK("http://www.google.com/maps/place/47.71118,13.6218","Location")</f>
        <v>Location</v>
      </c>
      <c r="E275" t="s">
        <v>2524</v>
      </c>
      <c r="F275" t="s">
        <v>2525</v>
      </c>
      <c r="G275" t="s">
        <v>2377</v>
      </c>
      <c r="H275" t="s">
        <v>2378</v>
      </c>
      <c r="I275" t="s">
        <v>85</v>
      </c>
      <c r="J275" t="s">
        <v>22</v>
      </c>
      <c r="K275" t="s">
        <v>2526</v>
      </c>
      <c r="L275" t="s">
        <v>2529</v>
      </c>
      <c r="M275" t="s">
        <v>25</v>
      </c>
      <c r="N275" t="s">
        <v>2530</v>
      </c>
      <c r="O275" t="s">
        <v>25</v>
      </c>
      <c r="P275" t="s">
        <v>2531</v>
      </c>
      <c r="Q275" t="s">
        <v>29</v>
      </c>
      <c r="R275" t="s">
        <v>2527</v>
      </c>
      <c r="S275" t="s">
        <v>2528</v>
      </c>
    </row>
    <row r="276" spans="1:19" x14ac:dyDescent="0.25">
      <c r="A276" s="1">
        <v>274</v>
      </c>
      <c r="B276" t="str">
        <f>HYPERLINK("https://www.dasschnelle.at/agathawirt-landhotel-bad-goisern-sankt-agatha","Website")</f>
        <v>Website</v>
      </c>
      <c r="C276" t="str">
        <f>HYPERLINK("http://www.agathawirt.at","Website")</f>
        <v>Website</v>
      </c>
      <c r="D276" t="str">
        <f>HYPERLINK("http://www.google.com/maps/place/47.6239253,13.6443795","Location")</f>
        <v>Location</v>
      </c>
      <c r="E276" t="s">
        <v>2532</v>
      </c>
      <c r="F276" t="s">
        <v>2533</v>
      </c>
      <c r="G276" t="s">
        <v>2335</v>
      </c>
      <c r="H276" t="s">
        <v>2356</v>
      </c>
      <c r="I276" t="s">
        <v>85</v>
      </c>
      <c r="J276" t="s">
        <v>22</v>
      </c>
      <c r="K276" t="s">
        <v>2534</v>
      </c>
      <c r="L276" t="s">
        <v>2537</v>
      </c>
      <c r="M276" t="s">
        <v>2538</v>
      </c>
      <c r="N276" t="s">
        <v>2539</v>
      </c>
      <c r="O276" t="s">
        <v>25</v>
      </c>
      <c r="P276" t="s">
        <v>2540</v>
      </c>
      <c r="Q276" t="s">
        <v>29</v>
      </c>
      <c r="R276" t="s">
        <v>2535</v>
      </c>
      <c r="S276" t="s">
        <v>2536</v>
      </c>
    </row>
    <row r="277" spans="1:19" x14ac:dyDescent="0.25">
      <c r="A277" s="1">
        <v>275</v>
      </c>
      <c r="B277" t="str">
        <f>HYPERLINK("https://www.dasschnelle.at/gasperl-andreas-grundlsee-untertressen","Website")</f>
        <v>Website</v>
      </c>
      <c r="C277" t="str">
        <f>HYPERLINK("http://www.tischlerei-gasperl.at","Website")</f>
        <v>Website</v>
      </c>
      <c r="D277" t="str">
        <f>HYPERLINK("http://www.google.com/maps/place/47.6223710,13.8014071","Location")</f>
        <v>Location</v>
      </c>
      <c r="E277" t="s">
        <v>2541</v>
      </c>
      <c r="F277" t="s">
        <v>2542</v>
      </c>
      <c r="G277" t="s">
        <v>2367</v>
      </c>
      <c r="H277" t="s">
        <v>2368</v>
      </c>
      <c r="I277" t="s">
        <v>451</v>
      </c>
      <c r="J277" t="s">
        <v>22</v>
      </c>
      <c r="K277" t="s">
        <v>2543</v>
      </c>
      <c r="L277" t="s">
        <v>2546</v>
      </c>
      <c r="M277" t="s">
        <v>25</v>
      </c>
      <c r="N277" t="s">
        <v>2547</v>
      </c>
      <c r="O277" t="s">
        <v>25</v>
      </c>
      <c r="P277" t="s">
        <v>2548</v>
      </c>
      <c r="Q277" t="s">
        <v>29</v>
      </c>
      <c r="R277" t="s">
        <v>2544</v>
      </c>
      <c r="S277" t="s">
        <v>2545</v>
      </c>
    </row>
    <row r="278" spans="1:19" x14ac:dyDescent="0.25">
      <c r="A278" s="1">
        <v>276</v>
      </c>
      <c r="B278" t="str">
        <f>HYPERLINK("https://www.dasschnelle.at/helm-josef-st-wolfgang-im-salzkammergut-markt","Website")</f>
        <v>Website</v>
      </c>
      <c r="C278" t="str">
        <f>HYPERLINK("http://www.members.aon.at/helmjosef","Website")</f>
        <v>Website</v>
      </c>
      <c r="D278" t="str">
        <f>HYPERLINK("http://www.google.com/maps/place/47.739,13.44747","Location")</f>
        <v>Location</v>
      </c>
      <c r="E278" t="s">
        <v>2549</v>
      </c>
      <c r="F278" t="s">
        <v>2550</v>
      </c>
      <c r="G278" t="s">
        <v>2290</v>
      </c>
      <c r="H278" t="s">
        <v>2291</v>
      </c>
      <c r="I278" t="s">
        <v>85</v>
      </c>
      <c r="J278" t="s">
        <v>22</v>
      </c>
      <c r="K278" t="s">
        <v>2551</v>
      </c>
      <c r="L278" t="s">
        <v>2554</v>
      </c>
      <c r="M278" t="s">
        <v>2555</v>
      </c>
      <c r="N278" t="s">
        <v>2556</v>
      </c>
      <c r="O278" t="s">
        <v>25</v>
      </c>
      <c r="P278" t="s">
        <v>2557</v>
      </c>
      <c r="Q278" t="s">
        <v>29</v>
      </c>
      <c r="R278" t="s">
        <v>2552</v>
      </c>
      <c r="S278" t="s">
        <v>2553</v>
      </c>
    </row>
    <row r="279" spans="1:19" x14ac:dyDescent="0.25">
      <c r="A279" s="1">
        <v>277</v>
      </c>
      <c r="B279" t="str">
        <f>HYPERLINK("https://www.dasschnelle.at/anna-maria-riedl-erdbau-transporte-taxi-mietwagen-strobl-alte-bundesstr","Website")</f>
        <v>Website</v>
      </c>
      <c r="C279" t="str">
        <f>HYPERLINK("https://www.dasschnelle.at/anna-maria-riedl-erdbau-transporte-taxi-mietwagen-strobl-alte-bundesstr","Website")</f>
        <v>Website</v>
      </c>
      <c r="D279" t="str">
        <f>HYPERLINK("http://www.google.com/maps/place/47.71308,13.49951","Location")</f>
        <v>Location</v>
      </c>
      <c r="E279" t="s">
        <v>2558</v>
      </c>
      <c r="F279" t="s">
        <v>2559</v>
      </c>
      <c r="G279" t="s">
        <v>2493</v>
      </c>
      <c r="H279" t="s">
        <v>2494</v>
      </c>
      <c r="I279" t="s">
        <v>2239</v>
      </c>
      <c r="J279" t="s">
        <v>22</v>
      </c>
      <c r="K279" t="s">
        <v>2560</v>
      </c>
      <c r="L279" t="s">
        <v>2563</v>
      </c>
      <c r="M279" t="s">
        <v>25</v>
      </c>
      <c r="N279" t="s">
        <v>25</v>
      </c>
      <c r="O279" t="s">
        <v>25</v>
      </c>
      <c r="P279" t="s">
        <v>2564</v>
      </c>
      <c r="Q279" t="s">
        <v>29</v>
      </c>
      <c r="R279" t="s">
        <v>2561</v>
      </c>
      <c r="S279" t="s">
        <v>2562</v>
      </c>
    </row>
    <row r="280" spans="1:19" x14ac:dyDescent="0.25">
      <c r="A280" s="1">
        <v>278</v>
      </c>
      <c r="B280" t="str">
        <f>HYPERLINK("https://www.dasschnelle.at/autohaus-limberger-gmbh-bad-goisern-am-hallstättersee-obere-marktstraße","Website")</f>
        <v>Website</v>
      </c>
      <c r="C280" t="str">
        <f>HYPERLINK("http://www.limberger.at","Website")</f>
        <v>Website</v>
      </c>
      <c r="D280" t="str">
        <f>HYPERLINK("http://www.google.com/maps/place/47.63751,13.61874","Location")</f>
        <v>Location</v>
      </c>
      <c r="E280" t="s">
        <v>2565</v>
      </c>
      <c r="F280" t="s">
        <v>2566</v>
      </c>
      <c r="G280" t="s">
        <v>2335</v>
      </c>
      <c r="H280" t="s">
        <v>2436</v>
      </c>
      <c r="I280" t="s">
        <v>85</v>
      </c>
      <c r="J280" t="s">
        <v>22</v>
      </c>
      <c r="K280" t="s">
        <v>2567</v>
      </c>
      <c r="L280" t="s">
        <v>2570</v>
      </c>
      <c r="M280" t="s">
        <v>25</v>
      </c>
      <c r="N280" t="s">
        <v>2571</v>
      </c>
      <c r="O280" t="s">
        <v>25</v>
      </c>
      <c r="P280" t="s">
        <v>2572</v>
      </c>
      <c r="Q280" t="s">
        <v>29</v>
      </c>
      <c r="R280" t="s">
        <v>2568</v>
      </c>
      <c r="S280" t="s">
        <v>2569</v>
      </c>
    </row>
    <row r="281" spans="1:19" x14ac:dyDescent="0.25">
      <c r="A281" s="1">
        <v>279</v>
      </c>
      <c r="B281" t="str">
        <f>HYPERLINK("https://www.dasschnelle.at/taxi-rastl-obertraun-obertraun","Website")</f>
        <v>Website</v>
      </c>
      <c r="C281" t="str">
        <f>HYPERLINK("http://www.taxi-rastl.at","Website")</f>
        <v>Website</v>
      </c>
      <c r="D281" t="str">
        <f>HYPERLINK("http://www.google.com/maps/place/47.5570899,13.6886393","Location")</f>
        <v>Location</v>
      </c>
      <c r="E281" t="s">
        <v>2573</v>
      </c>
      <c r="F281" t="s">
        <v>2574</v>
      </c>
      <c r="G281" t="s">
        <v>2576</v>
      </c>
      <c r="H281" t="s">
        <v>2577</v>
      </c>
      <c r="I281" t="s">
        <v>85</v>
      </c>
      <c r="J281" t="s">
        <v>22</v>
      </c>
      <c r="K281" t="s">
        <v>2575</v>
      </c>
      <c r="L281" t="s">
        <v>2580</v>
      </c>
      <c r="M281" t="s">
        <v>25</v>
      </c>
      <c r="N281" t="s">
        <v>2581</v>
      </c>
      <c r="O281" t="s">
        <v>25</v>
      </c>
      <c r="P281" t="s">
        <v>2582</v>
      </c>
      <c r="Q281" t="s">
        <v>29</v>
      </c>
      <c r="R281" t="s">
        <v>2578</v>
      </c>
      <c r="S281" t="s">
        <v>2579</v>
      </c>
    </row>
    <row r="282" spans="1:19" x14ac:dyDescent="0.25">
      <c r="A282" s="1">
        <v>280</v>
      </c>
      <c r="B282" t="str">
        <f>HYPERLINK("https://www.dasschnelle.at/haas-richard-bad-aussee-grundlseer-straße","Website")</f>
        <v>Website</v>
      </c>
      <c r="C282" t="str">
        <f>HYPERLINK("http://www.klangholz.at","Website")</f>
        <v>Website</v>
      </c>
      <c r="D282" t="str">
        <f>HYPERLINK("http://www.google.com/maps/place/47.61833,13.81953","Location")</f>
        <v>Location</v>
      </c>
      <c r="E282" t="s">
        <v>2583</v>
      </c>
      <c r="F282" t="s">
        <v>2584</v>
      </c>
      <c r="G282" t="s">
        <v>1195</v>
      </c>
      <c r="H282" t="s">
        <v>1196</v>
      </c>
      <c r="I282" t="s">
        <v>451</v>
      </c>
      <c r="J282" t="s">
        <v>22</v>
      </c>
      <c r="K282" t="s">
        <v>2585</v>
      </c>
      <c r="L282" t="s">
        <v>2588</v>
      </c>
      <c r="M282" t="s">
        <v>2589</v>
      </c>
      <c r="N282" t="s">
        <v>2590</v>
      </c>
      <c r="O282" t="s">
        <v>25</v>
      </c>
      <c r="P282" t="s">
        <v>2591</v>
      </c>
      <c r="Q282" t="s">
        <v>29</v>
      </c>
      <c r="R282" t="s">
        <v>2586</v>
      </c>
      <c r="S282" t="s">
        <v>2587</v>
      </c>
    </row>
    <row r="283" spans="1:19" x14ac:dyDescent="0.25">
      <c r="A283" s="1">
        <v>281</v>
      </c>
      <c r="B283" t="str">
        <f>HYPERLINK("https://www.dasschnelle.at/föttinger-girbl-petra-strobl-eisenstraße","Website")</f>
        <v>Website</v>
      </c>
      <c r="C283" t="str">
        <f>HYPERLINK("http://www.petra-foettinger.at","Website")</f>
        <v>Website</v>
      </c>
      <c r="D283" t="str">
        <f>HYPERLINK("http://www.google.com/maps/place/47.71618,13.48111","Location")</f>
        <v>Location</v>
      </c>
      <c r="E283" t="s">
        <v>2592</v>
      </c>
      <c r="F283" t="s">
        <v>2593</v>
      </c>
      <c r="G283" t="s">
        <v>2493</v>
      </c>
      <c r="H283" t="s">
        <v>2494</v>
      </c>
      <c r="I283" t="s">
        <v>2239</v>
      </c>
      <c r="J283" t="s">
        <v>22</v>
      </c>
      <c r="K283" t="s">
        <v>2594</v>
      </c>
      <c r="L283" t="s">
        <v>2597</v>
      </c>
      <c r="M283" t="s">
        <v>25</v>
      </c>
      <c r="N283" t="s">
        <v>2598</v>
      </c>
      <c r="O283" t="s">
        <v>25</v>
      </c>
      <c r="P283" t="s">
        <v>2599</v>
      </c>
      <c r="Q283" t="s">
        <v>29</v>
      </c>
      <c r="R283" t="s">
        <v>2595</v>
      </c>
      <c r="S283" t="s">
        <v>2596</v>
      </c>
    </row>
    <row r="284" spans="1:19" x14ac:dyDescent="0.25">
      <c r="A284" s="1">
        <v>282</v>
      </c>
      <c r="B284" t="str">
        <f>HYPERLINK("https://www.dasschnelle.at/stollnberger-thomas-bad-ischl-herrengasse","Website")</f>
        <v>Website</v>
      </c>
      <c r="C284" t="str">
        <f>HYPERLINK("http://www.stollnberger.at","Website")</f>
        <v>Website</v>
      </c>
      <c r="D284" t="str">
        <f>HYPERLINK("http://www.google.com/maps/place/47.7130900,13.6190100","Location")</f>
        <v>Location</v>
      </c>
      <c r="E284" t="s">
        <v>2600</v>
      </c>
      <c r="F284" t="s">
        <v>2601</v>
      </c>
      <c r="G284" t="s">
        <v>2377</v>
      </c>
      <c r="H284" t="s">
        <v>2378</v>
      </c>
      <c r="I284" t="s">
        <v>85</v>
      </c>
      <c r="J284" t="s">
        <v>22</v>
      </c>
      <c r="K284" t="s">
        <v>2602</v>
      </c>
      <c r="L284" t="s">
        <v>2605</v>
      </c>
      <c r="M284" t="s">
        <v>2606</v>
      </c>
      <c r="N284" t="s">
        <v>2607</v>
      </c>
      <c r="O284" t="s">
        <v>25</v>
      </c>
      <c r="P284" t="s">
        <v>2608</v>
      </c>
      <c r="Q284" t="s">
        <v>29</v>
      </c>
      <c r="R284" t="s">
        <v>2603</v>
      </c>
      <c r="S284" t="s">
        <v>2604</v>
      </c>
    </row>
    <row r="285" spans="1:19" x14ac:dyDescent="0.25">
      <c r="A285" s="1">
        <v>283</v>
      </c>
      <c r="B285" t="str">
        <f>HYPERLINK("https://www.dasschnelle.at/eissalon-giovanni-bad-ischl-holzrechengasse","Website")</f>
        <v>Website</v>
      </c>
      <c r="C285" t="str">
        <f>HYPERLINK("http://www.eis-giovanni.at","Website")</f>
        <v>Website</v>
      </c>
      <c r="D285" t="str">
        <f>HYPERLINK("http://www.google.com/maps/place/47.71395,13.61901","Location")</f>
        <v>Location</v>
      </c>
      <c r="E285" t="s">
        <v>2609</v>
      </c>
      <c r="F285" t="s">
        <v>2610</v>
      </c>
      <c r="G285" t="s">
        <v>2377</v>
      </c>
      <c r="H285" t="s">
        <v>2378</v>
      </c>
      <c r="I285" t="s">
        <v>85</v>
      </c>
      <c r="J285" t="s">
        <v>22</v>
      </c>
      <c r="K285" t="s">
        <v>2611</v>
      </c>
      <c r="L285" t="s">
        <v>2614</v>
      </c>
      <c r="M285" t="s">
        <v>2615</v>
      </c>
      <c r="N285" t="s">
        <v>2616</v>
      </c>
      <c r="O285" t="s">
        <v>25</v>
      </c>
      <c r="P285" t="s">
        <v>2617</v>
      </c>
      <c r="Q285" t="s">
        <v>29</v>
      </c>
      <c r="R285" t="s">
        <v>2612</v>
      </c>
      <c r="S285" t="s">
        <v>2613</v>
      </c>
    </row>
    <row r="286" spans="1:19" x14ac:dyDescent="0.25">
      <c r="A286" s="1">
        <v>284</v>
      </c>
      <c r="B286" t="str">
        <f>HYPERLINK("https://www.dasschnelle.at/goja-gabriele-dr-bad-ischl-pfarrgasse","Website")</f>
        <v>Website</v>
      </c>
      <c r="C286" t="str">
        <f>HYPERLINK("http://www.notar-badischl.at","Website")</f>
        <v>Website</v>
      </c>
      <c r="D286" t="str">
        <f>HYPERLINK("http://www.google.com/maps/place/47.71092,13.62159","Location")</f>
        <v>Location</v>
      </c>
      <c r="E286" t="s">
        <v>2618</v>
      </c>
      <c r="F286" t="s">
        <v>2619</v>
      </c>
      <c r="G286" t="s">
        <v>2377</v>
      </c>
      <c r="H286" t="s">
        <v>2378</v>
      </c>
      <c r="I286" t="s">
        <v>85</v>
      </c>
      <c r="J286" t="s">
        <v>22</v>
      </c>
      <c r="K286" t="s">
        <v>2620</v>
      </c>
      <c r="L286" t="s">
        <v>2621</v>
      </c>
      <c r="M286" t="s">
        <v>25</v>
      </c>
      <c r="N286" t="s">
        <v>2622</v>
      </c>
      <c r="O286" t="s">
        <v>2623</v>
      </c>
      <c r="P286" t="s">
        <v>2624</v>
      </c>
      <c r="Q286" t="s">
        <v>29</v>
      </c>
      <c r="R286" t="s">
        <v>2453</v>
      </c>
      <c r="S286" t="s">
        <v>2454</v>
      </c>
    </row>
    <row r="287" spans="1:19" x14ac:dyDescent="0.25">
      <c r="A287" s="1">
        <v>285</v>
      </c>
      <c r="B287" t="str">
        <f>HYPERLINK("https://www.dasschnelle.at/krebber-ansgar-venen-u-gesundheitszentrum-dr-bad-aussee-altausseerstr","Website")</f>
        <v>Website</v>
      </c>
      <c r="C287" t="str">
        <f>HYPERLINK("http://www.venen-arzt.com","Website")</f>
        <v>Website</v>
      </c>
      <c r="D287" t="str">
        <f>HYPERLINK("http://www.google.com/maps/place/47.4758111,14.0195865","Location")</f>
        <v>Location</v>
      </c>
      <c r="E287" t="s">
        <v>2625</v>
      </c>
      <c r="F287" t="s">
        <v>2626</v>
      </c>
      <c r="G287" t="s">
        <v>1195</v>
      </c>
      <c r="H287" t="s">
        <v>1196</v>
      </c>
      <c r="I287" t="s">
        <v>451</v>
      </c>
      <c r="J287" t="s">
        <v>22</v>
      </c>
      <c r="K287" t="s">
        <v>2627</v>
      </c>
      <c r="L287" t="s">
        <v>2630</v>
      </c>
      <c r="M287" t="s">
        <v>25</v>
      </c>
      <c r="N287" t="s">
        <v>2631</v>
      </c>
      <c r="O287" t="s">
        <v>25</v>
      </c>
      <c r="P287" t="s">
        <v>2632</v>
      </c>
      <c r="Q287" t="s">
        <v>29</v>
      </c>
      <c r="R287" t="s">
        <v>2628</v>
      </c>
      <c r="S287" t="s">
        <v>2629</v>
      </c>
    </row>
    <row r="288" spans="1:19" x14ac:dyDescent="0.25">
      <c r="A288" s="1">
        <v>286</v>
      </c>
      <c r="B288" t="str">
        <f>HYPERLINK("https://www.dasschnelle.at/haarstudio-hedi-strobl-dr-adalbert-lederer-allee","Website")</f>
        <v>Website</v>
      </c>
      <c r="C288" t="str">
        <f>HYPERLINK("https://www.dasschnelle.at/haarstudio-hedi-strobl-dr-adalbert-lederer-allee","Website")</f>
        <v>Website</v>
      </c>
      <c r="D288" t="str">
        <f>HYPERLINK("http://www.google.com/maps/place/47.71706,13.48199","Location")</f>
        <v>Location</v>
      </c>
      <c r="E288" t="s">
        <v>2633</v>
      </c>
      <c r="F288" t="s">
        <v>2634</v>
      </c>
      <c r="G288" t="s">
        <v>2493</v>
      </c>
      <c r="H288" t="s">
        <v>2494</v>
      </c>
      <c r="I288" t="s">
        <v>2239</v>
      </c>
      <c r="J288" t="s">
        <v>22</v>
      </c>
      <c r="K288" t="s">
        <v>2635</v>
      </c>
      <c r="L288" t="s">
        <v>2638</v>
      </c>
      <c r="M288" t="s">
        <v>25</v>
      </c>
      <c r="N288" t="s">
        <v>25</v>
      </c>
      <c r="O288" t="s">
        <v>25</v>
      </c>
      <c r="P288" t="s">
        <v>2639</v>
      </c>
      <c r="Q288" t="s">
        <v>29</v>
      </c>
      <c r="R288" t="s">
        <v>2636</v>
      </c>
      <c r="S288" t="s">
        <v>2637</v>
      </c>
    </row>
    <row r="289" spans="1:19" x14ac:dyDescent="0.25">
      <c r="A289" s="1">
        <v>287</v>
      </c>
      <c r="B289" t="str">
        <f>HYPERLINK("https://www.dasschnelle.at/preßl-brigitte-altaussee-altaussee","Website")</f>
        <v>Website</v>
      </c>
      <c r="C289" t="str">
        <f>HYPERLINK("https://www.dasschnelle.at/pre%C3%9Fl-brigitte-altaussee-altaussee","Website")</f>
        <v>Website</v>
      </c>
      <c r="D289" t="str">
        <f>HYPERLINK("http://www.google.com/maps/place/47.6394808,13.7634497","Location")</f>
        <v>Location</v>
      </c>
      <c r="E289" t="s">
        <v>2640</v>
      </c>
      <c r="F289" t="s">
        <v>2641</v>
      </c>
      <c r="G289" t="s">
        <v>2643</v>
      </c>
      <c r="H289" t="s">
        <v>2644</v>
      </c>
      <c r="I289" t="s">
        <v>451</v>
      </c>
      <c r="J289" t="s">
        <v>22</v>
      </c>
      <c r="K289" t="s">
        <v>2642</v>
      </c>
      <c r="L289" t="s">
        <v>2647</v>
      </c>
      <c r="M289" t="s">
        <v>25</v>
      </c>
      <c r="N289" t="s">
        <v>2648</v>
      </c>
      <c r="O289" t="s">
        <v>25</v>
      </c>
      <c r="P289" t="s">
        <v>2649</v>
      </c>
      <c r="Q289" t="s">
        <v>29</v>
      </c>
      <c r="R289" t="s">
        <v>2645</v>
      </c>
      <c r="S289" t="s">
        <v>2646</v>
      </c>
    </row>
    <row r="290" spans="1:19" x14ac:dyDescent="0.25">
      <c r="A290" s="1">
        <v>288</v>
      </c>
      <c r="B290" t="str">
        <f>HYPERLINK("https://www.dasschnelle.at/hinterer-alois-metallbau-gesmbh-bad-ischl-salzburger-straße","Website")</f>
        <v>Website</v>
      </c>
      <c r="C290" t="str">
        <f>HYPERLINK("http://www.metallbau-hinterer.at","Website")</f>
        <v>Website</v>
      </c>
      <c r="D290" t="str">
        <f>HYPERLINK("http://www.google.com/maps/place/47.71553,13.56853","Location")</f>
        <v>Location</v>
      </c>
      <c r="E290" t="s">
        <v>2650</v>
      </c>
      <c r="F290" t="s">
        <v>2651</v>
      </c>
      <c r="G290" t="s">
        <v>2377</v>
      </c>
      <c r="H290" t="s">
        <v>2378</v>
      </c>
      <c r="I290" t="s">
        <v>85</v>
      </c>
      <c r="J290" t="s">
        <v>22</v>
      </c>
      <c r="K290" t="s">
        <v>2652</v>
      </c>
      <c r="L290" t="s">
        <v>2653</v>
      </c>
      <c r="M290" t="s">
        <v>2654</v>
      </c>
      <c r="N290" t="s">
        <v>2655</v>
      </c>
      <c r="O290" t="s">
        <v>25</v>
      </c>
      <c r="P290" t="s">
        <v>2656</v>
      </c>
      <c r="Q290" t="s">
        <v>29</v>
      </c>
      <c r="R290" t="s">
        <v>2379</v>
      </c>
      <c r="S290" t="s">
        <v>2380</v>
      </c>
    </row>
    <row r="291" spans="1:19" x14ac:dyDescent="0.25">
      <c r="A291" s="1">
        <v>289</v>
      </c>
      <c r="B291" t="str">
        <f>HYPERLINK("https://www.dasschnelle.at/hu-zimmerei-gmbh-bad-goisern-am-hallstättersee-st-agatha","Website")</f>
        <v>Website</v>
      </c>
      <c r="C291" t="str">
        <f>HYPERLINK("http://www.hu-zimmerei.at","Website")</f>
        <v>Website</v>
      </c>
      <c r="D291" t="str">
        <f>HYPERLINK("http://www.google.com/maps/place/47.6188203,13.6417093","Location")</f>
        <v>Location</v>
      </c>
      <c r="E291" t="s">
        <v>2657</v>
      </c>
      <c r="F291" t="s">
        <v>2658</v>
      </c>
      <c r="G291" t="s">
        <v>2335</v>
      </c>
      <c r="H291" t="s">
        <v>2436</v>
      </c>
      <c r="I291" t="s">
        <v>85</v>
      </c>
      <c r="J291" t="s">
        <v>22</v>
      </c>
      <c r="K291" t="s">
        <v>2659</v>
      </c>
      <c r="L291" t="s">
        <v>2662</v>
      </c>
      <c r="M291" t="s">
        <v>25</v>
      </c>
      <c r="N291" t="s">
        <v>2663</v>
      </c>
      <c r="O291" t="s">
        <v>25</v>
      </c>
      <c r="P291" t="s">
        <v>2664</v>
      </c>
      <c r="Q291" t="s">
        <v>29</v>
      </c>
      <c r="R291" t="s">
        <v>2660</v>
      </c>
      <c r="S291" t="s">
        <v>2661</v>
      </c>
    </row>
    <row r="292" spans="1:19" x14ac:dyDescent="0.25">
      <c r="A292" s="1">
        <v>290</v>
      </c>
      <c r="B292" t="str">
        <f>HYPERLINK("https://www.dasschnelle.at/kreßl-hannes-gosau-gosauseestraße","Website")</f>
        <v>Website</v>
      </c>
      <c r="C292" t="str">
        <f>HYPERLINK("https://www.dasschnelle.at/kre%C3%9Fl-hannes-gosau-gosauseestra%C3%9Fe","Website")</f>
        <v>Website</v>
      </c>
      <c r="D292" t="str">
        <f>HYPERLINK("http://www.google.com/maps/place/47.5841313,13.5308669","Location")</f>
        <v>Location</v>
      </c>
      <c r="E292" t="s">
        <v>2665</v>
      </c>
      <c r="F292" t="s">
        <v>2666</v>
      </c>
      <c r="G292" t="s">
        <v>2668</v>
      </c>
      <c r="H292" t="s">
        <v>2669</v>
      </c>
      <c r="I292" t="s">
        <v>85</v>
      </c>
      <c r="J292" t="s">
        <v>22</v>
      </c>
      <c r="K292" t="s">
        <v>2667</v>
      </c>
      <c r="L292" t="s">
        <v>2672</v>
      </c>
      <c r="M292" t="s">
        <v>25</v>
      </c>
      <c r="N292" t="s">
        <v>2673</v>
      </c>
      <c r="O292" t="s">
        <v>25</v>
      </c>
      <c r="P292" t="s">
        <v>697</v>
      </c>
      <c r="Q292" t="s">
        <v>29</v>
      </c>
      <c r="R292" t="s">
        <v>2670</v>
      </c>
      <c r="S292" t="s">
        <v>2671</v>
      </c>
    </row>
    <row r="293" spans="1:19" x14ac:dyDescent="0.25">
      <c r="A293" s="1">
        <v>291</v>
      </c>
      <c r="B293" t="str">
        <f>HYPERLINK("https://www.dasschnelle.at/skischule-haim-büro-altaussee-lichtersberg","Website")</f>
        <v>Website</v>
      </c>
      <c r="C293" t="str">
        <f>HYPERLINK("http://www.schischule-haim.at","Website")</f>
        <v>Website</v>
      </c>
      <c r="D293" t="str">
        <f>HYPERLINK("http://www.google.com/maps/place/47.6612998,13.7470671","Location")</f>
        <v>Location</v>
      </c>
      <c r="E293" t="s">
        <v>2674</v>
      </c>
      <c r="F293" t="s">
        <v>2675</v>
      </c>
      <c r="G293" t="s">
        <v>2643</v>
      </c>
      <c r="H293" t="s">
        <v>2644</v>
      </c>
      <c r="I293" t="s">
        <v>451</v>
      </c>
      <c r="J293" t="s">
        <v>22</v>
      </c>
      <c r="K293" t="s">
        <v>2676</v>
      </c>
      <c r="L293" t="s">
        <v>2679</v>
      </c>
      <c r="M293" t="s">
        <v>25</v>
      </c>
      <c r="N293" t="s">
        <v>2680</v>
      </c>
      <c r="O293" t="s">
        <v>2681</v>
      </c>
      <c r="P293" t="s">
        <v>2682</v>
      </c>
      <c r="Q293" t="s">
        <v>29</v>
      </c>
      <c r="R293" t="s">
        <v>2677</v>
      </c>
      <c r="S293" t="s">
        <v>2678</v>
      </c>
    </row>
    <row r="294" spans="1:19" x14ac:dyDescent="0.25">
      <c r="A294" s="1">
        <v>292</v>
      </c>
      <c r="B294" t="str">
        <f>HYPERLINK("https://www.dasschnelle.at/pick-up-autozubehör-und-ersatzteile-gmbh-bad-goisern-gärtnerstraße","Website")</f>
        <v>Website</v>
      </c>
      <c r="C294" t="str">
        <f>HYPERLINK("http://www.pickup-goisern.at","Website")</f>
        <v>Website</v>
      </c>
      <c r="D294" t="str">
        <f>HYPERLINK("http://www.google.com/maps/place/47.64668,13.61582","Location")</f>
        <v>Location</v>
      </c>
      <c r="E294" t="s">
        <v>2683</v>
      </c>
      <c r="F294" t="s">
        <v>2684</v>
      </c>
      <c r="G294" t="s">
        <v>2335</v>
      </c>
      <c r="H294" t="s">
        <v>2356</v>
      </c>
      <c r="I294" t="s">
        <v>85</v>
      </c>
      <c r="J294" t="s">
        <v>22</v>
      </c>
      <c r="K294" t="s">
        <v>2685</v>
      </c>
      <c r="L294" t="s">
        <v>2688</v>
      </c>
      <c r="M294" t="s">
        <v>25</v>
      </c>
      <c r="N294" t="s">
        <v>2689</v>
      </c>
      <c r="O294" t="s">
        <v>25</v>
      </c>
      <c r="P294" t="s">
        <v>2690</v>
      </c>
      <c r="Q294" t="s">
        <v>29</v>
      </c>
      <c r="R294" t="s">
        <v>2686</v>
      </c>
      <c r="S294" t="s">
        <v>2687</v>
      </c>
    </row>
    <row r="295" spans="1:19" x14ac:dyDescent="0.25">
      <c r="A295" s="1">
        <v>293</v>
      </c>
      <c r="B295" t="str">
        <f>HYPERLINK("https://www.dasschnelle.at/schüller-kfz-service-st-wolfgang-im-salzkammergut-schwarzenbach","Website")</f>
        <v>Website</v>
      </c>
      <c r="C295" t="str">
        <f>HYPERLINK("http://www.kfz-schueller.at","Website")</f>
        <v>Website</v>
      </c>
      <c r="D295" t="str">
        <f>HYPERLINK("http://www.google.com/maps/place/47.7250018,13.4954079","Location")</f>
        <v>Location</v>
      </c>
      <c r="E295" t="s">
        <v>2691</v>
      </c>
      <c r="F295" t="s">
        <v>2692</v>
      </c>
      <c r="G295" t="s">
        <v>2290</v>
      </c>
      <c r="H295" t="s">
        <v>2291</v>
      </c>
      <c r="I295" t="s">
        <v>85</v>
      </c>
      <c r="J295" t="s">
        <v>22</v>
      </c>
      <c r="K295" t="s">
        <v>2693</v>
      </c>
      <c r="L295" t="s">
        <v>2696</v>
      </c>
      <c r="M295" t="s">
        <v>25</v>
      </c>
      <c r="N295" t="s">
        <v>2697</v>
      </c>
      <c r="O295" t="s">
        <v>25</v>
      </c>
      <c r="P295" t="s">
        <v>2698</v>
      </c>
      <c r="Q295" t="s">
        <v>29</v>
      </c>
      <c r="R295" t="s">
        <v>2694</v>
      </c>
      <c r="S295" t="s">
        <v>2695</v>
      </c>
    </row>
    <row r="296" spans="1:19" x14ac:dyDescent="0.25">
      <c r="A296" s="1">
        <v>294</v>
      </c>
      <c r="B296" t="str">
        <f>HYPERLINK("https://www.dasschnelle.at/kranabitl-christof-bad-ischl-lindaustraße","Website")</f>
        <v>Website</v>
      </c>
      <c r="C296" t="str">
        <f>HYPERLINK("http://www.schmerz-los.net","Website")</f>
        <v>Website</v>
      </c>
      <c r="D296" t="str">
        <f>HYPERLINK("http://www.google.com/maps/place/47.69107,13.64648","Location")</f>
        <v>Location</v>
      </c>
      <c r="E296" t="s">
        <v>2699</v>
      </c>
      <c r="F296" t="s">
        <v>2700</v>
      </c>
      <c r="G296" t="s">
        <v>2377</v>
      </c>
      <c r="H296" t="s">
        <v>2378</v>
      </c>
      <c r="I296" t="s">
        <v>85</v>
      </c>
      <c r="J296" t="s">
        <v>22</v>
      </c>
      <c r="K296" t="s">
        <v>2701</v>
      </c>
      <c r="L296" t="s">
        <v>2704</v>
      </c>
      <c r="M296" t="s">
        <v>25</v>
      </c>
      <c r="N296" t="s">
        <v>2705</v>
      </c>
      <c r="O296" t="s">
        <v>25</v>
      </c>
      <c r="P296" t="s">
        <v>2706</v>
      </c>
      <c r="Q296" t="s">
        <v>29</v>
      </c>
      <c r="R296" t="s">
        <v>2702</v>
      </c>
      <c r="S296" t="s">
        <v>2703</v>
      </c>
    </row>
    <row r="297" spans="1:19" x14ac:dyDescent="0.25">
      <c r="A297" s="1">
        <v>295</v>
      </c>
      <c r="B297" t="str">
        <f>HYPERLINK("https://www.dasschnelle.at/schwaighofer-hans-rußbach-am-paß-gschütt-schattau","Website")</f>
        <v>Website</v>
      </c>
      <c r="C297" t="str">
        <f>HYPERLINK("http://www.auto-schwaighofer.at","Website")</f>
        <v>Website</v>
      </c>
      <c r="D297" t="str">
        <f>HYPERLINK("http://www.google.com/maps/place/47.5891118,13.4641191","Location")</f>
        <v>Location</v>
      </c>
      <c r="E297" t="s">
        <v>2707</v>
      </c>
      <c r="F297" t="s">
        <v>2708</v>
      </c>
      <c r="G297" t="s">
        <v>2710</v>
      </c>
      <c r="H297" t="s">
        <v>2711</v>
      </c>
      <c r="I297" t="s">
        <v>2239</v>
      </c>
      <c r="J297" t="s">
        <v>22</v>
      </c>
      <c r="K297" t="s">
        <v>2709</v>
      </c>
      <c r="L297" t="s">
        <v>2714</v>
      </c>
      <c r="M297" t="s">
        <v>25</v>
      </c>
      <c r="N297" t="s">
        <v>2715</v>
      </c>
      <c r="O297" t="s">
        <v>25</v>
      </c>
      <c r="P297" t="s">
        <v>2716</v>
      </c>
      <c r="Q297" t="s">
        <v>29</v>
      </c>
      <c r="R297" t="s">
        <v>2712</v>
      </c>
      <c r="S297" t="s">
        <v>2713</v>
      </c>
    </row>
    <row r="298" spans="1:19" x14ac:dyDescent="0.25">
      <c r="A298" s="1">
        <v>296</v>
      </c>
      <c r="B298" t="str">
        <f>HYPERLINK("https://www.dasschnelle.at/zwetti-robert-taxi-zwetti-bad-aussee-waldbühelstraße","Website")</f>
        <v>Website</v>
      </c>
      <c r="C298" t="str">
        <f>HYPERLINK("http://www.zwetti-bus.at","Website")</f>
        <v>Website</v>
      </c>
      <c r="D298" t="str">
        <f>HYPERLINK("http://www.google.com/maps/place/47.59744,13.79041","Location")</f>
        <v>Location</v>
      </c>
      <c r="E298" t="s">
        <v>2717</v>
      </c>
      <c r="F298" t="s">
        <v>2718</v>
      </c>
      <c r="G298" t="s">
        <v>1195</v>
      </c>
      <c r="H298" t="s">
        <v>1196</v>
      </c>
      <c r="I298" t="s">
        <v>451</v>
      </c>
      <c r="J298" t="s">
        <v>22</v>
      </c>
      <c r="K298" t="s">
        <v>2719</v>
      </c>
      <c r="L298" t="s">
        <v>2722</v>
      </c>
      <c r="M298" t="s">
        <v>25</v>
      </c>
      <c r="N298" t="s">
        <v>2723</v>
      </c>
      <c r="O298" t="s">
        <v>25</v>
      </c>
      <c r="P298" t="s">
        <v>2724</v>
      </c>
      <c r="Q298" t="s">
        <v>29</v>
      </c>
      <c r="R298" t="s">
        <v>2720</v>
      </c>
      <c r="S298" t="s">
        <v>2721</v>
      </c>
    </row>
    <row r="299" spans="1:19" x14ac:dyDescent="0.25">
      <c r="A299" s="1">
        <v>297</v>
      </c>
      <c r="B299" t="str">
        <f>HYPERLINK("https://www.dasschnelle.at/gmeiner-birgit-bad-ischl-kreuzplatz","Website")</f>
        <v>Website</v>
      </c>
      <c r="C299" t="str">
        <f>HYPERLINK("http://www.birgit-gmeiner.at","Website")</f>
        <v>Website</v>
      </c>
      <c r="D299" t="str">
        <f>HYPERLINK("http://www.google.com/maps/place/47.71291,13.62111","Location")</f>
        <v>Location</v>
      </c>
      <c r="E299" t="s">
        <v>2725</v>
      </c>
      <c r="F299" t="s">
        <v>2726</v>
      </c>
      <c r="G299" t="s">
        <v>2377</v>
      </c>
      <c r="H299" t="s">
        <v>2378</v>
      </c>
      <c r="I299" t="s">
        <v>85</v>
      </c>
      <c r="J299" t="s">
        <v>22</v>
      </c>
      <c r="K299" t="s">
        <v>2727</v>
      </c>
      <c r="L299" t="s">
        <v>2730</v>
      </c>
      <c r="M299" t="s">
        <v>25</v>
      </c>
      <c r="N299" t="s">
        <v>2731</v>
      </c>
      <c r="O299" t="s">
        <v>25</v>
      </c>
      <c r="P299" t="s">
        <v>2732</v>
      </c>
      <c r="Q299" t="s">
        <v>29</v>
      </c>
      <c r="R299" t="s">
        <v>2728</v>
      </c>
      <c r="S299" t="s">
        <v>2729</v>
      </c>
    </row>
    <row r="300" spans="1:19" x14ac:dyDescent="0.25">
      <c r="A300" s="1">
        <v>298</v>
      </c>
      <c r="B300" t="str">
        <f>HYPERLINK("https://www.dasschnelle.at/stadler-melissa-beauty-eck-st-wolfgang-im-salzkammergut-sternallee","Website")</f>
        <v>Website</v>
      </c>
      <c r="C300" t="str">
        <f>HYPERLINK("http://melissastadler.wixsite.com/beautyeck","Website")</f>
        <v>Website</v>
      </c>
      <c r="D300" t="str">
        <f>HYPERLINK("http://www.google.com/maps/place/47.7406089,13.4428191","Location")</f>
        <v>Location</v>
      </c>
      <c r="E300" t="s">
        <v>2733</v>
      </c>
      <c r="F300" t="s">
        <v>2734</v>
      </c>
      <c r="G300" t="s">
        <v>2290</v>
      </c>
      <c r="H300" t="s">
        <v>2291</v>
      </c>
      <c r="I300" t="s">
        <v>85</v>
      </c>
      <c r="J300" t="s">
        <v>22</v>
      </c>
      <c r="K300" t="s">
        <v>2735</v>
      </c>
      <c r="L300" t="s">
        <v>2738</v>
      </c>
      <c r="M300" t="s">
        <v>25</v>
      </c>
      <c r="N300" t="s">
        <v>2739</v>
      </c>
      <c r="O300" t="s">
        <v>25</v>
      </c>
      <c r="P300" t="s">
        <v>2740</v>
      </c>
      <c r="Q300" t="s">
        <v>29</v>
      </c>
      <c r="R300" t="s">
        <v>2736</v>
      </c>
      <c r="S300" t="s">
        <v>2737</v>
      </c>
    </row>
    <row r="301" spans="1:19" x14ac:dyDescent="0.25">
      <c r="A301" s="1">
        <v>299</v>
      </c>
      <c r="B301" t="str">
        <f>HYPERLINK("https://www.dasschnelle.at/reindl-heinrich-sankt-gilgen-ischlerstraße","Website")</f>
        <v>Website</v>
      </c>
      <c r="C301" t="str">
        <f>HYPERLINK("http://www.raumausstattung-reindl.at","Website")</f>
        <v>Website</v>
      </c>
      <c r="D301" t="str">
        <f>HYPERLINK("http://www.google.com/maps/place/47.76632,13.36726","Location")</f>
        <v>Location</v>
      </c>
      <c r="E301" t="s">
        <v>2741</v>
      </c>
      <c r="F301" t="s">
        <v>2742</v>
      </c>
      <c r="G301" t="s">
        <v>2326</v>
      </c>
      <c r="H301" t="s">
        <v>2327</v>
      </c>
      <c r="I301" t="s">
        <v>2239</v>
      </c>
      <c r="J301" t="s">
        <v>22</v>
      </c>
      <c r="K301" t="s">
        <v>2743</v>
      </c>
      <c r="L301" t="s">
        <v>2746</v>
      </c>
      <c r="M301" t="s">
        <v>25</v>
      </c>
      <c r="N301" t="s">
        <v>2747</v>
      </c>
      <c r="O301" t="s">
        <v>25</v>
      </c>
      <c r="P301" t="s">
        <v>2748</v>
      </c>
      <c r="Q301" t="s">
        <v>29</v>
      </c>
      <c r="R301" t="s">
        <v>2744</v>
      </c>
      <c r="S301" t="s">
        <v>2745</v>
      </c>
    </row>
    <row r="302" spans="1:19" x14ac:dyDescent="0.25">
      <c r="A302" s="1">
        <v>300</v>
      </c>
      <c r="B302" t="str">
        <f>HYPERLINK("https://www.dasschnelle.at/stadler-gesmbh-u-co-kg-st-wolfgang-im-salzkammergut-au","Website")</f>
        <v>Website</v>
      </c>
      <c r="C302" t="str">
        <f>HYPERLINK("http://www.stadler-kies.at","Website")</f>
        <v>Website</v>
      </c>
      <c r="D302" t="str">
        <f>HYPERLINK("http://www.google.com/maps/place/47.7379250,13.4507659","Location")</f>
        <v>Location</v>
      </c>
      <c r="E302" t="s">
        <v>2749</v>
      </c>
      <c r="F302" t="s">
        <v>2750</v>
      </c>
      <c r="G302" t="s">
        <v>2290</v>
      </c>
      <c r="H302" t="s">
        <v>2291</v>
      </c>
      <c r="I302" t="s">
        <v>85</v>
      </c>
      <c r="J302" t="s">
        <v>22</v>
      </c>
      <c r="K302" t="s">
        <v>2751</v>
      </c>
      <c r="L302" t="s">
        <v>2754</v>
      </c>
      <c r="M302" t="s">
        <v>2755</v>
      </c>
      <c r="N302" t="s">
        <v>2756</v>
      </c>
      <c r="O302" t="s">
        <v>2757</v>
      </c>
      <c r="P302" t="s">
        <v>2758</v>
      </c>
      <c r="Q302" t="s">
        <v>29</v>
      </c>
      <c r="R302" t="s">
        <v>2752</v>
      </c>
      <c r="S302" t="s">
        <v>2753</v>
      </c>
    </row>
    <row r="303" spans="1:19" x14ac:dyDescent="0.25">
      <c r="A303" s="1">
        <v>301</v>
      </c>
      <c r="B303" t="str">
        <f>HYPERLINK("https://www.dasschnelle.at/reichl-wolfgang-st-wolfgang-im-salzkammergut-schwarzenbach","Website")</f>
        <v>Website</v>
      </c>
      <c r="C303" t="str">
        <f>HYPERLINK("http://www.kfz-service-reichl.at","Website")</f>
        <v>Website</v>
      </c>
      <c r="D303" t="str">
        <f>HYPERLINK("http://www.google.com/maps/place/47.7351180,13.4621694","Location")</f>
        <v>Location</v>
      </c>
      <c r="E303" t="s">
        <v>2759</v>
      </c>
      <c r="F303" t="s">
        <v>2760</v>
      </c>
      <c r="G303" t="s">
        <v>2290</v>
      </c>
      <c r="H303" t="s">
        <v>2291</v>
      </c>
      <c r="I303" t="s">
        <v>85</v>
      </c>
      <c r="J303" t="s">
        <v>22</v>
      </c>
      <c r="K303" t="s">
        <v>2761</v>
      </c>
      <c r="L303" t="s">
        <v>2764</v>
      </c>
      <c r="M303" t="s">
        <v>25</v>
      </c>
      <c r="N303" t="s">
        <v>2765</v>
      </c>
      <c r="O303" t="s">
        <v>25</v>
      </c>
      <c r="P303" t="s">
        <v>2766</v>
      </c>
      <c r="Q303" t="s">
        <v>29</v>
      </c>
      <c r="R303" t="s">
        <v>2762</v>
      </c>
      <c r="S303" t="s">
        <v>2763</v>
      </c>
    </row>
    <row r="304" spans="1:19" x14ac:dyDescent="0.25">
      <c r="A304" s="1">
        <v>302</v>
      </c>
      <c r="B304" t="str">
        <f>HYPERLINK("https://www.dasschnelle.at/van-der-leest-gerard-bad-ischl-auböckplatz","Website")</f>
        <v>Website</v>
      </c>
      <c r="C304" t="str">
        <f>HYPERLINK("https://www.dasschnelle.at/van-der-leest-gerard-bad-ischl-aub%C3%B6ckplatz","Website")</f>
        <v>Website</v>
      </c>
      <c r="D304" t="str">
        <f>HYPERLINK("http://www.google.com/maps/place/47.71059,13.62285","Location")</f>
        <v>Location</v>
      </c>
      <c r="E304" t="s">
        <v>2767</v>
      </c>
      <c r="F304" t="s">
        <v>2768</v>
      </c>
      <c r="G304" t="s">
        <v>2377</v>
      </c>
      <c r="H304" t="s">
        <v>2378</v>
      </c>
      <c r="I304" t="s">
        <v>85</v>
      </c>
      <c r="J304" t="s">
        <v>22</v>
      </c>
      <c r="K304" t="s">
        <v>2769</v>
      </c>
      <c r="L304" t="s">
        <v>2772</v>
      </c>
      <c r="M304" t="s">
        <v>25</v>
      </c>
      <c r="N304" t="s">
        <v>25</v>
      </c>
      <c r="O304" t="s">
        <v>25</v>
      </c>
      <c r="P304" t="s">
        <v>2773</v>
      </c>
      <c r="Q304" t="s">
        <v>29</v>
      </c>
      <c r="R304" t="s">
        <v>2770</v>
      </c>
      <c r="S304" t="s">
        <v>2771</v>
      </c>
    </row>
    <row r="305" spans="1:19" x14ac:dyDescent="0.25">
      <c r="A305" s="1">
        <v>303</v>
      </c>
      <c r="B305" t="str">
        <f>HYPERLINK("https://www.dasschnelle.at/spreitzer-edith-unverblümt-bad-goisern-bahnhofstraße","Website")</f>
        <v>Website</v>
      </c>
      <c r="C305" t="str">
        <f>HYPERLINK("http://www.unverbluemt.co.at","Website")</f>
        <v>Website</v>
      </c>
      <c r="D305" t="str">
        <f>HYPERLINK("http://www.google.com/maps/place/47.64045,13.6164","Location")</f>
        <v>Location</v>
      </c>
      <c r="E305" t="s">
        <v>2774</v>
      </c>
      <c r="F305" t="s">
        <v>2775</v>
      </c>
      <c r="G305" t="s">
        <v>2335</v>
      </c>
      <c r="H305" t="s">
        <v>2356</v>
      </c>
      <c r="I305" t="s">
        <v>85</v>
      </c>
      <c r="J305" t="s">
        <v>22</v>
      </c>
      <c r="K305" t="s">
        <v>2279</v>
      </c>
      <c r="L305" t="s">
        <v>2778</v>
      </c>
      <c r="M305" t="s">
        <v>25</v>
      </c>
      <c r="N305" t="s">
        <v>2779</v>
      </c>
      <c r="O305" t="s">
        <v>25</v>
      </c>
      <c r="P305" t="s">
        <v>2780</v>
      </c>
      <c r="Q305" t="s">
        <v>29</v>
      </c>
      <c r="R305" t="s">
        <v>2776</v>
      </c>
      <c r="S305" t="s">
        <v>2777</v>
      </c>
    </row>
    <row r="306" spans="1:19" x14ac:dyDescent="0.25">
      <c r="A306" s="1">
        <v>304</v>
      </c>
      <c r="B306" t="str">
        <f>HYPERLINK("https://www.dasschnelle.at/riedl-marlies-weißenbach-alte-bundesstraße","Website")</f>
        <v>Website</v>
      </c>
      <c r="C306" t="str">
        <f>HYPERLINK("https://www.dasschnelle.at/riedl-marlies-wei%C3%9Fenbach-alte-bundesstra%C3%9Fe","Website")</f>
        <v>Website</v>
      </c>
      <c r="D306" t="str">
        <f>HYPERLINK("http://www.google.com/maps/place/47.70922,13.48909","Location")</f>
        <v>Location</v>
      </c>
      <c r="E306" t="s">
        <v>2781</v>
      </c>
      <c r="F306" t="s">
        <v>2782</v>
      </c>
      <c r="G306" t="s">
        <v>2493</v>
      </c>
      <c r="H306" t="s">
        <v>2784</v>
      </c>
      <c r="I306" t="s">
        <v>2239</v>
      </c>
      <c r="J306" t="s">
        <v>22</v>
      </c>
      <c r="K306" t="s">
        <v>2783</v>
      </c>
      <c r="L306" t="s">
        <v>2563</v>
      </c>
      <c r="M306" t="s">
        <v>25</v>
      </c>
      <c r="N306" t="s">
        <v>2787</v>
      </c>
      <c r="O306" t="s">
        <v>25</v>
      </c>
      <c r="P306" t="s">
        <v>2788</v>
      </c>
      <c r="Q306" t="s">
        <v>29</v>
      </c>
      <c r="R306" t="s">
        <v>2785</v>
      </c>
      <c r="S306" t="s">
        <v>2786</v>
      </c>
    </row>
    <row r="307" spans="1:19" x14ac:dyDescent="0.25">
      <c r="A307" s="1">
        <v>305</v>
      </c>
      <c r="B307" t="str">
        <f>HYPERLINK("https://www.dasschnelle.at/camping-appesbach-st-wolfgang-im-salzkammergut-au","Website")</f>
        <v>Website</v>
      </c>
      <c r="C307" t="str">
        <f>HYPERLINK("http://www.appesbach.at","Website")</f>
        <v>Website</v>
      </c>
      <c r="D307" t="str">
        <f>HYPERLINK("http://www.google.com/maps/place/47.7323477,13.4634064","Location")</f>
        <v>Location</v>
      </c>
      <c r="E307" t="s">
        <v>2789</v>
      </c>
      <c r="F307" t="s">
        <v>2790</v>
      </c>
      <c r="G307" t="s">
        <v>2290</v>
      </c>
      <c r="H307" t="s">
        <v>2291</v>
      </c>
      <c r="I307" t="s">
        <v>85</v>
      </c>
      <c r="J307" t="s">
        <v>22</v>
      </c>
      <c r="K307" t="s">
        <v>2791</v>
      </c>
      <c r="L307" t="s">
        <v>2794</v>
      </c>
      <c r="M307" t="s">
        <v>25</v>
      </c>
      <c r="N307" t="s">
        <v>2795</v>
      </c>
      <c r="O307" t="s">
        <v>25</v>
      </c>
      <c r="P307" t="s">
        <v>2796</v>
      </c>
      <c r="Q307" t="s">
        <v>29</v>
      </c>
      <c r="R307" t="s">
        <v>2792</v>
      </c>
      <c r="S307" t="s">
        <v>2793</v>
      </c>
    </row>
    <row r="308" spans="1:19" x14ac:dyDescent="0.25">
      <c r="A308" s="1">
        <v>306</v>
      </c>
      <c r="B308" t="str">
        <f>HYPERLINK("https://www.dasschnelle.at/wigo-druck-gesmbh-bad-ischl-salzburger-straße","Website")</f>
        <v>Website</v>
      </c>
      <c r="C308" t="str">
        <f>HYPERLINK("http://www.wigodruck.at","Website")</f>
        <v>Website</v>
      </c>
      <c r="D308" t="str">
        <f>HYPERLINK("http://www.google.com/maps/place/47.71474,13.61541","Location")</f>
        <v>Location</v>
      </c>
      <c r="E308" t="s">
        <v>2797</v>
      </c>
      <c r="F308" t="s">
        <v>2798</v>
      </c>
      <c r="G308" t="s">
        <v>2377</v>
      </c>
      <c r="H308" t="s">
        <v>2378</v>
      </c>
      <c r="I308" t="s">
        <v>85</v>
      </c>
      <c r="J308" t="s">
        <v>22</v>
      </c>
      <c r="K308" t="s">
        <v>2799</v>
      </c>
      <c r="L308" t="s">
        <v>2802</v>
      </c>
      <c r="M308" t="s">
        <v>25</v>
      </c>
      <c r="N308" t="s">
        <v>2803</v>
      </c>
      <c r="O308" t="s">
        <v>25</v>
      </c>
      <c r="P308" t="s">
        <v>2804</v>
      </c>
      <c r="Q308" t="s">
        <v>29</v>
      </c>
      <c r="R308" t="s">
        <v>2800</v>
      </c>
      <c r="S308" t="s">
        <v>2801</v>
      </c>
    </row>
    <row r="309" spans="1:19" x14ac:dyDescent="0.25">
      <c r="A309" s="1">
        <v>307</v>
      </c>
      <c r="B309" t="str">
        <f>HYPERLINK("https://www.dasschnelle.at/schiendorfer-ludwig-bad-ischl-rosenkranzgasse","Website")</f>
        <v>Website</v>
      </c>
      <c r="C309" t="str">
        <f>HYPERLINK("http://www.metalltechnik-schiendorfer.at","Website")</f>
        <v>Website</v>
      </c>
      <c r="D309" t="str">
        <f>HYPERLINK("http://www.google.com/maps/place/47.70381,13.63035","Location")</f>
        <v>Location</v>
      </c>
      <c r="E309" t="s">
        <v>2805</v>
      </c>
      <c r="F309" t="s">
        <v>2806</v>
      </c>
      <c r="G309" t="s">
        <v>2377</v>
      </c>
      <c r="H309" t="s">
        <v>2378</v>
      </c>
      <c r="I309" t="s">
        <v>85</v>
      </c>
      <c r="J309" t="s">
        <v>22</v>
      </c>
      <c r="K309" t="s">
        <v>2807</v>
      </c>
      <c r="L309" t="s">
        <v>2810</v>
      </c>
      <c r="M309" t="s">
        <v>25</v>
      </c>
      <c r="N309" t="s">
        <v>2811</v>
      </c>
      <c r="O309" t="s">
        <v>2812</v>
      </c>
      <c r="P309" t="s">
        <v>2813</v>
      </c>
      <c r="Q309" t="s">
        <v>29</v>
      </c>
      <c r="R309" t="s">
        <v>2808</v>
      </c>
      <c r="S309" t="s">
        <v>2809</v>
      </c>
    </row>
    <row r="310" spans="1:19" x14ac:dyDescent="0.25">
      <c r="A310" s="1">
        <v>308</v>
      </c>
      <c r="B310" t="str">
        <f>HYPERLINK("https://www.dasschnelle.at/gassner-tischlerei-kg-bad-ischl-sattelaustraße","Website")</f>
        <v>Website</v>
      </c>
      <c r="C310" t="str">
        <f>HYPERLINK("http://www.tischlerei-gassner.at","Website")</f>
        <v>Website</v>
      </c>
      <c r="D310" t="str">
        <f>HYPERLINK("http://www.google.com/maps/place/47.73059,13.6588","Location")</f>
        <v>Location</v>
      </c>
      <c r="E310" t="s">
        <v>2814</v>
      </c>
      <c r="F310" t="s">
        <v>2815</v>
      </c>
      <c r="G310" t="s">
        <v>2377</v>
      </c>
      <c r="H310" t="s">
        <v>2378</v>
      </c>
      <c r="I310" t="s">
        <v>85</v>
      </c>
      <c r="J310" t="s">
        <v>22</v>
      </c>
      <c r="K310" t="s">
        <v>2816</v>
      </c>
      <c r="L310" t="s">
        <v>2819</v>
      </c>
      <c r="M310" t="s">
        <v>2820</v>
      </c>
      <c r="N310" t="s">
        <v>2821</v>
      </c>
      <c r="O310" t="s">
        <v>25</v>
      </c>
      <c r="P310" t="s">
        <v>2822</v>
      </c>
      <c r="Q310" t="s">
        <v>29</v>
      </c>
      <c r="R310" t="s">
        <v>2817</v>
      </c>
      <c r="S310" t="s">
        <v>2818</v>
      </c>
    </row>
    <row r="311" spans="1:19" x14ac:dyDescent="0.25">
      <c r="A311" s="1">
        <v>309</v>
      </c>
      <c r="B311" t="str">
        <f>HYPERLINK("https://www.dasschnelle.at/lorenz-spezialaufbauten-gmbh-bad-goisern-au","Website")</f>
        <v>Website</v>
      </c>
      <c r="C311" t="str">
        <f>HYPERLINK("http://www.spezialaufbauten.com","Website")</f>
        <v>Website</v>
      </c>
      <c r="D311" t="str">
        <f>HYPERLINK("http://www.google.com/maps/place/47.6152797,13.6303745","Location")</f>
        <v>Location</v>
      </c>
      <c r="E311" t="s">
        <v>2823</v>
      </c>
      <c r="F311" t="s">
        <v>2824</v>
      </c>
      <c r="G311" t="s">
        <v>2335</v>
      </c>
      <c r="H311" t="s">
        <v>2356</v>
      </c>
      <c r="I311" t="s">
        <v>85</v>
      </c>
      <c r="J311" t="s">
        <v>22</v>
      </c>
      <c r="K311" t="s">
        <v>2825</v>
      </c>
      <c r="L311" t="s">
        <v>2828</v>
      </c>
      <c r="M311" t="s">
        <v>25</v>
      </c>
      <c r="N311" t="s">
        <v>2829</v>
      </c>
      <c r="O311" t="s">
        <v>25</v>
      </c>
      <c r="P311" t="s">
        <v>2830</v>
      </c>
      <c r="Q311" t="s">
        <v>29</v>
      </c>
      <c r="R311" t="s">
        <v>2826</v>
      </c>
      <c r="S311" t="s">
        <v>2827</v>
      </c>
    </row>
    <row r="312" spans="1:19" x14ac:dyDescent="0.25">
      <c r="A312" s="1">
        <v>310</v>
      </c>
      <c r="B312" t="str">
        <f>HYPERLINK("https://www.dasschnelle.at/schilcherlandhof-stainz-hauptplatz","Website")</f>
        <v>Website</v>
      </c>
      <c r="C312" t="str">
        <f>HYPERLINK("http://www.schilcherlandhof.at","Website")</f>
        <v>Website</v>
      </c>
      <c r="D312" t="str">
        <f>HYPERLINK("http://www.google.com/maps/place/46.8935,15.26567","Location")</f>
        <v>Location</v>
      </c>
      <c r="E312" t="s">
        <v>2831</v>
      </c>
      <c r="F312" t="s">
        <v>2832</v>
      </c>
      <c r="G312" t="s">
        <v>2834</v>
      </c>
      <c r="H312" t="s">
        <v>2835</v>
      </c>
      <c r="I312" t="s">
        <v>451</v>
      </c>
      <c r="J312" t="s">
        <v>22</v>
      </c>
      <c r="K312" t="s">
        <v>2833</v>
      </c>
      <c r="L312" t="s">
        <v>2838</v>
      </c>
      <c r="M312" t="s">
        <v>25</v>
      </c>
      <c r="N312" t="s">
        <v>2839</v>
      </c>
      <c r="O312" t="s">
        <v>25</v>
      </c>
      <c r="P312" t="s">
        <v>2840</v>
      </c>
      <c r="Q312" t="s">
        <v>29</v>
      </c>
      <c r="R312" t="s">
        <v>2836</v>
      </c>
      <c r="S312" t="s">
        <v>2837</v>
      </c>
    </row>
    <row r="313" spans="1:19" x14ac:dyDescent="0.25">
      <c r="A313" s="1">
        <v>311</v>
      </c>
      <c r="B313" t="str">
        <f>HYPERLINK("https://www.dasschnelle.at/gasthof-josefiwirt-st-josef-josef","Website")</f>
        <v>Website</v>
      </c>
      <c r="C313" t="str">
        <f>HYPERLINK("https://www.dasschnelle.at/gasthof-josefiwirt-st-josef-josef","Website")</f>
        <v>Website</v>
      </c>
      <c r="D313" t="str">
        <f>HYPERLINK("http://www.google.com/maps/place/46.9112992,15.3374007","Location")</f>
        <v>Location</v>
      </c>
      <c r="E313" t="s">
        <v>2841</v>
      </c>
      <c r="F313" t="s">
        <v>2842</v>
      </c>
      <c r="G313" t="s">
        <v>2844</v>
      </c>
      <c r="H313" t="s">
        <v>2845</v>
      </c>
      <c r="I313" t="s">
        <v>451</v>
      </c>
      <c r="J313" t="s">
        <v>22</v>
      </c>
      <c r="K313" t="s">
        <v>2843</v>
      </c>
      <c r="L313" t="s">
        <v>2848</v>
      </c>
      <c r="M313" t="s">
        <v>25</v>
      </c>
      <c r="N313" t="s">
        <v>2849</v>
      </c>
      <c r="O313" t="s">
        <v>25</v>
      </c>
      <c r="P313" t="s">
        <v>2850</v>
      </c>
      <c r="Q313" t="s">
        <v>29</v>
      </c>
      <c r="R313" t="s">
        <v>2846</v>
      </c>
      <c r="S313" t="s">
        <v>2847</v>
      </c>
    </row>
    <row r="314" spans="1:19" x14ac:dyDescent="0.25">
      <c r="A314" s="1">
        <v>312</v>
      </c>
      <c r="B314" t="str">
        <f>HYPERLINK("https://www.dasschnelle.at/lenhardt-rudolf-sankt-josef-weststeiermark","Website")</f>
        <v>Website</v>
      </c>
      <c r="C314" t="str">
        <f>HYPERLINK("https://www.dasschnelle.at/lenhardt-rudolf-sankt-josef-weststeiermark","Website")</f>
        <v>Website</v>
      </c>
      <c r="D314" t="str">
        <f>HYPERLINK("http://www.google.com/maps/place/46.9106728,15.3368906","Location")</f>
        <v>Location</v>
      </c>
      <c r="E314" t="s">
        <v>2851</v>
      </c>
      <c r="F314" t="s">
        <v>2852</v>
      </c>
      <c r="G314" t="s">
        <v>2844</v>
      </c>
      <c r="H314" t="s">
        <v>2853</v>
      </c>
      <c r="I314" t="s">
        <v>451</v>
      </c>
      <c r="J314" t="s">
        <v>22</v>
      </c>
      <c r="K314" t="s">
        <v>25</v>
      </c>
      <c r="L314" t="s">
        <v>2856</v>
      </c>
      <c r="M314" t="s">
        <v>25</v>
      </c>
      <c r="N314" t="s">
        <v>2857</v>
      </c>
      <c r="O314" t="s">
        <v>25</v>
      </c>
      <c r="P314" t="s">
        <v>2858</v>
      </c>
      <c r="Q314" t="s">
        <v>29</v>
      </c>
      <c r="R314" t="s">
        <v>2854</v>
      </c>
      <c r="S314" t="s">
        <v>2855</v>
      </c>
    </row>
    <row r="315" spans="1:19" x14ac:dyDescent="0.25">
      <c r="A315" s="1">
        <v>313</v>
      </c>
      <c r="B315" t="str">
        <f>HYPERLINK("https://www.dasschnelle.at/haring-groß-sankt-florian-florianiring","Website")</f>
        <v>Website</v>
      </c>
      <c r="C315" t="str">
        <f>HYPERLINK("http://www.gaertnerei-haring.at","Website")</f>
        <v>Website</v>
      </c>
      <c r="D315" t="str">
        <f>HYPERLINK("http://www.google.com/maps/place/46.82587,15.30925","Location")</f>
        <v>Location</v>
      </c>
      <c r="E315" t="s">
        <v>2859</v>
      </c>
      <c r="F315" t="s">
        <v>2860</v>
      </c>
      <c r="G315" t="s">
        <v>2862</v>
      </c>
      <c r="H315" t="s">
        <v>2863</v>
      </c>
      <c r="I315" t="s">
        <v>451</v>
      </c>
      <c r="J315" t="s">
        <v>22</v>
      </c>
      <c r="K315" t="s">
        <v>2861</v>
      </c>
      <c r="L315" t="s">
        <v>2866</v>
      </c>
      <c r="M315" t="s">
        <v>25</v>
      </c>
      <c r="N315" t="s">
        <v>2867</v>
      </c>
      <c r="O315" t="s">
        <v>2868</v>
      </c>
      <c r="P315" t="s">
        <v>2869</v>
      </c>
      <c r="Q315" t="s">
        <v>29</v>
      </c>
      <c r="R315" t="s">
        <v>2864</v>
      </c>
      <c r="S315" t="s">
        <v>2865</v>
      </c>
    </row>
    <row r="316" spans="1:19" x14ac:dyDescent="0.25">
      <c r="A316" s="1">
        <v>314</v>
      </c>
      <c r="B316" t="str">
        <f>HYPERLINK("https://www.dasschnelle.at/sorger-claudia-frauental-grazerstraße","Website")</f>
        <v>Website</v>
      </c>
      <c r="C316" t="str">
        <f>HYPERLINK("http://www.sorgerhof.at","Website")</f>
        <v>Website</v>
      </c>
      <c r="D316" t="str">
        <f>HYPERLINK("http://www.google.com/maps/place/46.8259680,15.2563467","Location")</f>
        <v>Location</v>
      </c>
      <c r="E316" t="s">
        <v>2870</v>
      </c>
      <c r="F316" t="s">
        <v>2871</v>
      </c>
      <c r="G316" t="s">
        <v>2873</v>
      </c>
      <c r="H316" t="s">
        <v>2874</v>
      </c>
      <c r="I316" t="s">
        <v>451</v>
      </c>
      <c r="J316" t="s">
        <v>22</v>
      </c>
      <c r="K316" t="s">
        <v>2872</v>
      </c>
      <c r="L316" t="s">
        <v>2877</v>
      </c>
      <c r="M316" t="s">
        <v>25</v>
      </c>
      <c r="N316" t="s">
        <v>2878</v>
      </c>
      <c r="O316" t="s">
        <v>25</v>
      </c>
      <c r="P316" t="s">
        <v>2879</v>
      </c>
      <c r="Q316" t="s">
        <v>29</v>
      </c>
      <c r="R316" t="s">
        <v>2875</v>
      </c>
      <c r="S316" t="s">
        <v>2876</v>
      </c>
    </row>
    <row r="317" spans="1:19" x14ac:dyDescent="0.25">
      <c r="A317" s="1">
        <v>315</v>
      </c>
      <c r="B317" t="str">
        <f>HYPERLINK("https://www.dasschnelle.at/steinbauer-friseur-stainz-grazer-straße","Website")</f>
        <v>Website</v>
      </c>
      <c r="C317" t="str">
        <f>HYPERLINK("http://www.team-steinbauer.at","Website")</f>
        <v>Website</v>
      </c>
      <c r="D317" t="str">
        <f>HYPERLINK("http://www.google.com/maps/place/46.89465,15.26434","Location")</f>
        <v>Location</v>
      </c>
      <c r="E317" t="s">
        <v>2880</v>
      </c>
      <c r="F317" t="s">
        <v>2881</v>
      </c>
      <c r="G317" t="s">
        <v>2834</v>
      </c>
      <c r="H317" t="s">
        <v>2835</v>
      </c>
      <c r="I317" t="s">
        <v>451</v>
      </c>
      <c r="J317" t="s">
        <v>22</v>
      </c>
      <c r="K317" t="s">
        <v>2882</v>
      </c>
      <c r="L317" t="s">
        <v>2885</v>
      </c>
      <c r="M317" t="s">
        <v>25</v>
      </c>
      <c r="N317" t="s">
        <v>2886</v>
      </c>
      <c r="O317" t="s">
        <v>25</v>
      </c>
      <c r="P317" t="s">
        <v>2887</v>
      </c>
      <c r="Q317" t="s">
        <v>29</v>
      </c>
      <c r="R317" t="s">
        <v>2883</v>
      </c>
      <c r="S317" t="s">
        <v>2884</v>
      </c>
    </row>
    <row r="318" spans="1:19" x14ac:dyDescent="0.25">
      <c r="A318" s="1">
        <v>316</v>
      </c>
      <c r="B318" t="str">
        <f>HYPERLINK("https://www.dasschnelle.at/norbert-safran-allianz-versicherung-preding-vitalplatz","Website")</f>
        <v>Website</v>
      </c>
      <c r="C318" t="str">
        <f>HYPERLINK("http://www.allianz.at","Website")</f>
        <v>Website</v>
      </c>
      <c r="D318" t="str">
        <f>HYPERLINK("http://www.google.com/maps/place/46.8534624,15.4115940","Location")</f>
        <v>Location</v>
      </c>
      <c r="E318" t="s">
        <v>2888</v>
      </c>
      <c r="F318" t="s">
        <v>2889</v>
      </c>
      <c r="G318" t="s">
        <v>2891</v>
      </c>
      <c r="H318" t="s">
        <v>2892</v>
      </c>
      <c r="I318" t="s">
        <v>451</v>
      </c>
      <c r="J318" t="s">
        <v>22</v>
      </c>
      <c r="K318" t="s">
        <v>2890</v>
      </c>
      <c r="L318" t="s">
        <v>2895</v>
      </c>
      <c r="M318" t="s">
        <v>25</v>
      </c>
      <c r="N318" t="s">
        <v>2896</v>
      </c>
      <c r="O318" t="s">
        <v>25</v>
      </c>
      <c r="P318" t="s">
        <v>2897</v>
      </c>
      <c r="Q318" t="s">
        <v>29</v>
      </c>
      <c r="R318" t="s">
        <v>2893</v>
      </c>
      <c r="S318" t="s">
        <v>2894</v>
      </c>
    </row>
    <row r="319" spans="1:19" x14ac:dyDescent="0.25">
      <c r="A319" s="1">
        <v>317</v>
      </c>
      <c r="B319" t="str">
        <f>HYPERLINK("https://www.dasschnelle.at/kiefer-harald-romantikhof-kiefer-eibiswald-hörmsdorf","Website")</f>
        <v>Website</v>
      </c>
      <c r="C319" t="str">
        <f>HYPERLINK("http://www.romantikhof.at","Website")</f>
        <v>Website</v>
      </c>
      <c r="D319" t="str">
        <f>HYPERLINK("http://www.google.com/maps/place/46.6943361,15.2630789","Location")</f>
        <v>Location</v>
      </c>
      <c r="E319" t="s">
        <v>2898</v>
      </c>
      <c r="F319" t="s">
        <v>2899</v>
      </c>
      <c r="G319" t="s">
        <v>2901</v>
      </c>
      <c r="H319" t="s">
        <v>2902</v>
      </c>
      <c r="I319" t="s">
        <v>451</v>
      </c>
      <c r="J319" t="s">
        <v>22</v>
      </c>
      <c r="K319" t="s">
        <v>2900</v>
      </c>
      <c r="L319" t="s">
        <v>2905</v>
      </c>
      <c r="M319" t="s">
        <v>25</v>
      </c>
      <c r="N319" t="s">
        <v>2906</v>
      </c>
      <c r="O319" t="s">
        <v>25</v>
      </c>
      <c r="P319" t="s">
        <v>2907</v>
      </c>
      <c r="Q319" t="s">
        <v>29</v>
      </c>
      <c r="R319" t="s">
        <v>2903</v>
      </c>
      <c r="S319" t="s">
        <v>2904</v>
      </c>
    </row>
    <row r="320" spans="1:19" x14ac:dyDescent="0.25">
      <c r="A320" s="1">
        <v>318</v>
      </c>
      <c r="B320" t="str">
        <f>HYPERLINK("https://www.dasschnelle.at/schwab-ilse-wies-feldweg","Website")</f>
        <v>Website</v>
      </c>
      <c r="C320" t="str">
        <f>HYPERLINK("http://www.stein-schwab.at","Website")</f>
        <v>Website</v>
      </c>
      <c r="D320" t="str">
        <f>HYPERLINK("http://www.google.com/maps/place/46.71812,15.27476","Location")</f>
        <v>Location</v>
      </c>
      <c r="E320" t="s">
        <v>2908</v>
      </c>
      <c r="F320" t="s">
        <v>2909</v>
      </c>
      <c r="G320" t="s">
        <v>2911</v>
      </c>
      <c r="H320" t="s">
        <v>2912</v>
      </c>
      <c r="I320" t="s">
        <v>451</v>
      </c>
      <c r="J320" t="s">
        <v>22</v>
      </c>
      <c r="K320" t="s">
        <v>2910</v>
      </c>
      <c r="L320" t="s">
        <v>25</v>
      </c>
      <c r="M320" t="s">
        <v>2915</v>
      </c>
      <c r="N320" t="s">
        <v>2916</v>
      </c>
      <c r="O320" t="s">
        <v>25</v>
      </c>
      <c r="P320" t="s">
        <v>2917</v>
      </c>
      <c r="Q320" t="s">
        <v>29</v>
      </c>
      <c r="R320" t="s">
        <v>2913</v>
      </c>
      <c r="S320" t="s">
        <v>2914</v>
      </c>
    </row>
    <row r="321" spans="1:19" x14ac:dyDescent="0.25">
      <c r="A321" s="1">
        <v>319</v>
      </c>
      <c r="B321" t="str">
        <f>HYPERLINK("https://www.dasschnelle.at/reiter-bettina-deutschlandsberg-frauentalerstraße","Website")</f>
        <v>Website</v>
      </c>
      <c r="C321" t="str">
        <f>HYPERLINK("http://www.trachten-steiermark.at","Website")</f>
        <v>Website</v>
      </c>
      <c r="D321" t="str">
        <f>HYPERLINK("http://www.google.com/maps/place/46.81701,15.21924","Location")</f>
        <v>Location</v>
      </c>
      <c r="E321" t="s">
        <v>2918</v>
      </c>
      <c r="F321" t="s">
        <v>2919</v>
      </c>
      <c r="G321" t="s">
        <v>2921</v>
      </c>
      <c r="H321" t="s">
        <v>2922</v>
      </c>
      <c r="I321" t="s">
        <v>451</v>
      </c>
      <c r="J321" t="s">
        <v>22</v>
      </c>
      <c r="K321" t="s">
        <v>2920</v>
      </c>
      <c r="L321" t="s">
        <v>2925</v>
      </c>
      <c r="M321" t="s">
        <v>25</v>
      </c>
      <c r="N321" t="s">
        <v>2926</v>
      </c>
      <c r="O321" t="s">
        <v>2927</v>
      </c>
      <c r="P321" t="s">
        <v>2928</v>
      </c>
      <c r="Q321" t="s">
        <v>29</v>
      </c>
      <c r="R321" t="s">
        <v>2923</v>
      </c>
      <c r="S321" t="s">
        <v>2924</v>
      </c>
    </row>
    <row r="322" spans="1:19" x14ac:dyDescent="0.25">
      <c r="A322" s="1">
        <v>320</v>
      </c>
      <c r="B322" t="str">
        <f>HYPERLINK("https://www.dasschnelle.at/schmuck-ernst-stainz-sauerbrunnstraße","Website")</f>
        <v>Website</v>
      </c>
      <c r="C322" t="str">
        <f>HYPERLINK("http://www.erdarbeiten-schmuck.at","Website")</f>
        <v>Website</v>
      </c>
      <c r="D322" t="str">
        <f>HYPERLINK("http://www.google.com/maps/place/46.89621,15.25723","Location")</f>
        <v>Location</v>
      </c>
      <c r="E322" t="s">
        <v>2929</v>
      </c>
      <c r="F322" t="s">
        <v>2930</v>
      </c>
      <c r="G322" t="s">
        <v>2834</v>
      </c>
      <c r="H322" t="s">
        <v>2835</v>
      </c>
      <c r="I322" t="s">
        <v>451</v>
      </c>
      <c r="J322" t="s">
        <v>22</v>
      </c>
      <c r="K322" t="s">
        <v>2931</v>
      </c>
      <c r="L322" t="s">
        <v>2934</v>
      </c>
      <c r="M322" t="s">
        <v>25</v>
      </c>
      <c r="N322" t="s">
        <v>2935</v>
      </c>
      <c r="O322" t="s">
        <v>25</v>
      </c>
      <c r="P322" t="s">
        <v>2936</v>
      </c>
      <c r="Q322" t="s">
        <v>29</v>
      </c>
      <c r="R322" t="s">
        <v>2932</v>
      </c>
      <c r="S322" t="s">
        <v>2933</v>
      </c>
    </row>
    <row r="323" spans="1:19" x14ac:dyDescent="0.25">
      <c r="A323" s="1">
        <v>321</v>
      </c>
      <c r="B323" t="str">
        <f>HYPERLINK("https://www.dasschnelle.at/gasthaus-cafe-stegtoni-schamberg-gamserstraße-18","Website")</f>
        <v>Website</v>
      </c>
      <c r="C323" t="str">
        <f>HYPERLINK("http://www.stegtoni.at","Website")</f>
        <v>Website</v>
      </c>
      <c r="D323" t="str">
        <f>HYPERLINK("http://www.google.com/maps/place/46.8309600,15.2589700","Location")</f>
        <v>Location</v>
      </c>
      <c r="E323" t="s">
        <v>2937</v>
      </c>
      <c r="F323" t="s">
        <v>2938</v>
      </c>
      <c r="G323" t="s">
        <v>2873</v>
      </c>
      <c r="H323" t="s">
        <v>2940</v>
      </c>
      <c r="I323" t="s">
        <v>451</v>
      </c>
      <c r="J323" t="s">
        <v>22</v>
      </c>
      <c r="K323" t="s">
        <v>2939</v>
      </c>
      <c r="L323" t="s">
        <v>2943</v>
      </c>
      <c r="M323" t="s">
        <v>25</v>
      </c>
      <c r="N323" t="s">
        <v>2944</v>
      </c>
      <c r="O323" t="s">
        <v>25</v>
      </c>
      <c r="P323" t="s">
        <v>2945</v>
      </c>
      <c r="Q323" t="s">
        <v>29</v>
      </c>
      <c r="R323" t="s">
        <v>2941</v>
      </c>
      <c r="S323" t="s">
        <v>2942</v>
      </c>
    </row>
    <row r="324" spans="1:19" x14ac:dyDescent="0.25">
      <c r="A324" s="1">
        <v>322</v>
      </c>
      <c r="B324" t="str">
        <f>HYPERLINK("https://www.dasschnelle.at/people-optik-e-u-deutschlandsberg-hauptplatz","Website")</f>
        <v>Website</v>
      </c>
      <c r="C324" t="str">
        <f>HYPERLINK("http://www.peopleoptik.at","Website")</f>
        <v>Website</v>
      </c>
      <c r="D324" t="str">
        <f>HYPERLINK("http://www.google.com/maps/place/46.81469,15.21457","Location")</f>
        <v>Location</v>
      </c>
      <c r="E324" t="s">
        <v>2946</v>
      </c>
      <c r="F324" t="s">
        <v>2947</v>
      </c>
      <c r="G324" t="s">
        <v>2921</v>
      </c>
      <c r="H324" t="s">
        <v>2922</v>
      </c>
      <c r="I324" t="s">
        <v>451</v>
      </c>
      <c r="J324" t="s">
        <v>22</v>
      </c>
      <c r="K324" t="s">
        <v>2948</v>
      </c>
      <c r="L324" t="s">
        <v>2951</v>
      </c>
      <c r="M324" t="s">
        <v>25</v>
      </c>
      <c r="N324" t="s">
        <v>2952</v>
      </c>
      <c r="O324" t="s">
        <v>25</v>
      </c>
      <c r="P324" t="s">
        <v>2953</v>
      </c>
      <c r="Q324" t="s">
        <v>29</v>
      </c>
      <c r="R324" t="s">
        <v>2949</v>
      </c>
      <c r="S324" t="s">
        <v>2950</v>
      </c>
    </row>
    <row r="325" spans="1:19" x14ac:dyDescent="0.25">
      <c r="A325" s="1">
        <v>323</v>
      </c>
      <c r="B325" t="str">
        <f>HYPERLINK("https://www.dasschnelle.at/optik-scala-gmbh-deutschlandsberg-frauentalerstraße","Website")</f>
        <v>Website</v>
      </c>
      <c r="C325" t="str">
        <f>HYPERLINK("http://www.optik.scala.at","Website")</f>
        <v>Website</v>
      </c>
      <c r="D325" t="str">
        <f>HYPERLINK("http://www.google.com/maps/place/46.81652,15.21655","Location")</f>
        <v>Location</v>
      </c>
      <c r="E325" t="s">
        <v>2954</v>
      </c>
      <c r="F325" t="s">
        <v>2955</v>
      </c>
      <c r="G325" t="s">
        <v>2921</v>
      </c>
      <c r="H325" t="s">
        <v>2922</v>
      </c>
      <c r="I325" t="s">
        <v>451</v>
      </c>
      <c r="J325" t="s">
        <v>22</v>
      </c>
      <c r="K325" t="s">
        <v>2956</v>
      </c>
      <c r="L325" t="s">
        <v>2959</v>
      </c>
      <c r="M325" t="s">
        <v>25</v>
      </c>
      <c r="N325" t="s">
        <v>2960</v>
      </c>
      <c r="O325" t="s">
        <v>25</v>
      </c>
      <c r="P325" t="s">
        <v>2961</v>
      </c>
      <c r="Q325" t="s">
        <v>29</v>
      </c>
      <c r="R325" t="s">
        <v>2957</v>
      </c>
      <c r="S325" t="s">
        <v>2958</v>
      </c>
    </row>
    <row r="326" spans="1:19" x14ac:dyDescent="0.25">
      <c r="A326" s="1">
        <v>324</v>
      </c>
      <c r="B326" t="str">
        <f>HYPERLINK("https://www.dasschnelle.at/sari-haci-hüseyin-lannach-hauptplatz","Website")</f>
        <v>Website</v>
      </c>
      <c r="C326" t="str">
        <f>HYPERLINK("http://www.lannach.info/rathausrestaurant","Website")</f>
        <v>Website</v>
      </c>
      <c r="D326" t="str">
        <f>HYPERLINK("http://www.google.com/maps/place/46.94314,15.3337","Location")</f>
        <v>Location</v>
      </c>
      <c r="E326" t="s">
        <v>2962</v>
      </c>
      <c r="F326" t="s">
        <v>2963</v>
      </c>
      <c r="G326" t="s">
        <v>2964</v>
      </c>
      <c r="H326" t="s">
        <v>2965</v>
      </c>
      <c r="I326" t="s">
        <v>451</v>
      </c>
      <c r="J326" t="s">
        <v>22</v>
      </c>
      <c r="K326" t="s">
        <v>1778</v>
      </c>
      <c r="L326" t="s">
        <v>2968</v>
      </c>
      <c r="M326" t="s">
        <v>25</v>
      </c>
      <c r="N326" t="s">
        <v>2969</v>
      </c>
      <c r="O326" t="s">
        <v>25</v>
      </c>
      <c r="P326" t="s">
        <v>2970</v>
      </c>
      <c r="Q326" t="s">
        <v>29</v>
      </c>
      <c r="R326" t="s">
        <v>2966</v>
      </c>
      <c r="S326" t="s">
        <v>2967</v>
      </c>
    </row>
    <row r="327" spans="1:19" x14ac:dyDescent="0.25">
      <c r="A327" s="1">
        <v>325</v>
      </c>
      <c r="B327" t="str">
        <f>HYPERLINK("https://www.dasschnelle.at/haarstudio-iws-stainz-berggasse","Website")</f>
        <v>Website</v>
      </c>
      <c r="C327" t="str">
        <f>HYPERLINK("https://www.dasschnelle.at/haarstudio-iws-stainz-berggasse","Website")</f>
        <v>Website</v>
      </c>
      <c r="D327" t="str">
        <f>HYPERLINK("http://www.google.com/maps/place/46.89506,15.26498","Location")</f>
        <v>Location</v>
      </c>
      <c r="E327" t="s">
        <v>2971</v>
      </c>
      <c r="F327" t="s">
        <v>2972</v>
      </c>
      <c r="G327" t="s">
        <v>2834</v>
      </c>
      <c r="H327" t="s">
        <v>2835</v>
      </c>
      <c r="I327" t="s">
        <v>451</v>
      </c>
      <c r="J327" t="s">
        <v>22</v>
      </c>
      <c r="K327" t="s">
        <v>2973</v>
      </c>
      <c r="L327" t="s">
        <v>2976</v>
      </c>
      <c r="M327" t="s">
        <v>25</v>
      </c>
      <c r="N327" t="s">
        <v>2977</v>
      </c>
      <c r="O327" t="s">
        <v>25</v>
      </c>
      <c r="P327" t="s">
        <v>2978</v>
      </c>
      <c r="Q327" t="s">
        <v>29</v>
      </c>
      <c r="R327" t="s">
        <v>2974</v>
      </c>
      <c r="S327" t="s">
        <v>2975</v>
      </c>
    </row>
    <row r="328" spans="1:19" x14ac:dyDescent="0.25">
      <c r="A328" s="1">
        <v>326</v>
      </c>
      <c r="B328" t="str">
        <f>HYPERLINK("https://www.dasschnelle.at/restaurant-mamarosa-deutschlandsberg-hauptplatz","Website")</f>
        <v>Website</v>
      </c>
      <c r="C328" t="str">
        <f>HYPERLINK("http://www.pizzeria-mamarosa.at","Website")</f>
        <v>Website</v>
      </c>
      <c r="D328" t="str">
        <f>HYPERLINK("http://www.google.com/maps/place/46.81446,15.21385","Location")</f>
        <v>Location</v>
      </c>
      <c r="E328" t="s">
        <v>2979</v>
      </c>
      <c r="F328" t="s">
        <v>2980</v>
      </c>
      <c r="G328" t="s">
        <v>2921</v>
      </c>
      <c r="H328" t="s">
        <v>2922</v>
      </c>
      <c r="I328" t="s">
        <v>451</v>
      </c>
      <c r="J328" t="s">
        <v>22</v>
      </c>
      <c r="K328" t="s">
        <v>2981</v>
      </c>
      <c r="L328" t="s">
        <v>2984</v>
      </c>
      <c r="M328" t="s">
        <v>25</v>
      </c>
      <c r="N328" t="s">
        <v>2985</v>
      </c>
      <c r="O328" t="s">
        <v>25</v>
      </c>
      <c r="P328" t="s">
        <v>2986</v>
      </c>
      <c r="Q328" t="s">
        <v>29</v>
      </c>
      <c r="R328" t="s">
        <v>2982</v>
      </c>
      <c r="S328" t="s">
        <v>2983</v>
      </c>
    </row>
    <row r="329" spans="1:19" x14ac:dyDescent="0.25">
      <c r="A329" s="1">
        <v>327</v>
      </c>
      <c r="B329" t="str">
        <f>HYPERLINK("https://www.dasschnelle.at/schnattls-restaurant-groß-st-florian-marktplatz","Website")</f>
        <v>Website</v>
      </c>
      <c r="C329" t="str">
        <f>HYPERLINK("http://www.schnattl.at","Website")</f>
        <v>Website</v>
      </c>
      <c r="D329" t="str">
        <f>HYPERLINK("http://www.google.com/maps/place/46.82342,15.3166","Location")</f>
        <v>Location</v>
      </c>
      <c r="E329" t="s">
        <v>2987</v>
      </c>
      <c r="F329" t="s">
        <v>2988</v>
      </c>
      <c r="G329" t="s">
        <v>2862</v>
      </c>
      <c r="H329" t="s">
        <v>2990</v>
      </c>
      <c r="I329" t="s">
        <v>451</v>
      </c>
      <c r="J329" t="s">
        <v>22</v>
      </c>
      <c r="K329" t="s">
        <v>2989</v>
      </c>
      <c r="L329" t="s">
        <v>2993</v>
      </c>
      <c r="M329" t="s">
        <v>25</v>
      </c>
      <c r="N329" t="s">
        <v>2994</v>
      </c>
      <c r="O329" t="s">
        <v>25</v>
      </c>
      <c r="P329" t="s">
        <v>2995</v>
      </c>
      <c r="Q329" t="s">
        <v>29</v>
      </c>
      <c r="R329" t="s">
        <v>2991</v>
      </c>
      <c r="S329" t="s">
        <v>2992</v>
      </c>
    </row>
    <row r="330" spans="1:19" x14ac:dyDescent="0.25">
      <c r="A330" s="1">
        <v>328</v>
      </c>
      <c r="B330" t="str">
        <f>HYPERLINK("https://www.dasschnelle.at/hochkofler-ulrike-mag-deutschlandsberg-fabrikstraße","Website")</f>
        <v>Website</v>
      </c>
      <c r="C330" t="str">
        <f>HYPERLINK("http://www.hochkofler.net","Website")</f>
        <v>Website</v>
      </c>
      <c r="D330" t="str">
        <f>HYPERLINK("http://www.google.com/maps/place/46.81616,15.21582","Location")</f>
        <v>Location</v>
      </c>
      <c r="E330" t="s">
        <v>2996</v>
      </c>
      <c r="F330" t="s">
        <v>2997</v>
      </c>
      <c r="G330" t="s">
        <v>2921</v>
      </c>
      <c r="H330" t="s">
        <v>2922</v>
      </c>
      <c r="I330" t="s">
        <v>451</v>
      </c>
      <c r="J330" t="s">
        <v>22</v>
      </c>
      <c r="K330" t="s">
        <v>2998</v>
      </c>
      <c r="L330" t="s">
        <v>3001</v>
      </c>
      <c r="M330" t="s">
        <v>25</v>
      </c>
      <c r="N330" t="s">
        <v>3002</v>
      </c>
      <c r="O330" t="s">
        <v>25</v>
      </c>
      <c r="P330" t="s">
        <v>3003</v>
      </c>
      <c r="Q330" t="s">
        <v>29</v>
      </c>
      <c r="R330" t="s">
        <v>2999</v>
      </c>
      <c r="S330" t="s">
        <v>3000</v>
      </c>
    </row>
    <row r="331" spans="1:19" x14ac:dyDescent="0.25">
      <c r="A331" s="1">
        <v>329</v>
      </c>
      <c r="B331" t="str">
        <f>HYPERLINK("https://www.dasschnelle.at/strohmeier-reisen-wettmannstätten-wettmannstätten","Website")</f>
        <v>Website</v>
      </c>
      <c r="C331" t="str">
        <f>HYPERLINK("http://www.strohmeier-reisen.at","Website")</f>
        <v>Website</v>
      </c>
      <c r="D331" t="str">
        <f>HYPERLINK("http://www.google.com/maps/place/46.8311795,15.3850384","Location")</f>
        <v>Location</v>
      </c>
      <c r="E331" t="s">
        <v>3004</v>
      </c>
      <c r="F331" t="s">
        <v>3005</v>
      </c>
      <c r="G331" t="s">
        <v>3007</v>
      </c>
      <c r="H331" t="s">
        <v>3008</v>
      </c>
      <c r="I331" t="s">
        <v>451</v>
      </c>
      <c r="J331" t="s">
        <v>22</v>
      </c>
      <c r="K331" t="s">
        <v>3006</v>
      </c>
      <c r="L331" t="s">
        <v>3011</v>
      </c>
      <c r="M331" t="s">
        <v>25</v>
      </c>
      <c r="N331" t="s">
        <v>3012</v>
      </c>
      <c r="O331" t="s">
        <v>25</v>
      </c>
      <c r="P331" t="s">
        <v>3013</v>
      </c>
      <c r="Q331" t="s">
        <v>29</v>
      </c>
      <c r="R331" t="s">
        <v>3009</v>
      </c>
      <c r="S331" t="s">
        <v>3010</v>
      </c>
    </row>
    <row r="332" spans="1:19" x14ac:dyDescent="0.25">
      <c r="A332" s="1">
        <v>330</v>
      </c>
      <c r="B332" t="str">
        <f>HYPERLINK("https://www.dasschnelle.at/kfz-schwaiger-wies-am-bahnhof","Website")</f>
        <v>Website</v>
      </c>
      <c r="C332" t="str">
        <f>HYPERLINK("http://www.schwaigerhubert.at","Website")</f>
        <v>Website</v>
      </c>
      <c r="D332" t="str">
        <f>HYPERLINK("http://www.google.com/maps/place/46.7189900,15.2596500","Location")</f>
        <v>Location</v>
      </c>
      <c r="E332" t="s">
        <v>3014</v>
      </c>
      <c r="F332" t="s">
        <v>3015</v>
      </c>
      <c r="G332" t="s">
        <v>2911</v>
      </c>
      <c r="H332" t="s">
        <v>2912</v>
      </c>
      <c r="I332" t="s">
        <v>451</v>
      </c>
      <c r="J332" t="s">
        <v>22</v>
      </c>
      <c r="K332" t="s">
        <v>3016</v>
      </c>
      <c r="L332" t="s">
        <v>3019</v>
      </c>
      <c r="M332" t="s">
        <v>25</v>
      </c>
      <c r="N332" t="s">
        <v>3020</v>
      </c>
      <c r="O332" t="s">
        <v>25</v>
      </c>
      <c r="P332" t="s">
        <v>3021</v>
      </c>
      <c r="Q332" t="s">
        <v>29</v>
      </c>
      <c r="R332" t="s">
        <v>3017</v>
      </c>
      <c r="S332" t="s">
        <v>3018</v>
      </c>
    </row>
    <row r="333" spans="1:19" x14ac:dyDescent="0.25">
      <c r="A333" s="1">
        <v>331</v>
      </c>
      <c r="B333" t="str">
        <f>HYPERLINK("https://www.dasschnelle.at/einrichtungsstudio-hasler-deutschlandsberg-bad-gams","Website")</f>
        <v>Website</v>
      </c>
      <c r="C333" t="str">
        <f>HYPERLINK("http://www.einrichtungsstudio-steiermark.at;http://www.einrichter-hasler.at","Website")</f>
        <v>Website</v>
      </c>
      <c r="D333" t="str">
        <f>HYPERLINK("http://www.google.com/maps/place/46.8696250,15.2234050","Location")</f>
        <v>Location</v>
      </c>
      <c r="E333" t="s">
        <v>3022</v>
      </c>
      <c r="F333" t="s">
        <v>3023</v>
      </c>
      <c r="G333" t="s">
        <v>3025</v>
      </c>
      <c r="H333" t="s">
        <v>2922</v>
      </c>
      <c r="I333" t="s">
        <v>451</v>
      </c>
      <c r="J333" t="s">
        <v>22</v>
      </c>
      <c r="K333" t="s">
        <v>3024</v>
      </c>
      <c r="L333" t="s">
        <v>3028</v>
      </c>
      <c r="M333" t="s">
        <v>25</v>
      </c>
      <c r="N333" t="s">
        <v>3029</v>
      </c>
      <c r="O333" t="s">
        <v>25</v>
      </c>
      <c r="P333" t="s">
        <v>3030</v>
      </c>
      <c r="Q333" t="s">
        <v>29</v>
      </c>
      <c r="R333" t="s">
        <v>3026</v>
      </c>
      <c r="S333" t="s">
        <v>3027</v>
      </c>
    </row>
    <row r="334" spans="1:19" x14ac:dyDescent="0.25">
      <c r="A334" s="1">
        <v>332</v>
      </c>
      <c r="B334" t="str">
        <f>HYPERLINK("https://www.dasschnelle.at/ableitner-dieter-dr-deutschlandsberg-unterer-platz","Website")</f>
        <v>Website</v>
      </c>
      <c r="C334" t="str">
        <f>HYPERLINK("http://www.dr-ableitner.at","Website")</f>
        <v>Website</v>
      </c>
      <c r="D334" t="str">
        <f>HYPERLINK("http://www.google.com/maps/place/46.8157401,15.216712","Location")</f>
        <v>Location</v>
      </c>
      <c r="E334" t="s">
        <v>3031</v>
      </c>
      <c r="F334" t="s">
        <v>3032</v>
      </c>
      <c r="G334" t="s">
        <v>2921</v>
      </c>
      <c r="H334" t="s">
        <v>2922</v>
      </c>
      <c r="I334" t="s">
        <v>451</v>
      </c>
      <c r="J334" t="s">
        <v>22</v>
      </c>
      <c r="K334" t="s">
        <v>3033</v>
      </c>
      <c r="L334" t="s">
        <v>3036</v>
      </c>
      <c r="M334" t="s">
        <v>25</v>
      </c>
      <c r="N334" t="s">
        <v>3037</v>
      </c>
      <c r="O334" t="s">
        <v>25</v>
      </c>
      <c r="P334" t="s">
        <v>3038</v>
      </c>
      <c r="Q334" t="s">
        <v>29</v>
      </c>
      <c r="R334" t="s">
        <v>3034</v>
      </c>
      <c r="S334" t="s">
        <v>3035</v>
      </c>
    </row>
    <row r="335" spans="1:19" x14ac:dyDescent="0.25">
      <c r="A335" s="1">
        <v>333</v>
      </c>
      <c r="B335" t="str">
        <f>HYPERLINK("https://www.dasschnelle.at/grgic-installationen-pernegg-robert-stolz-siedlung","Website")</f>
        <v>Website</v>
      </c>
      <c r="C335" t="str">
        <f>HYPERLINK("https://www.dasschnelle.at/grgic-installationen-pernegg-robert-stolz-siedlung","Website")</f>
        <v>Website</v>
      </c>
      <c r="D335" t="str">
        <f>HYPERLINK("http://www.google.com/maps/place/47.3593383,15.3455984","Location")</f>
        <v>Location</v>
      </c>
      <c r="E335" t="s">
        <v>3039</v>
      </c>
      <c r="F335" t="s">
        <v>3040</v>
      </c>
      <c r="G335" t="s">
        <v>3042</v>
      </c>
      <c r="H335" t="s">
        <v>3043</v>
      </c>
      <c r="I335" t="s">
        <v>451</v>
      </c>
      <c r="J335" t="s">
        <v>22</v>
      </c>
      <c r="K335" t="s">
        <v>3041</v>
      </c>
      <c r="L335" t="s">
        <v>3046</v>
      </c>
      <c r="M335" t="s">
        <v>25</v>
      </c>
      <c r="N335" t="s">
        <v>3047</v>
      </c>
      <c r="O335" t="s">
        <v>25</v>
      </c>
      <c r="P335" t="s">
        <v>3048</v>
      </c>
      <c r="Q335" t="s">
        <v>29</v>
      </c>
      <c r="R335" t="s">
        <v>3044</v>
      </c>
      <c r="S335" t="s">
        <v>3045</v>
      </c>
    </row>
    <row r="336" spans="1:19" x14ac:dyDescent="0.25">
      <c r="A336" s="1">
        <v>334</v>
      </c>
      <c r="B336" t="str">
        <f>HYPERLINK("https://www.dasschnelle.at/kaiser-helga-dr-öffentliche-notarin-und-partner-bruck-an-der-mur-hoher-markt","Website")</f>
        <v>Website</v>
      </c>
      <c r="C336" t="str">
        <f>HYPERLINK("http://www.notariat-bruck.at","Website")</f>
        <v>Website</v>
      </c>
      <c r="D336" t="str">
        <f>HYPERLINK("http://www.google.com/maps/place/47.41143,15.26929","Location")</f>
        <v>Location</v>
      </c>
      <c r="E336" t="s">
        <v>3049</v>
      </c>
      <c r="F336" t="s">
        <v>3050</v>
      </c>
      <c r="G336" t="s">
        <v>3052</v>
      </c>
      <c r="H336" t="s">
        <v>3053</v>
      </c>
      <c r="I336" t="s">
        <v>451</v>
      </c>
      <c r="J336" t="s">
        <v>22</v>
      </c>
      <c r="K336" t="s">
        <v>3051</v>
      </c>
      <c r="L336" t="s">
        <v>3056</v>
      </c>
      <c r="M336" t="s">
        <v>3057</v>
      </c>
      <c r="N336" t="s">
        <v>3058</v>
      </c>
      <c r="O336" t="s">
        <v>25</v>
      </c>
      <c r="P336" t="s">
        <v>3059</v>
      </c>
      <c r="Q336" t="s">
        <v>29</v>
      </c>
      <c r="R336" t="s">
        <v>3054</v>
      </c>
      <c r="S336" t="s">
        <v>3055</v>
      </c>
    </row>
    <row r="337" spans="1:19" x14ac:dyDescent="0.25">
      <c r="A337" s="1">
        <v>335</v>
      </c>
      <c r="B337" t="str">
        <f>HYPERLINK("https://www.dasschnelle.at/zeman-installationen-gmbh-au-bei-turnau-au","Website")</f>
        <v>Website</v>
      </c>
      <c r="C337" t="str">
        <f>HYPERLINK("http://www.mein-hausinstallateur.at","Website")</f>
        <v>Website</v>
      </c>
      <c r="D337" t="str">
        <f>HYPERLINK("http://www.google.com/maps/place/47.5687428,15.3156588","Location")</f>
        <v>Location</v>
      </c>
      <c r="E337" t="s">
        <v>3060</v>
      </c>
      <c r="F337" t="s">
        <v>3061</v>
      </c>
      <c r="G337" t="s">
        <v>3063</v>
      </c>
      <c r="H337" t="s">
        <v>3064</v>
      </c>
      <c r="I337" t="s">
        <v>451</v>
      </c>
      <c r="J337" t="s">
        <v>22</v>
      </c>
      <c r="K337" t="s">
        <v>3062</v>
      </c>
      <c r="L337" t="s">
        <v>3067</v>
      </c>
      <c r="M337" t="s">
        <v>3068</v>
      </c>
      <c r="N337" t="s">
        <v>3069</v>
      </c>
      <c r="O337" t="s">
        <v>25</v>
      </c>
      <c r="P337" t="s">
        <v>3070</v>
      </c>
      <c r="Q337" t="s">
        <v>29</v>
      </c>
      <c r="R337" t="s">
        <v>3065</v>
      </c>
      <c r="S337" t="s">
        <v>3066</v>
      </c>
    </row>
    <row r="338" spans="1:19" x14ac:dyDescent="0.25">
      <c r="A338" s="1">
        <v>336</v>
      </c>
      <c r="B338" t="str">
        <f>HYPERLINK("https://www.dasschnelle.at/dsw-daten-u-steuerservice-wirtschaftstreuhandgesmbh-bruck-an-der-mur-fridrich-allee","Website")</f>
        <v>Website</v>
      </c>
      <c r="C338" t="str">
        <f>HYPERLINK("http://www.meinsteuerberater.at","Website")</f>
        <v>Website</v>
      </c>
      <c r="D338" t="str">
        <f>HYPERLINK("http://www.google.com/maps/place/47.41012,15.26636","Location")</f>
        <v>Location</v>
      </c>
      <c r="E338" t="s">
        <v>3071</v>
      </c>
      <c r="F338" t="s">
        <v>3072</v>
      </c>
      <c r="G338" t="s">
        <v>3052</v>
      </c>
      <c r="H338" t="s">
        <v>3053</v>
      </c>
      <c r="I338" t="s">
        <v>451</v>
      </c>
      <c r="J338" t="s">
        <v>22</v>
      </c>
      <c r="K338" t="s">
        <v>3073</v>
      </c>
      <c r="L338" t="s">
        <v>25</v>
      </c>
      <c r="M338" t="s">
        <v>3076</v>
      </c>
      <c r="N338" t="s">
        <v>3077</v>
      </c>
      <c r="O338" t="s">
        <v>25</v>
      </c>
      <c r="P338" t="s">
        <v>3078</v>
      </c>
      <c r="Q338" t="s">
        <v>29</v>
      </c>
      <c r="R338" t="s">
        <v>3074</v>
      </c>
      <c r="S338" t="s">
        <v>3075</v>
      </c>
    </row>
    <row r="339" spans="1:19" x14ac:dyDescent="0.25">
      <c r="A339" s="1">
        <v>337</v>
      </c>
      <c r="B339" t="str">
        <f>HYPERLINK("https://www.dasschnelle.at/mühlbacher-angelika-dr-med-sankt-marein-im-mürztal-bahnhofstraße","Website")</f>
        <v>Website</v>
      </c>
      <c r="C339" t="str">
        <f>HYPERLINK("http://www.hausaerztin.cc","Website")</f>
        <v>Website</v>
      </c>
      <c r="D339" t="str">
        <f>HYPERLINK("http://www.google.com/maps/place/47.47231,15.3729","Location")</f>
        <v>Location</v>
      </c>
      <c r="E339" t="s">
        <v>3079</v>
      </c>
      <c r="F339" t="s">
        <v>3080</v>
      </c>
      <c r="G339" t="s">
        <v>3081</v>
      </c>
      <c r="H339" t="s">
        <v>3082</v>
      </c>
      <c r="I339" t="s">
        <v>451</v>
      </c>
      <c r="J339" t="s">
        <v>22</v>
      </c>
      <c r="K339" t="s">
        <v>909</v>
      </c>
      <c r="L339" t="s">
        <v>3085</v>
      </c>
      <c r="M339" t="s">
        <v>25</v>
      </c>
      <c r="N339" t="s">
        <v>3086</v>
      </c>
      <c r="O339" t="s">
        <v>25</v>
      </c>
      <c r="P339" t="s">
        <v>3087</v>
      </c>
      <c r="Q339" t="s">
        <v>29</v>
      </c>
      <c r="R339" t="s">
        <v>3083</v>
      </c>
      <c r="S339" t="s">
        <v>3084</v>
      </c>
    </row>
    <row r="340" spans="1:19" x14ac:dyDescent="0.25">
      <c r="A340" s="1">
        <v>338</v>
      </c>
      <c r="B340" t="str">
        <f>HYPERLINK("https://www.dasschnelle.at/schwarz-gabriele-dr-sankt-lorenzen-im-mürztal-hauptstraße","Website")</f>
        <v>Website</v>
      </c>
      <c r="C340" t="str">
        <f>HYPERLINK("https://www.dasschnelle.at/schwarz-gabriele-dr-sankt-lorenzen-im-m%C3%BCrztal-hauptstra%C3%9Fe","Website")</f>
        <v>Website</v>
      </c>
      <c r="D340" t="str">
        <f>HYPERLINK("http://www.google.com/maps/place/47.48274,15.37008","Location")</f>
        <v>Location</v>
      </c>
      <c r="E340" t="s">
        <v>3088</v>
      </c>
      <c r="F340" t="s">
        <v>3089</v>
      </c>
      <c r="G340" t="s">
        <v>3091</v>
      </c>
      <c r="H340" t="s">
        <v>3092</v>
      </c>
      <c r="I340" t="s">
        <v>451</v>
      </c>
      <c r="J340" t="s">
        <v>22</v>
      </c>
      <c r="K340" t="s">
        <v>3090</v>
      </c>
      <c r="L340" t="s">
        <v>3095</v>
      </c>
      <c r="M340" t="s">
        <v>25</v>
      </c>
      <c r="N340" t="s">
        <v>3096</v>
      </c>
      <c r="O340" t="s">
        <v>25</v>
      </c>
      <c r="P340" t="s">
        <v>3097</v>
      </c>
      <c r="Q340" t="s">
        <v>29</v>
      </c>
      <c r="R340" t="s">
        <v>3093</v>
      </c>
      <c r="S340" t="s">
        <v>3094</v>
      </c>
    </row>
    <row r="341" spans="1:19" x14ac:dyDescent="0.25">
      <c r="A341" s="1">
        <v>339</v>
      </c>
      <c r="B341" t="str">
        <f>HYPERLINK("https://www.dasschnelle.at/holzinger-wolfgang-mag-eferding-simbach","Website")</f>
        <v>Website</v>
      </c>
      <c r="C341" t="str">
        <f>HYPERLINK("http://www.holzinger.at","Website")</f>
        <v>Website</v>
      </c>
      <c r="D341" t="str">
        <f>HYPERLINK("http://www.google.com/maps/place/48.2777545,14.0205635","Location")</f>
        <v>Location</v>
      </c>
      <c r="E341" t="s">
        <v>3098</v>
      </c>
      <c r="F341" t="s">
        <v>3099</v>
      </c>
      <c r="G341" t="s">
        <v>3101</v>
      </c>
      <c r="H341" t="s">
        <v>3102</v>
      </c>
      <c r="I341" t="s">
        <v>85</v>
      </c>
      <c r="J341" t="s">
        <v>22</v>
      </c>
      <c r="K341" t="s">
        <v>3100</v>
      </c>
      <c r="L341" t="s">
        <v>3105</v>
      </c>
      <c r="M341" t="s">
        <v>25</v>
      </c>
      <c r="N341" t="s">
        <v>3106</v>
      </c>
      <c r="O341" t="s">
        <v>25</v>
      </c>
      <c r="P341" t="s">
        <v>3107</v>
      </c>
      <c r="Q341" t="s">
        <v>29</v>
      </c>
      <c r="R341" t="s">
        <v>3103</v>
      </c>
      <c r="S341" t="s">
        <v>3104</v>
      </c>
    </row>
    <row r="342" spans="1:19" x14ac:dyDescent="0.25">
      <c r="A342" s="1">
        <v>340</v>
      </c>
      <c r="B342" t="str">
        <f>HYPERLINK("https://www.dasschnelle.at/arthofer-hans-gesmbh-und-co-kg-büro-hartkirchen-deinhamerstraße","Website")</f>
        <v>Website</v>
      </c>
      <c r="C342" t="str">
        <f>HYPERLINK("http://www.arthofer-bau.at","Website")</f>
        <v>Website</v>
      </c>
      <c r="D342" t="str">
        <f>HYPERLINK("http://www.google.com/maps/place/48.36055,14.00596","Location")</f>
        <v>Location</v>
      </c>
      <c r="E342" t="s">
        <v>3108</v>
      </c>
      <c r="F342" t="s">
        <v>3109</v>
      </c>
      <c r="G342" t="s">
        <v>3111</v>
      </c>
      <c r="H342" t="s">
        <v>3112</v>
      </c>
      <c r="I342" t="s">
        <v>85</v>
      </c>
      <c r="J342" t="s">
        <v>22</v>
      </c>
      <c r="K342" t="s">
        <v>3110</v>
      </c>
      <c r="L342" t="s">
        <v>3115</v>
      </c>
      <c r="M342" t="s">
        <v>25</v>
      </c>
      <c r="N342" t="s">
        <v>3116</v>
      </c>
      <c r="O342" t="s">
        <v>3117</v>
      </c>
      <c r="P342" t="s">
        <v>3118</v>
      </c>
      <c r="Q342" t="s">
        <v>29</v>
      </c>
      <c r="R342" t="s">
        <v>3113</v>
      </c>
      <c r="S342" t="s">
        <v>3114</v>
      </c>
    </row>
    <row r="343" spans="1:19" x14ac:dyDescent="0.25">
      <c r="A343" s="1">
        <v>341</v>
      </c>
      <c r="B343" t="str">
        <f>HYPERLINK("https://www.dasschnelle.at/lohr-gerald-dr-med-eferding-stephan-fadinger-straße","Website")</f>
        <v>Website</v>
      </c>
      <c r="C343" t="str">
        <f>HYPERLINK("http://www.internist-lohr.at","Website")</f>
        <v>Website</v>
      </c>
      <c r="D343" t="str">
        <f>HYPERLINK("http://www.google.com/maps/place/48.31013,14.02417","Location")</f>
        <v>Location</v>
      </c>
      <c r="E343" t="s">
        <v>3119</v>
      </c>
      <c r="F343" t="s">
        <v>3120</v>
      </c>
      <c r="G343" t="s">
        <v>3101</v>
      </c>
      <c r="H343" t="s">
        <v>3102</v>
      </c>
      <c r="I343" t="s">
        <v>85</v>
      </c>
      <c r="J343" t="s">
        <v>22</v>
      </c>
      <c r="K343" t="s">
        <v>3121</v>
      </c>
      <c r="L343" t="s">
        <v>3124</v>
      </c>
      <c r="M343" t="s">
        <v>25</v>
      </c>
      <c r="N343" t="s">
        <v>3125</v>
      </c>
      <c r="O343" t="s">
        <v>25</v>
      </c>
      <c r="P343" t="s">
        <v>3126</v>
      </c>
      <c r="Q343" t="s">
        <v>29</v>
      </c>
      <c r="R343" t="s">
        <v>3122</v>
      </c>
      <c r="S343" t="s">
        <v>3123</v>
      </c>
    </row>
    <row r="344" spans="1:19" x14ac:dyDescent="0.25">
      <c r="A344" s="1">
        <v>342</v>
      </c>
      <c r="B344" t="str">
        <f>HYPERLINK("https://www.dasschnelle.at/scherl-maximilian-eferding-schiferplatz","Website")</f>
        <v>Website</v>
      </c>
      <c r="C344" t="str">
        <f>HYPERLINK("https://www.ms-autoglas.at","Website")</f>
        <v>Website</v>
      </c>
      <c r="D344" t="str">
        <f>HYPERLINK("http://www.google.com/maps/place/48.3391360,13.9572227","Location")</f>
        <v>Location</v>
      </c>
      <c r="E344" t="s">
        <v>3127</v>
      </c>
      <c r="F344" t="s">
        <v>3128</v>
      </c>
      <c r="G344" t="s">
        <v>3101</v>
      </c>
      <c r="H344" t="s">
        <v>3102</v>
      </c>
      <c r="I344" t="s">
        <v>85</v>
      </c>
      <c r="J344" t="s">
        <v>22</v>
      </c>
      <c r="K344" t="s">
        <v>3129</v>
      </c>
      <c r="L344" t="s">
        <v>3132</v>
      </c>
      <c r="M344" t="s">
        <v>25</v>
      </c>
      <c r="N344" t="s">
        <v>3133</v>
      </c>
      <c r="O344" t="s">
        <v>25</v>
      </c>
      <c r="P344" t="s">
        <v>3134</v>
      </c>
      <c r="Q344" t="s">
        <v>29</v>
      </c>
      <c r="R344" t="s">
        <v>3130</v>
      </c>
      <c r="S344" t="s">
        <v>3131</v>
      </c>
    </row>
    <row r="345" spans="1:19" x14ac:dyDescent="0.25">
      <c r="A345" s="1">
        <v>343</v>
      </c>
      <c r="B345" t="str">
        <f>HYPERLINK("https://www.dasschnelle.at/elektrotechnik-gruber-gmbh-eferding-unterer-graben","Website")</f>
        <v>Website</v>
      </c>
      <c r="C345" t="str">
        <f>HYPERLINK("http://www.elektro-gruber.co.at","Website")</f>
        <v>Website</v>
      </c>
      <c r="D345" t="str">
        <f>HYPERLINK("http://www.google.com/maps/place/48.30723,14.02369","Location")</f>
        <v>Location</v>
      </c>
      <c r="E345" t="s">
        <v>3135</v>
      </c>
      <c r="F345" t="s">
        <v>3136</v>
      </c>
      <c r="G345" t="s">
        <v>3101</v>
      </c>
      <c r="H345" t="s">
        <v>3102</v>
      </c>
      <c r="I345" t="s">
        <v>85</v>
      </c>
      <c r="J345" t="s">
        <v>22</v>
      </c>
      <c r="K345" t="s">
        <v>3137</v>
      </c>
      <c r="L345" t="s">
        <v>3140</v>
      </c>
      <c r="M345" t="s">
        <v>25</v>
      </c>
      <c r="N345" t="s">
        <v>3141</v>
      </c>
      <c r="O345" t="s">
        <v>25</v>
      </c>
      <c r="P345" t="s">
        <v>3142</v>
      </c>
      <c r="Q345" t="s">
        <v>29</v>
      </c>
      <c r="R345" t="s">
        <v>3138</v>
      </c>
      <c r="S345" t="s">
        <v>3139</v>
      </c>
    </row>
    <row r="346" spans="1:19" x14ac:dyDescent="0.25">
      <c r="A346" s="1">
        <v>344</v>
      </c>
      <c r="B346" t="str">
        <f>HYPERLINK("https://www.dasschnelle.at/doppelbauer-jürgen-glasdoctor-alkoven-gewerbestraße-1","Website")</f>
        <v>Website</v>
      </c>
      <c r="C346" t="str">
        <f>HYPERLINK("http://www.glasdoctor.at","Website")</f>
        <v>Website</v>
      </c>
      <c r="D346" t="str">
        <f>HYPERLINK("http://www.google.com/maps/place/48.29089,14.13525","Location")</f>
        <v>Location</v>
      </c>
      <c r="E346" t="s">
        <v>3143</v>
      </c>
      <c r="F346" t="s">
        <v>3144</v>
      </c>
      <c r="G346" t="s">
        <v>3146</v>
      </c>
      <c r="H346" t="s">
        <v>3147</v>
      </c>
      <c r="I346" t="s">
        <v>85</v>
      </c>
      <c r="J346" t="s">
        <v>22</v>
      </c>
      <c r="K346" t="s">
        <v>3145</v>
      </c>
      <c r="L346" t="s">
        <v>3150</v>
      </c>
      <c r="M346" t="s">
        <v>25</v>
      </c>
      <c r="N346" t="s">
        <v>3151</v>
      </c>
      <c r="O346" t="s">
        <v>25</v>
      </c>
      <c r="P346" t="s">
        <v>3152</v>
      </c>
      <c r="Q346" t="s">
        <v>29</v>
      </c>
      <c r="R346" t="s">
        <v>3148</v>
      </c>
      <c r="S346" t="s">
        <v>3149</v>
      </c>
    </row>
    <row r="347" spans="1:19" x14ac:dyDescent="0.25">
      <c r="A347" s="1">
        <v>345</v>
      </c>
      <c r="B347" t="str">
        <f>HYPERLINK("https://www.dasschnelle.at/ettinger-tanja-wirtshaus-tilli-haibach-ob-der-donau-staufstraße","Website")</f>
        <v>Website</v>
      </c>
      <c r="C347" t="str">
        <f>HYPERLINK("http://www.wirtshaus-tilli.at","Website")</f>
        <v>Website</v>
      </c>
      <c r="D347" t="str">
        <f>HYPERLINK("http://www.google.com/maps/place/48.40923,13.91687","Location")</f>
        <v>Location</v>
      </c>
      <c r="E347" t="s">
        <v>3153</v>
      </c>
      <c r="F347" t="s">
        <v>3154</v>
      </c>
      <c r="G347" t="s">
        <v>3156</v>
      </c>
      <c r="H347" t="s">
        <v>3157</v>
      </c>
      <c r="I347" t="s">
        <v>85</v>
      </c>
      <c r="J347" t="s">
        <v>22</v>
      </c>
      <c r="K347" t="s">
        <v>3155</v>
      </c>
      <c r="L347" t="s">
        <v>3160</v>
      </c>
      <c r="M347" t="s">
        <v>25</v>
      </c>
      <c r="N347" t="s">
        <v>3161</v>
      </c>
      <c r="O347" t="s">
        <v>25</v>
      </c>
      <c r="P347" t="s">
        <v>3162</v>
      </c>
      <c r="Q347" t="s">
        <v>29</v>
      </c>
      <c r="R347" t="s">
        <v>3158</v>
      </c>
      <c r="S347" t="s">
        <v>3159</v>
      </c>
    </row>
    <row r="348" spans="1:19" x14ac:dyDescent="0.25">
      <c r="A348" s="1">
        <v>346</v>
      </c>
      <c r="B348" t="str">
        <f>HYPERLINK("https://www.dasschnelle.at/doplbauer-gmbh-eferding-stadtplatz","Website")</f>
        <v>Website</v>
      </c>
      <c r="C348" t="str">
        <f>HYPERLINK("http://www.doplbauer.at","Website")</f>
        <v>Website</v>
      </c>
      <c r="D348" t="str">
        <f>HYPERLINK("http://www.google.com/maps/place/48.30875,14.02306","Location")</f>
        <v>Location</v>
      </c>
      <c r="E348" t="s">
        <v>3163</v>
      </c>
      <c r="F348" t="s">
        <v>3164</v>
      </c>
      <c r="G348" t="s">
        <v>3101</v>
      </c>
      <c r="H348" t="s">
        <v>3102</v>
      </c>
      <c r="I348" t="s">
        <v>85</v>
      </c>
      <c r="J348" t="s">
        <v>22</v>
      </c>
      <c r="K348" t="s">
        <v>3165</v>
      </c>
      <c r="L348" t="s">
        <v>3168</v>
      </c>
      <c r="M348" t="s">
        <v>25</v>
      </c>
      <c r="N348" t="s">
        <v>3169</v>
      </c>
      <c r="O348" t="s">
        <v>25</v>
      </c>
      <c r="P348" t="s">
        <v>3170</v>
      </c>
      <c r="Q348" t="s">
        <v>29</v>
      </c>
      <c r="R348" t="s">
        <v>3166</v>
      </c>
      <c r="S348" t="s">
        <v>3167</v>
      </c>
    </row>
    <row r="349" spans="1:19" x14ac:dyDescent="0.25">
      <c r="A349" s="1">
        <v>347</v>
      </c>
      <c r="B349" t="str">
        <f>HYPERLINK("https://www.dasschnelle.at/sardest-nesihe-dr-eferding-unterer-graben","Website")</f>
        <v>Website</v>
      </c>
      <c r="C349" t="str">
        <f>HYPERLINK("https://www.dasschnelle.at/sardest-nesihe-dr-eferding-unterer-graben","Website")</f>
        <v>Website</v>
      </c>
      <c r="D349" t="str">
        <f>HYPERLINK("http://www.google.com/maps/place/48.30723,14.02369","Location")</f>
        <v>Location</v>
      </c>
      <c r="E349" t="s">
        <v>3171</v>
      </c>
      <c r="F349" t="s">
        <v>3172</v>
      </c>
      <c r="G349" t="s">
        <v>3101</v>
      </c>
      <c r="H349" t="s">
        <v>3102</v>
      </c>
      <c r="I349" t="s">
        <v>85</v>
      </c>
      <c r="J349" t="s">
        <v>22</v>
      </c>
      <c r="K349" t="s">
        <v>3137</v>
      </c>
      <c r="L349" t="s">
        <v>3173</v>
      </c>
      <c r="M349" t="s">
        <v>25</v>
      </c>
      <c r="N349" t="s">
        <v>25</v>
      </c>
      <c r="O349" t="s">
        <v>25</v>
      </c>
      <c r="P349" t="s">
        <v>3174</v>
      </c>
      <c r="Q349" t="s">
        <v>29</v>
      </c>
      <c r="R349" t="s">
        <v>3138</v>
      </c>
      <c r="S349" t="s">
        <v>3139</v>
      </c>
    </row>
    <row r="350" spans="1:19" x14ac:dyDescent="0.25">
      <c r="A350" s="1">
        <v>348</v>
      </c>
      <c r="B350" t="str">
        <f>HYPERLINK("https://www.dasschnelle.at/langmayr-karl-eferding-brandstatt","Website")</f>
        <v>Website</v>
      </c>
      <c r="C350" t="str">
        <f>HYPERLINK("http://www.dieplinger.at","Website")</f>
        <v>Website</v>
      </c>
      <c r="D350" t="str">
        <f>HYPERLINK("http://www.google.com/maps/place/48.3361003,14.0240482","Location")</f>
        <v>Location</v>
      </c>
      <c r="E350" t="s">
        <v>3175</v>
      </c>
      <c r="F350" t="s">
        <v>3176</v>
      </c>
      <c r="G350" t="s">
        <v>3101</v>
      </c>
      <c r="H350" t="s">
        <v>3102</v>
      </c>
      <c r="I350" t="s">
        <v>85</v>
      </c>
      <c r="J350" t="s">
        <v>22</v>
      </c>
      <c r="K350" t="s">
        <v>3177</v>
      </c>
      <c r="L350" t="s">
        <v>3180</v>
      </c>
      <c r="M350" t="s">
        <v>3181</v>
      </c>
      <c r="N350" t="s">
        <v>3182</v>
      </c>
      <c r="O350" t="s">
        <v>3183</v>
      </c>
      <c r="P350" t="s">
        <v>3184</v>
      </c>
      <c r="Q350" t="s">
        <v>29</v>
      </c>
      <c r="R350" t="s">
        <v>3178</v>
      </c>
      <c r="S350" t="s">
        <v>3179</v>
      </c>
    </row>
    <row r="351" spans="1:19" x14ac:dyDescent="0.25">
      <c r="A351" s="1">
        <v>349</v>
      </c>
      <c r="B351" t="str">
        <f>HYPERLINK("https://www.dasschnelle.at/kidjemet-stefan-alkoven-berghamerstraße","Website")</f>
        <v>Website</v>
      </c>
      <c r="C351" t="str">
        <f>HYPERLINK("http://www.metall-kidjemet.at","Website")</f>
        <v>Website</v>
      </c>
      <c r="D351" t="str">
        <f>HYPERLINK("http://www.google.com/maps/place/48.29279,14.12898","Location")</f>
        <v>Location</v>
      </c>
      <c r="E351" t="s">
        <v>3185</v>
      </c>
      <c r="F351" t="s">
        <v>3186</v>
      </c>
      <c r="G351" t="s">
        <v>3146</v>
      </c>
      <c r="H351" t="s">
        <v>3147</v>
      </c>
      <c r="I351" t="s">
        <v>85</v>
      </c>
      <c r="J351" t="s">
        <v>22</v>
      </c>
      <c r="K351" t="s">
        <v>3187</v>
      </c>
      <c r="L351" t="s">
        <v>3190</v>
      </c>
      <c r="M351" t="s">
        <v>25</v>
      </c>
      <c r="N351" t="s">
        <v>3191</v>
      </c>
      <c r="O351" t="s">
        <v>25</v>
      </c>
      <c r="P351" t="s">
        <v>3192</v>
      </c>
      <c r="Q351" t="s">
        <v>29</v>
      </c>
      <c r="R351" t="s">
        <v>3188</v>
      </c>
      <c r="S351" t="s">
        <v>3189</v>
      </c>
    </row>
    <row r="352" spans="1:19" x14ac:dyDescent="0.25">
      <c r="A352" s="1">
        <v>350</v>
      </c>
      <c r="B352" t="str">
        <f>HYPERLINK("https://www.dasschnelle.at/schabetsberger-gerhard-eferding-waschpoint","Website")</f>
        <v>Website</v>
      </c>
      <c r="C352" t="str">
        <f>HYPERLINK("https://www.dasschnelle.at/schabetsberger-gerhard-eferding-waschpoint","Website")</f>
        <v>Website</v>
      </c>
      <c r="D352" t="str">
        <f>HYPERLINK("http://www.google.com/maps/place/48.3214690,14.0192296","Location")</f>
        <v>Location</v>
      </c>
      <c r="E352" t="s">
        <v>3193</v>
      </c>
      <c r="F352" t="s">
        <v>3194</v>
      </c>
      <c r="G352" t="s">
        <v>3101</v>
      </c>
      <c r="H352" t="s">
        <v>3102</v>
      </c>
      <c r="I352" t="s">
        <v>85</v>
      </c>
      <c r="J352" t="s">
        <v>22</v>
      </c>
      <c r="K352" t="s">
        <v>3195</v>
      </c>
      <c r="L352" t="s">
        <v>3198</v>
      </c>
      <c r="M352" t="s">
        <v>25</v>
      </c>
      <c r="N352" t="s">
        <v>3199</v>
      </c>
      <c r="O352" t="s">
        <v>3200</v>
      </c>
      <c r="P352" t="s">
        <v>697</v>
      </c>
      <c r="Q352" t="s">
        <v>29</v>
      </c>
      <c r="R352" t="s">
        <v>3196</v>
      </c>
      <c r="S352" t="s">
        <v>3197</v>
      </c>
    </row>
    <row r="353" spans="1:19" x14ac:dyDescent="0.25">
      <c r="A353" s="1">
        <v>351</v>
      </c>
      <c r="B353" t="str">
        <f>HYPERLINK("https://www.dasschnelle.at/riffert-metallwaren-eferding-hinzenbach","Website")</f>
        <v>Website</v>
      </c>
      <c r="C353" t="str">
        <f>HYPERLINK("https://www.metallwaren-riffert.at","Website")</f>
        <v>Website</v>
      </c>
      <c r="D353" t="str">
        <f>HYPERLINK("http://www.google.com/maps/place/48.3087869,14.0069444","Location")</f>
        <v>Location</v>
      </c>
      <c r="E353" t="s">
        <v>3201</v>
      </c>
      <c r="F353" t="s">
        <v>3202</v>
      </c>
      <c r="G353" t="s">
        <v>3101</v>
      </c>
      <c r="H353" t="s">
        <v>3102</v>
      </c>
      <c r="I353" t="s">
        <v>85</v>
      </c>
      <c r="J353" t="s">
        <v>22</v>
      </c>
      <c r="K353" t="s">
        <v>3203</v>
      </c>
      <c r="L353" t="s">
        <v>3206</v>
      </c>
      <c r="M353" t="s">
        <v>25</v>
      </c>
      <c r="N353" t="s">
        <v>3207</v>
      </c>
      <c r="O353" t="s">
        <v>25</v>
      </c>
      <c r="P353" t="s">
        <v>3208</v>
      </c>
      <c r="Q353" t="s">
        <v>29</v>
      </c>
      <c r="R353" t="s">
        <v>3204</v>
      </c>
      <c r="S353" t="s">
        <v>3205</v>
      </c>
    </row>
    <row r="354" spans="1:19" x14ac:dyDescent="0.25">
      <c r="A354" s="1">
        <v>352</v>
      </c>
      <c r="B354" t="str">
        <f>HYPERLINK("https://www.dasschnelle.at/klapfenböck-johann-transport-gmbh-alkoven-strass","Website")</f>
        <v>Website</v>
      </c>
      <c r="C354" t="str">
        <f>HYPERLINK("http://www.klapfenboeck.at","Website")</f>
        <v>Website</v>
      </c>
      <c r="D354" t="str">
        <f>HYPERLINK("http://www.google.com/maps/place/48.2881730,14.0819602","Location")</f>
        <v>Location</v>
      </c>
      <c r="E354" t="s">
        <v>3209</v>
      </c>
      <c r="F354" t="s">
        <v>3210</v>
      </c>
      <c r="G354" t="s">
        <v>3146</v>
      </c>
      <c r="H354" t="s">
        <v>3147</v>
      </c>
      <c r="I354" t="s">
        <v>85</v>
      </c>
      <c r="J354" t="s">
        <v>22</v>
      </c>
      <c r="K354" t="s">
        <v>3211</v>
      </c>
      <c r="L354" t="s">
        <v>3214</v>
      </c>
      <c r="M354" t="s">
        <v>25</v>
      </c>
      <c r="N354" t="s">
        <v>3215</v>
      </c>
      <c r="O354" t="s">
        <v>3216</v>
      </c>
      <c r="P354" t="s">
        <v>3217</v>
      </c>
      <c r="Q354" t="s">
        <v>29</v>
      </c>
      <c r="R354" t="s">
        <v>3212</v>
      </c>
      <c r="S354" t="s">
        <v>3213</v>
      </c>
    </row>
    <row r="355" spans="1:19" x14ac:dyDescent="0.25">
      <c r="A355" s="1">
        <v>353</v>
      </c>
      <c r="B355" t="str">
        <f>HYPERLINK("https://www.dasschnelle.at/lehner-harald-eferding-unterschaden","Website")</f>
        <v>Website</v>
      </c>
      <c r="C355" t="str">
        <f>HYPERLINK("https://www.dasschnelle.at/lehner-harald-eferding-unterschaden","Website")</f>
        <v>Website</v>
      </c>
      <c r="D355" t="str">
        <f>HYPERLINK("http://www.google.com/maps/place/48.3162551,14.0438718","Location")</f>
        <v>Location</v>
      </c>
      <c r="E355" t="s">
        <v>3218</v>
      </c>
      <c r="F355" t="s">
        <v>3219</v>
      </c>
      <c r="G355" t="s">
        <v>3101</v>
      </c>
      <c r="H355" t="s">
        <v>3102</v>
      </c>
      <c r="I355" t="s">
        <v>85</v>
      </c>
      <c r="J355" t="s">
        <v>22</v>
      </c>
      <c r="K355" t="s">
        <v>3220</v>
      </c>
      <c r="L355" t="s">
        <v>3223</v>
      </c>
      <c r="M355" t="s">
        <v>25</v>
      </c>
      <c r="N355" t="s">
        <v>3224</v>
      </c>
      <c r="O355" t="s">
        <v>25</v>
      </c>
      <c r="P355" t="s">
        <v>3225</v>
      </c>
      <c r="Q355" t="s">
        <v>29</v>
      </c>
      <c r="R355" t="s">
        <v>3221</v>
      </c>
      <c r="S355" t="s">
        <v>3222</v>
      </c>
    </row>
    <row r="356" spans="1:19" x14ac:dyDescent="0.25">
      <c r="A356" s="1">
        <v>354</v>
      </c>
      <c r="B356" t="str">
        <f>HYPERLINK("https://www.dasschnelle.at/pühringer-silvia-haibach-ob-der-donau-moos","Website")</f>
        <v>Website</v>
      </c>
      <c r="C356" t="str">
        <f>HYPERLINK("http://www.gasthof-silvia.at","Website")</f>
        <v>Website</v>
      </c>
      <c r="D356" t="str">
        <f>HYPERLINK("http://www.google.com/maps/place/48.4047599,13.8977889","Location")</f>
        <v>Location</v>
      </c>
      <c r="E356" t="s">
        <v>3226</v>
      </c>
      <c r="F356" t="s">
        <v>3227</v>
      </c>
      <c r="G356" t="s">
        <v>3156</v>
      </c>
      <c r="H356" t="s">
        <v>3157</v>
      </c>
      <c r="I356" t="s">
        <v>85</v>
      </c>
      <c r="J356" t="s">
        <v>22</v>
      </c>
      <c r="K356" t="s">
        <v>3228</v>
      </c>
      <c r="L356" t="s">
        <v>3231</v>
      </c>
      <c r="M356" t="s">
        <v>25</v>
      </c>
      <c r="N356" t="s">
        <v>3232</v>
      </c>
      <c r="O356" t="s">
        <v>3233</v>
      </c>
      <c r="P356" t="s">
        <v>3234</v>
      </c>
      <c r="Q356" t="s">
        <v>29</v>
      </c>
      <c r="R356" t="s">
        <v>3229</v>
      </c>
      <c r="S356" t="s">
        <v>3230</v>
      </c>
    </row>
    <row r="357" spans="1:19" x14ac:dyDescent="0.25">
      <c r="A357" s="1">
        <v>355</v>
      </c>
      <c r="B357" t="str">
        <f>HYPERLINK("https://www.dasschnelle.at/berisha-e-u-eferding-wagrein","Website")</f>
        <v>Website</v>
      </c>
      <c r="C357" t="str">
        <f>HYPERLINK("http://www.berishamalerei.at","Website")</f>
        <v>Website</v>
      </c>
      <c r="D357" t="str">
        <f>HYPERLINK("http://www.google.com/maps/place/48.3079455,14.0085528","Location")</f>
        <v>Location</v>
      </c>
      <c r="E357" t="s">
        <v>3235</v>
      </c>
      <c r="F357" t="s">
        <v>3236</v>
      </c>
      <c r="G357" t="s">
        <v>3101</v>
      </c>
      <c r="H357" t="s">
        <v>3102</v>
      </c>
      <c r="I357" t="s">
        <v>85</v>
      </c>
      <c r="J357" t="s">
        <v>22</v>
      </c>
      <c r="K357" t="s">
        <v>3237</v>
      </c>
      <c r="L357" t="s">
        <v>3240</v>
      </c>
      <c r="M357" t="s">
        <v>25</v>
      </c>
      <c r="N357" t="s">
        <v>3241</v>
      </c>
      <c r="O357" t="s">
        <v>3242</v>
      </c>
      <c r="P357" t="s">
        <v>3243</v>
      </c>
      <c r="Q357" t="s">
        <v>29</v>
      </c>
      <c r="R357" t="s">
        <v>3238</v>
      </c>
      <c r="S357" t="s">
        <v>3239</v>
      </c>
    </row>
    <row r="358" spans="1:19" x14ac:dyDescent="0.25">
      <c r="A358" s="1">
        <v>356</v>
      </c>
      <c r="B358" t="str">
        <f>HYPERLINK("https://www.dasschnelle.at/bestattung-neumayr-eferding-schaumburgerstraße","Website")</f>
        <v>Website</v>
      </c>
      <c r="C358" t="str">
        <f>HYPERLINK("http://www.bestattung-neumayr.at","Website")</f>
        <v>Website</v>
      </c>
      <c r="D358" t="str">
        <f>HYPERLINK("http://www.google.com/maps/place/48.31022,14.02136","Location")</f>
        <v>Location</v>
      </c>
      <c r="E358" t="s">
        <v>3244</v>
      </c>
      <c r="F358" t="s">
        <v>3245</v>
      </c>
      <c r="G358" t="s">
        <v>3101</v>
      </c>
      <c r="H358" t="s">
        <v>3102</v>
      </c>
      <c r="I358" t="s">
        <v>85</v>
      </c>
      <c r="J358" t="s">
        <v>22</v>
      </c>
      <c r="K358" t="s">
        <v>3246</v>
      </c>
      <c r="L358" t="s">
        <v>3249</v>
      </c>
      <c r="M358" t="s">
        <v>25</v>
      </c>
      <c r="N358" t="s">
        <v>3250</v>
      </c>
      <c r="O358" t="s">
        <v>25</v>
      </c>
      <c r="P358" t="s">
        <v>3251</v>
      </c>
      <c r="Q358" t="s">
        <v>29</v>
      </c>
      <c r="R358" t="s">
        <v>3247</v>
      </c>
      <c r="S358" t="s">
        <v>3248</v>
      </c>
    </row>
    <row r="359" spans="1:19" x14ac:dyDescent="0.25">
      <c r="A359" s="1">
        <v>357</v>
      </c>
      <c r="B359" t="str">
        <f>HYPERLINK("https://www.dasschnelle.at/taxi-hammer-alkoven-im-kleefeld","Website")</f>
        <v>Website</v>
      </c>
      <c r="C359" t="str">
        <f>HYPERLINK("http://www.taxi-alkoven.at","Website")</f>
        <v>Website</v>
      </c>
      <c r="D359" t="str">
        <f>HYPERLINK("http://www.google.com/maps/place/48.28816,14.13843","Location")</f>
        <v>Location</v>
      </c>
      <c r="E359" t="s">
        <v>3252</v>
      </c>
      <c r="F359" t="s">
        <v>3253</v>
      </c>
      <c r="G359" t="s">
        <v>3146</v>
      </c>
      <c r="H359" t="s">
        <v>3147</v>
      </c>
      <c r="I359" t="s">
        <v>85</v>
      </c>
      <c r="J359" t="s">
        <v>22</v>
      </c>
      <c r="K359" t="s">
        <v>3254</v>
      </c>
      <c r="L359" t="s">
        <v>3257</v>
      </c>
      <c r="M359" t="s">
        <v>25</v>
      </c>
      <c r="N359" t="s">
        <v>3258</v>
      </c>
      <c r="O359" t="s">
        <v>25</v>
      </c>
      <c r="P359" t="s">
        <v>3259</v>
      </c>
      <c r="Q359" t="s">
        <v>29</v>
      </c>
      <c r="R359" t="s">
        <v>3255</v>
      </c>
      <c r="S359" t="s">
        <v>3256</v>
      </c>
    </row>
    <row r="360" spans="1:19" x14ac:dyDescent="0.25">
      <c r="A360" s="1">
        <v>358</v>
      </c>
      <c r="B360" t="str">
        <f>HYPERLINK("https://www.dasschnelle.at/grabner-franz-stroheim-stroheim","Website")</f>
        <v>Website</v>
      </c>
      <c r="C360" t="str">
        <f>HYPERLINK("http://www.grabner-zimmerei.at","Website")</f>
        <v>Website</v>
      </c>
      <c r="D360" t="str">
        <f>HYPERLINK("http://www.google.com/maps/place/48.3398140,13.9589869","Location")</f>
        <v>Location</v>
      </c>
      <c r="E360" t="s">
        <v>3260</v>
      </c>
      <c r="F360" t="s">
        <v>3261</v>
      </c>
      <c r="G360" t="s">
        <v>3263</v>
      </c>
      <c r="H360" t="s">
        <v>3264</v>
      </c>
      <c r="I360" t="s">
        <v>85</v>
      </c>
      <c r="J360" t="s">
        <v>22</v>
      </c>
      <c r="K360" t="s">
        <v>3262</v>
      </c>
      <c r="L360" t="s">
        <v>3267</v>
      </c>
      <c r="M360" t="s">
        <v>25</v>
      </c>
      <c r="N360" t="s">
        <v>3268</v>
      </c>
      <c r="O360" t="s">
        <v>3269</v>
      </c>
      <c r="P360" t="s">
        <v>3270</v>
      </c>
      <c r="Q360" t="s">
        <v>29</v>
      </c>
      <c r="R360" t="s">
        <v>3265</v>
      </c>
      <c r="S360" t="s">
        <v>3266</v>
      </c>
    </row>
    <row r="361" spans="1:19" x14ac:dyDescent="0.25">
      <c r="A361" s="1">
        <v>359</v>
      </c>
      <c r="B361" t="str">
        <f>HYPERLINK("https://www.dasschnelle.at/köberl-robert-alkoven-hochfeldstraße","Website")</f>
        <v>Website</v>
      </c>
      <c r="C361" t="str">
        <f>HYPERLINK("http://www.fahrschule-alkoven.at","Website")</f>
        <v>Website</v>
      </c>
      <c r="D361" t="str">
        <f>HYPERLINK("http://www.google.com/maps/place/48.28892,14.11833","Location")</f>
        <v>Location</v>
      </c>
      <c r="E361" t="s">
        <v>3271</v>
      </c>
      <c r="F361" t="s">
        <v>3272</v>
      </c>
      <c r="G361" t="s">
        <v>3146</v>
      </c>
      <c r="H361" t="s">
        <v>3147</v>
      </c>
      <c r="I361" t="s">
        <v>85</v>
      </c>
      <c r="J361" t="s">
        <v>22</v>
      </c>
      <c r="K361" t="s">
        <v>3273</v>
      </c>
      <c r="L361" t="s">
        <v>3276</v>
      </c>
      <c r="M361" t="s">
        <v>25</v>
      </c>
      <c r="N361" t="s">
        <v>3277</v>
      </c>
      <c r="O361" t="s">
        <v>3278</v>
      </c>
      <c r="P361" t="s">
        <v>3279</v>
      </c>
      <c r="Q361" t="s">
        <v>29</v>
      </c>
      <c r="R361" t="s">
        <v>3274</v>
      </c>
      <c r="S361" t="s">
        <v>3275</v>
      </c>
    </row>
    <row r="362" spans="1:19" x14ac:dyDescent="0.25">
      <c r="A362" s="1">
        <v>360</v>
      </c>
      <c r="B362" t="str">
        <f>HYPERLINK("https://www.dasschnelle.at/maderbacher-eva-alkoven-alkovnerstraße","Website")</f>
        <v>Website</v>
      </c>
      <c r="C362" t="str">
        <f>HYPERLINK("http://www.gaertnerei-maderbacher.at","Website")</f>
        <v>Website</v>
      </c>
      <c r="D362" t="str">
        <f>HYPERLINK("http://www.google.com/maps/place/48.2864794,14.1435545","Location")</f>
        <v>Location</v>
      </c>
      <c r="E362" t="s">
        <v>3280</v>
      </c>
      <c r="F362" t="s">
        <v>3281</v>
      </c>
      <c r="G362" t="s">
        <v>3146</v>
      </c>
      <c r="H362" t="s">
        <v>3147</v>
      </c>
      <c r="I362" t="s">
        <v>85</v>
      </c>
      <c r="J362" t="s">
        <v>22</v>
      </c>
      <c r="K362" t="s">
        <v>3282</v>
      </c>
      <c r="L362" t="s">
        <v>3285</v>
      </c>
      <c r="M362" t="s">
        <v>25</v>
      </c>
      <c r="N362" t="s">
        <v>3286</v>
      </c>
      <c r="O362" t="s">
        <v>25</v>
      </c>
      <c r="P362" t="s">
        <v>3287</v>
      </c>
      <c r="Q362" t="s">
        <v>29</v>
      </c>
      <c r="R362" t="s">
        <v>3283</v>
      </c>
      <c r="S362" t="s">
        <v>3284</v>
      </c>
    </row>
    <row r="363" spans="1:19" x14ac:dyDescent="0.25">
      <c r="A363" s="1">
        <v>361</v>
      </c>
      <c r="B363" t="str">
        <f>HYPERLINK("https://www.dasschnelle.at/toferer-adolf-gmbh-und-co-kg-eferding-bahnhofstraße","Website")</f>
        <v>Website</v>
      </c>
      <c r="C363" t="str">
        <f>HYPERLINK("http://www.toferer.mercedes.at","Website")</f>
        <v>Website</v>
      </c>
      <c r="D363" t="str">
        <f>HYPERLINK("http://www.google.com/maps/place/48.29909,14.01375","Location")</f>
        <v>Location</v>
      </c>
      <c r="E363" t="s">
        <v>3288</v>
      </c>
      <c r="F363" t="s">
        <v>3289</v>
      </c>
      <c r="G363" t="s">
        <v>3101</v>
      </c>
      <c r="H363" t="s">
        <v>3102</v>
      </c>
      <c r="I363" t="s">
        <v>85</v>
      </c>
      <c r="J363" t="s">
        <v>22</v>
      </c>
      <c r="K363" t="s">
        <v>3290</v>
      </c>
      <c r="L363" t="s">
        <v>3293</v>
      </c>
      <c r="M363" t="s">
        <v>3294</v>
      </c>
      <c r="N363" t="s">
        <v>3295</v>
      </c>
      <c r="O363" t="s">
        <v>25</v>
      </c>
      <c r="P363" t="s">
        <v>3296</v>
      </c>
      <c r="Q363" t="s">
        <v>29</v>
      </c>
      <c r="R363" t="s">
        <v>3291</v>
      </c>
      <c r="S363" t="s">
        <v>3292</v>
      </c>
    </row>
    <row r="364" spans="1:19" x14ac:dyDescent="0.25">
      <c r="A364" s="1">
        <v>362</v>
      </c>
      <c r="B364" t="str">
        <f>HYPERLINK("https://www.dasschnelle.at/danhofer-markus-eferding-inn","Website")</f>
        <v>Website</v>
      </c>
      <c r="C364" t="str">
        <f>HYPERLINK("http://www.energietechnik-danhofer.at","Website")</f>
        <v>Website</v>
      </c>
      <c r="D364" t="str">
        <f>HYPERLINK("http://www.google.com/maps/place/48.2980491,14.0517769","Location")</f>
        <v>Location</v>
      </c>
      <c r="E364" t="s">
        <v>3297</v>
      </c>
      <c r="F364" t="s">
        <v>3298</v>
      </c>
      <c r="G364" t="s">
        <v>3101</v>
      </c>
      <c r="H364" t="s">
        <v>3102</v>
      </c>
      <c r="I364" t="s">
        <v>85</v>
      </c>
      <c r="J364" t="s">
        <v>22</v>
      </c>
      <c r="K364" t="s">
        <v>3299</v>
      </c>
      <c r="L364" t="s">
        <v>3302</v>
      </c>
      <c r="M364" t="s">
        <v>25</v>
      </c>
      <c r="N364" t="s">
        <v>3303</v>
      </c>
      <c r="O364" t="s">
        <v>25</v>
      </c>
      <c r="P364" t="s">
        <v>697</v>
      </c>
      <c r="Q364" t="s">
        <v>29</v>
      </c>
      <c r="R364" t="s">
        <v>3300</v>
      </c>
      <c r="S364" t="s">
        <v>3301</v>
      </c>
    </row>
    <row r="365" spans="1:19" x14ac:dyDescent="0.25">
      <c r="A365" s="1">
        <v>363</v>
      </c>
      <c r="B365" t="str">
        <f>HYPERLINK("https://www.dasschnelle.at/steinkellner-reifen-handelsgesmbh-enns-steyrer-straße","Website")</f>
        <v>Website</v>
      </c>
      <c r="C365" t="str">
        <f>HYPERLINK("http://www.reifen-steinkellner.at","Website")</f>
        <v>Website</v>
      </c>
      <c r="D365" t="str">
        <f>HYPERLINK("http://www.google.com/maps/place/48.18665,14.47814","Location")</f>
        <v>Location</v>
      </c>
      <c r="E365" t="s">
        <v>3304</v>
      </c>
      <c r="F365" t="s">
        <v>3305</v>
      </c>
      <c r="G365" t="s">
        <v>3307</v>
      </c>
      <c r="H365" t="s">
        <v>3308</v>
      </c>
      <c r="I365" t="s">
        <v>85</v>
      </c>
      <c r="J365" t="s">
        <v>22</v>
      </c>
      <c r="K365" t="s">
        <v>3306</v>
      </c>
      <c r="L365" t="s">
        <v>3311</v>
      </c>
      <c r="M365" t="s">
        <v>25</v>
      </c>
      <c r="N365" t="s">
        <v>3312</v>
      </c>
      <c r="O365" t="s">
        <v>25</v>
      </c>
      <c r="P365" t="s">
        <v>3313</v>
      </c>
      <c r="Q365" t="s">
        <v>29</v>
      </c>
      <c r="R365" t="s">
        <v>3309</v>
      </c>
      <c r="S365" t="s">
        <v>3310</v>
      </c>
    </row>
    <row r="366" spans="1:19" x14ac:dyDescent="0.25">
      <c r="A366" s="1">
        <v>364</v>
      </c>
      <c r="B366" t="str">
        <f>HYPERLINK("https://www.dasschnelle.at/ableidinger-schachinger-christine-enns-mühlenstraße","Website")</f>
        <v>Website</v>
      </c>
      <c r="C366" t="str">
        <f>HYPERLINK("http://www.ableidinger.net","Website")</f>
        <v>Website</v>
      </c>
      <c r="D366" t="str">
        <f>HYPERLINK("http://www.google.com/maps/place/48.22383,14.46761","Location")</f>
        <v>Location</v>
      </c>
      <c r="E366" t="s">
        <v>3314</v>
      </c>
      <c r="F366" t="s">
        <v>3315</v>
      </c>
      <c r="G366" t="s">
        <v>3307</v>
      </c>
      <c r="H366" t="s">
        <v>3308</v>
      </c>
      <c r="I366" t="s">
        <v>85</v>
      </c>
      <c r="J366" t="s">
        <v>22</v>
      </c>
      <c r="K366" t="s">
        <v>3316</v>
      </c>
      <c r="L366" t="s">
        <v>3319</v>
      </c>
      <c r="M366" t="s">
        <v>25</v>
      </c>
      <c r="N366" t="s">
        <v>3320</v>
      </c>
      <c r="O366" t="s">
        <v>25</v>
      </c>
      <c r="P366" t="s">
        <v>3321</v>
      </c>
      <c r="Q366" t="s">
        <v>29</v>
      </c>
      <c r="R366" t="s">
        <v>3317</v>
      </c>
      <c r="S366" t="s">
        <v>3318</v>
      </c>
    </row>
    <row r="367" spans="1:19" x14ac:dyDescent="0.25">
      <c r="A367" s="1">
        <v>365</v>
      </c>
      <c r="B367" t="str">
        <f>HYPERLINK("https://www.dasschnelle.at/steiner-peter-josef-enns-dr-karl-renner-straße","Website")</f>
        <v>Website</v>
      </c>
      <c r="C367" t="str">
        <f>HYPERLINK("http://www.finanz-vers.at","Website")</f>
        <v>Website</v>
      </c>
      <c r="D367" t="str">
        <f>HYPERLINK("http://www.google.com/maps/place/48.2158606,14.4683479","Location")</f>
        <v>Location</v>
      </c>
      <c r="E367" t="s">
        <v>3322</v>
      </c>
      <c r="F367" t="s">
        <v>3323</v>
      </c>
      <c r="G367" t="s">
        <v>3307</v>
      </c>
      <c r="H367" t="s">
        <v>3308</v>
      </c>
      <c r="I367" t="s">
        <v>85</v>
      </c>
      <c r="J367" t="s">
        <v>22</v>
      </c>
      <c r="K367" t="s">
        <v>3324</v>
      </c>
      <c r="L367" t="s">
        <v>3327</v>
      </c>
      <c r="M367" t="s">
        <v>25</v>
      </c>
      <c r="N367" t="s">
        <v>3328</v>
      </c>
      <c r="O367" t="s">
        <v>25</v>
      </c>
      <c r="P367" t="s">
        <v>3329</v>
      </c>
      <c r="Q367" t="s">
        <v>29</v>
      </c>
      <c r="R367" t="s">
        <v>3325</v>
      </c>
      <c r="S367" t="s">
        <v>3326</v>
      </c>
    </row>
    <row r="368" spans="1:19" x14ac:dyDescent="0.25">
      <c r="A368" s="1">
        <v>366</v>
      </c>
      <c r="B368" t="str">
        <f>HYPERLINK("https://www.dasschnelle.at/hubert-neundlinger-asten-margaritenstraße","Website")</f>
        <v>Website</v>
      </c>
      <c r="C368" t="str">
        <f>HYPERLINK("http://www.neunsonnen.at","Website")</f>
        <v>Website</v>
      </c>
      <c r="D368" t="str">
        <f>HYPERLINK("http://www.google.com/maps/place/48.21368,14.42688","Location")</f>
        <v>Location</v>
      </c>
      <c r="E368" t="s">
        <v>3330</v>
      </c>
      <c r="F368" t="s">
        <v>3331</v>
      </c>
      <c r="G368" t="s">
        <v>3333</v>
      </c>
      <c r="H368" t="s">
        <v>3334</v>
      </c>
      <c r="I368" t="s">
        <v>85</v>
      </c>
      <c r="J368" t="s">
        <v>22</v>
      </c>
      <c r="K368" t="s">
        <v>3332</v>
      </c>
      <c r="L368" t="s">
        <v>3337</v>
      </c>
      <c r="M368" t="s">
        <v>25</v>
      </c>
      <c r="N368" t="s">
        <v>3338</v>
      </c>
      <c r="O368" t="s">
        <v>3339</v>
      </c>
      <c r="P368" t="s">
        <v>3340</v>
      </c>
      <c r="Q368" t="s">
        <v>29</v>
      </c>
      <c r="R368" t="s">
        <v>3335</v>
      </c>
      <c r="S368" t="s">
        <v>3336</v>
      </c>
    </row>
    <row r="369" spans="1:19" x14ac:dyDescent="0.25">
      <c r="A369" s="1">
        <v>367</v>
      </c>
      <c r="B369" t="str">
        <f>HYPERLINK("https://www.dasschnelle.at/perndorfer-h-gesmbh-enns-dr-körner-straße","Website")</f>
        <v>Website</v>
      </c>
      <c r="C369" t="str">
        <f>HYPERLINK("http://www.kfz-perndorfer.at","Website")</f>
        <v>Website</v>
      </c>
      <c r="D369" t="str">
        <f>HYPERLINK("http://www.google.com/maps/place/48.21714,14.43881","Location")</f>
        <v>Location</v>
      </c>
      <c r="E369" t="s">
        <v>3341</v>
      </c>
      <c r="F369" t="s">
        <v>3342</v>
      </c>
      <c r="G369" t="s">
        <v>3307</v>
      </c>
      <c r="H369" t="s">
        <v>3308</v>
      </c>
      <c r="I369" t="s">
        <v>85</v>
      </c>
      <c r="J369" t="s">
        <v>22</v>
      </c>
      <c r="K369" t="s">
        <v>3343</v>
      </c>
      <c r="L369" t="s">
        <v>3346</v>
      </c>
      <c r="M369" t="s">
        <v>25</v>
      </c>
      <c r="N369" t="s">
        <v>3347</v>
      </c>
      <c r="O369" t="s">
        <v>25</v>
      </c>
      <c r="P369" t="s">
        <v>3348</v>
      </c>
      <c r="Q369" t="s">
        <v>29</v>
      </c>
      <c r="R369" t="s">
        <v>3344</v>
      </c>
      <c r="S369" t="s">
        <v>3345</v>
      </c>
    </row>
    <row r="370" spans="1:19" x14ac:dyDescent="0.25">
      <c r="A370" s="1">
        <v>368</v>
      </c>
      <c r="B370" t="str">
        <f>HYPERLINK("https://www.dasschnelle.at/kneifel-georg-hargelsberg-sieding","Website")</f>
        <v>Website</v>
      </c>
      <c r="C370" t="str">
        <f>HYPERLINK("https://www.dasschnelle.at/kneifel-georg-hargelsberg-sieding","Website")</f>
        <v>Website</v>
      </c>
      <c r="D370" t="str">
        <f>HYPERLINK("http://www.google.com/maps/place/48.1354013,14.4354881","Location")</f>
        <v>Location</v>
      </c>
      <c r="E370" t="s">
        <v>3349</v>
      </c>
      <c r="F370" t="s">
        <v>3350</v>
      </c>
      <c r="G370" t="s">
        <v>3352</v>
      </c>
      <c r="H370" t="s">
        <v>3353</v>
      </c>
      <c r="I370" t="s">
        <v>85</v>
      </c>
      <c r="J370" t="s">
        <v>22</v>
      </c>
      <c r="K370" t="s">
        <v>3351</v>
      </c>
      <c r="L370" t="s">
        <v>3356</v>
      </c>
      <c r="M370" t="s">
        <v>25</v>
      </c>
      <c r="N370" t="s">
        <v>3357</v>
      </c>
      <c r="O370" t="s">
        <v>25</v>
      </c>
      <c r="P370" t="s">
        <v>3358</v>
      </c>
      <c r="Q370" t="s">
        <v>29</v>
      </c>
      <c r="R370" t="s">
        <v>3354</v>
      </c>
      <c r="S370" t="s">
        <v>3355</v>
      </c>
    </row>
    <row r="371" spans="1:19" x14ac:dyDescent="0.25">
      <c r="A371" s="1">
        <v>369</v>
      </c>
      <c r="B371" t="str">
        <f>HYPERLINK("https://www.dasschnelle.at/haareszeiten-salon-enns-wiener-straße","Website")</f>
        <v>Website</v>
      </c>
      <c r="C371" t="str">
        <f>HYPERLINK("http://www.haareszeiten-enns.at","Website")</f>
        <v>Website</v>
      </c>
      <c r="D371" t="str">
        <f>HYPERLINK("http://www.google.com/maps/place/48.21321,14.47932","Location")</f>
        <v>Location</v>
      </c>
      <c r="E371" t="s">
        <v>3359</v>
      </c>
      <c r="F371" t="s">
        <v>3360</v>
      </c>
      <c r="G371" t="s">
        <v>3307</v>
      </c>
      <c r="H371" t="s">
        <v>3308</v>
      </c>
      <c r="I371" t="s">
        <v>85</v>
      </c>
      <c r="J371" t="s">
        <v>22</v>
      </c>
      <c r="K371" t="s">
        <v>3361</v>
      </c>
      <c r="L371" t="s">
        <v>3364</v>
      </c>
      <c r="M371" t="s">
        <v>25</v>
      </c>
      <c r="N371" t="s">
        <v>3365</v>
      </c>
      <c r="O371" t="s">
        <v>3366</v>
      </c>
      <c r="P371" t="s">
        <v>3367</v>
      </c>
      <c r="Q371" t="s">
        <v>29</v>
      </c>
      <c r="R371" t="s">
        <v>3362</v>
      </c>
      <c r="S371" t="s">
        <v>3363</v>
      </c>
    </row>
    <row r="372" spans="1:19" x14ac:dyDescent="0.25">
      <c r="A372" s="1">
        <v>370</v>
      </c>
      <c r="B372" t="str">
        <f>HYPERLINK("https://www.dasschnelle.at/brunner-friedrich-enns-dr-enzinger-straße","Website")</f>
        <v>Website</v>
      </c>
      <c r="C372" t="str">
        <f>HYPERLINK("https://www.dasschnelle.at/brunner-friedrich-enns-dr-enzinger-stra%C3%9Fe","Website")</f>
        <v>Website</v>
      </c>
      <c r="D372" t="str">
        <f>HYPERLINK("http://www.google.com/maps/place/48.21955,14.48169","Location")</f>
        <v>Location</v>
      </c>
      <c r="E372" t="s">
        <v>3368</v>
      </c>
      <c r="F372" t="s">
        <v>3369</v>
      </c>
      <c r="G372" t="s">
        <v>3307</v>
      </c>
      <c r="H372" t="s">
        <v>3308</v>
      </c>
      <c r="I372" t="s">
        <v>85</v>
      </c>
      <c r="J372" t="s">
        <v>22</v>
      </c>
      <c r="K372" t="s">
        <v>3370</v>
      </c>
      <c r="L372" t="s">
        <v>3373</v>
      </c>
      <c r="M372" t="s">
        <v>25</v>
      </c>
      <c r="N372" t="s">
        <v>3374</v>
      </c>
      <c r="O372" t="s">
        <v>25</v>
      </c>
      <c r="P372" t="s">
        <v>3375</v>
      </c>
      <c r="Q372" t="s">
        <v>29</v>
      </c>
      <c r="R372" t="s">
        <v>3371</v>
      </c>
      <c r="S372" t="s">
        <v>3372</v>
      </c>
    </row>
    <row r="373" spans="1:19" x14ac:dyDescent="0.25">
      <c r="A373" s="1">
        <v>371</v>
      </c>
      <c r="B373" t="str">
        <f>HYPERLINK("https://www.dasschnelle.at/matri-veronika-enns-feldstraße","Website")</f>
        <v>Website</v>
      </c>
      <c r="C373" t="str">
        <f>HYPERLINK("http://www.ennsertaxiveronika.at","Website")</f>
        <v>Website</v>
      </c>
      <c r="D373" t="str">
        <f>HYPERLINK("http://www.google.com/maps/place/48.22335,14.46533","Location")</f>
        <v>Location</v>
      </c>
      <c r="E373" t="s">
        <v>3376</v>
      </c>
      <c r="F373" t="s">
        <v>3377</v>
      </c>
      <c r="G373" t="s">
        <v>3307</v>
      </c>
      <c r="H373" t="s">
        <v>3308</v>
      </c>
      <c r="I373" t="s">
        <v>85</v>
      </c>
      <c r="J373" t="s">
        <v>22</v>
      </c>
      <c r="K373" t="s">
        <v>3378</v>
      </c>
      <c r="L373" t="s">
        <v>3381</v>
      </c>
      <c r="M373" t="s">
        <v>25</v>
      </c>
      <c r="N373" t="s">
        <v>3382</v>
      </c>
      <c r="O373" t="s">
        <v>3383</v>
      </c>
      <c r="P373" t="s">
        <v>3384</v>
      </c>
      <c r="Q373" t="s">
        <v>29</v>
      </c>
      <c r="R373" t="s">
        <v>3379</v>
      </c>
      <c r="S373" t="s">
        <v>3380</v>
      </c>
    </row>
    <row r="374" spans="1:19" x14ac:dyDescent="0.25">
      <c r="A374" s="1">
        <v>372</v>
      </c>
      <c r="B374" t="str">
        <f>HYPERLINK("https://www.dasschnelle.at/jungwirth-jürgen-sankt-florian-linzer-straße","Website")</f>
        <v>Website</v>
      </c>
      <c r="C374" t="str">
        <f>HYPERLINK("http://www.lackiererei-jungwirth.at","Website")</f>
        <v>Website</v>
      </c>
      <c r="D374" t="str">
        <f>HYPERLINK("http://www.google.com/maps/place/48.20392,14.37309","Location")</f>
        <v>Location</v>
      </c>
      <c r="E374" t="s">
        <v>3385</v>
      </c>
      <c r="F374" t="s">
        <v>3386</v>
      </c>
      <c r="G374" t="s">
        <v>3388</v>
      </c>
      <c r="H374" t="s">
        <v>3389</v>
      </c>
      <c r="I374" t="s">
        <v>85</v>
      </c>
      <c r="J374" t="s">
        <v>22</v>
      </c>
      <c r="K374" t="s">
        <v>3387</v>
      </c>
      <c r="L374" t="s">
        <v>3392</v>
      </c>
      <c r="M374" t="s">
        <v>25</v>
      </c>
      <c r="N374" t="s">
        <v>3393</v>
      </c>
      <c r="O374" t="s">
        <v>25</v>
      </c>
      <c r="P374" t="s">
        <v>3394</v>
      </c>
      <c r="Q374" t="s">
        <v>29</v>
      </c>
      <c r="R374" t="s">
        <v>3390</v>
      </c>
      <c r="S374" t="s">
        <v>3391</v>
      </c>
    </row>
    <row r="375" spans="1:19" x14ac:dyDescent="0.25">
      <c r="A375" s="1">
        <v>373</v>
      </c>
      <c r="B375" t="str">
        <f>HYPERLINK("https://www.dasschnelle.at/niedermaier-petra-salon-petra-enns-hanuschstraße","Website")</f>
        <v>Website</v>
      </c>
      <c r="C375" t="str">
        <f>HYPERLINK("https://www.dasschnelle.at/niedermaier-petra-salon-petra-enns-hanuschstra%C3%9Fe","Website")</f>
        <v>Website</v>
      </c>
      <c r="D375" t="str">
        <f>HYPERLINK("http://www.google.com/maps/place/48.21831,14.47731","Location")</f>
        <v>Location</v>
      </c>
      <c r="E375" t="s">
        <v>3395</v>
      </c>
      <c r="F375" t="s">
        <v>3396</v>
      </c>
      <c r="G375" t="s">
        <v>3307</v>
      </c>
      <c r="H375" t="s">
        <v>3308</v>
      </c>
      <c r="I375" t="s">
        <v>85</v>
      </c>
      <c r="J375" t="s">
        <v>22</v>
      </c>
      <c r="K375" t="s">
        <v>3397</v>
      </c>
      <c r="L375" t="s">
        <v>3400</v>
      </c>
      <c r="M375" t="s">
        <v>25</v>
      </c>
      <c r="N375" t="s">
        <v>3401</v>
      </c>
      <c r="O375" t="s">
        <v>25</v>
      </c>
      <c r="P375" t="s">
        <v>3402</v>
      </c>
      <c r="Q375" t="s">
        <v>29</v>
      </c>
      <c r="R375" t="s">
        <v>3398</v>
      </c>
      <c r="S375" t="s">
        <v>3399</v>
      </c>
    </row>
    <row r="376" spans="1:19" x14ac:dyDescent="0.25">
      <c r="A376" s="1">
        <v>374</v>
      </c>
      <c r="B376" t="str">
        <f>HYPERLINK("https://www.dasschnelle.at/ferge-und-partner-zt-og-enns-bräuergasse","Website")</f>
        <v>Website</v>
      </c>
      <c r="C376" t="str">
        <f>HYPERLINK("http://ferge-partner-zt-gmbh.gemeindeausstellung.at","Website")</f>
        <v>Website</v>
      </c>
      <c r="D376" t="str">
        <f>HYPERLINK("http://www.google.com/maps/place/48.21406,14.47736","Location")</f>
        <v>Location</v>
      </c>
      <c r="E376" t="s">
        <v>3403</v>
      </c>
      <c r="F376" t="s">
        <v>3404</v>
      </c>
      <c r="G376" t="s">
        <v>3307</v>
      </c>
      <c r="H376" t="s">
        <v>3308</v>
      </c>
      <c r="I376" t="s">
        <v>85</v>
      </c>
      <c r="J376" t="s">
        <v>22</v>
      </c>
      <c r="K376" t="s">
        <v>3405</v>
      </c>
      <c r="L376" t="s">
        <v>3408</v>
      </c>
      <c r="M376" t="s">
        <v>25</v>
      </c>
      <c r="N376" t="s">
        <v>3409</v>
      </c>
      <c r="O376" t="s">
        <v>25</v>
      </c>
      <c r="P376" t="s">
        <v>3410</v>
      </c>
      <c r="Q376" t="s">
        <v>29</v>
      </c>
      <c r="R376" t="s">
        <v>3406</v>
      </c>
      <c r="S376" t="s">
        <v>3407</v>
      </c>
    </row>
    <row r="377" spans="1:19" x14ac:dyDescent="0.25">
      <c r="A377" s="1">
        <v>375</v>
      </c>
      <c r="B377" t="str">
        <f>HYPERLINK("https://www.dasschnelle.at/fahrschule-grubhofer-enns-inh-christian-rothbauer-enns-stadlgasse","Website")</f>
        <v>Website</v>
      </c>
      <c r="C377" t="str">
        <f>HYPERLINK("http://www.fahrschule-grubhofer.at","Website")</f>
        <v>Website</v>
      </c>
      <c r="D377" t="str">
        <f>HYPERLINK("http://www.google.com/maps/place/48.21672,14.47691","Location")</f>
        <v>Location</v>
      </c>
      <c r="E377" t="s">
        <v>3411</v>
      </c>
      <c r="F377" t="s">
        <v>3412</v>
      </c>
      <c r="G377" t="s">
        <v>3307</v>
      </c>
      <c r="H377" t="s">
        <v>3308</v>
      </c>
      <c r="I377" t="s">
        <v>85</v>
      </c>
      <c r="J377" t="s">
        <v>22</v>
      </c>
      <c r="K377" t="s">
        <v>3413</v>
      </c>
      <c r="L377" t="s">
        <v>3416</v>
      </c>
      <c r="M377" t="s">
        <v>3417</v>
      </c>
      <c r="N377" t="s">
        <v>3418</v>
      </c>
      <c r="O377" t="s">
        <v>25</v>
      </c>
      <c r="P377" t="s">
        <v>3419</v>
      </c>
      <c r="Q377" t="s">
        <v>29</v>
      </c>
      <c r="R377" t="s">
        <v>3414</v>
      </c>
      <c r="S377" t="s">
        <v>3415</v>
      </c>
    </row>
    <row r="378" spans="1:19" x14ac:dyDescent="0.25">
      <c r="A378" s="1">
        <v>376</v>
      </c>
      <c r="B378" t="str">
        <f>HYPERLINK("https://www.dasschnelle.at/lehenbauer-ernst-mag-enns-hauptplatz","Website")</f>
        <v>Website</v>
      </c>
      <c r="C378" t="str">
        <f>HYPERLINK("http://www.ra-lehenbauer.at","Website")</f>
        <v>Website</v>
      </c>
      <c r="D378" t="str">
        <f>HYPERLINK("http://www.google.com/maps/place/48.21381,14.47975","Location")</f>
        <v>Location</v>
      </c>
      <c r="E378" t="s">
        <v>3420</v>
      </c>
      <c r="F378" t="s">
        <v>3421</v>
      </c>
      <c r="G378" t="s">
        <v>3307</v>
      </c>
      <c r="H378" t="s">
        <v>3308</v>
      </c>
      <c r="I378" t="s">
        <v>85</v>
      </c>
      <c r="J378" t="s">
        <v>22</v>
      </c>
      <c r="K378" t="s">
        <v>3422</v>
      </c>
      <c r="L378" t="s">
        <v>3425</v>
      </c>
      <c r="M378" t="s">
        <v>25</v>
      </c>
      <c r="N378" t="s">
        <v>3426</v>
      </c>
      <c r="O378" t="s">
        <v>25</v>
      </c>
      <c r="P378" t="s">
        <v>3427</v>
      </c>
      <c r="Q378" t="s">
        <v>29</v>
      </c>
      <c r="R378" t="s">
        <v>3423</v>
      </c>
      <c r="S378" t="s">
        <v>3424</v>
      </c>
    </row>
    <row r="379" spans="1:19" x14ac:dyDescent="0.25">
      <c r="A379" s="1">
        <v>377</v>
      </c>
      <c r="B379" t="str">
        <f>HYPERLINK("https://www.dasschnelle.at/pühringer-karl-unterweidlham","Website")</f>
        <v>Website</v>
      </c>
      <c r="C379" t="str">
        <f>HYPERLINK("https://www.dasschnelle.at/p%C3%BChringer-karl-unterweidlham","Website")</f>
        <v>Website</v>
      </c>
      <c r="D379" t="str">
        <f>HYPERLINK("http://www.google.com/maps/place/48.1914354,14.4115736","Location")</f>
        <v>Location</v>
      </c>
      <c r="E379" t="s">
        <v>3428</v>
      </c>
      <c r="F379" t="s">
        <v>3429</v>
      </c>
      <c r="G379" t="s">
        <v>3388</v>
      </c>
      <c r="H379" t="s">
        <v>3430</v>
      </c>
      <c r="I379" t="s">
        <v>85</v>
      </c>
      <c r="J379" t="s">
        <v>22</v>
      </c>
      <c r="K379" t="s">
        <v>25</v>
      </c>
      <c r="L379" t="s">
        <v>3433</v>
      </c>
      <c r="M379" t="s">
        <v>25</v>
      </c>
      <c r="N379" t="s">
        <v>3434</v>
      </c>
      <c r="O379" t="s">
        <v>25</v>
      </c>
      <c r="P379" t="s">
        <v>3435</v>
      </c>
      <c r="Q379" t="s">
        <v>29</v>
      </c>
      <c r="R379" t="s">
        <v>3431</v>
      </c>
      <c r="S379" t="s">
        <v>3432</v>
      </c>
    </row>
    <row r="380" spans="1:19" x14ac:dyDescent="0.25">
      <c r="A380" s="1">
        <v>378</v>
      </c>
      <c r="B380" t="str">
        <f>HYPERLINK("https://www.dasschnelle.at/grafendorfer-gerald-enns-caracalla-straße","Website")</f>
        <v>Website</v>
      </c>
      <c r="C380" t="str">
        <f>HYPERLINK("http://www.grafendorfer.com","Website")</f>
        <v>Website</v>
      </c>
      <c r="D380" t="str">
        <f>HYPERLINK("http://www.google.com/maps/place/48.21915,14.46302","Location")</f>
        <v>Location</v>
      </c>
      <c r="E380" t="s">
        <v>3436</v>
      </c>
      <c r="F380" t="s">
        <v>3437</v>
      </c>
      <c r="G380" t="s">
        <v>3307</v>
      </c>
      <c r="H380" t="s">
        <v>3308</v>
      </c>
      <c r="I380" t="s">
        <v>85</v>
      </c>
      <c r="J380" t="s">
        <v>22</v>
      </c>
      <c r="K380" t="s">
        <v>3438</v>
      </c>
      <c r="L380" t="s">
        <v>3441</v>
      </c>
      <c r="M380" t="s">
        <v>25</v>
      </c>
      <c r="N380" t="s">
        <v>3442</v>
      </c>
      <c r="O380" t="s">
        <v>3443</v>
      </c>
      <c r="P380" t="s">
        <v>3444</v>
      </c>
      <c r="Q380" t="s">
        <v>29</v>
      </c>
      <c r="R380" t="s">
        <v>3439</v>
      </c>
      <c r="S380" t="s">
        <v>3440</v>
      </c>
    </row>
    <row r="381" spans="1:19" x14ac:dyDescent="0.25">
      <c r="A381" s="1">
        <v>379</v>
      </c>
      <c r="B381" t="str">
        <f>HYPERLINK("https://www.dasschnelle.at/ths-service-kg-weiz-etzersdorf","Website")</f>
        <v>Website</v>
      </c>
      <c r="C381" t="str">
        <f>HYPERLINK("http://www.autoschwab.at","Website")</f>
        <v>Website</v>
      </c>
      <c r="D381" t="str">
        <f>HYPERLINK("http://www.google.com/maps/place/47.1938686,15.6954020","Location")</f>
        <v>Location</v>
      </c>
      <c r="E381" t="s">
        <v>3445</v>
      </c>
      <c r="F381" t="s">
        <v>3446</v>
      </c>
      <c r="G381" t="s">
        <v>3448</v>
      </c>
      <c r="H381" t="s">
        <v>3449</v>
      </c>
      <c r="I381" t="s">
        <v>451</v>
      </c>
      <c r="J381" t="s">
        <v>22</v>
      </c>
      <c r="K381" t="s">
        <v>3447</v>
      </c>
      <c r="L381" t="s">
        <v>3452</v>
      </c>
      <c r="M381" t="s">
        <v>25</v>
      </c>
      <c r="N381" t="s">
        <v>3453</v>
      </c>
      <c r="O381" t="s">
        <v>25</v>
      </c>
      <c r="P381" t="s">
        <v>3454</v>
      </c>
      <c r="Q381" t="s">
        <v>29</v>
      </c>
      <c r="R381" t="s">
        <v>3450</v>
      </c>
      <c r="S381" t="s">
        <v>3451</v>
      </c>
    </row>
    <row r="382" spans="1:19" x14ac:dyDescent="0.25">
      <c r="A382" s="1">
        <v>380</v>
      </c>
      <c r="B382" t="str">
        <f>HYPERLINK("https://www.dasschnelle.at/zöhrer-herbert-weiz-naas","Website")</f>
        <v>Website</v>
      </c>
      <c r="C382" t="str">
        <f>HYPERLINK("http://www.holz-zoehrer-saegewerk.at","Website")</f>
        <v>Website</v>
      </c>
      <c r="D382" t="str">
        <f>HYPERLINK("http://www.google.com/maps/place/47.2522569,15.5935839","Location")</f>
        <v>Location</v>
      </c>
      <c r="E382" t="s">
        <v>3455</v>
      </c>
      <c r="F382" t="s">
        <v>3456</v>
      </c>
      <c r="G382" t="s">
        <v>3448</v>
      </c>
      <c r="H382" t="s">
        <v>3449</v>
      </c>
      <c r="I382" t="s">
        <v>451</v>
      </c>
      <c r="J382" t="s">
        <v>22</v>
      </c>
      <c r="K382" t="s">
        <v>3457</v>
      </c>
      <c r="L382" t="s">
        <v>3460</v>
      </c>
      <c r="M382" t="s">
        <v>25</v>
      </c>
      <c r="N382" t="s">
        <v>3461</v>
      </c>
      <c r="O382" t="s">
        <v>25</v>
      </c>
      <c r="P382" t="s">
        <v>3462</v>
      </c>
      <c r="Q382" t="s">
        <v>29</v>
      </c>
      <c r="R382" t="s">
        <v>3458</v>
      </c>
      <c r="S382" t="s">
        <v>3459</v>
      </c>
    </row>
    <row r="383" spans="1:19" x14ac:dyDescent="0.25">
      <c r="A383" s="1">
        <v>381</v>
      </c>
      <c r="B383" t="str">
        <f>HYPERLINK("https://www.dasschnelle.at/bauer-christian-dr-med-gleisdorf-bürgergasse","Website")</f>
        <v>Website</v>
      </c>
      <c r="C383" t="str">
        <f>HYPERLINK("http://www.frauenarzt-bauer.at","Website")</f>
        <v>Website</v>
      </c>
      <c r="D383" t="str">
        <f>HYPERLINK("http://www.google.com/maps/place/47.10471,15.70722","Location")</f>
        <v>Location</v>
      </c>
      <c r="E383" t="s">
        <v>3463</v>
      </c>
      <c r="F383" t="s">
        <v>3464</v>
      </c>
      <c r="G383" t="s">
        <v>3466</v>
      </c>
      <c r="H383" t="s">
        <v>3467</v>
      </c>
      <c r="I383" t="s">
        <v>451</v>
      </c>
      <c r="J383" t="s">
        <v>22</v>
      </c>
      <c r="K383" t="s">
        <v>3465</v>
      </c>
      <c r="L383" t="s">
        <v>3470</v>
      </c>
      <c r="M383" t="s">
        <v>25</v>
      </c>
      <c r="N383" t="s">
        <v>3471</v>
      </c>
      <c r="O383" t="s">
        <v>25</v>
      </c>
      <c r="P383" t="s">
        <v>3472</v>
      </c>
      <c r="Q383" t="s">
        <v>29</v>
      </c>
      <c r="R383" t="s">
        <v>3468</v>
      </c>
      <c r="S383" t="s">
        <v>3469</v>
      </c>
    </row>
    <row r="384" spans="1:19" x14ac:dyDescent="0.25">
      <c r="A384" s="1">
        <v>382</v>
      </c>
      <c r="B384" t="str">
        <f>HYPERLINK("https://www.dasschnelle.at/eber-nadja-gleisdorf-schillerstraße","Website")</f>
        <v>Website</v>
      </c>
      <c r="C384" t="str">
        <f>HYPERLINK("https://www.dasschnelle.at/eber-nadja-gleisdorf-schillerstra%C3%9Fe","Website")</f>
        <v>Website</v>
      </c>
      <c r="D384" t="str">
        <f>HYPERLINK("http://www.google.com/maps/place/47.10304,15.70763","Location")</f>
        <v>Location</v>
      </c>
      <c r="E384" t="s">
        <v>3473</v>
      </c>
      <c r="F384" t="s">
        <v>3474</v>
      </c>
      <c r="G384" t="s">
        <v>3466</v>
      </c>
      <c r="H384" t="s">
        <v>3467</v>
      </c>
      <c r="I384" t="s">
        <v>451</v>
      </c>
      <c r="J384" t="s">
        <v>22</v>
      </c>
      <c r="K384" t="s">
        <v>3475</v>
      </c>
      <c r="L384" t="s">
        <v>3478</v>
      </c>
      <c r="M384" t="s">
        <v>25</v>
      </c>
      <c r="N384" t="s">
        <v>3479</v>
      </c>
      <c r="O384" t="s">
        <v>25</v>
      </c>
      <c r="P384" t="s">
        <v>3480</v>
      </c>
      <c r="Q384" t="s">
        <v>29</v>
      </c>
      <c r="R384" t="s">
        <v>3476</v>
      </c>
      <c r="S384" t="s">
        <v>3477</v>
      </c>
    </row>
    <row r="385" spans="1:19" x14ac:dyDescent="0.25">
      <c r="A385" s="1">
        <v>383</v>
      </c>
      <c r="B385" t="str">
        <f>HYPERLINK("https://www.dasschnelle.at/pizzeria-cafe-bar-angela-gleisdorf-ludersdorf","Website")</f>
        <v>Website</v>
      </c>
      <c r="C385" t="str">
        <f>HYPERLINK("http://www.hotel-checkin.at","Website")</f>
        <v>Website</v>
      </c>
      <c r="D385" t="str">
        <f>HYPERLINK("http://www.google.com/maps/place/47.1030136,15.6838415","Location")</f>
        <v>Location</v>
      </c>
      <c r="E385" t="s">
        <v>3481</v>
      </c>
      <c r="F385" t="s">
        <v>3482</v>
      </c>
      <c r="G385" t="s">
        <v>3466</v>
      </c>
      <c r="H385" t="s">
        <v>3467</v>
      </c>
      <c r="I385" t="s">
        <v>451</v>
      </c>
      <c r="J385" t="s">
        <v>22</v>
      </c>
      <c r="K385" t="s">
        <v>3483</v>
      </c>
      <c r="L385" t="s">
        <v>3486</v>
      </c>
      <c r="M385" t="s">
        <v>25</v>
      </c>
      <c r="N385" t="s">
        <v>3487</v>
      </c>
      <c r="O385" t="s">
        <v>25</v>
      </c>
      <c r="P385" t="s">
        <v>3488</v>
      </c>
      <c r="Q385" t="s">
        <v>29</v>
      </c>
      <c r="R385" t="s">
        <v>3484</v>
      </c>
      <c r="S385" t="s">
        <v>3485</v>
      </c>
    </row>
    <row r="386" spans="1:19" x14ac:dyDescent="0.25">
      <c r="A386" s="1">
        <v>384</v>
      </c>
      <c r="B386" t="str">
        <f>HYPERLINK("https://www.dasschnelle.at/jessner-alfred-dr-gleisdorf-schillerstraße","Website")</f>
        <v>Website</v>
      </c>
      <c r="C386" t="str">
        <f>HYPERLINK("http://www.a-jessner.at","Website")</f>
        <v>Website</v>
      </c>
      <c r="D386" t="str">
        <f>HYPERLINK("http://www.google.com/maps/place/47.10289,15.70935","Location")</f>
        <v>Location</v>
      </c>
      <c r="E386" t="s">
        <v>3489</v>
      </c>
      <c r="F386" t="s">
        <v>3490</v>
      </c>
      <c r="G386" t="s">
        <v>3466</v>
      </c>
      <c r="H386" t="s">
        <v>3467</v>
      </c>
      <c r="I386" t="s">
        <v>451</v>
      </c>
      <c r="J386" t="s">
        <v>22</v>
      </c>
      <c r="K386" t="s">
        <v>3491</v>
      </c>
      <c r="L386" t="s">
        <v>3494</v>
      </c>
      <c r="M386" t="s">
        <v>25</v>
      </c>
      <c r="N386" t="s">
        <v>3495</v>
      </c>
      <c r="O386" t="s">
        <v>25</v>
      </c>
      <c r="P386" t="s">
        <v>3496</v>
      </c>
      <c r="Q386" t="s">
        <v>29</v>
      </c>
      <c r="R386" t="s">
        <v>3492</v>
      </c>
      <c r="S386" t="s">
        <v>3493</v>
      </c>
    </row>
    <row r="387" spans="1:19" x14ac:dyDescent="0.25">
      <c r="A387" s="1">
        <v>385</v>
      </c>
      <c r="B387" t="str">
        <f>HYPERLINK("https://www.dasschnelle.at/jessner-alfred-dr-weiz-klammstraße","Website")</f>
        <v>Website</v>
      </c>
      <c r="C387" t="str">
        <f>HYPERLINK("http://www.a-jessner.at","Website")</f>
        <v>Website</v>
      </c>
      <c r="D387" t="str">
        <f>HYPERLINK("http://www.google.com/maps/place/47.22398,15.61762","Location")</f>
        <v>Location</v>
      </c>
      <c r="E387" t="s">
        <v>3497</v>
      </c>
      <c r="F387" t="s">
        <v>3498</v>
      </c>
      <c r="G387" t="s">
        <v>3448</v>
      </c>
      <c r="H387" t="s">
        <v>3449</v>
      </c>
      <c r="I387" t="s">
        <v>451</v>
      </c>
      <c r="J387" t="s">
        <v>22</v>
      </c>
      <c r="K387" t="s">
        <v>3499</v>
      </c>
      <c r="L387" t="s">
        <v>3502</v>
      </c>
      <c r="M387" t="s">
        <v>25</v>
      </c>
      <c r="N387" t="s">
        <v>3495</v>
      </c>
      <c r="O387" t="s">
        <v>25</v>
      </c>
      <c r="P387" t="s">
        <v>3503</v>
      </c>
      <c r="Q387" t="s">
        <v>29</v>
      </c>
      <c r="R387" t="s">
        <v>3500</v>
      </c>
      <c r="S387" t="s">
        <v>3501</v>
      </c>
    </row>
    <row r="388" spans="1:19" x14ac:dyDescent="0.25">
      <c r="A388" s="1">
        <v>386</v>
      </c>
      <c r="B388" t="str">
        <f>HYPERLINK("https://www.dasschnelle.at/apotheke-paracelsus-magpharm-roland-palten-weiz-birkfelder-straße","Website")</f>
        <v>Website</v>
      </c>
      <c r="C388" t="str">
        <f>HYPERLINK("http://www.paracelsus-weiz.at","Website")</f>
        <v>Website</v>
      </c>
      <c r="D388" t="str">
        <f>HYPERLINK("http://www.google.com/maps/place/47.21712,15.62668","Location")</f>
        <v>Location</v>
      </c>
      <c r="E388" t="s">
        <v>3504</v>
      </c>
      <c r="F388" t="s">
        <v>3505</v>
      </c>
      <c r="G388" t="s">
        <v>3448</v>
      </c>
      <c r="H388" t="s">
        <v>3449</v>
      </c>
      <c r="I388" t="s">
        <v>451</v>
      </c>
      <c r="J388" t="s">
        <v>22</v>
      </c>
      <c r="K388" t="s">
        <v>3506</v>
      </c>
      <c r="L388" t="s">
        <v>3509</v>
      </c>
      <c r="M388" t="s">
        <v>25</v>
      </c>
      <c r="N388" t="s">
        <v>3510</v>
      </c>
      <c r="O388" t="s">
        <v>25</v>
      </c>
      <c r="P388" t="s">
        <v>3511</v>
      </c>
      <c r="Q388" t="s">
        <v>29</v>
      </c>
      <c r="R388" t="s">
        <v>3507</v>
      </c>
      <c r="S388" t="s">
        <v>3508</v>
      </c>
    </row>
    <row r="389" spans="1:19" x14ac:dyDescent="0.25">
      <c r="A389" s="1">
        <v>387</v>
      </c>
      <c r="B389" t="str">
        <f>HYPERLINK("https://www.dasschnelle.at/hulfeld-martin-mh-farbenschmiede-passail-hohenau","Website")</f>
        <v>Website</v>
      </c>
      <c r="C389" t="str">
        <f>HYPERLINK("http://www.farbenschmiede.at","Website")</f>
        <v>Website</v>
      </c>
      <c r="D389" t="str">
        <f>HYPERLINK("http://www.google.com/maps/place/47.2901707,15.5149416","Location")</f>
        <v>Location</v>
      </c>
      <c r="E389" t="s">
        <v>3512</v>
      </c>
      <c r="F389" t="s">
        <v>3513</v>
      </c>
      <c r="G389" t="s">
        <v>3515</v>
      </c>
      <c r="H389" t="s">
        <v>3516</v>
      </c>
      <c r="I389" t="s">
        <v>451</v>
      </c>
      <c r="J389" t="s">
        <v>22</v>
      </c>
      <c r="K389" t="s">
        <v>3514</v>
      </c>
      <c r="L389" t="s">
        <v>3519</v>
      </c>
      <c r="M389" t="s">
        <v>25</v>
      </c>
      <c r="N389" t="s">
        <v>3520</v>
      </c>
      <c r="O389" t="s">
        <v>3521</v>
      </c>
      <c r="P389" t="s">
        <v>3522</v>
      </c>
      <c r="Q389" t="s">
        <v>29</v>
      </c>
      <c r="R389" t="s">
        <v>3517</v>
      </c>
      <c r="S389" t="s">
        <v>3518</v>
      </c>
    </row>
    <row r="390" spans="1:19" x14ac:dyDescent="0.25">
      <c r="A390" s="1">
        <v>388</v>
      </c>
      <c r="B390" t="str">
        <f>HYPERLINK("https://www.dasschnelle.at/kober-alexandra-ludersdorf","Website")</f>
        <v>Website</v>
      </c>
      <c r="C390" t="str">
        <f>HYPERLINK("http://www.schlossbuchbinderei.com","Website")</f>
        <v>Website</v>
      </c>
      <c r="D390" t="str">
        <f>HYPERLINK("http://www.google.com/maps/place/47.1241003,15.6757915","Location")</f>
        <v>Location</v>
      </c>
      <c r="E390" t="s">
        <v>3523</v>
      </c>
      <c r="F390" t="s">
        <v>3524</v>
      </c>
      <c r="G390" t="s">
        <v>3466</v>
      </c>
      <c r="H390" t="s">
        <v>3525</v>
      </c>
      <c r="I390" t="s">
        <v>25</v>
      </c>
      <c r="J390" t="s">
        <v>22</v>
      </c>
      <c r="K390" t="s">
        <v>25</v>
      </c>
      <c r="L390" t="s">
        <v>3528</v>
      </c>
      <c r="M390" t="s">
        <v>25</v>
      </c>
      <c r="N390" t="s">
        <v>3529</v>
      </c>
      <c r="O390" t="s">
        <v>3530</v>
      </c>
      <c r="P390" t="s">
        <v>3531</v>
      </c>
      <c r="Q390" t="s">
        <v>29</v>
      </c>
      <c r="R390" t="s">
        <v>3526</v>
      </c>
      <c r="S390" t="s">
        <v>3527</v>
      </c>
    </row>
    <row r="391" spans="1:19" x14ac:dyDescent="0.25">
      <c r="A391" s="1">
        <v>389</v>
      </c>
      <c r="B391" t="str">
        <f>HYPERLINK("https://www.dasschnelle.at/schlosstaverne-gmbh-oberfladnitz-thannhausen-schlossgasse","Website")</f>
        <v>Website</v>
      </c>
      <c r="C391" t="str">
        <f>HYPERLINK("http://www.schlosstaverne-thannhausen.at","Website")</f>
        <v>Website</v>
      </c>
      <c r="D391" t="str">
        <f>HYPERLINK("http://www.google.com/maps/place/47.22742,15.64051","Location")</f>
        <v>Location</v>
      </c>
      <c r="E391" t="s">
        <v>3532</v>
      </c>
      <c r="F391" t="s">
        <v>3533</v>
      </c>
      <c r="G391" t="s">
        <v>3448</v>
      </c>
      <c r="H391" t="s">
        <v>3535</v>
      </c>
      <c r="I391" t="s">
        <v>25</v>
      </c>
      <c r="J391" t="s">
        <v>22</v>
      </c>
      <c r="K391" t="s">
        <v>3534</v>
      </c>
      <c r="L391" t="s">
        <v>3538</v>
      </c>
      <c r="M391" t="s">
        <v>25</v>
      </c>
      <c r="N391" t="s">
        <v>3539</v>
      </c>
      <c r="O391" t="s">
        <v>25</v>
      </c>
      <c r="P391" t="s">
        <v>3540</v>
      </c>
      <c r="Q391" t="s">
        <v>29</v>
      </c>
      <c r="R391" t="s">
        <v>3536</v>
      </c>
      <c r="S391" t="s">
        <v>3537</v>
      </c>
    </row>
    <row r="392" spans="1:19" x14ac:dyDescent="0.25">
      <c r="A392" s="1">
        <v>390</v>
      </c>
      <c r="B392" t="str">
        <f>HYPERLINK("https://www.dasschnelle.at/bvh-strempfl-gmbh-pischelsdorf-in-der-steiermark","Website")</f>
        <v>Website</v>
      </c>
      <c r="C392" t="str">
        <f>HYPERLINK("http://www.bvh-strempfl.at","Website")</f>
        <v>Website</v>
      </c>
      <c r="D392" t="str">
        <f>HYPERLINK("http://www.google.com/maps/place/47.1737600,15.7942800","Location")</f>
        <v>Location</v>
      </c>
      <c r="E392" t="s">
        <v>3541</v>
      </c>
      <c r="F392" t="s">
        <v>3542</v>
      </c>
      <c r="G392" t="s">
        <v>3543</v>
      </c>
      <c r="H392" t="s">
        <v>3544</v>
      </c>
      <c r="I392" t="s">
        <v>451</v>
      </c>
      <c r="J392" t="s">
        <v>22</v>
      </c>
      <c r="K392" t="s">
        <v>25</v>
      </c>
      <c r="L392" t="s">
        <v>3547</v>
      </c>
      <c r="M392" t="s">
        <v>25</v>
      </c>
      <c r="N392" t="s">
        <v>3548</v>
      </c>
      <c r="O392" t="s">
        <v>25</v>
      </c>
      <c r="P392" t="s">
        <v>3549</v>
      </c>
      <c r="Q392" t="s">
        <v>29</v>
      </c>
      <c r="R392" t="s">
        <v>3545</v>
      </c>
      <c r="S392" t="s">
        <v>3546</v>
      </c>
    </row>
    <row r="393" spans="1:19" x14ac:dyDescent="0.25">
      <c r="A393" s="1">
        <v>391</v>
      </c>
      <c r="B393" t="str">
        <f>HYPERLINK("https://www.dasschnelle.at/kleintierpraxis-weiz-weiz-bahnhofstraße","Website")</f>
        <v>Website</v>
      </c>
      <c r="C393" t="str">
        <f>HYPERLINK("http://www.tierarztweiz.eu","Website")</f>
        <v>Website</v>
      </c>
      <c r="D393" t="str">
        <f>HYPERLINK("http://www.google.com/maps/place/47.21434,15.62977","Location")</f>
        <v>Location</v>
      </c>
      <c r="E393" t="s">
        <v>3550</v>
      </c>
      <c r="F393" t="s">
        <v>3551</v>
      </c>
      <c r="G393" t="s">
        <v>3448</v>
      </c>
      <c r="H393" t="s">
        <v>3449</v>
      </c>
      <c r="I393" t="s">
        <v>451</v>
      </c>
      <c r="J393" t="s">
        <v>22</v>
      </c>
      <c r="K393" t="s">
        <v>3552</v>
      </c>
      <c r="L393" t="s">
        <v>3555</v>
      </c>
      <c r="M393" t="s">
        <v>25</v>
      </c>
      <c r="N393" t="s">
        <v>3556</v>
      </c>
      <c r="O393" t="s">
        <v>25</v>
      </c>
      <c r="P393" t="s">
        <v>3557</v>
      </c>
      <c r="Q393" t="s">
        <v>29</v>
      </c>
      <c r="R393" t="s">
        <v>3553</v>
      </c>
      <c r="S393" t="s">
        <v>3554</v>
      </c>
    </row>
    <row r="394" spans="1:19" x14ac:dyDescent="0.25">
      <c r="A394" s="1">
        <v>392</v>
      </c>
      <c r="B394" t="str">
        <f>HYPERLINK("https://www.dasschnelle.at/fensterhaus-reith-gmbh-passail-angerstraße","Website")</f>
        <v>Website</v>
      </c>
      <c r="C394" t="str">
        <f>HYPERLINK("http://www.reithfenster.at","Website")</f>
        <v>Website</v>
      </c>
      <c r="D394" t="str">
        <f>HYPERLINK("http://www.google.com/maps/place/47.2814479,15.5151417","Location")</f>
        <v>Location</v>
      </c>
      <c r="E394" t="s">
        <v>3558</v>
      </c>
      <c r="F394" t="s">
        <v>3559</v>
      </c>
      <c r="G394" t="s">
        <v>3515</v>
      </c>
      <c r="H394" t="s">
        <v>3516</v>
      </c>
      <c r="I394" t="s">
        <v>451</v>
      </c>
      <c r="J394" t="s">
        <v>22</v>
      </c>
      <c r="K394" t="s">
        <v>3560</v>
      </c>
      <c r="L394" t="s">
        <v>3563</v>
      </c>
      <c r="M394" t="s">
        <v>25</v>
      </c>
      <c r="N394" t="s">
        <v>3564</v>
      </c>
      <c r="O394" t="s">
        <v>3565</v>
      </c>
      <c r="P394" t="s">
        <v>3566</v>
      </c>
      <c r="Q394" t="s">
        <v>29</v>
      </c>
      <c r="R394" t="s">
        <v>3561</v>
      </c>
      <c r="S394" t="s">
        <v>3562</v>
      </c>
    </row>
    <row r="395" spans="1:19" x14ac:dyDescent="0.25">
      <c r="A395" s="1">
        <v>393</v>
      </c>
      <c r="B395" t="str">
        <f>HYPERLINK("https://www.dasschnelle.at/rahm-franz-fünfing-bei-sankt-ruprecht-winterdorf","Website")</f>
        <v>Website</v>
      </c>
      <c r="C395" t="str">
        <f>HYPERLINK("http://www.tischlerei-rahm.at","Website")</f>
        <v>Website</v>
      </c>
      <c r="D395" t="str">
        <f>HYPERLINK("http://www.google.com/maps/place/47.1343,15.6601","Location")</f>
        <v>Location</v>
      </c>
      <c r="E395" t="s">
        <v>3567</v>
      </c>
      <c r="F395" t="s">
        <v>3568</v>
      </c>
      <c r="G395" t="s">
        <v>3570</v>
      </c>
      <c r="H395" t="s">
        <v>3571</v>
      </c>
      <c r="I395" t="s">
        <v>451</v>
      </c>
      <c r="J395" t="s">
        <v>22</v>
      </c>
      <c r="K395" t="s">
        <v>3569</v>
      </c>
      <c r="L395" t="s">
        <v>3574</v>
      </c>
      <c r="M395" t="s">
        <v>25</v>
      </c>
      <c r="N395" t="s">
        <v>3575</v>
      </c>
      <c r="O395" t="s">
        <v>3576</v>
      </c>
      <c r="P395" t="s">
        <v>3577</v>
      </c>
      <c r="Q395" t="s">
        <v>29</v>
      </c>
      <c r="R395" t="s">
        <v>3572</v>
      </c>
      <c r="S395" t="s">
        <v>3573</v>
      </c>
    </row>
    <row r="396" spans="1:19" x14ac:dyDescent="0.25">
      <c r="A396" s="1">
        <v>394</v>
      </c>
      <c r="B396" t="str">
        <f>HYPERLINK("https://www.dasschnelle.at/frisör-fragner-gmbh-weiz-birkfelder-straße","Website")</f>
        <v>Website</v>
      </c>
      <c r="C396" t="str">
        <f>HYPERLINK("http://www.friseur-fragner.at","Website")</f>
        <v>Website</v>
      </c>
      <c r="D396" t="str">
        <f>HYPERLINK("http://www.google.com/maps/place/47.21852,15.62907","Location")</f>
        <v>Location</v>
      </c>
      <c r="E396" t="s">
        <v>3578</v>
      </c>
      <c r="F396" t="s">
        <v>3579</v>
      </c>
      <c r="G396" t="s">
        <v>3448</v>
      </c>
      <c r="H396" t="s">
        <v>3449</v>
      </c>
      <c r="I396" t="s">
        <v>451</v>
      </c>
      <c r="J396" t="s">
        <v>22</v>
      </c>
      <c r="K396" t="s">
        <v>3580</v>
      </c>
      <c r="L396" t="s">
        <v>3583</v>
      </c>
      <c r="M396" t="s">
        <v>25</v>
      </c>
      <c r="N396" t="s">
        <v>3584</v>
      </c>
      <c r="O396" t="s">
        <v>25</v>
      </c>
      <c r="P396" t="s">
        <v>3585</v>
      </c>
      <c r="Q396" t="s">
        <v>29</v>
      </c>
      <c r="R396" t="s">
        <v>3581</v>
      </c>
      <c r="S396" t="s">
        <v>3582</v>
      </c>
    </row>
    <row r="397" spans="1:19" x14ac:dyDescent="0.25">
      <c r="A397" s="1">
        <v>395</v>
      </c>
      <c r="B397" t="str">
        <f>HYPERLINK("https://www.dasschnelle.at/neuhold-marco-rollsdorf","Website")</f>
        <v>Website</v>
      </c>
      <c r="C397" t="str">
        <f>HYPERLINK("http://www.fliesenblitz.at","Website")</f>
        <v>Website</v>
      </c>
      <c r="D397" t="str">
        <f>HYPERLINK("http://www.google.com/maps/place/47.1849683,15.7066181","Location")</f>
        <v>Location</v>
      </c>
      <c r="E397" t="s">
        <v>3586</v>
      </c>
      <c r="F397" t="s">
        <v>3587</v>
      </c>
      <c r="G397" t="s">
        <v>3570</v>
      </c>
      <c r="H397" t="s">
        <v>3588</v>
      </c>
      <c r="I397" t="s">
        <v>451</v>
      </c>
      <c r="J397" t="s">
        <v>22</v>
      </c>
      <c r="K397" t="s">
        <v>25</v>
      </c>
      <c r="L397" t="s">
        <v>3591</v>
      </c>
      <c r="M397" t="s">
        <v>25</v>
      </c>
      <c r="N397" t="s">
        <v>3592</v>
      </c>
      <c r="O397" t="s">
        <v>3593</v>
      </c>
      <c r="P397" t="s">
        <v>3594</v>
      </c>
      <c r="Q397" t="s">
        <v>29</v>
      </c>
      <c r="R397" t="s">
        <v>3589</v>
      </c>
      <c r="S397" t="s">
        <v>3590</v>
      </c>
    </row>
    <row r="398" spans="1:19" x14ac:dyDescent="0.25">
      <c r="A398" s="1">
        <v>396</v>
      </c>
      <c r="B398" t="str">
        <f>HYPERLINK("https://www.dasschnelle.at/absenger-johannes-gleisdorf-ungerdorf","Website")</f>
        <v>Website</v>
      </c>
      <c r="C398" t="str">
        <f>HYPERLINK("http://www.h-absenger.at","Website")</f>
        <v>Website</v>
      </c>
      <c r="D398" t="str">
        <f>HYPERLINK("http://www.google.com/maps/place/47.0949568,15.6892198","Location")</f>
        <v>Location</v>
      </c>
      <c r="E398" t="s">
        <v>3595</v>
      </c>
      <c r="F398" t="s">
        <v>3596</v>
      </c>
      <c r="G398" t="s">
        <v>3466</v>
      </c>
      <c r="H398" t="s">
        <v>3467</v>
      </c>
      <c r="I398" t="s">
        <v>451</v>
      </c>
      <c r="J398" t="s">
        <v>22</v>
      </c>
      <c r="K398" t="s">
        <v>3597</v>
      </c>
      <c r="L398" t="s">
        <v>3600</v>
      </c>
      <c r="M398" t="s">
        <v>25</v>
      </c>
      <c r="N398" t="s">
        <v>3601</v>
      </c>
      <c r="O398" t="s">
        <v>25</v>
      </c>
      <c r="P398" t="s">
        <v>3602</v>
      </c>
      <c r="Q398" t="s">
        <v>29</v>
      </c>
      <c r="R398" t="s">
        <v>3598</v>
      </c>
      <c r="S398" t="s">
        <v>3599</v>
      </c>
    </row>
    <row r="399" spans="1:19" x14ac:dyDescent="0.25">
      <c r="A399" s="1">
        <v>397</v>
      </c>
      <c r="B399" t="str">
        <f>HYPERLINK("https://www.dasschnelle.at/feichtinger-wolfgang-weiz-mühlgasse","Website")</f>
        <v>Website</v>
      </c>
      <c r="C399" t="str">
        <f>HYPERLINK("https://www.dasschnelle.at/feichtinger-wolfgang-weiz-m%C3%BChlgasse","Website")</f>
        <v>Website</v>
      </c>
      <c r="D399" t="str">
        <f>HYPERLINK("http://www.google.com/maps/place/47.21649,15.62517","Location")</f>
        <v>Location</v>
      </c>
      <c r="E399" t="s">
        <v>3603</v>
      </c>
      <c r="F399" t="s">
        <v>3604</v>
      </c>
      <c r="G399" t="s">
        <v>3448</v>
      </c>
      <c r="H399" t="s">
        <v>3449</v>
      </c>
      <c r="I399" t="s">
        <v>451</v>
      </c>
      <c r="J399" t="s">
        <v>22</v>
      </c>
      <c r="K399" t="s">
        <v>3605</v>
      </c>
      <c r="L399" t="s">
        <v>3608</v>
      </c>
      <c r="M399" t="s">
        <v>25</v>
      </c>
      <c r="N399" t="s">
        <v>3609</v>
      </c>
      <c r="O399" t="s">
        <v>25</v>
      </c>
      <c r="P399" t="s">
        <v>3610</v>
      </c>
      <c r="Q399" t="s">
        <v>29</v>
      </c>
      <c r="R399" t="s">
        <v>3606</v>
      </c>
      <c r="S399" t="s">
        <v>3607</v>
      </c>
    </row>
    <row r="400" spans="1:19" x14ac:dyDescent="0.25">
      <c r="A400" s="1">
        <v>398</v>
      </c>
      <c r="B400" t="str">
        <f>HYPERLINK("https://www.dasschnelle.at/ambrosch-gerhard-dr-weiz-hans-sutter-gasse","Website")</f>
        <v>Website</v>
      </c>
      <c r="C400" t="str">
        <f>HYPERLINK("http://www.lungeweiz.at","Website")</f>
        <v>Website</v>
      </c>
      <c r="D400" t="str">
        <f>HYPERLINK("http://www.google.com/maps/place/47.21482,15.62528","Location")</f>
        <v>Location</v>
      </c>
      <c r="E400" t="s">
        <v>3611</v>
      </c>
      <c r="F400" t="s">
        <v>3612</v>
      </c>
      <c r="G400" t="s">
        <v>3448</v>
      </c>
      <c r="H400" t="s">
        <v>3449</v>
      </c>
      <c r="I400" t="s">
        <v>451</v>
      </c>
      <c r="J400" t="s">
        <v>22</v>
      </c>
      <c r="K400" t="s">
        <v>3613</v>
      </c>
      <c r="L400" t="s">
        <v>3616</v>
      </c>
      <c r="M400" t="s">
        <v>25</v>
      </c>
      <c r="N400" t="s">
        <v>3617</v>
      </c>
      <c r="O400" t="s">
        <v>25</v>
      </c>
      <c r="P400" t="s">
        <v>3618</v>
      </c>
      <c r="Q400" t="s">
        <v>29</v>
      </c>
      <c r="R400" t="s">
        <v>3614</v>
      </c>
      <c r="S400" t="s">
        <v>3615</v>
      </c>
    </row>
    <row r="401" spans="1:19" x14ac:dyDescent="0.25">
      <c r="A401" s="1">
        <v>399</v>
      </c>
      <c r="B401" t="str">
        <f>HYPERLINK("https://www.dasschnelle.at/stumptner-elisabeth-birkfeld-hauptplatz","Website")</f>
        <v>Website</v>
      </c>
      <c r="C401" t="str">
        <f>HYPERLINK("https://www.dasschnelle.at/stumptner-elisabeth-birkfeld-hauptplatz","Website")</f>
        <v>Website</v>
      </c>
      <c r="D401" t="str">
        <f>HYPERLINK("http://www.google.com/maps/place/47.35571,15.69433","Location")</f>
        <v>Location</v>
      </c>
      <c r="E401" t="s">
        <v>3619</v>
      </c>
      <c r="F401" t="s">
        <v>3620</v>
      </c>
      <c r="G401" t="s">
        <v>3622</v>
      </c>
      <c r="H401" t="s">
        <v>3623</v>
      </c>
      <c r="I401" t="s">
        <v>451</v>
      </c>
      <c r="J401" t="s">
        <v>22</v>
      </c>
      <c r="K401" t="s">
        <v>3621</v>
      </c>
      <c r="L401" t="s">
        <v>3626</v>
      </c>
      <c r="M401" t="s">
        <v>25</v>
      </c>
      <c r="N401" t="s">
        <v>3627</v>
      </c>
      <c r="O401" t="s">
        <v>25</v>
      </c>
      <c r="P401" t="s">
        <v>3628</v>
      </c>
      <c r="Q401" t="s">
        <v>29</v>
      </c>
      <c r="R401" t="s">
        <v>3624</v>
      </c>
      <c r="S401" t="s">
        <v>3625</v>
      </c>
    </row>
    <row r="402" spans="1:19" x14ac:dyDescent="0.25">
      <c r="A402" s="1">
        <v>400</v>
      </c>
      <c r="B402" t="str">
        <f>HYPERLINK("https://www.dasschnelle.at/zierler-thomas-weiz-flurgasse","Website")</f>
        <v>Website</v>
      </c>
      <c r="C402" t="str">
        <f>HYPERLINK("http://www.taxi-zierler.at","Website")</f>
        <v>Website</v>
      </c>
      <c r="D402" t="str">
        <f>HYPERLINK("http://www.google.com/maps/place/47.20394,15.63129","Location")</f>
        <v>Location</v>
      </c>
      <c r="E402" t="s">
        <v>3629</v>
      </c>
      <c r="F402" t="s">
        <v>3630</v>
      </c>
      <c r="G402" t="s">
        <v>3448</v>
      </c>
      <c r="H402" t="s">
        <v>3449</v>
      </c>
      <c r="I402" t="s">
        <v>451</v>
      </c>
      <c r="J402" t="s">
        <v>22</v>
      </c>
      <c r="K402" t="s">
        <v>3631</v>
      </c>
      <c r="L402" t="s">
        <v>3634</v>
      </c>
      <c r="M402" t="s">
        <v>25</v>
      </c>
      <c r="N402" t="s">
        <v>3635</v>
      </c>
      <c r="O402" t="s">
        <v>25</v>
      </c>
      <c r="P402" t="s">
        <v>3636</v>
      </c>
      <c r="Q402" t="s">
        <v>29</v>
      </c>
      <c r="R402" t="s">
        <v>3632</v>
      </c>
      <c r="S402" t="s">
        <v>3633</v>
      </c>
    </row>
    <row r="403" spans="1:19" x14ac:dyDescent="0.25">
      <c r="A403" s="1">
        <v>401</v>
      </c>
      <c r="B403" t="str">
        <f>HYPERLINK("https://www.dasschnelle.at/fliesen-bürge-gmbh-st-margarethen-an-der-raab-industriestraße","Website")</f>
        <v>Website</v>
      </c>
      <c r="C403" t="str">
        <f>HYPERLINK("http://www.fliesen-buerge.at","Website")</f>
        <v>Website</v>
      </c>
      <c r="D403" t="str">
        <f>HYPERLINK("http://www.google.com/maps/place/47.04414,15.74861","Location")</f>
        <v>Location</v>
      </c>
      <c r="E403" t="s">
        <v>3637</v>
      </c>
      <c r="F403" t="s">
        <v>3638</v>
      </c>
      <c r="G403" t="s">
        <v>3640</v>
      </c>
      <c r="H403" t="s">
        <v>3641</v>
      </c>
      <c r="I403" t="s">
        <v>451</v>
      </c>
      <c r="J403" t="s">
        <v>22</v>
      </c>
      <c r="K403" t="s">
        <v>3639</v>
      </c>
      <c r="L403" t="s">
        <v>3644</v>
      </c>
      <c r="M403" t="s">
        <v>25</v>
      </c>
      <c r="N403" t="s">
        <v>3645</v>
      </c>
      <c r="O403" t="s">
        <v>3646</v>
      </c>
      <c r="P403" t="s">
        <v>3647</v>
      </c>
      <c r="Q403" t="s">
        <v>29</v>
      </c>
      <c r="R403" t="s">
        <v>3642</v>
      </c>
      <c r="S403" t="s">
        <v>3643</v>
      </c>
    </row>
    <row r="404" spans="1:19" x14ac:dyDescent="0.25">
      <c r="A404" s="1">
        <v>402</v>
      </c>
      <c r="B404" t="str">
        <f>HYPERLINK("https://www.dasschnelle.at/duller-ursula-dr-gleisdorf-franz-josef-straße","Website")</f>
        <v>Website</v>
      </c>
      <c r="C404" t="str">
        <f>HYPERLINK("http://www.duller-uro.at","Website")</f>
        <v>Website</v>
      </c>
      <c r="D404" t="str">
        <f>HYPERLINK("http://www.google.com/maps/place/47.10274,15.71312","Location")</f>
        <v>Location</v>
      </c>
      <c r="E404" t="s">
        <v>3648</v>
      </c>
      <c r="F404" t="s">
        <v>3649</v>
      </c>
      <c r="G404" t="s">
        <v>3466</v>
      </c>
      <c r="H404" t="s">
        <v>3467</v>
      </c>
      <c r="I404" t="s">
        <v>451</v>
      </c>
      <c r="J404" t="s">
        <v>22</v>
      </c>
      <c r="K404" t="s">
        <v>3650</v>
      </c>
      <c r="L404" t="s">
        <v>3653</v>
      </c>
      <c r="M404" t="s">
        <v>25</v>
      </c>
      <c r="N404" t="s">
        <v>3654</v>
      </c>
      <c r="O404" t="s">
        <v>25</v>
      </c>
      <c r="P404" t="s">
        <v>3655</v>
      </c>
      <c r="Q404" t="s">
        <v>29</v>
      </c>
      <c r="R404" t="s">
        <v>3651</v>
      </c>
      <c r="S404" t="s">
        <v>3652</v>
      </c>
    </row>
    <row r="405" spans="1:19" x14ac:dyDescent="0.25">
      <c r="A405" s="1">
        <v>403</v>
      </c>
      <c r="B405" t="str">
        <f>HYPERLINK("https://www.dasschnelle.at/felber-erich-bäckerei-cafe-konditorei-schokolade-birkfeld-oberer-markt","Website")</f>
        <v>Website</v>
      </c>
      <c r="C405" t="str">
        <f>HYPERLINK("http://www.felber-schokoladen.at","Website")</f>
        <v>Website</v>
      </c>
      <c r="D405" t="str">
        <f>HYPERLINK("http://www.google.com/maps/place/47.35428,15.69289","Location")</f>
        <v>Location</v>
      </c>
      <c r="E405" t="s">
        <v>3656</v>
      </c>
      <c r="F405" t="s">
        <v>3657</v>
      </c>
      <c r="G405" t="s">
        <v>3622</v>
      </c>
      <c r="H405" t="s">
        <v>3623</v>
      </c>
      <c r="I405" t="s">
        <v>451</v>
      </c>
      <c r="J405" t="s">
        <v>22</v>
      </c>
      <c r="K405" t="s">
        <v>3658</v>
      </c>
      <c r="L405" t="s">
        <v>3661</v>
      </c>
      <c r="M405" t="s">
        <v>25</v>
      </c>
      <c r="N405" t="s">
        <v>3662</v>
      </c>
      <c r="O405" t="s">
        <v>25</v>
      </c>
      <c r="P405" t="s">
        <v>3663</v>
      </c>
      <c r="Q405" t="s">
        <v>29</v>
      </c>
      <c r="R405" t="s">
        <v>3659</v>
      </c>
      <c r="S405" t="s">
        <v>3660</v>
      </c>
    </row>
    <row r="406" spans="1:19" x14ac:dyDescent="0.25">
      <c r="A406" s="1">
        <v>404</v>
      </c>
      <c r="B406" t="str">
        <f>HYPERLINK("https://www.dasschnelle.at/trausner-brigitte-gleisdorf-ludwig-binder-straße","Website")</f>
        <v>Website</v>
      </c>
      <c r="C406" t="str">
        <f>HYPERLINK("http://www.trausner.at","Website")</f>
        <v>Website</v>
      </c>
      <c r="D406" t="str">
        <f>HYPERLINK("http://www.google.com/maps/place/47.10588,15.70705","Location")</f>
        <v>Location</v>
      </c>
      <c r="E406" t="s">
        <v>3664</v>
      </c>
      <c r="F406" t="s">
        <v>3665</v>
      </c>
      <c r="G406" t="s">
        <v>3466</v>
      </c>
      <c r="H406" t="s">
        <v>3467</v>
      </c>
      <c r="I406" t="s">
        <v>451</v>
      </c>
      <c r="J406" t="s">
        <v>22</v>
      </c>
      <c r="K406" t="s">
        <v>3666</v>
      </c>
      <c r="L406" t="s">
        <v>3669</v>
      </c>
      <c r="M406" t="s">
        <v>25</v>
      </c>
      <c r="N406" t="s">
        <v>3670</v>
      </c>
      <c r="O406" t="s">
        <v>3671</v>
      </c>
      <c r="P406" t="s">
        <v>3672</v>
      </c>
      <c r="Q406" t="s">
        <v>29</v>
      </c>
      <c r="R406" t="s">
        <v>3667</v>
      </c>
      <c r="S406" t="s">
        <v>3668</v>
      </c>
    </row>
    <row r="407" spans="1:19" x14ac:dyDescent="0.25">
      <c r="A407" s="1">
        <v>405</v>
      </c>
      <c r="B407" t="str">
        <f>HYPERLINK("https://www.dasschnelle.at/narnhofer-elektro-gmbh-birkfeld-hammerherrengasse","Website")</f>
        <v>Website</v>
      </c>
      <c r="C407" t="str">
        <f>HYPERLINK("http://www.narnhofer-elektro.at","Website")</f>
        <v>Website</v>
      </c>
      <c r="D407" t="str">
        <f>HYPERLINK("http://www.google.com/maps/place/47.35758,15.70025","Location")</f>
        <v>Location</v>
      </c>
      <c r="E407" t="s">
        <v>3673</v>
      </c>
      <c r="F407" t="s">
        <v>3674</v>
      </c>
      <c r="G407" t="s">
        <v>3622</v>
      </c>
      <c r="H407" t="s">
        <v>3623</v>
      </c>
      <c r="I407" t="s">
        <v>451</v>
      </c>
      <c r="J407" t="s">
        <v>22</v>
      </c>
      <c r="K407" t="s">
        <v>3675</v>
      </c>
      <c r="L407" t="s">
        <v>3678</v>
      </c>
      <c r="M407" t="s">
        <v>25</v>
      </c>
      <c r="N407" t="s">
        <v>3679</v>
      </c>
      <c r="O407" t="s">
        <v>3680</v>
      </c>
      <c r="P407" t="s">
        <v>3681</v>
      </c>
      <c r="Q407" t="s">
        <v>29</v>
      </c>
      <c r="R407" t="s">
        <v>3676</v>
      </c>
      <c r="S407" t="s">
        <v>3677</v>
      </c>
    </row>
    <row r="408" spans="1:19" x14ac:dyDescent="0.25">
      <c r="A408" s="1">
        <v>406</v>
      </c>
      <c r="B408" t="str">
        <f>HYPERLINK("https://www.dasschnelle.at/sajowitz-viktor-gmbh-weiz-bundesstraße","Website")</f>
        <v>Website</v>
      </c>
      <c r="C408" t="str">
        <f>HYPERLINK("http://www.sajowitzdach.at","Website")</f>
        <v>Website</v>
      </c>
      <c r="D408" t="str">
        <f>HYPERLINK("http://www.google.com/maps/place/47.1976,15.64673","Location")</f>
        <v>Location</v>
      </c>
      <c r="E408" t="s">
        <v>3682</v>
      </c>
      <c r="F408" t="s">
        <v>3683</v>
      </c>
      <c r="G408" t="s">
        <v>3448</v>
      </c>
      <c r="H408" t="s">
        <v>3449</v>
      </c>
      <c r="I408" t="s">
        <v>451</v>
      </c>
      <c r="J408" t="s">
        <v>22</v>
      </c>
      <c r="K408" t="s">
        <v>3684</v>
      </c>
      <c r="L408" t="s">
        <v>3687</v>
      </c>
      <c r="M408" t="s">
        <v>3688</v>
      </c>
      <c r="N408" t="s">
        <v>3689</v>
      </c>
      <c r="O408" t="s">
        <v>3690</v>
      </c>
      <c r="P408" t="s">
        <v>3691</v>
      </c>
      <c r="Q408" t="s">
        <v>29</v>
      </c>
      <c r="R408" t="s">
        <v>3685</v>
      </c>
      <c r="S408" t="s">
        <v>3686</v>
      </c>
    </row>
    <row r="409" spans="1:19" x14ac:dyDescent="0.25">
      <c r="A409" s="1">
        <v>407</v>
      </c>
      <c r="B409" t="str">
        <f>HYPERLINK("https://www.dasschnelle.at/reifenhandel-krizmanic-birkfeld-bahnhofstraße","Website")</f>
        <v>Website</v>
      </c>
      <c r="C409" t="str">
        <f>HYPERLINK("https://www.dasschnelle.at/reifenhandel-krizmanic-birkfeld-bahnhofstra%C3%9Fe","Website")</f>
        <v>Website</v>
      </c>
      <c r="D409" t="str">
        <f>HYPERLINK("http://www.google.com/maps/place/47.3532491,15.7002878","Location")</f>
        <v>Location</v>
      </c>
      <c r="E409" t="s">
        <v>3692</v>
      </c>
      <c r="F409" t="s">
        <v>3693</v>
      </c>
      <c r="G409" t="s">
        <v>3622</v>
      </c>
      <c r="H409" t="s">
        <v>3623</v>
      </c>
      <c r="I409" t="s">
        <v>451</v>
      </c>
      <c r="J409" t="s">
        <v>22</v>
      </c>
      <c r="K409" t="s">
        <v>3694</v>
      </c>
      <c r="L409" t="s">
        <v>3697</v>
      </c>
      <c r="M409" t="s">
        <v>25</v>
      </c>
      <c r="N409" t="s">
        <v>3698</v>
      </c>
      <c r="O409" t="s">
        <v>25</v>
      </c>
      <c r="P409" t="s">
        <v>3699</v>
      </c>
      <c r="Q409" t="s">
        <v>29</v>
      </c>
      <c r="R409" t="s">
        <v>3695</v>
      </c>
      <c r="S409" t="s">
        <v>3696</v>
      </c>
    </row>
    <row r="410" spans="1:19" x14ac:dyDescent="0.25">
      <c r="A410" s="1">
        <v>408</v>
      </c>
      <c r="B410" t="str">
        <f>HYPERLINK("https://www.dasschnelle.at/immobilien-gleisdorf-ludwig-binder-straße","Website")</f>
        <v>Website</v>
      </c>
      <c r="C410" t="str">
        <f>HYPERLINK("http://www.trausner.at","Website")</f>
        <v>Website</v>
      </c>
      <c r="D410" t="str">
        <f>HYPERLINK("http://www.google.com/maps/place/47.10588,15.70705","Location")</f>
        <v>Location</v>
      </c>
      <c r="E410" t="s">
        <v>3700</v>
      </c>
      <c r="F410" t="s">
        <v>3701</v>
      </c>
      <c r="G410" t="s">
        <v>3466</v>
      </c>
      <c r="H410" t="s">
        <v>3467</v>
      </c>
      <c r="I410" t="s">
        <v>451</v>
      </c>
      <c r="J410" t="s">
        <v>22</v>
      </c>
      <c r="K410" t="s">
        <v>3666</v>
      </c>
      <c r="L410" t="s">
        <v>3669</v>
      </c>
      <c r="M410" t="s">
        <v>25</v>
      </c>
      <c r="N410" t="s">
        <v>3702</v>
      </c>
      <c r="O410" t="s">
        <v>3703</v>
      </c>
      <c r="P410" t="s">
        <v>3704</v>
      </c>
      <c r="Q410" t="s">
        <v>29</v>
      </c>
      <c r="R410" t="s">
        <v>3667</v>
      </c>
      <c r="S410" t="s">
        <v>3668</v>
      </c>
    </row>
    <row r="411" spans="1:19" x14ac:dyDescent="0.25">
      <c r="A411" s="1">
        <v>409</v>
      </c>
      <c r="B411" t="str">
        <f>HYPERLINK("https://www.dasschnelle.at/pierer-bauunternehmen-fladnitz-an-der-teichalm","Website")</f>
        <v>Website</v>
      </c>
      <c r="C411" t="str">
        <f>HYPERLINK("http://www.bauunternehmen-pierer.at","Website")</f>
        <v>Website</v>
      </c>
      <c r="D411" t="str">
        <f>HYPERLINK("http://www.google.com/maps/place/47.2802229,15.4782773","Location")</f>
        <v>Location</v>
      </c>
      <c r="E411" t="s">
        <v>3705</v>
      </c>
      <c r="F411" t="s">
        <v>3706</v>
      </c>
      <c r="G411" t="s">
        <v>3707</v>
      </c>
      <c r="H411" t="s">
        <v>3708</v>
      </c>
      <c r="I411" t="s">
        <v>451</v>
      </c>
      <c r="J411" t="s">
        <v>22</v>
      </c>
      <c r="K411" t="s">
        <v>25</v>
      </c>
      <c r="L411" t="s">
        <v>3711</v>
      </c>
      <c r="M411" t="s">
        <v>3712</v>
      </c>
      <c r="N411" t="s">
        <v>3713</v>
      </c>
      <c r="O411" t="s">
        <v>25</v>
      </c>
      <c r="P411" t="s">
        <v>3714</v>
      </c>
      <c r="Q411" t="s">
        <v>29</v>
      </c>
      <c r="R411" t="s">
        <v>3709</v>
      </c>
      <c r="S411" t="s">
        <v>3710</v>
      </c>
    </row>
    <row r="412" spans="1:19" x14ac:dyDescent="0.25">
      <c r="A412" s="1">
        <v>410</v>
      </c>
      <c r="B412" t="str">
        <f>HYPERLINK("https://www.dasschnelle.at/raumausstatter-daniel-maier-mitterdorf-an-der-raab-hohenkogl","Website")</f>
        <v>Website</v>
      </c>
      <c r="C412" t="str">
        <f>HYPERLINK("https://www.dasschnelle.at/raumausstatter-daniel-maier-mitterdorf-an-der-raab-hohenkogl","Website")</f>
        <v>Website</v>
      </c>
      <c r="D412" t="str">
        <f>HYPERLINK("http://www.google.com/maps/place/47.1808700,15.5930700","Location")</f>
        <v>Location</v>
      </c>
      <c r="E412" t="s">
        <v>3715</v>
      </c>
      <c r="F412" t="s">
        <v>3716</v>
      </c>
      <c r="G412" t="s">
        <v>3570</v>
      </c>
      <c r="H412" t="s">
        <v>3718</v>
      </c>
      <c r="I412" t="s">
        <v>451</v>
      </c>
      <c r="J412" t="s">
        <v>22</v>
      </c>
      <c r="K412" t="s">
        <v>3717</v>
      </c>
      <c r="L412" t="s">
        <v>3721</v>
      </c>
      <c r="M412" t="s">
        <v>25</v>
      </c>
      <c r="N412" t="s">
        <v>3722</v>
      </c>
      <c r="O412" t="s">
        <v>3723</v>
      </c>
      <c r="P412" t="s">
        <v>3724</v>
      </c>
      <c r="Q412" t="s">
        <v>29</v>
      </c>
      <c r="R412" t="s">
        <v>3719</v>
      </c>
      <c r="S412" t="s">
        <v>3720</v>
      </c>
    </row>
    <row r="413" spans="1:19" x14ac:dyDescent="0.25">
      <c r="A413" s="1">
        <v>411</v>
      </c>
      <c r="B413" t="str">
        <f>HYPERLINK("https://www.dasschnelle.at/delic-mensur-attnang-puchheim-vöcklabrucker-strasse","Website")</f>
        <v>Website</v>
      </c>
      <c r="C413" t="str">
        <f>HYPERLINK("http://www.delic-fliesen.at","Website")</f>
        <v>Website</v>
      </c>
      <c r="D413" t="str">
        <f>HYPERLINK("http://www.google.com/maps/place/48.00867,13.71972","Location")</f>
        <v>Location</v>
      </c>
      <c r="E413" t="s">
        <v>3725</v>
      </c>
      <c r="F413" t="s">
        <v>3726</v>
      </c>
      <c r="G413" t="s">
        <v>3728</v>
      </c>
      <c r="H413" t="s">
        <v>3729</v>
      </c>
      <c r="I413" t="s">
        <v>85</v>
      </c>
      <c r="J413" t="s">
        <v>22</v>
      </c>
      <c r="K413" t="s">
        <v>3727</v>
      </c>
      <c r="L413" t="s">
        <v>3732</v>
      </c>
      <c r="M413" t="s">
        <v>25</v>
      </c>
      <c r="N413" t="s">
        <v>3733</v>
      </c>
      <c r="O413" t="s">
        <v>3734</v>
      </c>
      <c r="P413" t="s">
        <v>3735</v>
      </c>
      <c r="Q413" t="s">
        <v>29</v>
      </c>
      <c r="R413" t="s">
        <v>3730</v>
      </c>
      <c r="S413" t="s">
        <v>3731</v>
      </c>
    </row>
    <row r="414" spans="1:19" x14ac:dyDescent="0.25">
      <c r="A414" s="1">
        <v>412</v>
      </c>
      <c r="B414" t="str">
        <f>HYPERLINK("https://www.dasschnelle.at/tokrat-ekrem-timelkam-linzer-straße","Website")</f>
        <v>Website</v>
      </c>
      <c r="C414" t="str">
        <f>HYPERLINK("https://www.dasschnelle.at/tokrat-ekrem-timelkam-linzer-stra%C3%9Fe","Website")</f>
        <v>Website</v>
      </c>
      <c r="D414" t="str">
        <f>HYPERLINK("http://www.google.com/maps/place/48.00251,13.61133","Location")</f>
        <v>Location</v>
      </c>
      <c r="E414" t="s">
        <v>3736</v>
      </c>
      <c r="F414" t="s">
        <v>3737</v>
      </c>
      <c r="G414" t="s">
        <v>3739</v>
      </c>
      <c r="H414" t="s">
        <v>3740</v>
      </c>
      <c r="I414" t="s">
        <v>85</v>
      </c>
      <c r="J414" t="s">
        <v>22</v>
      </c>
      <c r="K414" t="s">
        <v>3738</v>
      </c>
      <c r="L414" t="s">
        <v>3743</v>
      </c>
      <c r="M414" t="s">
        <v>25</v>
      </c>
      <c r="N414" t="s">
        <v>3744</v>
      </c>
      <c r="O414" t="s">
        <v>25</v>
      </c>
      <c r="P414" t="s">
        <v>3745</v>
      </c>
      <c r="Q414" t="s">
        <v>29</v>
      </c>
      <c r="R414" t="s">
        <v>3741</v>
      </c>
      <c r="S414" t="s">
        <v>3742</v>
      </c>
    </row>
    <row r="415" spans="1:19" x14ac:dyDescent="0.25">
      <c r="A415" s="1">
        <v>413</v>
      </c>
      <c r="B415" t="str">
        <f>HYPERLINK("https://www.dasschnelle.at/kern-bianca-vöcklabruck-dr-anton-bruckner-straße","Website")</f>
        <v>Website</v>
      </c>
      <c r="C415" t="str">
        <f>HYPERLINK("http://www.wellness-voecklabruck.at","Website")</f>
        <v>Website</v>
      </c>
      <c r="D415" t="str">
        <f>HYPERLINK("http://www.google.com/maps/place/48.00612,13.65378","Location")</f>
        <v>Location</v>
      </c>
      <c r="E415" t="s">
        <v>3746</v>
      </c>
      <c r="F415" t="s">
        <v>3747</v>
      </c>
      <c r="G415" t="s">
        <v>3749</v>
      </c>
      <c r="H415" t="s">
        <v>3750</v>
      </c>
      <c r="I415" t="s">
        <v>85</v>
      </c>
      <c r="J415" t="s">
        <v>22</v>
      </c>
      <c r="K415" t="s">
        <v>3748</v>
      </c>
      <c r="L415" t="s">
        <v>3753</v>
      </c>
      <c r="M415" t="s">
        <v>25</v>
      </c>
      <c r="N415" t="s">
        <v>3754</v>
      </c>
      <c r="O415" t="s">
        <v>25</v>
      </c>
      <c r="P415" t="s">
        <v>3755</v>
      </c>
      <c r="Q415" t="s">
        <v>29</v>
      </c>
      <c r="R415" t="s">
        <v>3751</v>
      </c>
      <c r="S415" t="s">
        <v>3752</v>
      </c>
    </row>
    <row r="416" spans="1:19" x14ac:dyDescent="0.25">
      <c r="A416" s="1">
        <v>414</v>
      </c>
      <c r="B416" t="str">
        <f>HYPERLINK("https://www.dasschnelle.at/asia-restaurant-kaili-schöndorf-linzer-straße","Website")</f>
        <v>Website</v>
      </c>
      <c r="C416" t="str">
        <f>HYPERLINK("http://www.kaili-restaurant.at","Website")</f>
        <v>Website</v>
      </c>
      <c r="D416" t="str">
        <f>HYPERLINK("http://www.google.com/maps/place/48.00292,13.66844","Location")</f>
        <v>Location</v>
      </c>
      <c r="E416" t="s">
        <v>3756</v>
      </c>
      <c r="F416" t="s">
        <v>3757</v>
      </c>
      <c r="G416" t="s">
        <v>3749</v>
      </c>
      <c r="H416" t="s">
        <v>3759</v>
      </c>
      <c r="I416" t="s">
        <v>85</v>
      </c>
      <c r="J416" t="s">
        <v>22</v>
      </c>
      <c r="K416" t="s">
        <v>3758</v>
      </c>
      <c r="L416" t="s">
        <v>3762</v>
      </c>
      <c r="M416" t="s">
        <v>25</v>
      </c>
      <c r="N416" t="s">
        <v>3763</v>
      </c>
      <c r="O416" t="s">
        <v>25</v>
      </c>
      <c r="P416" t="s">
        <v>3764</v>
      </c>
      <c r="Q416" t="s">
        <v>29</v>
      </c>
      <c r="R416" t="s">
        <v>3760</v>
      </c>
      <c r="S416" t="s">
        <v>3761</v>
      </c>
    </row>
    <row r="417" spans="1:19" x14ac:dyDescent="0.25">
      <c r="A417" s="1">
        <v>415</v>
      </c>
      <c r="B417" t="str">
        <f>HYPERLINK("https://www.dasschnelle.at/friseur-studio-elisabeth-hiptmair-cornelia-vöcklabruck-dr-anton-bruckner-straße","Website")</f>
        <v>Website</v>
      </c>
      <c r="C417" t="str">
        <f>HYPERLINK("https://www.dasschnelle.at/friseur-studio-elisabeth-hiptmair-cornelia-v%C3%B6cklabruck-dr-anton-bruckner-stra%C3%9Fe","Website")</f>
        <v>Website</v>
      </c>
      <c r="D417" t="str">
        <f>HYPERLINK("http://www.google.com/maps/place/48.00612,13.65378","Location")</f>
        <v>Location</v>
      </c>
      <c r="E417" t="s">
        <v>3765</v>
      </c>
      <c r="F417" t="s">
        <v>3766</v>
      </c>
      <c r="G417" t="s">
        <v>3749</v>
      </c>
      <c r="H417" t="s">
        <v>3750</v>
      </c>
      <c r="I417" t="s">
        <v>85</v>
      </c>
      <c r="J417" t="s">
        <v>22</v>
      </c>
      <c r="K417" t="s">
        <v>3748</v>
      </c>
      <c r="L417" t="s">
        <v>3767</v>
      </c>
      <c r="M417" t="s">
        <v>25</v>
      </c>
      <c r="N417" t="s">
        <v>3768</v>
      </c>
      <c r="O417" t="s">
        <v>25</v>
      </c>
      <c r="P417" t="s">
        <v>3769</v>
      </c>
      <c r="Q417" t="s">
        <v>29</v>
      </c>
      <c r="R417" t="s">
        <v>3751</v>
      </c>
      <c r="S417" t="s">
        <v>3752</v>
      </c>
    </row>
    <row r="418" spans="1:19" x14ac:dyDescent="0.25">
      <c r="A418" s="1">
        <v>416</v>
      </c>
      <c r="B418" t="str">
        <f>HYPERLINK("https://www.dasschnelle.at/kleemayr-zaun-und-tore-gmbh-regau-hessestraße","Website")</f>
        <v>Website</v>
      </c>
      <c r="C418" t="str">
        <f>HYPERLINK("http://www.kleemayr.at","Website")</f>
        <v>Website</v>
      </c>
      <c r="D418" t="str">
        <f>HYPERLINK("http://www.google.com/maps/place/47.99436,13.70864","Location")</f>
        <v>Location</v>
      </c>
      <c r="E418" t="s">
        <v>3770</v>
      </c>
      <c r="F418" t="s">
        <v>3771</v>
      </c>
      <c r="G418" t="s">
        <v>3773</v>
      </c>
      <c r="H418" t="s">
        <v>3774</v>
      </c>
      <c r="I418" t="s">
        <v>85</v>
      </c>
      <c r="J418" t="s">
        <v>22</v>
      </c>
      <c r="K418" t="s">
        <v>3772</v>
      </c>
      <c r="L418" t="s">
        <v>3777</v>
      </c>
      <c r="M418" t="s">
        <v>3778</v>
      </c>
      <c r="N418" t="s">
        <v>3779</v>
      </c>
      <c r="O418" t="s">
        <v>3780</v>
      </c>
      <c r="P418" t="s">
        <v>3781</v>
      </c>
      <c r="Q418" t="s">
        <v>29</v>
      </c>
      <c r="R418" t="s">
        <v>3775</v>
      </c>
      <c r="S418" t="s">
        <v>3776</v>
      </c>
    </row>
    <row r="419" spans="1:19" x14ac:dyDescent="0.25">
      <c r="A419" s="1">
        <v>417</v>
      </c>
      <c r="B419" t="str">
        <f>HYPERLINK("https://www.dasschnelle.at/hemetsberger-sabine-seewalchen-am-attersee-anton-bruckner-straße","Website")</f>
        <v>Website</v>
      </c>
      <c r="C419" t="str">
        <f>HYPERLINK("https://www.dasschnelle.at/hemetsberger-sabine-seewalchen-am-attersee-anton-bruckner-stra%C3%9Fe","Website")</f>
        <v>Website</v>
      </c>
      <c r="D419" t="str">
        <f>HYPERLINK("http://www.google.com/maps/place/47.95578,13.58461","Location")</f>
        <v>Location</v>
      </c>
      <c r="E419" t="s">
        <v>3782</v>
      </c>
      <c r="F419" t="s">
        <v>3783</v>
      </c>
      <c r="G419" t="s">
        <v>3785</v>
      </c>
      <c r="H419" t="s">
        <v>3786</v>
      </c>
      <c r="I419" t="s">
        <v>85</v>
      </c>
      <c r="J419" t="s">
        <v>22</v>
      </c>
      <c r="K419" t="s">
        <v>3784</v>
      </c>
      <c r="L419" t="s">
        <v>3789</v>
      </c>
      <c r="M419" t="s">
        <v>25</v>
      </c>
      <c r="N419" t="s">
        <v>3790</v>
      </c>
      <c r="O419" t="s">
        <v>25</v>
      </c>
      <c r="P419" t="s">
        <v>3791</v>
      </c>
      <c r="Q419" t="s">
        <v>29</v>
      </c>
      <c r="R419" t="s">
        <v>3787</v>
      </c>
      <c r="S419" t="s">
        <v>3788</v>
      </c>
    </row>
    <row r="420" spans="1:19" x14ac:dyDescent="0.25">
      <c r="A420" s="1">
        <v>418</v>
      </c>
      <c r="B420" t="str">
        <f>HYPERLINK("https://www.dasschnelle.at/silke-s-hairstyle-shop-frankenburg-am-hausruck-riegler-straße","Website")</f>
        <v>Website</v>
      </c>
      <c r="C420" t="str">
        <f>HYPERLINK("http://www.silkes-hairstyle-shop.com","Website")</f>
        <v>Website</v>
      </c>
      <c r="D420" t="str">
        <f>HYPERLINK("http://www.google.com/maps/place/48.06709,13.49325","Location")</f>
        <v>Location</v>
      </c>
      <c r="E420" t="s">
        <v>3792</v>
      </c>
      <c r="F420" t="s">
        <v>3793</v>
      </c>
      <c r="G420" t="s">
        <v>3795</v>
      </c>
      <c r="H420" t="s">
        <v>3796</v>
      </c>
      <c r="I420" t="s">
        <v>85</v>
      </c>
      <c r="J420" t="s">
        <v>22</v>
      </c>
      <c r="K420" t="s">
        <v>3794</v>
      </c>
      <c r="L420" t="s">
        <v>3799</v>
      </c>
      <c r="M420" t="s">
        <v>25</v>
      </c>
      <c r="N420" t="s">
        <v>3800</v>
      </c>
      <c r="O420" t="s">
        <v>25</v>
      </c>
      <c r="P420" t="s">
        <v>3801</v>
      </c>
      <c r="Q420" t="s">
        <v>29</v>
      </c>
      <c r="R420" t="s">
        <v>3797</v>
      </c>
      <c r="S420" t="s">
        <v>3798</v>
      </c>
    </row>
    <row r="421" spans="1:19" x14ac:dyDescent="0.25">
      <c r="A421" s="1">
        <v>419</v>
      </c>
      <c r="B421" t="str">
        <f>HYPERLINK("https://www.dasschnelle.at/friseur-lösch-inh-regina-kaltenbrunner-ampflwang-stelzhamerstraße","Website")</f>
        <v>Website</v>
      </c>
      <c r="C421" t="str">
        <f>HYPERLINK("http://www.friseur-loesch.at","Website")</f>
        <v>Website</v>
      </c>
      <c r="D421" t="str">
        <f>HYPERLINK("http://www.google.com/maps/place/48.0775549,13.5984507","Location")</f>
        <v>Location</v>
      </c>
      <c r="E421" t="s">
        <v>3802</v>
      </c>
      <c r="F421" t="s">
        <v>3803</v>
      </c>
      <c r="G421" t="s">
        <v>3805</v>
      </c>
      <c r="H421" t="s">
        <v>3806</v>
      </c>
      <c r="I421" t="s">
        <v>85</v>
      </c>
      <c r="J421" t="s">
        <v>22</v>
      </c>
      <c r="K421" t="s">
        <v>3804</v>
      </c>
      <c r="L421" t="s">
        <v>3809</v>
      </c>
      <c r="M421" t="s">
        <v>25</v>
      </c>
      <c r="N421" t="s">
        <v>3810</v>
      </c>
      <c r="O421" t="s">
        <v>25</v>
      </c>
      <c r="P421" t="s">
        <v>3811</v>
      </c>
      <c r="Q421" t="s">
        <v>29</v>
      </c>
      <c r="R421" t="s">
        <v>3807</v>
      </c>
      <c r="S421" t="s">
        <v>3808</v>
      </c>
    </row>
    <row r="422" spans="1:19" x14ac:dyDescent="0.25">
      <c r="A422" s="1">
        <v>420</v>
      </c>
      <c r="B422" t="str">
        <f>HYPERLINK("https://www.dasschnelle.at/knopfcenter-vöcklabruck-vöcklabruck-hinterstadt","Website")</f>
        <v>Website</v>
      </c>
      <c r="C422" t="str">
        <f>HYPERLINK("http://www.knopfcenter-voecklabruck.at","Website")</f>
        <v>Website</v>
      </c>
      <c r="D422" t="str">
        <f>HYPERLINK("http://www.google.com/maps/place/48.00793,13.65557","Location")</f>
        <v>Location</v>
      </c>
      <c r="E422" t="s">
        <v>3812</v>
      </c>
      <c r="F422" t="s">
        <v>3813</v>
      </c>
      <c r="G422" t="s">
        <v>3749</v>
      </c>
      <c r="H422" t="s">
        <v>3750</v>
      </c>
      <c r="I422" t="s">
        <v>85</v>
      </c>
      <c r="J422" t="s">
        <v>22</v>
      </c>
      <c r="K422" t="s">
        <v>3814</v>
      </c>
      <c r="L422" t="s">
        <v>3817</v>
      </c>
      <c r="M422" t="s">
        <v>25</v>
      </c>
      <c r="N422" t="s">
        <v>3818</v>
      </c>
      <c r="O422" t="s">
        <v>25</v>
      </c>
      <c r="P422" t="s">
        <v>3819</v>
      </c>
      <c r="Q422" t="s">
        <v>29</v>
      </c>
      <c r="R422" t="s">
        <v>3815</v>
      </c>
      <c r="S422" t="s">
        <v>3816</v>
      </c>
    </row>
    <row r="423" spans="1:19" x14ac:dyDescent="0.25">
      <c r="A423" s="1">
        <v>421</v>
      </c>
      <c r="B423" t="str">
        <f>HYPERLINK("https://www.dasschnelle.at/steiner-doris-beautysalon-vöcklamarkt-wultingergasse","Website")</f>
        <v>Website</v>
      </c>
      <c r="C423" t="str">
        <f>HYPERLINK("http://www.energy-beauty.at","Website")</f>
        <v>Website</v>
      </c>
      <c r="D423" t="str">
        <f>HYPERLINK("http://www.google.com/maps/place/48.00256,13.48181","Location")</f>
        <v>Location</v>
      </c>
      <c r="E423" t="s">
        <v>3820</v>
      </c>
      <c r="F423" t="s">
        <v>3821</v>
      </c>
      <c r="G423" t="s">
        <v>3823</v>
      </c>
      <c r="H423" t="s">
        <v>3824</v>
      </c>
      <c r="I423" t="s">
        <v>85</v>
      </c>
      <c r="J423" t="s">
        <v>22</v>
      </c>
      <c r="K423" t="s">
        <v>3822</v>
      </c>
      <c r="L423" t="s">
        <v>3827</v>
      </c>
      <c r="M423" t="s">
        <v>25</v>
      </c>
      <c r="N423" t="s">
        <v>3828</v>
      </c>
      <c r="O423" t="s">
        <v>25</v>
      </c>
      <c r="P423" t="s">
        <v>3829</v>
      </c>
      <c r="Q423" t="s">
        <v>29</v>
      </c>
      <c r="R423" t="s">
        <v>3825</v>
      </c>
      <c r="S423" t="s">
        <v>3826</v>
      </c>
    </row>
    <row r="424" spans="1:19" x14ac:dyDescent="0.25">
      <c r="A424" s="1">
        <v>422</v>
      </c>
      <c r="B424" t="str">
        <f>HYPERLINK("https://www.dasschnelle.at/wallinger-andreas-st-georgen-im-attergau-alkersdorf","Website")</f>
        <v>Website</v>
      </c>
      <c r="C424" t="str">
        <f>HYPERLINK("http://www.wallinger-kfz.at","Website")</f>
        <v>Website</v>
      </c>
      <c r="D424" t="str">
        <f>HYPERLINK("http://www.google.com/maps/place/47.9334768,13.5115298","Location")</f>
        <v>Location</v>
      </c>
      <c r="E424" t="s">
        <v>3830</v>
      </c>
      <c r="F424" t="s">
        <v>3831</v>
      </c>
      <c r="G424" t="s">
        <v>3833</v>
      </c>
      <c r="H424" t="s">
        <v>3834</v>
      </c>
      <c r="I424" t="s">
        <v>85</v>
      </c>
      <c r="J424" t="s">
        <v>22</v>
      </c>
      <c r="K424" t="s">
        <v>3832</v>
      </c>
      <c r="L424" t="s">
        <v>3837</v>
      </c>
      <c r="M424" t="s">
        <v>25</v>
      </c>
      <c r="N424" t="s">
        <v>3838</v>
      </c>
      <c r="O424" t="s">
        <v>25</v>
      </c>
      <c r="P424" t="s">
        <v>3839</v>
      </c>
      <c r="Q424" t="s">
        <v>29</v>
      </c>
      <c r="R424" t="s">
        <v>3835</v>
      </c>
      <c r="S424" t="s">
        <v>3836</v>
      </c>
    </row>
    <row r="425" spans="1:19" x14ac:dyDescent="0.25">
      <c r="A425" s="1">
        <v>423</v>
      </c>
      <c r="B425" t="str">
        <f>HYPERLINK("https://www.dasschnelle.at/ahmed-auto-cleaner-und-cosmetic-attnang-puchheim-feldstraße","Website")</f>
        <v>Website</v>
      </c>
      <c r="C425" t="str">
        <f>HYPERLINK("http://www.ahmed-autocleaner.at","Website")</f>
        <v>Website</v>
      </c>
      <c r="D425" t="str">
        <f>HYPERLINK("http://www.google.com/maps/place/48.01344,13.73011","Location")</f>
        <v>Location</v>
      </c>
      <c r="E425" t="s">
        <v>3840</v>
      </c>
      <c r="F425" t="s">
        <v>3841</v>
      </c>
      <c r="G425" t="s">
        <v>3728</v>
      </c>
      <c r="H425" t="s">
        <v>3729</v>
      </c>
      <c r="I425" t="s">
        <v>85</v>
      </c>
      <c r="J425" t="s">
        <v>22</v>
      </c>
      <c r="K425" t="s">
        <v>3842</v>
      </c>
      <c r="L425" t="s">
        <v>3845</v>
      </c>
      <c r="M425" t="s">
        <v>25</v>
      </c>
      <c r="N425" t="s">
        <v>3846</v>
      </c>
      <c r="O425" t="s">
        <v>25</v>
      </c>
      <c r="P425" t="s">
        <v>3847</v>
      </c>
      <c r="Q425" t="s">
        <v>29</v>
      </c>
      <c r="R425" t="s">
        <v>3843</v>
      </c>
      <c r="S425" t="s">
        <v>3844</v>
      </c>
    </row>
    <row r="426" spans="1:19" x14ac:dyDescent="0.25">
      <c r="A426" s="1">
        <v>424</v>
      </c>
      <c r="B426" t="str">
        <f>HYPERLINK("https://www.dasschnelle.at/urbanz-barbara-dr-schörfling-hauptstraße","Website")</f>
        <v>Website</v>
      </c>
      <c r="C426" t="str">
        <f>HYPERLINK("http://www.gyn-urbanz.at","Website")</f>
        <v>Website</v>
      </c>
      <c r="D426" t="str">
        <f>HYPERLINK("http://www.google.com/maps/place/47.9459535,13.5947038","Location")</f>
        <v>Location</v>
      </c>
      <c r="E426" t="s">
        <v>3848</v>
      </c>
      <c r="F426" t="s">
        <v>3849</v>
      </c>
      <c r="G426" t="s">
        <v>3851</v>
      </c>
      <c r="H426" t="s">
        <v>3852</v>
      </c>
      <c r="I426" t="s">
        <v>85</v>
      </c>
      <c r="J426" t="s">
        <v>22</v>
      </c>
      <c r="K426" t="s">
        <v>3850</v>
      </c>
      <c r="L426" t="s">
        <v>3855</v>
      </c>
      <c r="M426" t="s">
        <v>25</v>
      </c>
      <c r="N426" t="s">
        <v>3856</v>
      </c>
      <c r="O426" t="s">
        <v>25</v>
      </c>
      <c r="P426" t="s">
        <v>3857</v>
      </c>
      <c r="Q426" t="s">
        <v>29</v>
      </c>
      <c r="R426" t="s">
        <v>3853</v>
      </c>
      <c r="S426" t="s">
        <v>3854</v>
      </c>
    </row>
    <row r="427" spans="1:19" x14ac:dyDescent="0.25">
      <c r="A427" s="1">
        <v>425</v>
      </c>
      <c r="B427" t="str">
        <f>HYPERLINK("https://www.dasschnelle.at/krischke-gernot-friseur-schörfling-marktplatz","Website")</f>
        <v>Website</v>
      </c>
      <c r="C427" t="str">
        <f>HYPERLINK("http://www.haarsache.net","Website")</f>
        <v>Website</v>
      </c>
      <c r="D427" t="str">
        <f>HYPERLINK("http://www.google.com/maps/place/47.9458006,13.6044740","Location")</f>
        <v>Location</v>
      </c>
      <c r="E427" t="s">
        <v>3858</v>
      </c>
      <c r="F427" t="s">
        <v>3859</v>
      </c>
      <c r="G427" t="s">
        <v>3851</v>
      </c>
      <c r="H427" t="s">
        <v>3852</v>
      </c>
      <c r="I427" t="s">
        <v>85</v>
      </c>
      <c r="J427" t="s">
        <v>22</v>
      </c>
      <c r="K427" t="s">
        <v>3860</v>
      </c>
      <c r="L427" t="s">
        <v>3863</v>
      </c>
      <c r="M427" t="s">
        <v>25</v>
      </c>
      <c r="N427" t="s">
        <v>3864</v>
      </c>
      <c r="O427" t="s">
        <v>25</v>
      </c>
      <c r="P427" t="s">
        <v>3865</v>
      </c>
      <c r="Q427" t="s">
        <v>29</v>
      </c>
      <c r="R427" t="s">
        <v>3861</v>
      </c>
      <c r="S427" t="s">
        <v>3862</v>
      </c>
    </row>
    <row r="428" spans="1:19" x14ac:dyDescent="0.25">
      <c r="A428" s="1">
        <v>426</v>
      </c>
      <c r="B428" t="str">
        <f>HYPERLINK("https://www.dasschnelle.at/haus-berndt-gregor-attersee-am-attersee-aufham","Website")</f>
        <v>Website</v>
      </c>
      <c r="C428" t="str">
        <f>HYPERLINK("http://www.haus-berndt.at","Website")</f>
        <v>Website</v>
      </c>
      <c r="D428" t="str">
        <f>HYPERLINK("http://www.google.com/maps/place/47.9061992,13.5272695","Location")</f>
        <v>Location</v>
      </c>
      <c r="E428" t="s">
        <v>3866</v>
      </c>
      <c r="F428" t="s">
        <v>3867</v>
      </c>
      <c r="G428" t="s">
        <v>3869</v>
      </c>
      <c r="H428" t="s">
        <v>3870</v>
      </c>
      <c r="I428" t="s">
        <v>85</v>
      </c>
      <c r="J428" t="s">
        <v>22</v>
      </c>
      <c r="K428" t="s">
        <v>3868</v>
      </c>
      <c r="L428" t="s">
        <v>3873</v>
      </c>
      <c r="M428" t="s">
        <v>25</v>
      </c>
      <c r="N428" t="s">
        <v>3874</v>
      </c>
      <c r="O428" t="s">
        <v>25</v>
      </c>
      <c r="P428" t="s">
        <v>3875</v>
      </c>
      <c r="Q428" t="s">
        <v>29</v>
      </c>
      <c r="R428" t="s">
        <v>3871</v>
      </c>
      <c r="S428" t="s">
        <v>3872</v>
      </c>
    </row>
    <row r="429" spans="1:19" x14ac:dyDescent="0.25">
      <c r="A429" s="1">
        <v>427</v>
      </c>
      <c r="B429" t="str">
        <f>HYPERLINK("https://www.dasschnelle.at/gashof-kreuzer-franz-abtsdorf-abtsdorf","Website")</f>
        <v>Website</v>
      </c>
      <c r="C429" t="str">
        <f>HYPERLINK("http://www.kreuzerhof.at","Website")</f>
        <v>Website</v>
      </c>
      <c r="D429" t="str">
        <f>HYPERLINK("http://www.google.com/maps/place/47.9028216,13.5165570","Location")</f>
        <v>Location</v>
      </c>
      <c r="E429" t="s">
        <v>3876</v>
      </c>
      <c r="F429" t="s">
        <v>3877</v>
      </c>
      <c r="G429" t="s">
        <v>3869</v>
      </c>
      <c r="H429" t="s">
        <v>3879</v>
      </c>
      <c r="I429" t="s">
        <v>85</v>
      </c>
      <c r="J429" t="s">
        <v>22</v>
      </c>
      <c r="K429" t="s">
        <v>3878</v>
      </c>
      <c r="L429" t="s">
        <v>3882</v>
      </c>
      <c r="M429" t="s">
        <v>25</v>
      </c>
      <c r="N429" t="s">
        <v>3883</v>
      </c>
      <c r="O429" t="s">
        <v>25</v>
      </c>
      <c r="P429" t="s">
        <v>3884</v>
      </c>
      <c r="Q429" t="s">
        <v>29</v>
      </c>
      <c r="R429" t="s">
        <v>3880</v>
      </c>
      <c r="S429" t="s">
        <v>3881</v>
      </c>
    </row>
    <row r="430" spans="1:19" x14ac:dyDescent="0.25">
      <c r="A430" s="1">
        <v>428</v>
      </c>
      <c r="B430" t="str">
        <f>HYPERLINK("https://www.dasschnelle.at/gasthaus-rupp-hofmann-andrea-frankenburg-am-hausruck-ottokönigen","Website")</f>
        <v>Website</v>
      </c>
      <c r="C430" t="str">
        <f>HYPERLINK("http://www.leitneralm.at","Website")</f>
        <v>Website</v>
      </c>
      <c r="D430" t="str">
        <f>HYPERLINK("http://www.google.com/maps/place/48.0775488,13.4499007","Location")</f>
        <v>Location</v>
      </c>
      <c r="E430" t="s">
        <v>3885</v>
      </c>
      <c r="F430" t="s">
        <v>3886</v>
      </c>
      <c r="G430" t="s">
        <v>3795</v>
      </c>
      <c r="H430" t="s">
        <v>3796</v>
      </c>
      <c r="I430" t="s">
        <v>85</v>
      </c>
      <c r="J430" t="s">
        <v>22</v>
      </c>
      <c r="K430" t="s">
        <v>3887</v>
      </c>
      <c r="L430" t="s">
        <v>3890</v>
      </c>
      <c r="M430" t="s">
        <v>25</v>
      </c>
      <c r="N430" t="s">
        <v>3891</v>
      </c>
      <c r="O430" t="s">
        <v>25</v>
      </c>
      <c r="P430" t="s">
        <v>3892</v>
      </c>
      <c r="Q430" t="s">
        <v>29</v>
      </c>
      <c r="R430" t="s">
        <v>3888</v>
      </c>
      <c r="S430" t="s">
        <v>3889</v>
      </c>
    </row>
    <row r="431" spans="1:19" x14ac:dyDescent="0.25">
      <c r="A431" s="1">
        <v>429</v>
      </c>
      <c r="B431" t="str">
        <f>HYPERLINK("https://www.dasschnelle.at/landgasthaus-doppelmühle-emming-emming","Website")</f>
        <v>Website</v>
      </c>
      <c r="C431" t="str">
        <f>HYPERLINK("http://www.gasthaus-doppelmuehle.at","Website")</f>
        <v>Website</v>
      </c>
      <c r="D431" t="str">
        <f>HYPERLINK("http://www.google.com/maps/place/48.0138751,13.4248093","Location")</f>
        <v>Location</v>
      </c>
      <c r="E431" t="s">
        <v>3893</v>
      </c>
      <c r="F431" t="s">
        <v>3894</v>
      </c>
      <c r="G431" t="s">
        <v>3896</v>
      </c>
      <c r="H431" t="s">
        <v>3897</v>
      </c>
      <c r="I431" t="s">
        <v>85</v>
      </c>
      <c r="J431" t="s">
        <v>22</v>
      </c>
      <c r="K431" t="s">
        <v>3895</v>
      </c>
      <c r="L431" t="s">
        <v>3900</v>
      </c>
      <c r="M431" t="s">
        <v>25</v>
      </c>
      <c r="N431" t="s">
        <v>3901</v>
      </c>
      <c r="O431" t="s">
        <v>25</v>
      </c>
      <c r="P431" t="s">
        <v>3902</v>
      </c>
      <c r="Q431" t="s">
        <v>29</v>
      </c>
      <c r="R431" t="s">
        <v>3898</v>
      </c>
      <c r="S431" t="s">
        <v>3899</v>
      </c>
    </row>
    <row r="432" spans="1:19" x14ac:dyDescent="0.25">
      <c r="A432" s="1">
        <v>430</v>
      </c>
      <c r="B432" t="str">
        <f>HYPERLINK("https://www.dasschnelle.at/stefan-und-christine-aicher-straß-im-attergau-stöttham","Website")</f>
        <v>Website</v>
      </c>
      <c r="C432" t="str">
        <f>HYPERLINK("http://www.bleam-mostschank.at","Website")</f>
        <v>Website</v>
      </c>
      <c r="D432" t="str">
        <f>HYPERLINK("http://www.google.com/maps/place/47.9201662,13.5066900","Location")</f>
        <v>Location</v>
      </c>
      <c r="E432" t="s">
        <v>3903</v>
      </c>
      <c r="F432" t="s">
        <v>3904</v>
      </c>
      <c r="G432" t="s">
        <v>3906</v>
      </c>
      <c r="H432" t="s">
        <v>3907</v>
      </c>
      <c r="I432" t="s">
        <v>85</v>
      </c>
      <c r="J432" t="s">
        <v>22</v>
      </c>
      <c r="K432" t="s">
        <v>3905</v>
      </c>
      <c r="L432" t="s">
        <v>3910</v>
      </c>
      <c r="M432" t="s">
        <v>25</v>
      </c>
      <c r="N432" t="s">
        <v>3911</v>
      </c>
      <c r="O432" t="s">
        <v>25</v>
      </c>
      <c r="P432" t="s">
        <v>3912</v>
      </c>
      <c r="Q432" t="s">
        <v>29</v>
      </c>
      <c r="R432" t="s">
        <v>3908</v>
      </c>
      <c r="S432" t="s">
        <v>3909</v>
      </c>
    </row>
    <row r="433" spans="1:19" x14ac:dyDescent="0.25">
      <c r="A433" s="1">
        <v>431</v>
      </c>
      <c r="B433" t="str">
        <f>HYPERLINK("https://www.dasschnelle.at/pointner-tanja-desselbrunn-deutenham","Website")</f>
        <v>Website</v>
      </c>
      <c r="C433" t="str">
        <f>HYPERLINK("http://www.tausendfuessler.co.at","Website")</f>
        <v>Website</v>
      </c>
      <c r="D433" t="str">
        <f>HYPERLINK("http://www.google.com/maps/place/48.0106739,13.7516979","Location")</f>
        <v>Location</v>
      </c>
      <c r="E433" t="s">
        <v>3913</v>
      </c>
      <c r="F433" t="s">
        <v>3914</v>
      </c>
      <c r="G433" t="s">
        <v>3916</v>
      </c>
      <c r="H433" t="s">
        <v>3917</v>
      </c>
      <c r="I433" t="s">
        <v>85</v>
      </c>
      <c r="J433" t="s">
        <v>22</v>
      </c>
      <c r="K433" t="s">
        <v>3915</v>
      </c>
      <c r="L433" t="s">
        <v>3920</v>
      </c>
      <c r="M433" t="s">
        <v>25</v>
      </c>
      <c r="N433" t="s">
        <v>3921</v>
      </c>
      <c r="O433" t="s">
        <v>25</v>
      </c>
      <c r="P433" t="s">
        <v>3922</v>
      </c>
      <c r="Q433" t="s">
        <v>29</v>
      </c>
      <c r="R433" t="s">
        <v>3918</v>
      </c>
      <c r="S433" t="s">
        <v>3919</v>
      </c>
    </row>
    <row r="434" spans="1:19" x14ac:dyDescent="0.25">
      <c r="A434" s="1">
        <v>432</v>
      </c>
      <c r="B434" t="str">
        <f>HYPERLINK("https://www.dasschnelle.at/rosenstube-seewalchen-seewalchen-am-attersee-hauptstraße","Website")</f>
        <v>Website</v>
      </c>
      <c r="C434" t="str">
        <f>HYPERLINK("http://www.rosenstube-seewalchen.at","Website")</f>
        <v>Website</v>
      </c>
      <c r="D434" t="str">
        <f>HYPERLINK("http://www.google.com/maps/place/47.95316,13.58724","Location")</f>
        <v>Location</v>
      </c>
      <c r="E434" t="s">
        <v>3923</v>
      </c>
      <c r="F434" t="s">
        <v>3924</v>
      </c>
      <c r="G434" t="s">
        <v>3785</v>
      </c>
      <c r="H434" t="s">
        <v>3786</v>
      </c>
      <c r="I434" t="s">
        <v>85</v>
      </c>
      <c r="J434" t="s">
        <v>22</v>
      </c>
      <c r="K434" t="s">
        <v>3925</v>
      </c>
      <c r="L434" t="s">
        <v>3928</v>
      </c>
      <c r="M434" t="s">
        <v>25</v>
      </c>
      <c r="N434" t="s">
        <v>3929</v>
      </c>
      <c r="O434" t="s">
        <v>3930</v>
      </c>
      <c r="P434" t="s">
        <v>3931</v>
      </c>
      <c r="Q434" t="s">
        <v>29</v>
      </c>
      <c r="R434" t="s">
        <v>3926</v>
      </c>
      <c r="S434" t="s">
        <v>3927</v>
      </c>
    </row>
    <row r="435" spans="1:19" x14ac:dyDescent="0.25">
      <c r="A435" s="1">
        <v>433</v>
      </c>
      <c r="B435" t="str">
        <f>HYPERLINK("https://www.dasschnelle.at/fischerwirt-parschallen","Website")</f>
        <v>Website</v>
      </c>
      <c r="C435" t="str">
        <f>HYPERLINK("http://www.fischerwirt-nussdorf.at","Website")</f>
        <v>Website</v>
      </c>
      <c r="D435" t="str">
        <f>HYPERLINK("http://www.google.com/maps/place/47.8568107,13.5261925","Location")</f>
        <v>Location</v>
      </c>
      <c r="E435" t="s">
        <v>3932</v>
      </c>
      <c r="F435" t="s">
        <v>3933</v>
      </c>
      <c r="G435" t="s">
        <v>3934</v>
      </c>
      <c r="H435" t="s">
        <v>3935</v>
      </c>
      <c r="I435" t="s">
        <v>85</v>
      </c>
      <c r="J435" t="s">
        <v>22</v>
      </c>
      <c r="K435" t="s">
        <v>25</v>
      </c>
      <c r="L435" t="s">
        <v>3938</v>
      </c>
      <c r="M435" t="s">
        <v>25</v>
      </c>
      <c r="N435" t="s">
        <v>3939</v>
      </c>
      <c r="O435" t="s">
        <v>25</v>
      </c>
      <c r="P435" t="s">
        <v>3940</v>
      </c>
      <c r="Q435" t="s">
        <v>29</v>
      </c>
      <c r="R435" t="s">
        <v>3936</v>
      </c>
      <c r="S435" t="s">
        <v>3937</v>
      </c>
    </row>
    <row r="436" spans="1:19" x14ac:dyDescent="0.25">
      <c r="A436" s="1">
        <v>434</v>
      </c>
      <c r="B436" t="str">
        <f>HYPERLINK("https://www.dasschnelle.at/dürnauerhof-vöcklabruck-dürnauer-straße","Website")</f>
        <v>Website</v>
      </c>
      <c r="C436" t="str">
        <f>HYPERLINK("https://www.dasschnelle.at/d%C3%BCrnauerhof-v%C3%B6cklabruck-d%C3%BCrnauer-stra%C3%9Fe","Website")</f>
        <v>Website</v>
      </c>
      <c r="D436" t="str">
        <f>HYPERLINK("http://www.google.com/maps/place/47.99656,13.63991","Location")</f>
        <v>Location</v>
      </c>
      <c r="E436" t="s">
        <v>3941</v>
      </c>
      <c r="F436" t="s">
        <v>3942</v>
      </c>
      <c r="G436" t="s">
        <v>3749</v>
      </c>
      <c r="H436" t="s">
        <v>3750</v>
      </c>
      <c r="I436" t="s">
        <v>85</v>
      </c>
      <c r="J436" t="s">
        <v>22</v>
      </c>
      <c r="K436" t="s">
        <v>3943</v>
      </c>
      <c r="L436" t="s">
        <v>3946</v>
      </c>
      <c r="M436" t="s">
        <v>25</v>
      </c>
      <c r="N436" t="s">
        <v>3947</v>
      </c>
      <c r="O436" t="s">
        <v>25</v>
      </c>
      <c r="P436" t="s">
        <v>3948</v>
      </c>
      <c r="Q436" t="s">
        <v>29</v>
      </c>
      <c r="R436" t="s">
        <v>3944</v>
      </c>
      <c r="S436" t="s">
        <v>3945</v>
      </c>
    </row>
    <row r="437" spans="1:19" x14ac:dyDescent="0.25">
      <c r="A437" s="1">
        <v>435</v>
      </c>
      <c r="B437" t="str">
        <f>HYPERLINK("https://www.dasschnelle.at/firma-schachreiter-e-u-ottnang-attnanger-straße","Website")</f>
        <v>Website</v>
      </c>
      <c r="C437" t="str">
        <f>HYPERLINK("http://www.holztreppenbau-schachreiter.at","Website")</f>
        <v>Website</v>
      </c>
      <c r="D437" t="str">
        <f>HYPERLINK("http://www.google.com/maps/place/48.0938432,13.6617913","Location")</f>
        <v>Location</v>
      </c>
      <c r="E437" t="s">
        <v>3949</v>
      </c>
      <c r="F437" t="s">
        <v>3950</v>
      </c>
      <c r="G437" t="s">
        <v>3952</v>
      </c>
      <c r="H437" t="s">
        <v>3953</v>
      </c>
      <c r="I437" t="s">
        <v>85</v>
      </c>
      <c r="J437" t="s">
        <v>22</v>
      </c>
      <c r="K437" t="s">
        <v>3951</v>
      </c>
      <c r="L437" t="s">
        <v>3956</v>
      </c>
      <c r="M437" t="s">
        <v>25</v>
      </c>
      <c r="N437" t="s">
        <v>3957</v>
      </c>
      <c r="O437" t="s">
        <v>25</v>
      </c>
      <c r="P437" t="s">
        <v>3958</v>
      </c>
      <c r="Q437" t="s">
        <v>29</v>
      </c>
      <c r="R437" t="s">
        <v>3954</v>
      </c>
      <c r="S437" t="s">
        <v>3955</v>
      </c>
    </row>
    <row r="438" spans="1:19" x14ac:dyDescent="0.25">
      <c r="A438" s="1">
        <v>436</v>
      </c>
      <c r="B438" t="str">
        <f>HYPERLINK("https://www.dasschnelle.at/venenzentrum-wr-neustadt-wr-neustadt-grazerstrasse","Website")</f>
        <v>Website</v>
      </c>
      <c r="C438" t="str">
        <f>HYPERLINK("http://www.dr-gharari.at","Website")</f>
        <v>Website</v>
      </c>
      <c r="D438" t="str">
        <f>HYPERLINK("http://www.google.com/maps/place/47.8179232,16.2474195","Location")</f>
        <v>Location</v>
      </c>
      <c r="E438" t="s">
        <v>3959</v>
      </c>
      <c r="F438" t="s">
        <v>3960</v>
      </c>
      <c r="G438" t="s">
        <v>3962</v>
      </c>
      <c r="H438" t="s">
        <v>3963</v>
      </c>
      <c r="I438" t="s">
        <v>177</v>
      </c>
      <c r="J438" t="s">
        <v>22</v>
      </c>
      <c r="K438" t="s">
        <v>3961</v>
      </c>
      <c r="L438" t="s">
        <v>3966</v>
      </c>
      <c r="M438" t="s">
        <v>25</v>
      </c>
      <c r="N438" t="s">
        <v>3967</v>
      </c>
      <c r="O438" t="s">
        <v>25</v>
      </c>
      <c r="P438" t="s">
        <v>3968</v>
      </c>
      <c r="Q438" t="s">
        <v>29</v>
      </c>
      <c r="R438" t="s">
        <v>3964</v>
      </c>
      <c r="S438" t="s">
        <v>3965</v>
      </c>
    </row>
    <row r="439" spans="1:19" x14ac:dyDescent="0.25">
      <c r="A439" s="1">
        <v>437</v>
      </c>
      <c r="B439" t="str">
        <f>HYPERLINK("https://www.dasschnelle.at/kfz-technik-hanika-gmbh-katzelsdorf-gewerbepark","Website")</f>
        <v>Website</v>
      </c>
      <c r="C439" t="str">
        <f>HYPERLINK("http://www.hanika.at","Website")</f>
        <v>Website</v>
      </c>
      <c r="D439" t="str">
        <f>HYPERLINK("http://www.google.com/maps/place/47.787,16.2569","Location")</f>
        <v>Location</v>
      </c>
      <c r="E439" t="s">
        <v>3969</v>
      </c>
      <c r="F439" t="s">
        <v>3970</v>
      </c>
      <c r="G439" t="s">
        <v>3972</v>
      </c>
      <c r="H439" t="s">
        <v>3973</v>
      </c>
      <c r="I439" t="s">
        <v>177</v>
      </c>
      <c r="J439" t="s">
        <v>22</v>
      </c>
      <c r="K439" t="s">
        <v>3971</v>
      </c>
      <c r="L439" t="s">
        <v>25</v>
      </c>
      <c r="M439" t="s">
        <v>3976</v>
      </c>
      <c r="N439" t="s">
        <v>3977</v>
      </c>
      <c r="O439" t="s">
        <v>25</v>
      </c>
      <c r="P439" t="s">
        <v>3978</v>
      </c>
      <c r="Q439" t="s">
        <v>29</v>
      </c>
      <c r="R439" t="s">
        <v>3974</v>
      </c>
      <c r="S439" t="s">
        <v>3975</v>
      </c>
    </row>
    <row r="440" spans="1:19" x14ac:dyDescent="0.25">
      <c r="A440" s="1">
        <v>438</v>
      </c>
      <c r="B440" t="str">
        <f>HYPERLINK("https://www.dasschnelle.at/grünraum-gartengestaltung-gmbh-wiener-neustadt-fischauer-grenzweg","Website")</f>
        <v>Website</v>
      </c>
      <c r="C440" t="str">
        <f>HYPERLINK("http://www.gruenraum-gartengestaltung.at","Website")</f>
        <v>Website</v>
      </c>
      <c r="D440" t="str">
        <f>HYPERLINK("http://www.google.com/maps/place/47.8173,16.20073","Location")</f>
        <v>Location</v>
      </c>
      <c r="E440" t="s">
        <v>3979</v>
      </c>
      <c r="F440" t="s">
        <v>3980</v>
      </c>
      <c r="G440" t="s">
        <v>3962</v>
      </c>
      <c r="H440" t="s">
        <v>3982</v>
      </c>
      <c r="I440" t="s">
        <v>177</v>
      </c>
      <c r="J440" t="s">
        <v>22</v>
      </c>
      <c r="K440" t="s">
        <v>3981</v>
      </c>
      <c r="L440" t="s">
        <v>3985</v>
      </c>
      <c r="M440" t="s">
        <v>25</v>
      </c>
      <c r="N440" t="s">
        <v>3986</v>
      </c>
      <c r="O440" t="s">
        <v>25</v>
      </c>
      <c r="P440" t="s">
        <v>3987</v>
      </c>
      <c r="Q440" t="s">
        <v>29</v>
      </c>
      <c r="R440" t="s">
        <v>3983</v>
      </c>
      <c r="S440" t="s">
        <v>3984</v>
      </c>
    </row>
    <row r="441" spans="1:19" x14ac:dyDescent="0.25">
      <c r="A441" s="1">
        <v>439</v>
      </c>
      <c r="B441" t="str">
        <f>HYPERLINK("https://www.dasschnelle.at/malerbetrieb-neugebauer-gmbh-katzelsdorf-hauptstraße","Website")</f>
        <v>Website</v>
      </c>
      <c r="C441" t="str">
        <f>HYPERLINK("http://www.maler-neugebauer.at","Website")</f>
        <v>Website</v>
      </c>
      <c r="D441" t="str">
        <f>HYPERLINK("http://www.google.com/maps/place/47.78384,16.26957","Location")</f>
        <v>Location</v>
      </c>
      <c r="E441" t="s">
        <v>3988</v>
      </c>
      <c r="F441" t="s">
        <v>3989</v>
      </c>
      <c r="G441" t="s">
        <v>3972</v>
      </c>
      <c r="H441" t="s">
        <v>3973</v>
      </c>
      <c r="I441" t="s">
        <v>177</v>
      </c>
      <c r="J441" t="s">
        <v>22</v>
      </c>
      <c r="K441" t="s">
        <v>3925</v>
      </c>
      <c r="L441" t="s">
        <v>3992</v>
      </c>
      <c r="M441" t="s">
        <v>25</v>
      </c>
      <c r="N441" t="s">
        <v>3993</v>
      </c>
      <c r="O441" t="s">
        <v>25</v>
      </c>
      <c r="P441" t="s">
        <v>3994</v>
      </c>
      <c r="Q441" t="s">
        <v>29</v>
      </c>
      <c r="R441" t="s">
        <v>3990</v>
      </c>
      <c r="S441" t="s">
        <v>3991</v>
      </c>
    </row>
    <row r="442" spans="1:19" x14ac:dyDescent="0.25">
      <c r="A442" s="1">
        <v>440</v>
      </c>
      <c r="B442" t="str">
        <f>HYPERLINK("https://www.dasschnelle.at/café-restaurant-sabine-bad-erlach-dorfgasse","Website")</f>
        <v>Website</v>
      </c>
      <c r="C442" t="str">
        <f>HYPERLINK("http://www.wirtin-sabine.at","Website")</f>
        <v>Website</v>
      </c>
      <c r="D442" t="str">
        <f>HYPERLINK("http://www.google.com/maps/place/47.72569,16.21493","Location")</f>
        <v>Location</v>
      </c>
      <c r="E442" t="s">
        <v>3995</v>
      </c>
      <c r="F442" t="s">
        <v>3996</v>
      </c>
      <c r="G442" t="s">
        <v>3998</v>
      </c>
      <c r="H442" t="s">
        <v>3999</v>
      </c>
      <c r="I442" t="s">
        <v>177</v>
      </c>
      <c r="J442" t="s">
        <v>22</v>
      </c>
      <c r="K442" t="s">
        <v>3997</v>
      </c>
      <c r="L442" t="s">
        <v>4002</v>
      </c>
      <c r="M442" t="s">
        <v>25</v>
      </c>
      <c r="N442" t="s">
        <v>4003</v>
      </c>
      <c r="O442" t="s">
        <v>4004</v>
      </c>
      <c r="P442" t="s">
        <v>4005</v>
      </c>
      <c r="Q442" t="s">
        <v>29</v>
      </c>
      <c r="R442" t="s">
        <v>4000</v>
      </c>
      <c r="S442" t="s">
        <v>4001</v>
      </c>
    </row>
    <row r="443" spans="1:19" x14ac:dyDescent="0.25">
      <c r="A443" s="1">
        <v>441</v>
      </c>
      <c r="B443" t="str">
        <f>HYPERLINK("https://www.dasschnelle.at/meitz-j-gmbh-wöllersdorf-kaplanstraße","Website")</f>
        <v>Website</v>
      </c>
      <c r="C443" t="str">
        <f>HYPERLINK("http://www.meitz-dach.at","Website")</f>
        <v>Website</v>
      </c>
      <c r="D443" t="str">
        <f>HYPERLINK("http://www.google.com/maps/place/47.86448,16.1944","Location")</f>
        <v>Location</v>
      </c>
      <c r="E443" t="s">
        <v>4006</v>
      </c>
      <c r="F443" t="s">
        <v>4007</v>
      </c>
      <c r="G443" t="s">
        <v>4009</v>
      </c>
      <c r="H443" t="s">
        <v>4010</v>
      </c>
      <c r="I443" t="s">
        <v>177</v>
      </c>
      <c r="J443" t="s">
        <v>22</v>
      </c>
      <c r="K443" t="s">
        <v>4008</v>
      </c>
      <c r="L443" t="s">
        <v>4013</v>
      </c>
      <c r="M443" t="s">
        <v>25</v>
      </c>
      <c r="N443" t="s">
        <v>4014</v>
      </c>
      <c r="O443" t="s">
        <v>25</v>
      </c>
      <c r="P443" t="s">
        <v>4015</v>
      </c>
      <c r="Q443" t="s">
        <v>29</v>
      </c>
      <c r="R443" t="s">
        <v>4011</v>
      </c>
      <c r="S443" t="s">
        <v>4012</v>
      </c>
    </row>
    <row r="444" spans="1:19" x14ac:dyDescent="0.25">
      <c r="A444" s="1">
        <v>442</v>
      </c>
      <c r="B444" t="str">
        <f>HYPERLINK("https://www.dasschnelle.at/gradl-thomas-st-pölten-schwaighofstraße","Website")</f>
        <v>Website</v>
      </c>
      <c r="C444" t="str">
        <f>HYPERLINK("http://www.energetiker-reiki-gradl.at","Website")</f>
        <v>Website</v>
      </c>
      <c r="D444" t="str">
        <f>HYPERLINK("http://www.google.com/maps/place/48.1898100,15.6210400","Location")</f>
        <v>Location</v>
      </c>
      <c r="E444" t="s">
        <v>4016</v>
      </c>
      <c r="F444" t="s">
        <v>4017</v>
      </c>
      <c r="G444" t="s">
        <v>4019</v>
      </c>
      <c r="H444" t="s">
        <v>4020</v>
      </c>
      <c r="I444" t="s">
        <v>177</v>
      </c>
      <c r="J444" t="s">
        <v>22</v>
      </c>
      <c r="K444" t="s">
        <v>4018</v>
      </c>
      <c r="L444" t="s">
        <v>4023</v>
      </c>
      <c r="M444" t="s">
        <v>25</v>
      </c>
      <c r="N444" t="s">
        <v>4024</v>
      </c>
      <c r="O444" t="s">
        <v>4025</v>
      </c>
      <c r="P444" t="s">
        <v>4026</v>
      </c>
      <c r="Q444" t="s">
        <v>29</v>
      </c>
      <c r="R444" t="s">
        <v>4021</v>
      </c>
      <c r="S444" t="s">
        <v>4022</v>
      </c>
    </row>
    <row r="445" spans="1:19" x14ac:dyDescent="0.25">
      <c r="A445" s="1">
        <v>443</v>
      </c>
      <c r="B445" t="str">
        <f>HYPERLINK("https://www.dasschnelle.at/weinzettl-manfred-reichenau-an-der-rax-georg-baumgartner-straße","Website")</f>
        <v>Website</v>
      </c>
      <c r="C445" t="str">
        <f>HYPERLINK("http://www.bestattung-reichenau.at","Website")</f>
        <v>Website</v>
      </c>
      <c r="D445" t="str">
        <f>HYPERLINK("http://www.google.com/maps/place/47.70292,15.81808","Location")</f>
        <v>Location</v>
      </c>
      <c r="E445" t="s">
        <v>4027</v>
      </c>
      <c r="F445" t="s">
        <v>4028</v>
      </c>
      <c r="G445" t="s">
        <v>4030</v>
      </c>
      <c r="H445" t="s">
        <v>4031</v>
      </c>
      <c r="I445" t="s">
        <v>177</v>
      </c>
      <c r="J445" t="s">
        <v>22</v>
      </c>
      <c r="K445" t="s">
        <v>4029</v>
      </c>
      <c r="L445" t="s">
        <v>4034</v>
      </c>
      <c r="M445" t="s">
        <v>25</v>
      </c>
      <c r="N445" t="s">
        <v>4035</v>
      </c>
      <c r="O445" t="s">
        <v>25</v>
      </c>
      <c r="P445" t="s">
        <v>4036</v>
      </c>
      <c r="Q445" t="s">
        <v>29</v>
      </c>
      <c r="R445" t="s">
        <v>4032</v>
      </c>
      <c r="S445" t="s">
        <v>4033</v>
      </c>
    </row>
    <row r="446" spans="1:19" x14ac:dyDescent="0.25">
      <c r="A446" s="1">
        <v>444</v>
      </c>
      <c r="B446" t="str">
        <f>HYPERLINK("https://www.dasschnelle.at/kunz-otto-gesmbh-wiener-neustadt-fischauer-gasse","Website")</f>
        <v>Website</v>
      </c>
      <c r="C446" t="str">
        <f>HYPERLINK("http://www.reisner-bad.at","Website")</f>
        <v>Website</v>
      </c>
      <c r="D446" t="str">
        <f>HYPERLINK("http://www.google.com/maps/place/47.82304,16.21466","Location")</f>
        <v>Location</v>
      </c>
      <c r="E446" t="s">
        <v>4037</v>
      </c>
      <c r="F446" t="s">
        <v>4038</v>
      </c>
      <c r="G446" t="s">
        <v>3962</v>
      </c>
      <c r="H446" t="s">
        <v>3982</v>
      </c>
      <c r="I446" t="s">
        <v>177</v>
      </c>
      <c r="J446" t="s">
        <v>22</v>
      </c>
      <c r="K446" t="s">
        <v>4039</v>
      </c>
      <c r="L446" t="s">
        <v>4042</v>
      </c>
      <c r="M446" t="s">
        <v>4043</v>
      </c>
      <c r="N446" t="s">
        <v>4044</v>
      </c>
      <c r="O446" t="s">
        <v>25</v>
      </c>
      <c r="P446" t="s">
        <v>4045</v>
      </c>
      <c r="Q446" t="s">
        <v>29</v>
      </c>
      <c r="R446" t="s">
        <v>4040</v>
      </c>
      <c r="S446" t="s">
        <v>4041</v>
      </c>
    </row>
    <row r="447" spans="1:19" x14ac:dyDescent="0.25">
      <c r="A447" s="1">
        <v>445</v>
      </c>
      <c r="B447" t="str">
        <f>HYPERLINK("https://www.dasschnelle.at/zwinz-gmbh-miesenbach-nr","Website")</f>
        <v>Website</v>
      </c>
      <c r="C447" t="str">
        <f>HYPERLINK("http://www.zwinz.co.at","Website")</f>
        <v>Website</v>
      </c>
      <c r="D447" t="str">
        <f>HYPERLINK("http://www.google.com/maps/place/47.8521669,15.9884581","Location")</f>
        <v>Location</v>
      </c>
      <c r="E447" t="s">
        <v>4046</v>
      </c>
      <c r="F447" t="s">
        <v>4047</v>
      </c>
      <c r="G447" t="s">
        <v>4049</v>
      </c>
      <c r="H447" t="s">
        <v>4050</v>
      </c>
      <c r="I447" t="s">
        <v>177</v>
      </c>
      <c r="J447" t="s">
        <v>22</v>
      </c>
      <c r="K447" t="s">
        <v>4048</v>
      </c>
      <c r="L447" t="s">
        <v>4053</v>
      </c>
      <c r="M447" t="s">
        <v>25</v>
      </c>
      <c r="N447" t="s">
        <v>4054</v>
      </c>
      <c r="O447" t="s">
        <v>25</v>
      </c>
      <c r="P447" t="s">
        <v>4055</v>
      </c>
      <c r="Q447" t="s">
        <v>29</v>
      </c>
      <c r="R447" t="s">
        <v>4051</v>
      </c>
      <c r="S447" t="s">
        <v>4052</v>
      </c>
    </row>
    <row r="448" spans="1:19" x14ac:dyDescent="0.25">
      <c r="A448" s="1">
        <v>446</v>
      </c>
      <c r="B448" t="str">
        <f>HYPERLINK("https://www.dasschnelle.at/reisenzahn-hans-jürgen-katzelsdorf-am-weinberg","Website")</f>
        <v>Website</v>
      </c>
      <c r="C448" t="str">
        <f>HYPERLINK("https://www.dasschnelle.at/reisenzahn-hans-j%C3%BCrgen-katzelsdorf-am-weinberg","Website")</f>
        <v>Website</v>
      </c>
      <c r="D448" t="str">
        <f>HYPERLINK("http://www.google.com/maps/place/47.75748,16.27436","Location")</f>
        <v>Location</v>
      </c>
      <c r="E448" t="s">
        <v>4056</v>
      </c>
      <c r="F448" t="s">
        <v>4057</v>
      </c>
      <c r="G448" t="s">
        <v>3972</v>
      </c>
      <c r="H448" t="s">
        <v>3973</v>
      </c>
      <c r="I448" t="s">
        <v>177</v>
      </c>
      <c r="J448" t="s">
        <v>22</v>
      </c>
      <c r="K448" t="s">
        <v>4058</v>
      </c>
      <c r="L448" t="s">
        <v>4061</v>
      </c>
      <c r="M448" t="s">
        <v>25</v>
      </c>
      <c r="N448" t="s">
        <v>4062</v>
      </c>
      <c r="O448" t="s">
        <v>25</v>
      </c>
      <c r="P448" t="s">
        <v>4063</v>
      </c>
      <c r="Q448" t="s">
        <v>29</v>
      </c>
      <c r="R448" t="s">
        <v>4059</v>
      </c>
      <c r="S448" t="s">
        <v>4060</v>
      </c>
    </row>
    <row r="449" spans="1:19" x14ac:dyDescent="0.25">
      <c r="A449" s="1">
        <v>447</v>
      </c>
      <c r="B449" t="str">
        <f>HYPERLINK("https://www.dasschnelle.at/murexin-gmbh-wiener-neustadt-franz-von-furtenbach-straße","Website")</f>
        <v>Website</v>
      </c>
      <c r="C449" t="str">
        <f>HYPERLINK("http://www.murexin.com","Website")</f>
        <v>Website</v>
      </c>
      <c r="D449" t="str">
        <f>HYPERLINK("http://www.google.com/maps/place/47.80389,16.27108","Location")</f>
        <v>Location</v>
      </c>
      <c r="E449" t="s">
        <v>4064</v>
      </c>
      <c r="F449" t="s">
        <v>4065</v>
      </c>
      <c r="G449" t="s">
        <v>3962</v>
      </c>
      <c r="H449" t="s">
        <v>3982</v>
      </c>
      <c r="I449" t="s">
        <v>177</v>
      </c>
      <c r="J449" t="s">
        <v>22</v>
      </c>
      <c r="K449" t="s">
        <v>4066</v>
      </c>
      <c r="L449" t="s">
        <v>4069</v>
      </c>
      <c r="M449" t="s">
        <v>25</v>
      </c>
      <c r="N449" t="s">
        <v>4070</v>
      </c>
      <c r="O449" t="s">
        <v>25</v>
      </c>
      <c r="P449" t="s">
        <v>4071</v>
      </c>
      <c r="Q449" t="s">
        <v>29</v>
      </c>
      <c r="R449" t="s">
        <v>4067</v>
      </c>
      <c r="S449" t="s">
        <v>4068</v>
      </c>
    </row>
    <row r="450" spans="1:19" x14ac:dyDescent="0.25">
      <c r="A450" s="1">
        <v>448</v>
      </c>
      <c r="B450" t="str">
        <f>HYPERLINK("https://www.dasschnelle.at/fischer-winkler-katja-mag-gallneukirchen-gaisbacher-straße","Website")</f>
        <v>Website</v>
      </c>
      <c r="C450" t="str">
        <f>HYPERLINK("http://www.kleintierpraxis-gallneukirchen.at","Website")</f>
        <v>Website</v>
      </c>
      <c r="D450" t="str">
        <f>HYPERLINK("http://www.google.com/maps/place/48.3478772,14.4233597","Location")</f>
        <v>Location</v>
      </c>
      <c r="E450" t="s">
        <v>4072</v>
      </c>
      <c r="F450" t="s">
        <v>4073</v>
      </c>
      <c r="G450" t="s">
        <v>4075</v>
      </c>
      <c r="H450" t="s">
        <v>4076</v>
      </c>
      <c r="I450" t="s">
        <v>85</v>
      </c>
      <c r="J450" t="s">
        <v>22</v>
      </c>
      <c r="K450" t="s">
        <v>4074</v>
      </c>
      <c r="L450" t="s">
        <v>4079</v>
      </c>
      <c r="M450" t="s">
        <v>25</v>
      </c>
      <c r="N450" t="s">
        <v>4080</v>
      </c>
      <c r="O450" t="s">
        <v>25</v>
      </c>
      <c r="P450" t="s">
        <v>4081</v>
      </c>
      <c r="Q450" t="s">
        <v>29</v>
      </c>
      <c r="R450" t="s">
        <v>4077</v>
      </c>
      <c r="S450" t="s">
        <v>4078</v>
      </c>
    </row>
    <row r="451" spans="1:19" x14ac:dyDescent="0.25">
      <c r="A451" s="1">
        <v>449</v>
      </c>
      <c r="B451" t="str">
        <f>HYPERLINK("https://www.dasschnelle.at/springer-gabriele-gallneukirchen-albert-schweitzer-weg","Website")</f>
        <v>Website</v>
      </c>
      <c r="C451" t="str">
        <f>HYPERLINK("http://www.physiotherapie-springer.at","Website")</f>
        <v>Website</v>
      </c>
      <c r="D451" t="str">
        <f>HYPERLINK("http://www.google.com/maps/place/48.36129,14.41161","Location")</f>
        <v>Location</v>
      </c>
      <c r="E451" t="s">
        <v>4082</v>
      </c>
      <c r="F451" t="s">
        <v>4083</v>
      </c>
      <c r="G451" t="s">
        <v>4075</v>
      </c>
      <c r="H451" t="s">
        <v>4076</v>
      </c>
      <c r="I451" t="s">
        <v>85</v>
      </c>
      <c r="J451" t="s">
        <v>22</v>
      </c>
      <c r="K451" t="s">
        <v>4084</v>
      </c>
      <c r="L451" t="s">
        <v>4087</v>
      </c>
      <c r="M451" t="s">
        <v>25</v>
      </c>
      <c r="N451" t="s">
        <v>4088</v>
      </c>
      <c r="O451" t="s">
        <v>25</v>
      </c>
      <c r="P451" t="s">
        <v>4089</v>
      </c>
      <c r="Q451" t="s">
        <v>29</v>
      </c>
      <c r="R451" t="s">
        <v>4085</v>
      </c>
      <c r="S451" t="s">
        <v>4086</v>
      </c>
    </row>
    <row r="452" spans="1:19" x14ac:dyDescent="0.25">
      <c r="A452" s="1">
        <v>450</v>
      </c>
      <c r="B452" t="str">
        <f>HYPERLINK("https://www.dasschnelle.at/birklbauer-karl-mag-bad-leonfelden-linzer-straße","Website")</f>
        <v>Website</v>
      </c>
      <c r="C452" t="str">
        <f>HYPERLINK("http://www.stb-birklbauer.at","Website")</f>
        <v>Website</v>
      </c>
      <c r="D452" t="str">
        <f>HYPERLINK("http://www.google.com/maps/place/48.52149,14.29506","Location")</f>
        <v>Location</v>
      </c>
      <c r="E452" t="s">
        <v>4090</v>
      </c>
      <c r="F452" t="s">
        <v>4091</v>
      </c>
      <c r="G452" t="s">
        <v>4093</v>
      </c>
      <c r="H452" t="s">
        <v>4094</v>
      </c>
      <c r="I452" t="s">
        <v>85</v>
      </c>
      <c r="J452" t="s">
        <v>22</v>
      </c>
      <c r="K452" t="s">
        <v>4092</v>
      </c>
      <c r="L452" t="s">
        <v>4097</v>
      </c>
      <c r="M452" t="s">
        <v>25</v>
      </c>
      <c r="N452" t="s">
        <v>4098</v>
      </c>
      <c r="O452" t="s">
        <v>25</v>
      </c>
      <c r="P452" t="s">
        <v>4099</v>
      </c>
      <c r="Q452" t="s">
        <v>29</v>
      </c>
      <c r="R452" t="s">
        <v>4095</v>
      </c>
      <c r="S452" t="s">
        <v>4096</v>
      </c>
    </row>
    <row r="453" spans="1:19" x14ac:dyDescent="0.25">
      <c r="A453" s="1">
        <v>451</v>
      </c>
      <c r="B453" t="str">
        <f>HYPERLINK("https://www.dasschnelle.at/bogner-scherrer-susanne-dr-med-bad-leonfelden-hauptplatz","Website")</f>
        <v>Website</v>
      </c>
      <c r="C453" t="str">
        <f>HYPERLINK("https://www.dasschnelle.at/bogner-scherrer-susanne-dr-med-bad-leonfelden-hauptplatz","Website")</f>
        <v>Website</v>
      </c>
      <c r="D453" t="str">
        <f>HYPERLINK("http://www.google.com/maps/place/48.52285,14.29394","Location")</f>
        <v>Location</v>
      </c>
      <c r="E453" t="s">
        <v>4100</v>
      </c>
      <c r="F453" t="s">
        <v>4101</v>
      </c>
      <c r="G453" t="s">
        <v>4093</v>
      </c>
      <c r="H453" t="s">
        <v>4094</v>
      </c>
      <c r="I453" t="s">
        <v>85</v>
      </c>
      <c r="J453" t="s">
        <v>22</v>
      </c>
      <c r="K453" t="s">
        <v>1594</v>
      </c>
      <c r="L453" t="s">
        <v>4104</v>
      </c>
      <c r="M453" t="s">
        <v>25</v>
      </c>
      <c r="N453" t="s">
        <v>4105</v>
      </c>
      <c r="O453" t="s">
        <v>25</v>
      </c>
      <c r="P453" t="s">
        <v>4106</v>
      </c>
      <c r="Q453" t="s">
        <v>29</v>
      </c>
      <c r="R453" t="s">
        <v>4102</v>
      </c>
      <c r="S453" t="s">
        <v>4103</v>
      </c>
    </row>
    <row r="454" spans="1:19" x14ac:dyDescent="0.25">
      <c r="A454" s="1">
        <v>452</v>
      </c>
      <c r="B454" t="str">
        <f>HYPERLINK("https://www.dasschnelle.at/expert-klikon-altenberg-bei-linz-linzer-straße","Website")</f>
        <v>Website</v>
      </c>
      <c r="C454" t="str">
        <f>HYPERLINK("http://www.expert-klikon.at","Website")</f>
        <v>Website</v>
      </c>
      <c r="D454" t="str">
        <f>HYPERLINK("http://www.google.com/maps/place/48.37273,14.34991","Location")</f>
        <v>Location</v>
      </c>
      <c r="E454" t="s">
        <v>4107</v>
      </c>
      <c r="F454" t="s">
        <v>4108</v>
      </c>
      <c r="G454" t="s">
        <v>4110</v>
      </c>
      <c r="H454" t="s">
        <v>4111</v>
      </c>
      <c r="I454" t="s">
        <v>85</v>
      </c>
      <c r="J454" t="s">
        <v>22</v>
      </c>
      <c r="K454" t="s">
        <v>4109</v>
      </c>
      <c r="L454" t="s">
        <v>4114</v>
      </c>
      <c r="M454" t="s">
        <v>25</v>
      </c>
      <c r="N454" t="s">
        <v>4115</v>
      </c>
      <c r="O454" t="s">
        <v>25</v>
      </c>
      <c r="P454" t="s">
        <v>4116</v>
      </c>
      <c r="Q454" t="s">
        <v>29</v>
      </c>
      <c r="R454" t="s">
        <v>4112</v>
      </c>
      <c r="S454" t="s">
        <v>4113</v>
      </c>
    </row>
    <row r="455" spans="1:19" x14ac:dyDescent="0.25">
      <c r="A455" s="1">
        <v>453</v>
      </c>
      <c r="B455" t="str">
        <f>HYPERLINK("https://www.dasschnelle.at/prenneis-christoph-dr-med-gallneukirchen-hauptstraße","Website")</f>
        <v>Website</v>
      </c>
      <c r="C455" t="str">
        <f>HYPERLINK("https://www.dasschnelle.at/prenneis-christoph-dr-med-gallneukirchen-hauptstra%C3%9Fe","Website")</f>
        <v>Website</v>
      </c>
      <c r="D455" t="str">
        <f>HYPERLINK("http://www.google.com/maps/place/48.35512,14.41813","Location")</f>
        <v>Location</v>
      </c>
      <c r="E455" t="s">
        <v>4117</v>
      </c>
      <c r="F455" t="s">
        <v>4118</v>
      </c>
      <c r="G455" t="s">
        <v>4075</v>
      </c>
      <c r="H455" t="s">
        <v>4076</v>
      </c>
      <c r="I455" t="s">
        <v>85</v>
      </c>
      <c r="J455" t="s">
        <v>22</v>
      </c>
      <c r="K455" t="s">
        <v>4119</v>
      </c>
      <c r="L455" t="s">
        <v>4122</v>
      </c>
      <c r="M455" t="s">
        <v>25</v>
      </c>
      <c r="N455" t="s">
        <v>4123</v>
      </c>
      <c r="O455" t="s">
        <v>25</v>
      </c>
      <c r="P455" t="s">
        <v>4124</v>
      </c>
      <c r="Q455" t="s">
        <v>29</v>
      </c>
      <c r="R455" t="s">
        <v>4120</v>
      </c>
      <c r="S455" t="s">
        <v>4121</v>
      </c>
    </row>
    <row r="456" spans="1:19" x14ac:dyDescent="0.25">
      <c r="A456" s="1">
        <v>454</v>
      </c>
      <c r="B456" t="str">
        <f>HYPERLINK("https://www.dasschnelle.at/t-und-p-fliesen-gmbh-taurer-und-podesser-baldramsdorf-rosenheim","Website")</f>
        <v>Website</v>
      </c>
      <c r="C456" t="str">
        <f>HYPERLINK("http://taurer.podesser.co.at/","Website")</f>
        <v>Website</v>
      </c>
      <c r="D456" t="str">
        <f>HYPERLINK("http://www.google.com/maps/place/46.8130500,13.4159700","Location")</f>
        <v>Location</v>
      </c>
      <c r="E456" t="s">
        <v>4125</v>
      </c>
      <c r="F456" t="s">
        <v>4126</v>
      </c>
      <c r="G456" t="s">
        <v>4128</v>
      </c>
      <c r="H456" t="s">
        <v>4129</v>
      </c>
      <c r="I456" t="s">
        <v>4130</v>
      </c>
      <c r="J456" t="s">
        <v>22</v>
      </c>
      <c r="K456" t="s">
        <v>4127</v>
      </c>
      <c r="L456" t="s">
        <v>4133</v>
      </c>
      <c r="M456" t="s">
        <v>25</v>
      </c>
      <c r="N456" t="s">
        <v>4134</v>
      </c>
      <c r="O456" t="s">
        <v>25</v>
      </c>
      <c r="P456" t="s">
        <v>4135</v>
      </c>
      <c r="Q456" t="s">
        <v>29</v>
      </c>
      <c r="R456" t="s">
        <v>4131</v>
      </c>
      <c r="S456" t="s">
        <v>4132</v>
      </c>
    </row>
    <row r="457" spans="1:19" x14ac:dyDescent="0.25">
      <c r="A457" s="1">
        <v>455</v>
      </c>
      <c r="B457" t="str">
        <f>HYPERLINK("https://www.dasschnelle.at/penker-silvia-möllbrücke-am-römersteig","Website")</f>
        <v>Website</v>
      </c>
      <c r="C457" t="str">
        <f>HYPERLINK("https://www.dasschnelle.at/penker-silvia-m%C3%B6llbr%C3%BCcke-am-r%C3%B6mersteig","Website")</f>
        <v>Website</v>
      </c>
      <c r="D457" t="str">
        <f>HYPERLINK("http://www.google.com/maps/place/46.83642,13.36926","Location")</f>
        <v>Location</v>
      </c>
      <c r="E457" t="s">
        <v>4136</v>
      </c>
      <c r="F457" t="s">
        <v>4137</v>
      </c>
      <c r="G457" t="s">
        <v>4139</v>
      </c>
      <c r="H457" t="s">
        <v>4140</v>
      </c>
      <c r="I457" t="s">
        <v>4130</v>
      </c>
      <c r="J457" t="s">
        <v>22</v>
      </c>
      <c r="K457" t="s">
        <v>4138</v>
      </c>
      <c r="L457" t="s">
        <v>4143</v>
      </c>
      <c r="M457" t="s">
        <v>25</v>
      </c>
      <c r="N457" t="s">
        <v>4144</v>
      </c>
      <c r="O457" t="s">
        <v>25</v>
      </c>
      <c r="P457" t="s">
        <v>4145</v>
      </c>
      <c r="Q457" t="s">
        <v>29</v>
      </c>
      <c r="R457" t="s">
        <v>4141</v>
      </c>
      <c r="S457" t="s">
        <v>4142</v>
      </c>
    </row>
    <row r="458" spans="1:19" x14ac:dyDescent="0.25">
      <c r="A458" s="1">
        <v>456</v>
      </c>
      <c r="B458" t="str">
        <f>HYPERLINK("https://www.dasschnelle.at/john-robert-lind-im-drautal-lind-im-drautal","Website")</f>
        <v>Website</v>
      </c>
      <c r="C458" t="str">
        <f>HYPERLINK("http://www.physiogsund.at","Website")</f>
        <v>Website</v>
      </c>
      <c r="D458" t="str">
        <f>HYPERLINK("http://www.google.com/maps/place/46.7715447,13.3546865","Location")</f>
        <v>Location</v>
      </c>
      <c r="E458" t="s">
        <v>4146</v>
      </c>
      <c r="F458" t="s">
        <v>4147</v>
      </c>
      <c r="G458" t="s">
        <v>4149</v>
      </c>
      <c r="H458" t="s">
        <v>4150</v>
      </c>
      <c r="I458" t="s">
        <v>4130</v>
      </c>
      <c r="J458" t="s">
        <v>22</v>
      </c>
      <c r="K458" t="s">
        <v>4148</v>
      </c>
      <c r="L458" t="s">
        <v>4153</v>
      </c>
      <c r="M458" t="s">
        <v>25</v>
      </c>
      <c r="N458" t="s">
        <v>4154</v>
      </c>
      <c r="O458" t="s">
        <v>4155</v>
      </c>
      <c r="P458" t="s">
        <v>4156</v>
      </c>
      <c r="Q458" t="s">
        <v>29</v>
      </c>
      <c r="R458" t="s">
        <v>4151</v>
      </c>
      <c r="S458" t="s">
        <v>4152</v>
      </c>
    </row>
    <row r="459" spans="1:19" x14ac:dyDescent="0.25">
      <c r="A459" s="1">
        <v>457</v>
      </c>
      <c r="B459" t="str">
        <f>HYPERLINK("https://www.dasschnelle.at/hubertus-apotheke-e-u-mag-pharm-dr-a-dominik-schantl-spittal-tiroler-straße","Website")</f>
        <v>Website</v>
      </c>
      <c r="C459" t="str">
        <f>HYPERLINK("https://www.dasschnelle.at/hubertus-apotheke-e-u-mag-pharm-dr-a-dominik-schantl-spittal-tiroler-stra%C3%9Fe","Website")</f>
        <v>Website</v>
      </c>
      <c r="D459" t="str">
        <f>HYPERLINK("http://www.google.com/maps/place/46.7989308,13.4945219","Location")</f>
        <v>Location</v>
      </c>
      <c r="E459" t="s">
        <v>4157</v>
      </c>
      <c r="F459" t="s">
        <v>4158</v>
      </c>
      <c r="G459" t="s">
        <v>4160</v>
      </c>
      <c r="H459" t="s">
        <v>4161</v>
      </c>
      <c r="I459" t="s">
        <v>4130</v>
      </c>
      <c r="J459" t="s">
        <v>22</v>
      </c>
      <c r="K459" t="s">
        <v>4159</v>
      </c>
      <c r="L459" t="s">
        <v>4164</v>
      </c>
      <c r="M459" t="s">
        <v>25</v>
      </c>
      <c r="N459" t="s">
        <v>4165</v>
      </c>
      <c r="O459" t="s">
        <v>25</v>
      </c>
      <c r="P459" t="s">
        <v>4166</v>
      </c>
      <c r="Q459" t="s">
        <v>29</v>
      </c>
      <c r="R459" t="s">
        <v>4162</v>
      </c>
      <c r="S459" t="s">
        <v>4163</v>
      </c>
    </row>
    <row r="460" spans="1:19" x14ac:dyDescent="0.25">
      <c r="A460" s="1">
        <v>458</v>
      </c>
      <c r="B460" t="str">
        <f>HYPERLINK("https://www.dasschnelle.at/eberharter-erwin-kg-zellberg","Website")</f>
        <v>Website</v>
      </c>
      <c r="C460" t="str">
        <f>HYPERLINK("https://www.dasschnelle.at/eberharter-erwin-kg-zellberg","Website")</f>
        <v>Website</v>
      </c>
      <c r="D460" t="str">
        <f>HYPERLINK("http://www.google.com/maps/place/47.2439432,11.8787553","Location")</f>
        <v>Location</v>
      </c>
      <c r="E460" t="s">
        <v>4167</v>
      </c>
      <c r="F460" t="s">
        <v>4168</v>
      </c>
      <c r="G460" t="s">
        <v>4169</v>
      </c>
      <c r="H460" t="s">
        <v>4170</v>
      </c>
      <c r="I460" t="s">
        <v>21</v>
      </c>
      <c r="J460" t="s">
        <v>22</v>
      </c>
      <c r="K460" t="s">
        <v>25</v>
      </c>
      <c r="L460" t="s">
        <v>4173</v>
      </c>
      <c r="M460" t="s">
        <v>4174</v>
      </c>
      <c r="N460" t="s">
        <v>4175</v>
      </c>
      <c r="O460" t="s">
        <v>25</v>
      </c>
      <c r="P460" t="s">
        <v>4176</v>
      </c>
      <c r="Q460" t="s">
        <v>29</v>
      </c>
      <c r="R460" t="s">
        <v>4171</v>
      </c>
      <c r="S460" t="s">
        <v>4172</v>
      </c>
    </row>
    <row r="461" spans="1:19" x14ac:dyDescent="0.25">
      <c r="A461" s="1">
        <v>459</v>
      </c>
      <c r="B461" t="str">
        <f>HYPERLINK("https://www.dasschnelle.at/design-wohnen-kröll-zell-am-ziller-talstraße","Website")</f>
        <v>Website</v>
      </c>
      <c r="C461" t="str">
        <f>HYPERLINK("http://www.wohnen-kroell.at","Website")</f>
        <v>Website</v>
      </c>
      <c r="D461" t="str">
        <f>HYPERLINK("http://www.google.com/maps/place/47.22286,11.87992","Location")</f>
        <v>Location</v>
      </c>
      <c r="E461" t="s">
        <v>4177</v>
      </c>
      <c r="F461" t="s">
        <v>4178</v>
      </c>
      <c r="G461" t="s">
        <v>4180</v>
      </c>
      <c r="H461" t="s">
        <v>4181</v>
      </c>
      <c r="I461" t="s">
        <v>21</v>
      </c>
      <c r="J461" t="s">
        <v>22</v>
      </c>
      <c r="K461" t="s">
        <v>4179</v>
      </c>
      <c r="L461" t="s">
        <v>4184</v>
      </c>
      <c r="M461" t="s">
        <v>25</v>
      </c>
      <c r="N461" t="s">
        <v>4185</v>
      </c>
      <c r="O461" t="s">
        <v>25</v>
      </c>
      <c r="P461" t="s">
        <v>4186</v>
      </c>
      <c r="Q461" t="s">
        <v>29</v>
      </c>
      <c r="R461" t="s">
        <v>4182</v>
      </c>
      <c r="S461" t="s">
        <v>4183</v>
      </c>
    </row>
    <row r="462" spans="1:19" x14ac:dyDescent="0.25">
      <c r="A462" s="1">
        <v>460</v>
      </c>
      <c r="B462" t="str">
        <f>HYPERLINK("https://www.dasschnelle.at/heiß-alexander-ramsau-im-zillertal-ramsau-im-zillertal","Website")</f>
        <v>Website</v>
      </c>
      <c r="C462" t="str">
        <f>HYPERLINK("http://www.heiss-vers.at","Website")</f>
        <v>Website</v>
      </c>
      <c r="D462" t="str">
        <f>HYPERLINK("http://www.google.com/maps/place/47.2069855,11.8698709","Location")</f>
        <v>Location</v>
      </c>
      <c r="E462" t="s">
        <v>4187</v>
      </c>
      <c r="F462" t="s">
        <v>4188</v>
      </c>
      <c r="G462" t="s">
        <v>4190</v>
      </c>
      <c r="H462" t="s">
        <v>4191</v>
      </c>
      <c r="I462" t="s">
        <v>21</v>
      </c>
      <c r="J462" t="s">
        <v>22</v>
      </c>
      <c r="K462" t="s">
        <v>4189</v>
      </c>
      <c r="L462" t="s">
        <v>4194</v>
      </c>
      <c r="M462" t="s">
        <v>25</v>
      </c>
      <c r="N462" t="s">
        <v>4195</v>
      </c>
      <c r="O462" t="s">
        <v>25</v>
      </c>
      <c r="P462" t="s">
        <v>4196</v>
      </c>
      <c r="Q462" t="s">
        <v>29</v>
      </c>
      <c r="R462" t="s">
        <v>4192</v>
      </c>
      <c r="S462" t="s">
        <v>4193</v>
      </c>
    </row>
    <row r="463" spans="1:19" x14ac:dyDescent="0.25">
      <c r="A463" s="1">
        <v>461</v>
      </c>
      <c r="B463" t="str">
        <f>HYPERLINK("https://www.dasschnelle.at/anfang-schweiger-johanna-schwaz-rennhammergasse","Website")</f>
        <v>Website</v>
      </c>
      <c r="C463" t="str">
        <f>HYPERLINK("https://www.dasschnelle.at/anfang-schweiger-johanna-schwaz-rennhammergasse","Website")</f>
        <v>Website</v>
      </c>
      <c r="D463" t="str">
        <f>HYPERLINK("http://www.google.com/maps/place/47.34718,11.71655","Location")</f>
        <v>Location</v>
      </c>
      <c r="E463" t="s">
        <v>4197</v>
      </c>
      <c r="F463" t="s">
        <v>4198</v>
      </c>
      <c r="G463" t="s">
        <v>4200</v>
      </c>
      <c r="H463" t="s">
        <v>4201</v>
      </c>
      <c r="I463" t="s">
        <v>21</v>
      </c>
      <c r="J463" t="s">
        <v>22</v>
      </c>
      <c r="K463" t="s">
        <v>4199</v>
      </c>
      <c r="L463" t="s">
        <v>4204</v>
      </c>
      <c r="M463" t="s">
        <v>25</v>
      </c>
      <c r="N463" t="s">
        <v>4205</v>
      </c>
      <c r="O463" t="s">
        <v>25</v>
      </c>
      <c r="P463" t="s">
        <v>4206</v>
      </c>
      <c r="Q463" t="s">
        <v>29</v>
      </c>
      <c r="R463" t="s">
        <v>4202</v>
      </c>
      <c r="S463" t="s">
        <v>4203</v>
      </c>
    </row>
    <row r="464" spans="1:19" x14ac:dyDescent="0.25">
      <c r="A464" s="1">
        <v>462</v>
      </c>
      <c r="B464" t="str">
        <f>HYPERLINK("https://www.dasschnelle.at/kora-fliesen-rainer-und-komutzki-og-ramsau-im-zillertal-bichl","Website")</f>
        <v>Website</v>
      </c>
      <c r="C464" t="str">
        <f>HYPERLINK("http://www.kora-fliesen.at","Website")</f>
        <v>Website</v>
      </c>
      <c r="D464" t="str">
        <f>HYPERLINK("http://www.google.com/maps/place/47.19571,11.87149","Location")</f>
        <v>Location</v>
      </c>
      <c r="E464" t="s">
        <v>4207</v>
      </c>
      <c r="F464" t="s">
        <v>4208</v>
      </c>
      <c r="G464" t="s">
        <v>4190</v>
      </c>
      <c r="H464" t="s">
        <v>4191</v>
      </c>
      <c r="I464" t="s">
        <v>21</v>
      </c>
      <c r="J464" t="s">
        <v>22</v>
      </c>
      <c r="K464" t="s">
        <v>4209</v>
      </c>
      <c r="L464" t="s">
        <v>4212</v>
      </c>
      <c r="M464" t="s">
        <v>4213</v>
      </c>
      <c r="N464" t="s">
        <v>4214</v>
      </c>
      <c r="O464" t="s">
        <v>25</v>
      </c>
      <c r="P464" t="s">
        <v>4215</v>
      </c>
      <c r="Q464" t="s">
        <v>29</v>
      </c>
      <c r="R464" t="s">
        <v>4210</v>
      </c>
      <c r="S464" t="s">
        <v>4211</v>
      </c>
    </row>
    <row r="465" spans="1:19" x14ac:dyDescent="0.25">
      <c r="A465" s="1">
        <v>463</v>
      </c>
      <c r="B465" t="str">
        <f>HYPERLINK("https://www.dasschnelle.at/martin-wurm-fügen-hauptstraße","Website")</f>
        <v>Website</v>
      </c>
      <c r="C465" t="str">
        <f>HYPERLINK("http://www.malerei-wurm.at","Website")</f>
        <v>Website</v>
      </c>
      <c r="D465" t="str">
        <f>HYPERLINK("http://www.google.com/maps/place/47.3484,11.85003","Location")</f>
        <v>Location</v>
      </c>
      <c r="E465" t="s">
        <v>4216</v>
      </c>
      <c r="F465" t="s">
        <v>4217</v>
      </c>
      <c r="G465" t="s">
        <v>4219</v>
      </c>
      <c r="H465" t="s">
        <v>4220</v>
      </c>
      <c r="I465" t="s">
        <v>21</v>
      </c>
      <c r="J465" t="s">
        <v>22</v>
      </c>
      <c r="K465" t="s">
        <v>4218</v>
      </c>
      <c r="L465" t="s">
        <v>4223</v>
      </c>
      <c r="M465" t="s">
        <v>25</v>
      </c>
      <c r="N465" t="s">
        <v>4224</v>
      </c>
      <c r="O465" t="s">
        <v>25</v>
      </c>
      <c r="P465" t="s">
        <v>4225</v>
      </c>
      <c r="Q465" t="s">
        <v>29</v>
      </c>
      <c r="R465" t="s">
        <v>4221</v>
      </c>
      <c r="S465" t="s">
        <v>4222</v>
      </c>
    </row>
    <row r="466" spans="1:19" x14ac:dyDescent="0.25">
      <c r="A466" s="1">
        <v>464</v>
      </c>
      <c r="B466" t="str">
        <f>HYPERLINK("https://www.dasschnelle.at/petz-alexander-schwaz-fiecht-pax","Website")</f>
        <v>Website</v>
      </c>
      <c r="C466" t="str">
        <f>HYPERLINK("https://www.dasschnelle.at/petz-alexander-schwaz-fiecht-pax","Website")</f>
        <v>Website</v>
      </c>
      <c r="D466" t="str">
        <f>HYPERLINK("http://www.google.com/maps/place/47.3584031,11.6989939","Location")</f>
        <v>Location</v>
      </c>
      <c r="E466" t="s">
        <v>4226</v>
      </c>
      <c r="F466" t="s">
        <v>4227</v>
      </c>
      <c r="G466" t="s">
        <v>4200</v>
      </c>
      <c r="H466" t="s">
        <v>4201</v>
      </c>
      <c r="I466" t="s">
        <v>21</v>
      </c>
      <c r="J466" t="s">
        <v>22</v>
      </c>
      <c r="K466" t="s">
        <v>4228</v>
      </c>
      <c r="L466" t="s">
        <v>4231</v>
      </c>
      <c r="M466" t="s">
        <v>25</v>
      </c>
      <c r="N466" t="s">
        <v>4232</v>
      </c>
      <c r="O466" t="s">
        <v>25</v>
      </c>
      <c r="P466" t="s">
        <v>4233</v>
      </c>
      <c r="Q466" t="s">
        <v>29</v>
      </c>
      <c r="R466" t="s">
        <v>4229</v>
      </c>
      <c r="S466" t="s">
        <v>4230</v>
      </c>
    </row>
    <row r="467" spans="1:19" x14ac:dyDescent="0.25">
      <c r="A467" s="1">
        <v>465</v>
      </c>
      <c r="B467" t="str">
        <f>HYPERLINK("https://www.dasschnelle.at/schimanek-christian-christian-dr-ramsau-im-zillertal-ramsau-im-zillertal","Website")</f>
        <v>Website</v>
      </c>
      <c r="C467" t="str">
        <f>HYPERLINK("http://www.aerztehaus-ramsau.at/index.php/schimanek","Website")</f>
        <v>Website</v>
      </c>
      <c r="D467" t="str">
        <f>HYPERLINK("http://www.google.com/maps/place/47.2090290,11.8732133","Location")</f>
        <v>Location</v>
      </c>
      <c r="E467" t="s">
        <v>4234</v>
      </c>
      <c r="F467" t="s">
        <v>4235</v>
      </c>
      <c r="G467" t="s">
        <v>4190</v>
      </c>
      <c r="H467" t="s">
        <v>4191</v>
      </c>
      <c r="I467" t="s">
        <v>21</v>
      </c>
      <c r="J467" t="s">
        <v>22</v>
      </c>
      <c r="K467" t="s">
        <v>4236</v>
      </c>
      <c r="L467" t="s">
        <v>4239</v>
      </c>
      <c r="M467" t="s">
        <v>25</v>
      </c>
      <c r="N467" t="s">
        <v>4240</v>
      </c>
      <c r="O467" t="s">
        <v>25</v>
      </c>
      <c r="P467" t="s">
        <v>4241</v>
      </c>
      <c r="Q467" t="s">
        <v>29</v>
      </c>
      <c r="R467" t="s">
        <v>4237</v>
      </c>
      <c r="S467" t="s">
        <v>4238</v>
      </c>
    </row>
    <row r="468" spans="1:19" x14ac:dyDescent="0.25">
      <c r="A468" s="1">
        <v>466</v>
      </c>
      <c r="B468" t="str">
        <f>HYPERLINK("https://www.dasschnelle.at/fritzenwanker-wilfried-aschau-entenweg","Website")</f>
        <v>Website</v>
      </c>
      <c r="C468" t="str">
        <f>HYPERLINK("https://www.dasschnelle.at/fritzenwanker-wilfried-aschau-entenweg","Website")</f>
        <v>Website</v>
      </c>
      <c r="D468" t="str">
        <f>HYPERLINK("http://www.google.com/maps/place/47.2603128,11.8929357","Location")</f>
        <v>Location</v>
      </c>
      <c r="E468" t="s">
        <v>4242</v>
      </c>
      <c r="F468" t="s">
        <v>4243</v>
      </c>
      <c r="G468" t="s">
        <v>4245</v>
      </c>
      <c r="H468" t="s">
        <v>4246</v>
      </c>
      <c r="I468" t="s">
        <v>21</v>
      </c>
      <c r="J468" t="s">
        <v>22</v>
      </c>
      <c r="K468" t="s">
        <v>4244</v>
      </c>
      <c r="L468" t="s">
        <v>4249</v>
      </c>
      <c r="M468" t="s">
        <v>25</v>
      </c>
      <c r="N468" t="s">
        <v>4250</v>
      </c>
      <c r="O468" t="s">
        <v>25</v>
      </c>
      <c r="P468" t="s">
        <v>4251</v>
      </c>
      <c r="Q468" t="s">
        <v>29</v>
      </c>
      <c r="R468" t="s">
        <v>4247</v>
      </c>
      <c r="S468" t="s">
        <v>4248</v>
      </c>
    </row>
    <row r="469" spans="1:19" x14ac:dyDescent="0.25">
      <c r="A469" s="1">
        <v>467</v>
      </c>
      <c r="B469" t="str">
        <f>HYPERLINK("https://www.dasschnelle.at/lechner-franz-bau-gmbh-uderns-gewerbestraße","Website")</f>
        <v>Website</v>
      </c>
      <c r="C469" t="str">
        <f>HYPERLINK("http://www.lechnerbau.at","Website")</f>
        <v>Website</v>
      </c>
      <c r="D469" t="str">
        <f>HYPERLINK("http://www.google.com/maps/place/47.32707,11.86742","Location")</f>
        <v>Location</v>
      </c>
      <c r="E469" t="s">
        <v>4252</v>
      </c>
      <c r="F469" t="s">
        <v>4253</v>
      </c>
      <c r="G469" t="s">
        <v>4255</v>
      </c>
      <c r="H469" t="s">
        <v>4256</v>
      </c>
      <c r="I469" t="s">
        <v>21</v>
      </c>
      <c r="J469" t="s">
        <v>22</v>
      </c>
      <c r="K469" t="s">
        <v>4254</v>
      </c>
      <c r="L469" t="s">
        <v>4259</v>
      </c>
      <c r="M469" t="s">
        <v>4260</v>
      </c>
      <c r="N469" t="s">
        <v>4261</v>
      </c>
      <c r="O469" t="s">
        <v>25</v>
      </c>
      <c r="P469" t="s">
        <v>4262</v>
      </c>
      <c r="Q469" t="s">
        <v>29</v>
      </c>
      <c r="R469" t="s">
        <v>4257</v>
      </c>
      <c r="S469" t="s">
        <v>4258</v>
      </c>
    </row>
    <row r="470" spans="1:19" x14ac:dyDescent="0.25">
      <c r="A470" s="1">
        <v>468</v>
      </c>
      <c r="B470" t="str">
        <f>HYPERLINK("https://www.dasschnelle.at/schellhorn-franz-distelberg-gewerbestraße","Website")</f>
        <v>Website</v>
      </c>
      <c r="C470" t="str">
        <f>HYPERLINK("http://www.schellhorn.at","Website")</f>
        <v>Website</v>
      </c>
      <c r="D470" t="str">
        <f>HYPERLINK("http://www.google.com/maps/place/47.27185,11.90033","Location")</f>
        <v>Location</v>
      </c>
      <c r="E470" t="s">
        <v>4263</v>
      </c>
      <c r="F470" t="s">
        <v>4264</v>
      </c>
      <c r="G470" t="s">
        <v>4245</v>
      </c>
      <c r="H470" t="s">
        <v>4265</v>
      </c>
      <c r="I470" t="s">
        <v>21</v>
      </c>
      <c r="J470" t="s">
        <v>22</v>
      </c>
      <c r="K470" t="s">
        <v>3145</v>
      </c>
      <c r="L470" t="s">
        <v>4268</v>
      </c>
      <c r="M470" t="s">
        <v>25</v>
      </c>
      <c r="N470" t="s">
        <v>4269</v>
      </c>
      <c r="O470" t="s">
        <v>25</v>
      </c>
      <c r="P470" t="s">
        <v>4270</v>
      </c>
      <c r="Q470" t="s">
        <v>29</v>
      </c>
      <c r="R470" t="s">
        <v>4266</v>
      </c>
      <c r="S470" t="s">
        <v>4267</v>
      </c>
    </row>
    <row r="471" spans="1:19" x14ac:dyDescent="0.25">
      <c r="A471" s="1">
        <v>469</v>
      </c>
      <c r="B471" t="str">
        <f>HYPERLINK("https://www.dasschnelle.at/brenn-martin-schwaz-dr-walter-waizer-straße","Website")</f>
        <v>Website</v>
      </c>
      <c r="C471" t="str">
        <f>HYPERLINK("http://www.dachdecker-brenn.com","Website")</f>
        <v>Website</v>
      </c>
      <c r="D471" t="str">
        <f>HYPERLINK("http://www.google.com/maps/place/47.34323,11.70018","Location")</f>
        <v>Location</v>
      </c>
      <c r="E471" t="s">
        <v>4271</v>
      </c>
      <c r="F471" t="s">
        <v>4272</v>
      </c>
      <c r="G471" t="s">
        <v>4200</v>
      </c>
      <c r="H471" t="s">
        <v>4201</v>
      </c>
      <c r="I471" t="s">
        <v>21</v>
      </c>
      <c r="J471" t="s">
        <v>22</v>
      </c>
      <c r="K471" t="s">
        <v>4273</v>
      </c>
      <c r="L471" t="s">
        <v>4276</v>
      </c>
      <c r="M471" t="s">
        <v>25</v>
      </c>
      <c r="N471" t="s">
        <v>4277</v>
      </c>
      <c r="O471" t="s">
        <v>25</v>
      </c>
      <c r="P471" t="s">
        <v>4278</v>
      </c>
      <c r="Q471" t="s">
        <v>29</v>
      </c>
      <c r="R471" t="s">
        <v>4274</v>
      </c>
      <c r="S471" t="s">
        <v>4275</v>
      </c>
    </row>
    <row r="472" spans="1:19" x14ac:dyDescent="0.25">
      <c r="A472" s="1">
        <v>470</v>
      </c>
      <c r="B472" t="str">
        <f>HYPERLINK("https://www.dasschnelle.at/dreier-michael-stumm-ahrnbachstraße","Website")</f>
        <v>Website</v>
      </c>
      <c r="C472" t="str">
        <f>HYPERLINK("http://www.raumausstattung-dreier.at","Website")</f>
        <v>Website</v>
      </c>
      <c r="D472" t="str">
        <f>HYPERLINK("http://www.google.com/maps/place/47.28636,11.88838","Location")</f>
        <v>Location</v>
      </c>
      <c r="E472" t="s">
        <v>4279</v>
      </c>
      <c r="F472" t="s">
        <v>4280</v>
      </c>
      <c r="G472" t="s">
        <v>4282</v>
      </c>
      <c r="H472" t="s">
        <v>4283</v>
      </c>
      <c r="I472" t="s">
        <v>21</v>
      </c>
      <c r="J472" t="s">
        <v>22</v>
      </c>
      <c r="K472" t="s">
        <v>4281</v>
      </c>
      <c r="L472" t="s">
        <v>4286</v>
      </c>
      <c r="M472" t="s">
        <v>4287</v>
      </c>
      <c r="N472" t="s">
        <v>4288</v>
      </c>
      <c r="O472" t="s">
        <v>25</v>
      </c>
      <c r="P472" t="s">
        <v>4289</v>
      </c>
      <c r="Q472" t="s">
        <v>29</v>
      </c>
      <c r="R472" t="s">
        <v>4284</v>
      </c>
      <c r="S472" t="s">
        <v>4285</v>
      </c>
    </row>
    <row r="473" spans="1:19" x14ac:dyDescent="0.25">
      <c r="A473" s="1">
        <v>471</v>
      </c>
      <c r="B473" t="str">
        <f>HYPERLINK("https://www.dasschnelle.at/schuster-peter-gmbh-vomp-feldweg","Website")</f>
        <v>Website</v>
      </c>
      <c r="C473" t="str">
        <f>HYPERLINK("http://www.peter-schuster.at","Website")</f>
        <v>Website</v>
      </c>
      <c r="D473" t="str">
        <f>HYPERLINK("http://www.google.com/maps/place/47.34408,11.6942","Location")</f>
        <v>Location</v>
      </c>
      <c r="E473" t="s">
        <v>4290</v>
      </c>
      <c r="F473" t="s">
        <v>4291</v>
      </c>
      <c r="G473" t="s">
        <v>4293</v>
      </c>
      <c r="H473" t="s">
        <v>4294</v>
      </c>
      <c r="I473" t="s">
        <v>21</v>
      </c>
      <c r="J473" t="s">
        <v>22</v>
      </c>
      <c r="K473" t="s">
        <v>4292</v>
      </c>
      <c r="L473" t="s">
        <v>4297</v>
      </c>
      <c r="M473" t="s">
        <v>25</v>
      </c>
      <c r="N473" t="s">
        <v>4298</v>
      </c>
      <c r="O473" t="s">
        <v>25</v>
      </c>
      <c r="P473" t="s">
        <v>4299</v>
      </c>
      <c r="Q473" t="s">
        <v>29</v>
      </c>
      <c r="R473" t="s">
        <v>4295</v>
      </c>
      <c r="S473" t="s">
        <v>4296</v>
      </c>
    </row>
    <row r="474" spans="1:19" x14ac:dyDescent="0.25">
      <c r="A474" s="1">
        <v>472</v>
      </c>
      <c r="B474" t="str">
        <f>HYPERLINK("https://www.dasschnelle.at/taxi-steinlechner-wattens-riedweg","Website")</f>
        <v>Website</v>
      </c>
      <c r="C474" t="str">
        <f>HYPERLINK("http://www.taxi-steinlechner.at","Website")</f>
        <v>Website</v>
      </c>
      <c r="D474" t="str">
        <f>HYPERLINK("http://www.google.com/maps/place/47.28901,11.60067","Location")</f>
        <v>Location</v>
      </c>
      <c r="E474" t="s">
        <v>4300</v>
      </c>
      <c r="F474" t="s">
        <v>4301</v>
      </c>
      <c r="G474" t="s">
        <v>4303</v>
      </c>
      <c r="H474" t="s">
        <v>4304</v>
      </c>
      <c r="I474" t="s">
        <v>21</v>
      </c>
      <c r="J474" t="s">
        <v>22</v>
      </c>
      <c r="K474" t="s">
        <v>4302</v>
      </c>
      <c r="L474" t="s">
        <v>4307</v>
      </c>
      <c r="M474" t="s">
        <v>25</v>
      </c>
      <c r="N474" t="s">
        <v>4308</v>
      </c>
      <c r="O474" t="s">
        <v>25</v>
      </c>
      <c r="P474" t="s">
        <v>4309</v>
      </c>
      <c r="Q474" t="s">
        <v>29</v>
      </c>
      <c r="R474" t="s">
        <v>4305</v>
      </c>
      <c r="S474" t="s">
        <v>4306</v>
      </c>
    </row>
    <row r="475" spans="1:19" x14ac:dyDescent="0.25">
      <c r="A475" s="1">
        <v>473</v>
      </c>
      <c r="B475" t="str">
        <f>HYPERLINK("https://www.dasschnelle.at/moser-ernst-mag-schwaz-ludwig-penz-straße","Website")</f>
        <v>Website</v>
      </c>
      <c r="C475" t="str">
        <f>HYPERLINK("http://www.notar-schwaz.at","Website")</f>
        <v>Website</v>
      </c>
      <c r="D475" t="str">
        <f>HYPERLINK("http://www.google.com/maps/place/47.34576,11.71154","Location")</f>
        <v>Location</v>
      </c>
      <c r="E475" t="s">
        <v>4310</v>
      </c>
      <c r="F475" t="s">
        <v>4311</v>
      </c>
      <c r="G475" t="s">
        <v>4200</v>
      </c>
      <c r="H475" t="s">
        <v>4201</v>
      </c>
      <c r="I475" t="s">
        <v>21</v>
      </c>
      <c r="J475" t="s">
        <v>22</v>
      </c>
      <c r="K475" t="s">
        <v>4312</v>
      </c>
      <c r="L475" t="s">
        <v>4315</v>
      </c>
      <c r="M475" t="s">
        <v>25</v>
      </c>
      <c r="N475" t="s">
        <v>4316</v>
      </c>
      <c r="O475" t="s">
        <v>25</v>
      </c>
      <c r="P475" t="s">
        <v>4317</v>
      </c>
      <c r="Q475" t="s">
        <v>29</v>
      </c>
      <c r="R475" t="s">
        <v>4313</v>
      </c>
      <c r="S475" t="s">
        <v>4314</v>
      </c>
    </row>
    <row r="476" spans="1:19" x14ac:dyDescent="0.25">
      <c r="A476" s="1">
        <v>474</v>
      </c>
      <c r="B476" t="str">
        <f>HYPERLINK("https://www.dasschnelle.at/malerei-gruber-fügen-gageringerstraße","Website")</f>
        <v>Website</v>
      </c>
      <c r="C476" t="str">
        <f>HYPERLINK("http://www.malerei-zillertal.at","Website")</f>
        <v>Website</v>
      </c>
      <c r="D476" t="str">
        <f>HYPERLINK("http://www.google.com/maps/place/47.3646,11.85016","Location")</f>
        <v>Location</v>
      </c>
      <c r="E476" t="s">
        <v>4318</v>
      </c>
      <c r="F476" t="s">
        <v>4319</v>
      </c>
      <c r="G476" t="s">
        <v>4219</v>
      </c>
      <c r="H476" t="s">
        <v>4220</v>
      </c>
      <c r="I476" t="s">
        <v>21</v>
      </c>
      <c r="J476" t="s">
        <v>22</v>
      </c>
      <c r="K476" t="s">
        <v>4320</v>
      </c>
      <c r="L476" t="s">
        <v>4323</v>
      </c>
      <c r="M476" t="s">
        <v>25</v>
      </c>
      <c r="N476" t="s">
        <v>4324</v>
      </c>
      <c r="O476" t="s">
        <v>25</v>
      </c>
      <c r="P476" t="s">
        <v>4325</v>
      </c>
      <c r="Q476" t="s">
        <v>29</v>
      </c>
      <c r="R476" t="s">
        <v>4321</v>
      </c>
      <c r="S476" t="s">
        <v>4322</v>
      </c>
    </row>
    <row r="477" spans="1:19" x14ac:dyDescent="0.25">
      <c r="A477" s="1">
        <v>475</v>
      </c>
      <c r="B477" t="str">
        <f>HYPERLINK("https://www.dasschnelle.at/gruber-thomas-mayrhofen-laubichl","Website")</f>
        <v>Website</v>
      </c>
      <c r="C477" t="str">
        <f>HYPERLINK("https://www.dasschnelle.at/gruber-thomas-mayrhofen-laubichl","Website")</f>
        <v>Website</v>
      </c>
      <c r="D477" t="str">
        <f>HYPERLINK("http://www.google.com/maps/place/47.1765500,11.8697700","Location")</f>
        <v>Location</v>
      </c>
      <c r="E477" t="s">
        <v>4326</v>
      </c>
      <c r="F477" t="s">
        <v>4327</v>
      </c>
      <c r="G477" t="s">
        <v>4329</v>
      </c>
      <c r="H477" t="s">
        <v>4330</v>
      </c>
      <c r="I477" t="s">
        <v>21</v>
      </c>
      <c r="J477" t="s">
        <v>22</v>
      </c>
      <c r="K477" t="s">
        <v>4328</v>
      </c>
      <c r="L477" t="s">
        <v>4333</v>
      </c>
      <c r="M477" t="s">
        <v>4334</v>
      </c>
      <c r="N477" t="s">
        <v>4335</v>
      </c>
      <c r="O477" t="s">
        <v>25</v>
      </c>
      <c r="P477" t="s">
        <v>4336</v>
      </c>
      <c r="Q477" t="s">
        <v>29</v>
      </c>
      <c r="R477" t="s">
        <v>4331</v>
      </c>
      <c r="S477" t="s">
        <v>4332</v>
      </c>
    </row>
    <row r="478" spans="1:19" x14ac:dyDescent="0.25">
      <c r="A478" s="1">
        <v>476</v>
      </c>
      <c r="B478" t="str">
        <f>HYPERLINK("https://www.dasschnelle.at/klocker-ralph-fügen-schlossmühlgasse","Website")</f>
        <v>Website</v>
      </c>
      <c r="C478" t="str">
        <f>HYPERLINK("http://www.klocker-bau.at","Website")</f>
        <v>Website</v>
      </c>
      <c r="D478" t="str">
        <f>HYPERLINK("http://www.google.com/maps/place/47.34591,11.84647","Location")</f>
        <v>Location</v>
      </c>
      <c r="E478" t="s">
        <v>4337</v>
      </c>
      <c r="F478" t="s">
        <v>4338</v>
      </c>
      <c r="G478" t="s">
        <v>4219</v>
      </c>
      <c r="H478" t="s">
        <v>4220</v>
      </c>
      <c r="I478" t="s">
        <v>21</v>
      </c>
      <c r="J478" t="s">
        <v>22</v>
      </c>
      <c r="K478" t="s">
        <v>4339</v>
      </c>
      <c r="L478" t="s">
        <v>4342</v>
      </c>
      <c r="M478" t="s">
        <v>25</v>
      </c>
      <c r="N478" t="s">
        <v>4343</v>
      </c>
      <c r="O478" t="s">
        <v>25</v>
      </c>
      <c r="P478" t="s">
        <v>4344</v>
      </c>
      <c r="Q478" t="s">
        <v>29</v>
      </c>
      <c r="R478" t="s">
        <v>4340</v>
      </c>
      <c r="S478" t="s">
        <v>4341</v>
      </c>
    </row>
    <row r="479" spans="1:19" x14ac:dyDescent="0.25">
      <c r="A479" s="1">
        <v>477</v>
      </c>
      <c r="B479" t="str">
        <f>HYPERLINK("https://www.dasschnelle.at/gramshammer-gmbh-strass-im-zillertal-siedlung","Website")</f>
        <v>Website</v>
      </c>
      <c r="C479" t="str">
        <f>HYPERLINK("http://www.gramshammer.at","Website")</f>
        <v>Website</v>
      </c>
      <c r="D479" t="str">
        <f>HYPERLINK("http://www.google.com/maps/place/47.39733,11.82129","Location")</f>
        <v>Location</v>
      </c>
      <c r="E479" t="s">
        <v>4345</v>
      </c>
      <c r="F479" t="s">
        <v>4346</v>
      </c>
      <c r="G479" t="s">
        <v>4348</v>
      </c>
      <c r="H479" t="s">
        <v>4349</v>
      </c>
      <c r="I479" t="s">
        <v>21</v>
      </c>
      <c r="J479" t="s">
        <v>22</v>
      </c>
      <c r="K479" t="s">
        <v>4347</v>
      </c>
      <c r="L479" t="s">
        <v>4352</v>
      </c>
      <c r="M479" t="s">
        <v>25</v>
      </c>
      <c r="N479" t="s">
        <v>4353</v>
      </c>
      <c r="O479" t="s">
        <v>25</v>
      </c>
      <c r="P479" t="s">
        <v>4354</v>
      </c>
      <c r="Q479" t="s">
        <v>29</v>
      </c>
      <c r="R479" t="s">
        <v>4350</v>
      </c>
      <c r="S479" t="s">
        <v>4351</v>
      </c>
    </row>
    <row r="480" spans="1:19" x14ac:dyDescent="0.25">
      <c r="A480" s="1">
        <v>478</v>
      </c>
      <c r="B480" t="str">
        <f>HYPERLINK("https://www.dasschnelle.at/brennstoffvertrieb-rahm-e-u-josef-rahm-aschau-dorfstraße","Website")</f>
        <v>Website</v>
      </c>
      <c r="C480" t="str">
        <f>HYPERLINK("http://www.brennstoffvertrieb-rahm.at","Website")</f>
        <v>Website</v>
      </c>
      <c r="D480" t="str">
        <f>HYPERLINK("http://www.google.com/maps/place/47.2694783,11.8960626","Location")</f>
        <v>Location</v>
      </c>
      <c r="E480" t="s">
        <v>4355</v>
      </c>
      <c r="F480" t="s">
        <v>4356</v>
      </c>
      <c r="G480" t="s">
        <v>4245</v>
      </c>
      <c r="H480" t="s">
        <v>4246</v>
      </c>
      <c r="I480" t="s">
        <v>21</v>
      </c>
      <c r="J480" t="s">
        <v>22</v>
      </c>
      <c r="K480" t="s">
        <v>4357</v>
      </c>
      <c r="L480" t="s">
        <v>4360</v>
      </c>
      <c r="M480" t="s">
        <v>25</v>
      </c>
      <c r="N480" t="s">
        <v>4361</v>
      </c>
      <c r="O480" t="s">
        <v>25</v>
      </c>
      <c r="P480" t="s">
        <v>4362</v>
      </c>
      <c r="Q480" t="s">
        <v>29</v>
      </c>
      <c r="R480" t="s">
        <v>4358</v>
      </c>
      <c r="S480" t="s">
        <v>4359</v>
      </c>
    </row>
    <row r="481" spans="1:19" x14ac:dyDescent="0.25">
      <c r="A481" s="1">
        <v>479</v>
      </c>
      <c r="B481" t="str">
        <f>HYPERLINK("https://www.dasschnelle.at/west-design-beschriftungen-aschau-gewerbestraße","Website")</f>
        <v>Website</v>
      </c>
      <c r="C481" t="str">
        <f>HYPERLINK("http://www.westdesign.at","Website")</f>
        <v>Website</v>
      </c>
      <c r="D481" t="str">
        <f>HYPERLINK("http://www.google.com/maps/place/47.27213,11.90008","Location")</f>
        <v>Location</v>
      </c>
      <c r="E481" t="s">
        <v>4363</v>
      </c>
      <c r="F481" t="s">
        <v>4364</v>
      </c>
      <c r="G481" t="s">
        <v>4245</v>
      </c>
      <c r="H481" t="s">
        <v>4246</v>
      </c>
      <c r="I481" t="s">
        <v>21</v>
      </c>
      <c r="J481" t="s">
        <v>22</v>
      </c>
      <c r="K481" t="s">
        <v>4365</v>
      </c>
      <c r="L481" t="s">
        <v>4368</v>
      </c>
      <c r="M481" t="s">
        <v>25</v>
      </c>
      <c r="N481" t="s">
        <v>4369</v>
      </c>
      <c r="O481" t="s">
        <v>25</v>
      </c>
      <c r="P481" t="s">
        <v>4370</v>
      </c>
      <c r="Q481" t="s">
        <v>29</v>
      </c>
      <c r="R481" t="s">
        <v>4366</v>
      </c>
      <c r="S481" t="s">
        <v>4367</v>
      </c>
    </row>
    <row r="482" spans="1:19" x14ac:dyDescent="0.25">
      <c r="A482" s="1">
        <v>480</v>
      </c>
      <c r="B482" t="str">
        <f>HYPERLINK("https://www.dasschnelle.at/kainrath-georg-gmbh-und-cokg-jenbach-sieglstraße","Website")</f>
        <v>Website</v>
      </c>
      <c r="C482" t="str">
        <f>HYPERLINK("http://www.georg-kainrath.at","Website")</f>
        <v>Website</v>
      </c>
      <c r="D482" t="str">
        <f>HYPERLINK("http://www.google.com/maps/place/47.39136,11.77865","Location")</f>
        <v>Location</v>
      </c>
      <c r="E482" t="s">
        <v>4371</v>
      </c>
      <c r="F482" t="s">
        <v>4372</v>
      </c>
      <c r="G482" t="s">
        <v>4374</v>
      </c>
      <c r="H482" t="s">
        <v>4375</v>
      </c>
      <c r="I482" t="s">
        <v>21</v>
      </c>
      <c r="J482" t="s">
        <v>22</v>
      </c>
      <c r="K482" t="s">
        <v>4373</v>
      </c>
      <c r="L482" t="s">
        <v>4378</v>
      </c>
      <c r="M482" t="s">
        <v>4379</v>
      </c>
      <c r="N482" t="s">
        <v>4380</v>
      </c>
      <c r="O482" t="s">
        <v>25</v>
      </c>
      <c r="P482" t="s">
        <v>4381</v>
      </c>
      <c r="Q482" t="s">
        <v>29</v>
      </c>
      <c r="R482" t="s">
        <v>4376</v>
      </c>
      <c r="S482" t="s">
        <v>4377</v>
      </c>
    </row>
    <row r="483" spans="1:19" x14ac:dyDescent="0.25">
      <c r="A483" s="1">
        <v>481</v>
      </c>
      <c r="B483" t="str">
        <f>HYPERLINK("https://www.dasschnelle.at/fußpflegefachinstitut-haun-sigrid-kg-fügen-hauptstraße","Website")</f>
        <v>Website</v>
      </c>
      <c r="C483" t="str">
        <f>HYPERLINK("https://www.dasschnelle.at/fu%C3%9Fpflegefachinstitut-haun-sigrid-kg-f%C3%BCgen-hauptstra%C3%9Fe","Website")</f>
        <v>Website</v>
      </c>
      <c r="D483" t="str">
        <f>HYPERLINK("http://www.google.com/maps/place/47.34537,11.85021","Location")</f>
        <v>Location</v>
      </c>
      <c r="E483" t="s">
        <v>4382</v>
      </c>
      <c r="F483" t="s">
        <v>4383</v>
      </c>
      <c r="G483" t="s">
        <v>4219</v>
      </c>
      <c r="H483" t="s">
        <v>4220</v>
      </c>
      <c r="I483" t="s">
        <v>21</v>
      </c>
      <c r="J483" t="s">
        <v>22</v>
      </c>
      <c r="K483" t="s">
        <v>4384</v>
      </c>
      <c r="L483" t="s">
        <v>4387</v>
      </c>
      <c r="M483" t="s">
        <v>25</v>
      </c>
      <c r="N483" t="s">
        <v>25</v>
      </c>
      <c r="O483" t="s">
        <v>25</v>
      </c>
      <c r="P483" t="s">
        <v>4388</v>
      </c>
      <c r="Q483" t="s">
        <v>29</v>
      </c>
      <c r="R483" t="s">
        <v>4385</v>
      </c>
      <c r="S483" t="s">
        <v>4386</v>
      </c>
    </row>
    <row r="484" spans="1:19" x14ac:dyDescent="0.25">
      <c r="A484" s="1">
        <v>482</v>
      </c>
      <c r="B484" t="str">
        <f>HYPERLINK("https://www.dasschnelle.at/wartelsteiner-helmut-fügen-nisslweg","Website")</f>
        <v>Website</v>
      </c>
      <c r="C484" t="str">
        <f>HYPERLINK("http://www.wartelsteiner.tirol","Website")</f>
        <v>Website</v>
      </c>
      <c r="D484" t="str">
        <f>HYPERLINK("http://www.google.com/maps/place/47.34805,11.84912","Location")</f>
        <v>Location</v>
      </c>
      <c r="E484" t="s">
        <v>4389</v>
      </c>
      <c r="F484" t="s">
        <v>4390</v>
      </c>
      <c r="G484" t="s">
        <v>4219</v>
      </c>
      <c r="H484" t="s">
        <v>4220</v>
      </c>
      <c r="I484" t="s">
        <v>21</v>
      </c>
      <c r="J484" t="s">
        <v>22</v>
      </c>
      <c r="K484" t="s">
        <v>4391</v>
      </c>
      <c r="L484" t="s">
        <v>4394</v>
      </c>
      <c r="M484" t="s">
        <v>25</v>
      </c>
      <c r="N484" t="s">
        <v>4395</v>
      </c>
      <c r="O484" t="s">
        <v>25</v>
      </c>
      <c r="P484" t="s">
        <v>4396</v>
      </c>
      <c r="Q484" t="s">
        <v>29</v>
      </c>
      <c r="R484" t="s">
        <v>4392</v>
      </c>
      <c r="S484" t="s">
        <v>4393</v>
      </c>
    </row>
    <row r="485" spans="1:19" x14ac:dyDescent="0.25">
      <c r="A485" s="1">
        <v>483</v>
      </c>
      <c r="B485" t="str">
        <f>HYPERLINK("https://www.dasschnelle.at/kröll-helmut-mayrhofen-dornaustraße","Website")</f>
        <v>Website</v>
      </c>
      <c r="C485" t="str">
        <f>HYPERLINK("http://www.gartengestaltung-kroell.com","Website")</f>
        <v>Website</v>
      </c>
      <c r="D485" t="str">
        <f>HYPERLINK("http://www.google.com/maps/place/47.16743,11.85896","Location")</f>
        <v>Location</v>
      </c>
      <c r="E485" t="s">
        <v>4397</v>
      </c>
      <c r="F485" t="s">
        <v>4398</v>
      </c>
      <c r="G485" t="s">
        <v>4329</v>
      </c>
      <c r="H485" t="s">
        <v>4330</v>
      </c>
      <c r="I485" t="s">
        <v>21</v>
      </c>
      <c r="J485" t="s">
        <v>22</v>
      </c>
      <c r="K485" t="s">
        <v>4399</v>
      </c>
      <c r="L485" t="s">
        <v>4402</v>
      </c>
      <c r="M485" t="s">
        <v>4403</v>
      </c>
      <c r="N485" t="s">
        <v>4404</v>
      </c>
      <c r="O485" t="s">
        <v>25</v>
      </c>
      <c r="P485" t="s">
        <v>4405</v>
      </c>
      <c r="Q485" t="s">
        <v>29</v>
      </c>
      <c r="R485" t="s">
        <v>4400</v>
      </c>
      <c r="S485" t="s">
        <v>4401</v>
      </c>
    </row>
    <row r="486" spans="1:19" x14ac:dyDescent="0.25">
      <c r="A486" s="1">
        <v>484</v>
      </c>
      <c r="B486" t="str">
        <f>HYPERLINK("https://www.dasschnelle.at/atelier-der-kunst-fügen-lindenweg","Website")</f>
        <v>Website</v>
      </c>
      <c r="C486" t="str">
        <f>HYPERLINK("http://www.atelier-rosengarten.at","Website")</f>
        <v>Website</v>
      </c>
      <c r="D486" t="str">
        <f>HYPERLINK("http://www.google.com/maps/place/47.3443,11.84876","Location")</f>
        <v>Location</v>
      </c>
      <c r="E486" t="s">
        <v>4406</v>
      </c>
      <c r="F486" t="s">
        <v>4407</v>
      </c>
      <c r="G486" t="s">
        <v>4219</v>
      </c>
      <c r="H486" t="s">
        <v>4220</v>
      </c>
      <c r="I486" t="s">
        <v>21</v>
      </c>
      <c r="J486" t="s">
        <v>22</v>
      </c>
      <c r="K486" t="s">
        <v>4408</v>
      </c>
      <c r="L486" t="s">
        <v>4411</v>
      </c>
      <c r="M486" t="s">
        <v>4412</v>
      </c>
      <c r="N486" t="s">
        <v>4413</v>
      </c>
      <c r="O486" t="s">
        <v>25</v>
      </c>
      <c r="P486" t="s">
        <v>4414</v>
      </c>
      <c r="Q486" t="s">
        <v>29</v>
      </c>
      <c r="R486" t="s">
        <v>4409</v>
      </c>
      <c r="S486" t="s">
        <v>4410</v>
      </c>
    </row>
    <row r="487" spans="1:19" x14ac:dyDescent="0.25">
      <c r="A487" s="1">
        <v>485</v>
      </c>
      <c r="B487" t="str">
        <f>HYPERLINK("https://www.dasschnelle.at/malerei-sillaber-gmbh-schwaz-einfang","Website")</f>
        <v>Website</v>
      </c>
      <c r="C487" t="str">
        <f>HYPERLINK("http://www.malerei-sillaber.at","Website")</f>
        <v>Website</v>
      </c>
      <c r="D487" t="str">
        <f>HYPERLINK("http://www.google.com/maps/place/47.3589,11.72125","Location")</f>
        <v>Location</v>
      </c>
      <c r="E487" t="s">
        <v>4415</v>
      </c>
      <c r="F487" t="s">
        <v>4416</v>
      </c>
      <c r="G487" t="s">
        <v>4200</v>
      </c>
      <c r="H487" t="s">
        <v>4201</v>
      </c>
      <c r="I487" t="s">
        <v>21</v>
      </c>
      <c r="J487" t="s">
        <v>22</v>
      </c>
      <c r="K487" t="s">
        <v>4417</v>
      </c>
      <c r="L487" t="s">
        <v>4420</v>
      </c>
      <c r="M487" t="s">
        <v>25</v>
      </c>
      <c r="N487" t="s">
        <v>4421</v>
      </c>
      <c r="O487" t="s">
        <v>25</v>
      </c>
      <c r="P487" t="s">
        <v>4422</v>
      </c>
      <c r="Q487" t="s">
        <v>29</v>
      </c>
      <c r="R487" t="s">
        <v>4418</v>
      </c>
      <c r="S487" t="s">
        <v>4419</v>
      </c>
    </row>
    <row r="488" spans="1:19" x14ac:dyDescent="0.25">
      <c r="A488" s="1">
        <v>486</v>
      </c>
      <c r="B488" t="str">
        <f>HYPERLINK("https://www.dasschnelle.at/kofler-christian-stumm-dorfstraße","Website")</f>
        <v>Website</v>
      </c>
      <c r="C488" t="str">
        <f>HYPERLINK("http://www.holzdesign.cc","Website")</f>
        <v>Website</v>
      </c>
      <c r="D488" t="str">
        <f>HYPERLINK("http://www.google.com/maps/place/47.29347,11.88435","Location")</f>
        <v>Location</v>
      </c>
      <c r="E488" t="s">
        <v>4423</v>
      </c>
      <c r="F488" t="s">
        <v>4424</v>
      </c>
      <c r="G488" t="s">
        <v>4282</v>
      </c>
      <c r="H488" t="s">
        <v>4283</v>
      </c>
      <c r="I488" t="s">
        <v>21</v>
      </c>
      <c r="J488" t="s">
        <v>22</v>
      </c>
      <c r="K488" t="s">
        <v>4425</v>
      </c>
      <c r="L488" t="s">
        <v>4428</v>
      </c>
      <c r="M488" t="s">
        <v>25</v>
      </c>
      <c r="N488" t="s">
        <v>4429</v>
      </c>
      <c r="O488" t="s">
        <v>25</v>
      </c>
      <c r="P488" t="s">
        <v>4430</v>
      </c>
      <c r="Q488" t="s">
        <v>29</v>
      </c>
      <c r="R488" t="s">
        <v>4426</v>
      </c>
      <c r="S488" t="s">
        <v>4427</v>
      </c>
    </row>
    <row r="489" spans="1:19" x14ac:dyDescent="0.25">
      <c r="A489" s="1">
        <v>487</v>
      </c>
      <c r="B489" t="str">
        <f>HYPERLINK("https://www.dasschnelle.at/keck-eva-mag-schwaz-rennhammergasse","Website")</f>
        <v>Website</v>
      </c>
      <c r="C489" t="str">
        <f>HYPERLINK("http://www.kosmetik-schwaz.at","Website")</f>
        <v>Website</v>
      </c>
      <c r="D489" t="str">
        <f>HYPERLINK("http://www.google.com/maps/place/47.34717,11.71544","Location")</f>
        <v>Location</v>
      </c>
      <c r="E489" t="s">
        <v>4431</v>
      </c>
      <c r="F489" t="s">
        <v>4432</v>
      </c>
      <c r="G489" t="s">
        <v>4200</v>
      </c>
      <c r="H489" t="s">
        <v>4201</v>
      </c>
      <c r="I489" t="s">
        <v>21</v>
      </c>
      <c r="J489" t="s">
        <v>22</v>
      </c>
      <c r="K489" t="s">
        <v>4433</v>
      </c>
      <c r="L489" t="s">
        <v>4436</v>
      </c>
      <c r="M489" t="s">
        <v>25</v>
      </c>
      <c r="N489" t="s">
        <v>4437</v>
      </c>
      <c r="O489" t="s">
        <v>25</v>
      </c>
      <c r="P489" t="s">
        <v>4438</v>
      </c>
      <c r="Q489" t="s">
        <v>29</v>
      </c>
      <c r="R489" t="s">
        <v>4434</v>
      </c>
      <c r="S489" t="s">
        <v>4435</v>
      </c>
    </row>
    <row r="490" spans="1:19" x14ac:dyDescent="0.25">
      <c r="A490" s="1">
        <v>488</v>
      </c>
      <c r="B490" t="str">
        <f>HYPERLINK("https://www.dasschnelle.at/schwazer-silberbergwerk-besucherführungsgesmbh-schwaz-alte-landstraße","Website")</f>
        <v>Website</v>
      </c>
      <c r="C490" t="str">
        <f>HYPERLINK("http://www.silberbergwerk.at","Website")</f>
        <v>Website</v>
      </c>
      <c r="D490" t="str">
        <f>HYPERLINK("http://www.google.com/maps/place/47.3533581,11.7260693","Location")</f>
        <v>Location</v>
      </c>
      <c r="E490" t="s">
        <v>4439</v>
      </c>
      <c r="F490" t="s">
        <v>4440</v>
      </c>
      <c r="G490" t="s">
        <v>4200</v>
      </c>
      <c r="H490" t="s">
        <v>4201</v>
      </c>
      <c r="I490" t="s">
        <v>21</v>
      </c>
      <c r="J490" t="s">
        <v>22</v>
      </c>
      <c r="K490" t="s">
        <v>4441</v>
      </c>
      <c r="L490" t="s">
        <v>4444</v>
      </c>
      <c r="M490" t="s">
        <v>4445</v>
      </c>
      <c r="N490" t="s">
        <v>4446</v>
      </c>
      <c r="O490" t="s">
        <v>25</v>
      </c>
      <c r="P490" t="s">
        <v>4447</v>
      </c>
      <c r="Q490" t="s">
        <v>29</v>
      </c>
      <c r="R490" t="s">
        <v>4442</v>
      </c>
      <c r="S490" t="s">
        <v>4443</v>
      </c>
    </row>
    <row r="491" spans="1:19" x14ac:dyDescent="0.25">
      <c r="A491" s="1">
        <v>489</v>
      </c>
      <c r="B491" t="str">
        <f>HYPERLINK("https://www.dasschnelle.at/achensee-apotheke-kg-jenbach-achenseestraße","Website")</f>
        <v>Website</v>
      </c>
      <c r="C491" t="str">
        <f>HYPERLINK("http://www.achensee-apotheke.at","Website")</f>
        <v>Website</v>
      </c>
      <c r="D491" t="str">
        <f>HYPERLINK("http://www.google.com/maps/place/47.39572,11.77077","Location")</f>
        <v>Location</v>
      </c>
      <c r="E491" t="s">
        <v>4448</v>
      </c>
      <c r="F491" t="s">
        <v>4449</v>
      </c>
      <c r="G491" t="s">
        <v>4374</v>
      </c>
      <c r="H491" t="s">
        <v>4375</v>
      </c>
      <c r="I491" t="s">
        <v>21</v>
      </c>
      <c r="J491" t="s">
        <v>22</v>
      </c>
      <c r="K491" t="s">
        <v>4450</v>
      </c>
      <c r="L491" t="s">
        <v>4453</v>
      </c>
      <c r="M491" t="s">
        <v>25</v>
      </c>
      <c r="N491" t="s">
        <v>4454</v>
      </c>
      <c r="O491" t="s">
        <v>25</v>
      </c>
      <c r="P491" t="s">
        <v>4455</v>
      </c>
      <c r="Q491" t="s">
        <v>29</v>
      </c>
      <c r="R491" t="s">
        <v>4451</v>
      </c>
      <c r="S491" t="s">
        <v>4452</v>
      </c>
    </row>
    <row r="492" spans="1:19" x14ac:dyDescent="0.25">
      <c r="A492" s="1">
        <v>490</v>
      </c>
      <c r="B492" t="str">
        <f>HYPERLINK("https://www.dasschnelle.at/fingerlos-bernhard-achenkirch-achenkirch","Website")</f>
        <v>Website</v>
      </c>
      <c r="C492" t="str">
        <f>HYPERLINK("http://www.installateur-fingerlos.at","Website")</f>
        <v>Website</v>
      </c>
      <c r="D492" t="str">
        <f>HYPERLINK("http://www.google.com/maps/place/47.5464873,11.6544562","Location")</f>
        <v>Location</v>
      </c>
      <c r="E492" t="s">
        <v>4456</v>
      </c>
      <c r="F492" t="s">
        <v>4457</v>
      </c>
      <c r="G492" t="s">
        <v>4459</v>
      </c>
      <c r="H492" t="s">
        <v>4460</v>
      </c>
      <c r="I492" t="s">
        <v>21</v>
      </c>
      <c r="J492" t="s">
        <v>22</v>
      </c>
      <c r="K492" t="s">
        <v>4458</v>
      </c>
      <c r="L492" t="s">
        <v>4463</v>
      </c>
      <c r="M492" t="s">
        <v>4464</v>
      </c>
      <c r="N492" t="s">
        <v>4465</v>
      </c>
      <c r="O492" t="s">
        <v>25</v>
      </c>
      <c r="P492" t="s">
        <v>4466</v>
      </c>
      <c r="Q492" t="s">
        <v>29</v>
      </c>
      <c r="R492" t="s">
        <v>4461</v>
      </c>
      <c r="S492" t="s">
        <v>4462</v>
      </c>
    </row>
    <row r="493" spans="1:19" x14ac:dyDescent="0.25">
      <c r="A493" s="1">
        <v>491</v>
      </c>
      <c r="B493" t="str">
        <f>HYPERLINK("https://www.dasschnelle.at/hechenblaickner-kg-schwaz-tannenberggasse","Website")</f>
        <v>Website</v>
      </c>
      <c r="C493" t="str">
        <f>HYPERLINK("http://www.hechenblaickner.at","Website")</f>
        <v>Website</v>
      </c>
      <c r="D493" t="str">
        <f>HYPERLINK("http://www.google.com/maps/place/47.34741,11.70838","Location")</f>
        <v>Location</v>
      </c>
      <c r="E493" t="s">
        <v>4467</v>
      </c>
      <c r="F493" t="s">
        <v>4468</v>
      </c>
      <c r="G493" t="s">
        <v>4200</v>
      </c>
      <c r="H493" t="s">
        <v>4201</v>
      </c>
      <c r="I493" t="s">
        <v>21</v>
      </c>
      <c r="J493" t="s">
        <v>22</v>
      </c>
      <c r="K493" t="s">
        <v>4469</v>
      </c>
      <c r="L493" t="s">
        <v>4472</v>
      </c>
      <c r="M493" t="s">
        <v>4473</v>
      </c>
      <c r="N493" t="s">
        <v>4474</v>
      </c>
      <c r="O493" t="s">
        <v>25</v>
      </c>
      <c r="P493" t="s">
        <v>4475</v>
      </c>
      <c r="Q493" t="s">
        <v>29</v>
      </c>
      <c r="R493" t="s">
        <v>4470</v>
      </c>
      <c r="S493" t="s">
        <v>4471</v>
      </c>
    </row>
    <row r="494" spans="1:19" x14ac:dyDescent="0.25">
      <c r="A494" s="1">
        <v>492</v>
      </c>
      <c r="B494" t="str">
        <f>HYPERLINK("https://www.dasschnelle.at/mag-daniel-ludwig-schwaz-münchner-straße","Website")</f>
        <v>Website</v>
      </c>
      <c r="C494" t="str">
        <f>HYPERLINK("http://www.kanzlei-ludwig.at","Website")</f>
        <v>Website</v>
      </c>
      <c r="D494" t="str">
        <f>HYPERLINK("http://www.google.com/maps/place/47.3523,11.70649","Location")</f>
        <v>Location</v>
      </c>
      <c r="E494" t="s">
        <v>4476</v>
      </c>
      <c r="F494" t="s">
        <v>4477</v>
      </c>
      <c r="G494" t="s">
        <v>4200</v>
      </c>
      <c r="H494" t="s">
        <v>4201</v>
      </c>
      <c r="I494" t="s">
        <v>21</v>
      </c>
      <c r="J494" t="s">
        <v>22</v>
      </c>
      <c r="K494" t="s">
        <v>4478</v>
      </c>
      <c r="L494" t="s">
        <v>4481</v>
      </c>
      <c r="M494" t="s">
        <v>25</v>
      </c>
      <c r="N494" t="s">
        <v>4482</v>
      </c>
      <c r="O494" t="s">
        <v>25</v>
      </c>
      <c r="P494" t="s">
        <v>4483</v>
      </c>
      <c r="Q494" t="s">
        <v>29</v>
      </c>
      <c r="R494" t="s">
        <v>4479</v>
      </c>
      <c r="S494" t="s">
        <v>4480</v>
      </c>
    </row>
    <row r="495" spans="1:19" x14ac:dyDescent="0.25">
      <c r="A495" s="1">
        <v>493</v>
      </c>
      <c r="B495" t="str">
        <f>HYPERLINK("https://www.dasschnelle.at/rauchfangbau-u-brandschutz-gesmbh-vomp-au","Website")</f>
        <v>Website</v>
      </c>
      <c r="C495" t="str">
        <f>HYPERLINK("http://www.ofen-ober.at","Website")</f>
        <v>Website</v>
      </c>
      <c r="D495" t="str">
        <f>HYPERLINK("http://www.google.com/maps/place/47.35367,11.69984","Location")</f>
        <v>Location</v>
      </c>
      <c r="E495" t="s">
        <v>4484</v>
      </c>
      <c r="F495" t="s">
        <v>4485</v>
      </c>
      <c r="G495" t="s">
        <v>4293</v>
      </c>
      <c r="H495" t="s">
        <v>4294</v>
      </c>
      <c r="I495" t="s">
        <v>21</v>
      </c>
      <c r="J495" t="s">
        <v>22</v>
      </c>
      <c r="K495" t="s">
        <v>4486</v>
      </c>
      <c r="L495" t="s">
        <v>4489</v>
      </c>
      <c r="M495" t="s">
        <v>25</v>
      </c>
      <c r="N495" t="s">
        <v>4490</v>
      </c>
      <c r="O495" t="s">
        <v>25</v>
      </c>
      <c r="P495" t="s">
        <v>4491</v>
      </c>
      <c r="Q495" t="s">
        <v>29</v>
      </c>
      <c r="R495" t="s">
        <v>4487</v>
      </c>
      <c r="S495" t="s">
        <v>4488</v>
      </c>
    </row>
    <row r="496" spans="1:19" x14ac:dyDescent="0.25">
      <c r="A496" s="1">
        <v>494</v>
      </c>
      <c r="B496" t="str">
        <f>HYPERLINK("https://www.dasschnelle.at/eberl-walter-schwendau-kreuzlau","Website")</f>
        <v>Website</v>
      </c>
      <c r="C496" t="str">
        <f>HYPERLINK("http://www.zimmerei-eberl.at","Website")</f>
        <v>Website</v>
      </c>
      <c r="D496" t="str">
        <f>HYPERLINK("http://www.google.com/maps/place/47.16843,11.85868","Location")</f>
        <v>Location</v>
      </c>
      <c r="E496" t="s">
        <v>4492</v>
      </c>
      <c r="F496" t="s">
        <v>4493</v>
      </c>
      <c r="G496" t="s">
        <v>4329</v>
      </c>
      <c r="H496" t="s">
        <v>4495</v>
      </c>
      <c r="I496" t="s">
        <v>21</v>
      </c>
      <c r="J496" t="s">
        <v>22</v>
      </c>
      <c r="K496" t="s">
        <v>4494</v>
      </c>
      <c r="L496" t="s">
        <v>4498</v>
      </c>
      <c r="M496" t="s">
        <v>4499</v>
      </c>
      <c r="N496" t="s">
        <v>4500</v>
      </c>
      <c r="O496" t="s">
        <v>25</v>
      </c>
      <c r="P496" t="s">
        <v>4501</v>
      </c>
      <c r="Q496" t="s">
        <v>29</v>
      </c>
      <c r="R496" t="s">
        <v>4496</v>
      </c>
      <c r="S496" t="s">
        <v>4497</v>
      </c>
    </row>
    <row r="497" spans="1:19" x14ac:dyDescent="0.25">
      <c r="A497" s="1">
        <v>495</v>
      </c>
      <c r="B497" t="str">
        <f>HYPERLINK("https://www.dasschnelle.at/gröblacher-reinhard-mayrhofen-sportplatzstraße","Website")</f>
        <v>Website</v>
      </c>
      <c r="C497" t="str">
        <f>HYPERLINK("https://www.dasschnelle.at/gr%C3%B6blacher-reinhard-mayrhofen-sportplatzstra%C3%9Fe","Website")</f>
        <v>Website</v>
      </c>
      <c r="D497" t="str">
        <f>HYPERLINK("http://www.google.com/maps/place/47.16533,11.87007","Location")</f>
        <v>Location</v>
      </c>
      <c r="E497" t="s">
        <v>4502</v>
      </c>
      <c r="F497" t="s">
        <v>4503</v>
      </c>
      <c r="G497" t="s">
        <v>4329</v>
      </c>
      <c r="H497" t="s">
        <v>4330</v>
      </c>
      <c r="I497" t="s">
        <v>21</v>
      </c>
      <c r="J497" t="s">
        <v>22</v>
      </c>
      <c r="K497" t="s">
        <v>4504</v>
      </c>
      <c r="L497" t="s">
        <v>4507</v>
      </c>
      <c r="M497" t="s">
        <v>25</v>
      </c>
      <c r="N497" t="s">
        <v>4508</v>
      </c>
      <c r="O497" t="s">
        <v>25</v>
      </c>
      <c r="P497" t="s">
        <v>4509</v>
      </c>
      <c r="Q497" t="s">
        <v>29</v>
      </c>
      <c r="R497" t="s">
        <v>4505</v>
      </c>
      <c r="S497" t="s">
        <v>4506</v>
      </c>
    </row>
    <row r="498" spans="1:19" x14ac:dyDescent="0.25">
      <c r="A498" s="1">
        <v>496</v>
      </c>
      <c r="B498" t="str">
        <f>HYPERLINK("https://www.dasschnelle.at/unterberger-automobil-gmbhundcokg-strass-im-zillertal-an-der-bundesstraße","Website")</f>
        <v>Website</v>
      </c>
      <c r="C498" t="str">
        <f>HYPERLINK("http://www.unterberger.cc","Website")</f>
        <v>Website</v>
      </c>
      <c r="D498" t="str">
        <f>HYPERLINK("http://www.google.com/maps/place/47.3979280,11.8187537","Location")</f>
        <v>Location</v>
      </c>
      <c r="E498" t="s">
        <v>4510</v>
      </c>
      <c r="F498" t="s">
        <v>4511</v>
      </c>
      <c r="G498" t="s">
        <v>4348</v>
      </c>
      <c r="H498" t="s">
        <v>4349</v>
      </c>
      <c r="I498" t="s">
        <v>21</v>
      </c>
      <c r="J498" t="s">
        <v>22</v>
      </c>
      <c r="K498" t="s">
        <v>4512</v>
      </c>
      <c r="L498" t="s">
        <v>4515</v>
      </c>
      <c r="M498" t="s">
        <v>25</v>
      </c>
      <c r="N498" t="s">
        <v>4516</v>
      </c>
      <c r="O498" t="s">
        <v>25</v>
      </c>
      <c r="P498" t="s">
        <v>4517</v>
      </c>
      <c r="Q498" t="s">
        <v>29</v>
      </c>
      <c r="R498" t="s">
        <v>4513</v>
      </c>
      <c r="S498" t="s">
        <v>4514</v>
      </c>
    </row>
    <row r="499" spans="1:19" x14ac:dyDescent="0.25">
      <c r="A499" s="1">
        <v>497</v>
      </c>
      <c r="B499" t="str">
        <f>HYPERLINK("https://www.dasschnelle.at/eder-herbert-finkenberg-finkenberg","Website")</f>
        <v>Website</v>
      </c>
      <c r="C499" t="str">
        <f>HYPERLINK("http://www.vollwaermeschutz-eder.at","Website")</f>
        <v>Website</v>
      </c>
      <c r="D499" t="str">
        <f>HYPERLINK("http://www.google.com/maps/place/47.1566192,11.8209860","Location")</f>
        <v>Location</v>
      </c>
      <c r="E499" t="s">
        <v>4518</v>
      </c>
      <c r="F499" t="s">
        <v>4519</v>
      </c>
      <c r="G499" t="s">
        <v>4521</v>
      </c>
      <c r="H499" t="s">
        <v>4522</v>
      </c>
      <c r="I499" t="s">
        <v>21</v>
      </c>
      <c r="J499" t="s">
        <v>22</v>
      </c>
      <c r="K499" t="s">
        <v>4520</v>
      </c>
      <c r="L499" t="s">
        <v>4525</v>
      </c>
      <c r="M499" t="s">
        <v>25</v>
      </c>
      <c r="N499" t="s">
        <v>4526</v>
      </c>
      <c r="O499" t="s">
        <v>25</v>
      </c>
      <c r="P499" t="s">
        <v>4527</v>
      </c>
      <c r="Q499" t="s">
        <v>29</v>
      </c>
      <c r="R499" t="s">
        <v>4523</v>
      </c>
      <c r="S499" t="s">
        <v>4524</v>
      </c>
    </row>
    <row r="500" spans="1:19" x14ac:dyDescent="0.25">
      <c r="A500" s="1">
        <v>498</v>
      </c>
      <c r="B500" t="str">
        <f>HYPERLINK("https://www.dasschnelle.at/buchberger-michael-stumm-acham","Website")</f>
        <v>Website</v>
      </c>
      <c r="C500" t="str">
        <f>HYPERLINK("http://www.spenglerei-buchberger.at","Website")</f>
        <v>Website</v>
      </c>
      <c r="D500" t="str">
        <f>HYPERLINK("http://www.google.com/maps/place/47.29304,11.87931","Location")</f>
        <v>Location</v>
      </c>
      <c r="E500" t="s">
        <v>4528</v>
      </c>
      <c r="F500" t="s">
        <v>4529</v>
      </c>
      <c r="G500" t="s">
        <v>4282</v>
      </c>
      <c r="H500" t="s">
        <v>4283</v>
      </c>
      <c r="I500" t="s">
        <v>21</v>
      </c>
      <c r="J500" t="s">
        <v>22</v>
      </c>
      <c r="K500" t="s">
        <v>4530</v>
      </c>
      <c r="L500" t="s">
        <v>4533</v>
      </c>
      <c r="M500" t="s">
        <v>25</v>
      </c>
      <c r="N500" t="s">
        <v>4534</v>
      </c>
      <c r="O500" t="s">
        <v>25</v>
      </c>
      <c r="P500" t="s">
        <v>4535</v>
      </c>
      <c r="Q500" t="s">
        <v>29</v>
      </c>
      <c r="R500" t="s">
        <v>4531</v>
      </c>
      <c r="S500" t="s">
        <v>4532</v>
      </c>
    </row>
    <row r="501" spans="1:19" x14ac:dyDescent="0.25">
      <c r="A501" s="1">
        <v>499</v>
      </c>
      <c r="B501" t="str">
        <f>HYPERLINK("https://www.dasschnelle.at/gruber-andreas-spenglerei-zillertal-dach-gmbh-fügen-gießenweg","Website")</f>
        <v>Website</v>
      </c>
      <c r="C501" t="str">
        <f>HYPERLINK("https://www.dasschnelle.at/gruber-andreas-spenglerei-zillertal-dach-gmbh-f%C3%BCgen-gie%C3%9Fenweg","Website")</f>
        <v>Website</v>
      </c>
      <c r="D501" t="str">
        <f>HYPERLINK("http://www.google.com/maps/place/47.33145,11.86322","Location")</f>
        <v>Location</v>
      </c>
      <c r="E501" t="s">
        <v>4536</v>
      </c>
      <c r="F501" t="s">
        <v>4537</v>
      </c>
      <c r="G501" t="s">
        <v>4219</v>
      </c>
      <c r="H501" t="s">
        <v>4220</v>
      </c>
      <c r="I501" t="s">
        <v>21</v>
      </c>
      <c r="J501" t="s">
        <v>22</v>
      </c>
      <c r="K501" t="s">
        <v>4538</v>
      </c>
      <c r="L501" t="s">
        <v>4541</v>
      </c>
      <c r="M501" t="s">
        <v>25</v>
      </c>
      <c r="N501" t="s">
        <v>4542</v>
      </c>
      <c r="O501" t="s">
        <v>25</v>
      </c>
      <c r="P501" t="s">
        <v>4543</v>
      </c>
      <c r="Q501" t="s">
        <v>29</v>
      </c>
      <c r="R501" t="s">
        <v>4539</v>
      </c>
      <c r="S501" t="s">
        <v>4540</v>
      </c>
    </row>
    <row r="502" spans="1:19" x14ac:dyDescent="0.25">
      <c r="A502" s="1">
        <v>500</v>
      </c>
      <c r="B502" t="str">
        <f>HYPERLINK("https://www.dasschnelle.at/ma-metallbau-gmbh-mayrhofen-hollenzen","Website")</f>
        <v>Website</v>
      </c>
      <c r="C502" t="str">
        <f>HYPERLINK("http://www.ma-metallbau.at","Website")</f>
        <v>Website</v>
      </c>
      <c r="D502" t="str">
        <f>HYPERLINK("http://www.google.com/maps/place/47.17847,11.87016","Location")</f>
        <v>Location</v>
      </c>
      <c r="E502" t="s">
        <v>4544</v>
      </c>
      <c r="F502" t="s">
        <v>4545</v>
      </c>
      <c r="G502" t="s">
        <v>4329</v>
      </c>
      <c r="H502" t="s">
        <v>4330</v>
      </c>
      <c r="I502" t="s">
        <v>21</v>
      </c>
      <c r="J502" t="s">
        <v>22</v>
      </c>
      <c r="K502" t="s">
        <v>4546</v>
      </c>
      <c r="L502" t="s">
        <v>4549</v>
      </c>
      <c r="M502" t="s">
        <v>25</v>
      </c>
      <c r="N502" t="s">
        <v>4550</v>
      </c>
      <c r="O502" t="s">
        <v>25</v>
      </c>
      <c r="P502" t="s">
        <v>4551</v>
      </c>
      <c r="Q502" t="s">
        <v>29</v>
      </c>
      <c r="R502" t="s">
        <v>4547</v>
      </c>
      <c r="S502" t="s">
        <v>4548</v>
      </c>
    </row>
    <row r="503" spans="1:19" x14ac:dyDescent="0.25">
      <c r="A503" s="1">
        <v>501</v>
      </c>
      <c r="B503" t="str">
        <f>HYPERLINK("https://www.dasschnelle.at/bestattung-othmar-lechner-gmbh-schwaz-husslstraße","Website")</f>
        <v>Website</v>
      </c>
      <c r="C503" t="str">
        <f>HYPERLINK("http://www.bestattung-lechner.at","Website")</f>
        <v>Website</v>
      </c>
      <c r="D503" t="str">
        <f>HYPERLINK("http://www.google.com/maps/place/47.35143,11.71657","Location")</f>
        <v>Location</v>
      </c>
      <c r="E503" t="s">
        <v>4552</v>
      </c>
      <c r="F503" t="s">
        <v>4553</v>
      </c>
      <c r="G503" t="s">
        <v>4200</v>
      </c>
      <c r="H503" t="s">
        <v>4201</v>
      </c>
      <c r="I503" t="s">
        <v>21</v>
      </c>
      <c r="J503" t="s">
        <v>22</v>
      </c>
      <c r="K503" t="s">
        <v>4554</v>
      </c>
      <c r="L503" t="s">
        <v>4557</v>
      </c>
      <c r="M503" t="s">
        <v>25</v>
      </c>
      <c r="N503" t="s">
        <v>4558</v>
      </c>
      <c r="O503" t="s">
        <v>25</v>
      </c>
      <c r="P503" t="s">
        <v>4559</v>
      </c>
      <c r="Q503" t="s">
        <v>29</v>
      </c>
      <c r="R503" t="s">
        <v>4555</v>
      </c>
      <c r="S503" t="s">
        <v>4556</v>
      </c>
    </row>
    <row r="504" spans="1:19" x14ac:dyDescent="0.25">
      <c r="A504" s="1">
        <v>502</v>
      </c>
      <c r="B504" t="str">
        <f>HYPERLINK("https://www.dasschnelle.at/schweiberer-maximilian-fügen-kleinbodenerstraße","Website")</f>
        <v>Website</v>
      </c>
      <c r="C504" t="str">
        <f>HYPERLINK("http://www.schweiberer.co.at","Website")</f>
        <v>Website</v>
      </c>
      <c r="D504" t="str">
        <f>HYPERLINK("http://www.google.com/maps/place/47.33305,11.85477","Location")</f>
        <v>Location</v>
      </c>
      <c r="E504" t="s">
        <v>4560</v>
      </c>
      <c r="F504" t="s">
        <v>4561</v>
      </c>
      <c r="G504" t="s">
        <v>4219</v>
      </c>
      <c r="H504" t="s">
        <v>4220</v>
      </c>
      <c r="I504" t="s">
        <v>21</v>
      </c>
      <c r="J504" t="s">
        <v>22</v>
      </c>
      <c r="K504" t="s">
        <v>4562</v>
      </c>
      <c r="L504" t="s">
        <v>4565</v>
      </c>
      <c r="M504" t="s">
        <v>4566</v>
      </c>
      <c r="N504" t="s">
        <v>4567</v>
      </c>
      <c r="O504" t="s">
        <v>25</v>
      </c>
      <c r="P504" t="s">
        <v>4568</v>
      </c>
      <c r="Q504" t="s">
        <v>29</v>
      </c>
      <c r="R504" t="s">
        <v>4563</v>
      </c>
      <c r="S504" t="s">
        <v>4564</v>
      </c>
    </row>
    <row r="505" spans="1:19" x14ac:dyDescent="0.25">
      <c r="A505" s="1">
        <v>503</v>
      </c>
      <c r="B505" t="str">
        <f>HYPERLINK("https://www.dasschnelle.at/fischer-gesmbh-voitsberg-grazer-vorstadt","Website")</f>
        <v>Website</v>
      </c>
      <c r="C505" t="str">
        <f>HYPERLINK("http://www.fischerglas.at","Website")</f>
        <v>Website</v>
      </c>
      <c r="D505" t="str">
        <f>HYPERLINK("http://www.google.com/maps/place/47.0481,15.15216","Location")</f>
        <v>Location</v>
      </c>
      <c r="E505" t="s">
        <v>4569</v>
      </c>
      <c r="F505" t="s">
        <v>4570</v>
      </c>
      <c r="G505" t="s">
        <v>4572</v>
      </c>
      <c r="H505" t="s">
        <v>4573</v>
      </c>
      <c r="I505" t="s">
        <v>451</v>
      </c>
      <c r="J505" t="s">
        <v>22</v>
      </c>
      <c r="K505" t="s">
        <v>4571</v>
      </c>
      <c r="L505" t="s">
        <v>4576</v>
      </c>
      <c r="M505" t="s">
        <v>25</v>
      </c>
      <c r="N505" t="s">
        <v>4577</v>
      </c>
      <c r="O505" t="s">
        <v>25</v>
      </c>
      <c r="P505" t="s">
        <v>4578</v>
      </c>
      <c r="Q505" t="s">
        <v>29</v>
      </c>
      <c r="R505" t="s">
        <v>4574</v>
      </c>
      <c r="S505" t="s">
        <v>4575</v>
      </c>
    </row>
    <row r="506" spans="1:19" x14ac:dyDescent="0.25">
      <c r="A506" s="1">
        <v>504</v>
      </c>
      <c r="B506" t="str">
        <f>HYPERLINK("https://www.dasschnelle.at/wieser-bernd-dr-med-univ-köflach-bahnhofstraße","Website")</f>
        <v>Website</v>
      </c>
      <c r="C506" t="str">
        <f>HYPERLINK("https://www.dasschnelle.at/wieser-bernd-dr-med-univ-k%C3%B6flach-bahnhofstra%C3%9Fe","Website")</f>
        <v>Website</v>
      </c>
      <c r="D506" t="str">
        <f>HYPERLINK("http://www.google.com/maps/place/47.06421,15.08355","Location")</f>
        <v>Location</v>
      </c>
      <c r="E506" t="s">
        <v>4579</v>
      </c>
      <c r="F506" t="s">
        <v>4580</v>
      </c>
      <c r="G506" t="s">
        <v>4582</v>
      </c>
      <c r="H506" t="s">
        <v>4583</v>
      </c>
      <c r="I506" t="s">
        <v>451</v>
      </c>
      <c r="J506" t="s">
        <v>22</v>
      </c>
      <c r="K506" t="s">
        <v>4581</v>
      </c>
      <c r="L506" t="s">
        <v>4586</v>
      </c>
      <c r="M506" t="s">
        <v>25</v>
      </c>
      <c r="N506" t="s">
        <v>4587</v>
      </c>
      <c r="O506" t="s">
        <v>25</v>
      </c>
      <c r="P506" t="s">
        <v>4588</v>
      </c>
      <c r="Q506" t="s">
        <v>29</v>
      </c>
      <c r="R506" t="s">
        <v>4584</v>
      </c>
      <c r="S506" t="s">
        <v>4585</v>
      </c>
    </row>
    <row r="507" spans="1:19" x14ac:dyDescent="0.25">
      <c r="A507" s="1">
        <v>505</v>
      </c>
      <c r="B507" t="str">
        <f>HYPERLINK("https://www.dasschnelle.at/müller-rainer-bärnbach-afling","Website")</f>
        <v>Website</v>
      </c>
      <c r="C507" t="str">
        <f>HYPERLINK("http://www.dorfwirt.at","Website")</f>
        <v>Website</v>
      </c>
      <c r="D507" t="str">
        <f>HYPERLINK("http://www.google.com/maps/place/47.10762,15.12005","Location")</f>
        <v>Location</v>
      </c>
      <c r="E507" t="s">
        <v>4589</v>
      </c>
      <c r="F507" t="s">
        <v>4590</v>
      </c>
      <c r="G507" t="s">
        <v>4592</v>
      </c>
      <c r="H507" t="s">
        <v>4593</v>
      </c>
      <c r="I507" t="s">
        <v>451</v>
      </c>
      <c r="J507" t="s">
        <v>22</v>
      </c>
      <c r="K507" t="s">
        <v>4591</v>
      </c>
      <c r="L507" t="s">
        <v>4596</v>
      </c>
      <c r="M507" t="s">
        <v>25</v>
      </c>
      <c r="N507" t="s">
        <v>4597</v>
      </c>
      <c r="O507" t="s">
        <v>25</v>
      </c>
      <c r="P507" t="s">
        <v>4598</v>
      </c>
      <c r="Q507" t="s">
        <v>29</v>
      </c>
      <c r="R507" t="s">
        <v>4594</v>
      </c>
      <c r="S507" t="s">
        <v>4595</v>
      </c>
    </row>
    <row r="508" spans="1:19" x14ac:dyDescent="0.25">
      <c r="A508" s="1">
        <v>506</v>
      </c>
      <c r="B508" t="str">
        <f>HYPERLINK("https://www.dasschnelle.at/baumgartl-irmgard-voitsberg-conrad-von-hötzendorf-straße","Website")</f>
        <v>Website</v>
      </c>
      <c r="C508" t="str">
        <f>HYPERLINK("http://www.baumgartl.at","Website")</f>
        <v>Website</v>
      </c>
      <c r="D508" t="str">
        <f>HYPERLINK("http://www.google.com/maps/place/47.0536561,15.1401633","Location")</f>
        <v>Location</v>
      </c>
      <c r="E508" t="s">
        <v>4599</v>
      </c>
      <c r="F508" t="s">
        <v>4600</v>
      </c>
      <c r="G508" t="s">
        <v>4572</v>
      </c>
      <c r="H508" t="s">
        <v>4573</v>
      </c>
      <c r="I508" t="s">
        <v>451</v>
      </c>
      <c r="J508" t="s">
        <v>22</v>
      </c>
      <c r="K508" t="s">
        <v>4601</v>
      </c>
      <c r="L508" t="s">
        <v>4604</v>
      </c>
      <c r="M508" t="s">
        <v>25</v>
      </c>
      <c r="N508" t="s">
        <v>4605</v>
      </c>
      <c r="O508" t="s">
        <v>25</v>
      </c>
      <c r="P508" t="s">
        <v>4606</v>
      </c>
      <c r="Q508" t="s">
        <v>29</v>
      </c>
      <c r="R508" t="s">
        <v>4602</v>
      </c>
      <c r="S508" t="s">
        <v>4603</v>
      </c>
    </row>
    <row r="509" spans="1:19" x14ac:dyDescent="0.25">
      <c r="A509" s="1">
        <v>507</v>
      </c>
      <c r="B509" t="str">
        <f>HYPERLINK("https://www.dasschnelle.at/gundg-kfz-werkstätte-gmbh-sankt-johann-ob-hohenburg-industriepark-steinwand","Website")</f>
        <v>Website</v>
      </c>
      <c r="C509" t="str">
        <f>HYPERLINK("http://ggkfzwerkstatt.at","Website")</f>
        <v>Website</v>
      </c>
      <c r="D509" t="str">
        <f>HYPERLINK("http://www.google.com/maps/place/47.00733,15.22154","Location")</f>
        <v>Location</v>
      </c>
      <c r="E509" t="s">
        <v>4607</v>
      </c>
      <c r="F509" t="s">
        <v>4608</v>
      </c>
      <c r="G509" t="s">
        <v>4610</v>
      </c>
      <c r="H509" t="s">
        <v>4611</v>
      </c>
      <c r="I509" t="s">
        <v>451</v>
      </c>
      <c r="J509" t="s">
        <v>22</v>
      </c>
      <c r="K509" t="s">
        <v>4609</v>
      </c>
      <c r="L509" t="s">
        <v>4614</v>
      </c>
      <c r="M509" t="s">
        <v>25</v>
      </c>
      <c r="N509" t="s">
        <v>4615</v>
      </c>
      <c r="O509" t="s">
        <v>25</v>
      </c>
      <c r="P509" t="s">
        <v>4616</v>
      </c>
      <c r="Q509" t="s">
        <v>29</v>
      </c>
      <c r="R509" t="s">
        <v>4612</v>
      </c>
      <c r="S509" t="s">
        <v>4613</v>
      </c>
    </row>
    <row r="510" spans="1:19" x14ac:dyDescent="0.25">
      <c r="A510" s="1">
        <v>508</v>
      </c>
      <c r="B510" t="str">
        <f>HYPERLINK("https://www.dasschnelle.at/magerl-markus-voitsberg-kowaldstraße","Website")</f>
        <v>Website</v>
      </c>
      <c r="C510" t="str">
        <f>HYPERLINK("http://www.magerl-reisen.at","Website")</f>
        <v>Website</v>
      </c>
      <c r="D510" t="str">
        <f>HYPERLINK("http://www.google.com/maps/place/47.04512,15.14598","Location")</f>
        <v>Location</v>
      </c>
      <c r="E510" t="s">
        <v>4617</v>
      </c>
      <c r="F510" t="s">
        <v>4618</v>
      </c>
      <c r="G510" t="s">
        <v>4572</v>
      </c>
      <c r="H510" t="s">
        <v>4573</v>
      </c>
      <c r="I510" t="s">
        <v>451</v>
      </c>
      <c r="J510" t="s">
        <v>22</v>
      </c>
      <c r="K510" t="s">
        <v>4619</v>
      </c>
      <c r="L510" t="s">
        <v>4622</v>
      </c>
      <c r="M510" t="s">
        <v>25</v>
      </c>
      <c r="N510" t="s">
        <v>4623</v>
      </c>
      <c r="O510" t="s">
        <v>25</v>
      </c>
      <c r="P510" t="s">
        <v>4624</v>
      </c>
      <c r="Q510" t="s">
        <v>29</v>
      </c>
      <c r="R510" t="s">
        <v>4620</v>
      </c>
      <c r="S510" t="s">
        <v>4621</v>
      </c>
    </row>
    <row r="511" spans="1:19" x14ac:dyDescent="0.25">
      <c r="A511" s="1">
        <v>509</v>
      </c>
      <c r="B511" t="str">
        <f>HYPERLINK("https://www.dasschnelle.at/preschan-holzbau-gmbh-voitsberg-ruhmannstraße","Website")</f>
        <v>Website</v>
      </c>
      <c r="C511" t="str">
        <f>HYPERLINK("http://www.holzbau-preschan.at","Website")</f>
        <v>Website</v>
      </c>
      <c r="D511" t="str">
        <f>HYPERLINK("http://www.google.com/maps/place/47.0363700,15.1669600","Location")</f>
        <v>Location</v>
      </c>
      <c r="E511" t="s">
        <v>4625</v>
      </c>
      <c r="F511" t="s">
        <v>4626</v>
      </c>
      <c r="G511" t="s">
        <v>4572</v>
      </c>
      <c r="H511" t="s">
        <v>4573</v>
      </c>
      <c r="I511" t="s">
        <v>451</v>
      </c>
      <c r="J511" t="s">
        <v>22</v>
      </c>
      <c r="K511" t="s">
        <v>4627</v>
      </c>
      <c r="L511" t="s">
        <v>4630</v>
      </c>
      <c r="M511" t="s">
        <v>25</v>
      </c>
      <c r="N511" t="s">
        <v>4631</v>
      </c>
      <c r="O511" t="s">
        <v>25</v>
      </c>
      <c r="P511" t="s">
        <v>4632</v>
      </c>
      <c r="Q511" t="s">
        <v>29</v>
      </c>
      <c r="R511" t="s">
        <v>4628</v>
      </c>
      <c r="S511" t="s">
        <v>4629</v>
      </c>
    </row>
    <row r="512" spans="1:19" x14ac:dyDescent="0.25">
      <c r="A512" s="1">
        <v>510</v>
      </c>
      <c r="B512" t="str">
        <f>HYPERLINK("https://www.dasschnelle.at/planner-gmbh-voitsberg-conrad-von-hötzendorf-straße","Website")</f>
        <v>Website</v>
      </c>
      <c r="C512" t="str">
        <f>HYPERLINK("http://www.planner-schuh.at","Website")</f>
        <v>Website</v>
      </c>
      <c r="D512" t="str">
        <f>HYPERLINK("http://www.google.com/maps/place/47.05194,15.14346","Location")</f>
        <v>Location</v>
      </c>
      <c r="E512" t="s">
        <v>4633</v>
      </c>
      <c r="F512" t="s">
        <v>4634</v>
      </c>
      <c r="G512" t="s">
        <v>4572</v>
      </c>
      <c r="H512" t="s">
        <v>4573</v>
      </c>
      <c r="I512" t="s">
        <v>451</v>
      </c>
      <c r="J512" t="s">
        <v>22</v>
      </c>
      <c r="K512" t="s">
        <v>4635</v>
      </c>
      <c r="L512" t="s">
        <v>4638</v>
      </c>
      <c r="M512" t="s">
        <v>25</v>
      </c>
      <c r="N512" t="s">
        <v>4639</v>
      </c>
      <c r="O512" t="s">
        <v>25</v>
      </c>
      <c r="P512" t="s">
        <v>4640</v>
      </c>
      <c r="Q512" t="s">
        <v>29</v>
      </c>
      <c r="R512" t="s">
        <v>4636</v>
      </c>
      <c r="S512" t="s">
        <v>4637</v>
      </c>
    </row>
    <row r="513" spans="1:19" x14ac:dyDescent="0.25">
      <c r="A513" s="1">
        <v>511</v>
      </c>
      <c r="B513" t="str">
        <f>HYPERLINK("https://www.dasschnelle.at/rappold-und-partner-kleinsöding-schulplatz","Website")</f>
        <v>Website</v>
      </c>
      <c r="C513" t="str">
        <f>HYPERLINK("http://www.rappold-haustechnik.at","Website")</f>
        <v>Website</v>
      </c>
      <c r="D513" t="str">
        <f>HYPERLINK("http://www.google.com/maps/place/46.99902,15.28906","Location")</f>
        <v>Location</v>
      </c>
      <c r="E513" t="s">
        <v>4641</v>
      </c>
      <c r="F513" t="s">
        <v>4642</v>
      </c>
      <c r="G513" t="s">
        <v>4644</v>
      </c>
      <c r="H513" t="s">
        <v>4645</v>
      </c>
      <c r="I513" t="s">
        <v>451</v>
      </c>
      <c r="J513" t="s">
        <v>22</v>
      </c>
      <c r="K513" t="s">
        <v>4643</v>
      </c>
      <c r="L513" t="s">
        <v>4648</v>
      </c>
      <c r="M513" t="s">
        <v>25</v>
      </c>
      <c r="N513" t="s">
        <v>4649</v>
      </c>
      <c r="O513" t="s">
        <v>4650</v>
      </c>
      <c r="P513" t="s">
        <v>4651</v>
      </c>
      <c r="Q513" t="s">
        <v>29</v>
      </c>
      <c r="R513" t="s">
        <v>4646</v>
      </c>
      <c r="S513" t="s">
        <v>4647</v>
      </c>
    </row>
    <row r="514" spans="1:19" x14ac:dyDescent="0.25">
      <c r="A514" s="1">
        <v>512</v>
      </c>
      <c r="B514" t="str">
        <f>HYPERLINK("https://www.dasschnelle.at/danilko-lukas-dr-lieboch-flurgasse","Website")</f>
        <v>Website</v>
      </c>
      <c r="C514" t="str">
        <f>HYPERLINK("http://www.augenarzt-lieboch-graz.at","Website")</f>
        <v>Website</v>
      </c>
      <c r="D514" t="str">
        <f>HYPERLINK("http://www.google.com/maps/place/46.9729252,15.3357846","Location")</f>
        <v>Location</v>
      </c>
      <c r="E514" t="s">
        <v>4652</v>
      </c>
      <c r="F514" t="s">
        <v>4653</v>
      </c>
      <c r="G514" t="s">
        <v>4655</v>
      </c>
      <c r="H514" t="s">
        <v>4656</v>
      </c>
      <c r="I514" t="s">
        <v>451</v>
      </c>
      <c r="J514" t="s">
        <v>22</v>
      </c>
      <c r="K514" t="s">
        <v>4654</v>
      </c>
      <c r="L514" t="s">
        <v>4659</v>
      </c>
      <c r="M514" t="s">
        <v>25</v>
      </c>
      <c r="N514" t="s">
        <v>25</v>
      </c>
      <c r="O514" t="s">
        <v>25</v>
      </c>
      <c r="P514" t="s">
        <v>4660</v>
      </c>
      <c r="Q514" t="s">
        <v>29</v>
      </c>
      <c r="R514" t="s">
        <v>4657</v>
      </c>
      <c r="S514" t="s">
        <v>4658</v>
      </c>
    </row>
    <row r="515" spans="1:19" x14ac:dyDescent="0.25">
      <c r="A515" s="1">
        <v>513</v>
      </c>
      <c r="B515" t="str">
        <f>HYPERLINK("https://www.dasschnelle.at/meistermaler-schmied-og-köflach-grazerstraße","Website")</f>
        <v>Website</v>
      </c>
      <c r="C515" t="str">
        <f>HYPERLINK("https://www.dasschnelle.at/meistermaler-schmied-og-k%C3%B6flach-grazerstra%C3%9Fe","Website")</f>
        <v>Website</v>
      </c>
      <c r="D515" t="str">
        <f>HYPERLINK("http://www.google.com/maps/place/47.06424,15.08711","Location")</f>
        <v>Location</v>
      </c>
      <c r="E515" t="s">
        <v>4661</v>
      </c>
      <c r="F515" t="s">
        <v>4662</v>
      </c>
      <c r="G515" t="s">
        <v>4582</v>
      </c>
      <c r="H515" t="s">
        <v>4583</v>
      </c>
      <c r="I515" t="s">
        <v>451</v>
      </c>
      <c r="J515" t="s">
        <v>22</v>
      </c>
      <c r="K515" t="s">
        <v>4663</v>
      </c>
      <c r="L515" t="s">
        <v>4666</v>
      </c>
      <c r="M515" t="s">
        <v>4667</v>
      </c>
      <c r="N515" t="s">
        <v>4668</v>
      </c>
      <c r="O515" t="s">
        <v>25</v>
      </c>
      <c r="P515" t="s">
        <v>4669</v>
      </c>
      <c r="Q515" t="s">
        <v>29</v>
      </c>
      <c r="R515" t="s">
        <v>4664</v>
      </c>
      <c r="S515" t="s">
        <v>4665</v>
      </c>
    </row>
    <row r="516" spans="1:19" x14ac:dyDescent="0.25">
      <c r="A516" s="1">
        <v>514</v>
      </c>
      <c r="B516" t="str">
        <f>HYPERLINK("https://www.dasschnelle.at/cafe-restaurant-lorber-köflach-packerstraße","Website")</f>
        <v>Website</v>
      </c>
      <c r="C516" t="str">
        <f>HYPERLINK("http://www.lipizzanerwirte.at","Website")</f>
        <v>Website</v>
      </c>
      <c r="D516" t="str">
        <f>HYPERLINK("http://www.google.com/maps/place/47.0612795,15.0808369","Location")</f>
        <v>Location</v>
      </c>
      <c r="E516" t="s">
        <v>4670</v>
      </c>
      <c r="F516" t="s">
        <v>4671</v>
      </c>
      <c r="G516" t="s">
        <v>4582</v>
      </c>
      <c r="H516" t="s">
        <v>4583</v>
      </c>
      <c r="I516" t="s">
        <v>451</v>
      </c>
      <c r="J516" t="s">
        <v>22</v>
      </c>
      <c r="K516" t="s">
        <v>4672</v>
      </c>
      <c r="L516" t="s">
        <v>4675</v>
      </c>
      <c r="M516" t="s">
        <v>25</v>
      </c>
      <c r="N516" t="s">
        <v>4676</v>
      </c>
      <c r="O516" t="s">
        <v>25</v>
      </c>
      <c r="P516" t="s">
        <v>4677</v>
      </c>
      <c r="Q516" t="s">
        <v>29</v>
      </c>
      <c r="R516" t="s">
        <v>4673</v>
      </c>
      <c r="S516" t="s">
        <v>4674</v>
      </c>
    </row>
    <row r="517" spans="1:19" x14ac:dyDescent="0.25">
      <c r="A517" s="1">
        <v>515</v>
      </c>
      <c r="B517" t="str">
        <f>HYPERLINK("https://www.dasschnelle.at/zügner-valeskini-birgit-mmag-voitsberg-burggasse","Website")</f>
        <v>Website</v>
      </c>
      <c r="C517" t="str">
        <f>HYPERLINK("https://www.dasschnelle.at/z%C3%BCgner-valeskini-birgit-mmag-voitsberg-burggasse","Website")</f>
        <v>Website</v>
      </c>
      <c r="D517" t="str">
        <f>HYPERLINK("http://www.google.com/maps/place/47.05094,15.15011","Location")</f>
        <v>Location</v>
      </c>
      <c r="E517" t="s">
        <v>4678</v>
      </c>
      <c r="F517" t="s">
        <v>4679</v>
      </c>
      <c r="G517" t="s">
        <v>4572</v>
      </c>
      <c r="H517" t="s">
        <v>4573</v>
      </c>
      <c r="I517" t="s">
        <v>451</v>
      </c>
      <c r="J517" t="s">
        <v>22</v>
      </c>
      <c r="K517" t="s">
        <v>4680</v>
      </c>
      <c r="L517" t="s">
        <v>4683</v>
      </c>
      <c r="M517" t="s">
        <v>25</v>
      </c>
      <c r="N517" t="s">
        <v>4684</v>
      </c>
      <c r="O517" t="s">
        <v>25</v>
      </c>
      <c r="P517" t="s">
        <v>4685</v>
      </c>
      <c r="Q517" t="s">
        <v>29</v>
      </c>
      <c r="R517" t="s">
        <v>4681</v>
      </c>
      <c r="S517" t="s">
        <v>4682</v>
      </c>
    </row>
    <row r="518" spans="1:19" x14ac:dyDescent="0.25">
      <c r="A518" s="1">
        <v>516</v>
      </c>
      <c r="B518" t="str">
        <f>HYPERLINK("https://www.dasschnelle.at/system-haus-at-rosental-an-der-kainach-bergweg","Website")</f>
        <v>Website</v>
      </c>
      <c r="C518" t="str">
        <f>HYPERLINK("http://www.system-haus.at","Website")</f>
        <v>Website</v>
      </c>
      <c r="D518" t="str">
        <f>HYPERLINK("http://www.google.com/maps/place/47.04968,15.14897","Location")</f>
        <v>Location</v>
      </c>
      <c r="E518" t="s">
        <v>4686</v>
      </c>
      <c r="F518" t="s">
        <v>4687</v>
      </c>
      <c r="G518" t="s">
        <v>4689</v>
      </c>
      <c r="H518" t="s">
        <v>4690</v>
      </c>
      <c r="I518" t="s">
        <v>451</v>
      </c>
      <c r="J518" t="s">
        <v>22</v>
      </c>
      <c r="K518" t="s">
        <v>4688</v>
      </c>
      <c r="L518" t="s">
        <v>4693</v>
      </c>
      <c r="M518" t="s">
        <v>25</v>
      </c>
      <c r="N518" t="s">
        <v>4694</v>
      </c>
      <c r="O518" t="s">
        <v>4695</v>
      </c>
      <c r="P518" t="s">
        <v>4696</v>
      </c>
      <c r="Q518" t="s">
        <v>29</v>
      </c>
      <c r="R518" t="s">
        <v>4691</v>
      </c>
      <c r="S518" t="s">
        <v>4692</v>
      </c>
    </row>
    <row r="519" spans="1:19" x14ac:dyDescent="0.25">
      <c r="A519" s="1">
        <v>517</v>
      </c>
      <c r="B519" t="str">
        <f>HYPERLINK("https://www.dasschnelle.at/kupferschmidt-riedel-brigitta-ligist-markt","Website")</f>
        <v>Website</v>
      </c>
      <c r="C519" t="str">
        <f>HYPERLINK("http://www.homoeopathiedrkupferschmidt.at","Website")</f>
        <v>Website</v>
      </c>
      <c r="D519" t="str">
        <f>HYPERLINK("http://www.google.com/maps/place/46.9916471,15.2075538","Location")</f>
        <v>Location</v>
      </c>
      <c r="E519" t="s">
        <v>4697</v>
      </c>
      <c r="F519" t="s">
        <v>4698</v>
      </c>
      <c r="G519" t="s">
        <v>4699</v>
      </c>
      <c r="H519" t="s">
        <v>4700</v>
      </c>
      <c r="I519" t="s">
        <v>451</v>
      </c>
      <c r="J519" t="s">
        <v>22</v>
      </c>
      <c r="K519" t="s">
        <v>25</v>
      </c>
      <c r="L519" t="s">
        <v>4703</v>
      </c>
      <c r="M519" t="s">
        <v>25</v>
      </c>
      <c r="N519" t="s">
        <v>4704</v>
      </c>
      <c r="O519" t="s">
        <v>25</v>
      </c>
      <c r="P519" t="s">
        <v>4705</v>
      </c>
      <c r="Q519" t="s">
        <v>29</v>
      </c>
      <c r="R519" t="s">
        <v>4701</v>
      </c>
      <c r="S519" t="s">
        <v>4702</v>
      </c>
    </row>
    <row r="520" spans="1:19" x14ac:dyDescent="0.25">
      <c r="A520" s="1">
        <v>518</v>
      </c>
      <c r="B520" t="str">
        <f>HYPERLINK("https://www.dasschnelle.at/taucher-sabine-voitsberg-grazer-vorstadt","Website")</f>
        <v>Website</v>
      </c>
      <c r="C520" t="str">
        <f>HYPERLINK("https://www.dasschnelle.at/taucher-sabine-voitsberg-grazer-vorstadt","Website")</f>
        <v>Website</v>
      </c>
      <c r="D520" t="str">
        <f>HYPERLINK("http://www.google.com/maps/place/47.0428,15.16203","Location")</f>
        <v>Location</v>
      </c>
      <c r="E520" t="s">
        <v>4706</v>
      </c>
      <c r="F520" t="s">
        <v>4707</v>
      </c>
      <c r="G520" t="s">
        <v>4572</v>
      </c>
      <c r="H520" t="s">
        <v>4573</v>
      </c>
      <c r="I520" t="s">
        <v>451</v>
      </c>
      <c r="J520" t="s">
        <v>22</v>
      </c>
      <c r="K520" t="s">
        <v>4708</v>
      </c>
      <c r="L520" t="s">
        <v>4711</v>
      </c>
      <c r="M520" t="s">
        <v>25</v>
      </c>
      <c r="N520" t="s">
        <v>4712</v>
      </c>
      <c r="O520" t="s">
        <v>25</v>
      </c>
      <c r="P520" t="s">
        <v>4713</v>
      </c>
      <c r="Q520" t="s">
        <v>29</v>
      </c>
      <c r="R520" t="s">
        <v>4709</v>
      </c>
      <c r="S520" t="s">
        <v>4710</v>
      </c>
    </row>
    <row r="521" spans="1:19" x14ac:dyDescent="0.25">
      <c r="A521" s="1">
        <v>519</v>
      </c>
      <c r="B521" t="str">
        <f>HYPERLINK("https://www.dasschnelle.at/alpha-vermögensberatungs-gmbh-rosental-an-der-kainach-hauptstraße","Website")</f>
        <v>Website</v>
      </c>
      <c r="C521" t="str">
        <f>HYPERLINK("http://www.alpha-finanz.at","Website")</f>
        <v>Website</v>
      </c>
      <c r="D521" t="str">
        <f>HYPERLINK("http://www.google.com/maps/place/47.05195,15.12748","Location")</f>
        <v>Location</v>
      </c>
      <c r="E521" t="s">
        <v>4714</v>
      </c>
      <c r="F521" t="s">
        <v>4715</v>
      </c>
      <c r="G521" t="s">
        <v>4689</v>
      </c>
      <c r="H521" t="s">
        <v>4690</v>
      </c>
      <c r="I521" t="s">
        <v>451</v>
      </c>
      <c r="J521" t="s">
        <v>22</v>
      </c>
      <c r="K521" t="s">
        <v>4716</v>
      </c>
      <c r="L521" t="s">
        <v>4719</v>
      </c>
      <c r="M521" t="s">
        <v>25</v>
      </c>
      <c r="N521" t="s">
        <v>4720</v>
      </c>
      <c r="O521" t="s">
        <v>25</v>
      </c>
      <c r="P521" t="s">
        <v>4721</v>
      </c>
      <c r="Q521" t="s">
        <v>29</v>
      </c>
      <c r="R521" t="s">
        <v>4717</v>
      </c>
      <c r="S521" t="s">
        <v>4718</v>
      </c>
    </row>
    <row r="522" spans="1:19" x14ac:dyDescent="0.25">
      <c r="A522" s="1">
        <v>520</v>
      </c>
      <c r="B522" t="str">
        <f>HYPERLINK("https://www.dasschnelle.at/madlmayr-josef-laahen-römerstraße","Website")</f>
        <v>Website</v>
      </c>
      <c r="C522" t="str">
        <f>HYPERLINK("http://www.sanitaer-madlmayr.at","Website")</f>
        <v>Website</v>
      </c>
      <c r="D522" t="str">
        <f>HYPERLINK("http://www.google.com/maps/place/48.16934,14.0091","Location")</f>
        <v>Location</v>
      </c>
      <c r="E522" t="s">
        <v>4722</v>
      </c>
      <c r="F522" t="s">
        <v>4723</v>
      </c>
      <c r="G522" t="s">
        <v>4725</v>
      </c>
      <c r="H522" t="s">
        <v>4726</v>
      </c>
      <c r="I522" t="s">
        <v>85</v>
      </c>
      <c r="J522" t="s">
        <v>22</v>
      </c>
      <c r="K522" t="s">
        <v>4724</v>
      </c>
      <c r="L522" t="s">
        <v>4729</v>
      </c>
      <c r="M522" t="s">
        <v>25</v>
      </c>
      <c r="N522" t="s">
        <v>4730</v>
      </c>
      <c r="O522" t="s">
        <v>4731</v>
      </c>
      <c r="P522" t="s">
        <v>4732</v>
      </c>
      <c r="Q522" t="s">
        <v>29</v>
      </c>
      <c r="R522" t="s">
        <v>4727</v>
      </c>
      <c r="S522" t="s">
        <v>4728</v>
      </c>
    </row>
    <row r="523" spans="1:19" x14ac:dyDescent="0.25">
      <c r="A523" s="1">
        <v>521</v>
      </c>
      <c r="B523" t="str">
        <f>HYPERLINK("https://www.dasschnelle.at/rader-michael-thalheim-bei-wels-reinberghof","Website")</f>
        <v>Website</v>
      </c>
      <c r="C523" t="str">
        <f>HYPERLINK("https://www.dasschnelle.at/rader-michael-thalheim-bei-wels-reinberghof","Website")</f>
        <v>Website</v>
      </c>
      <c r="D523" t="str">
        <f>HYPERLINK("http://www.google.com/maps/place/48.1512,13.99884","Location")</f>
        <v>Location</v>
      </c>
      <c r="E523" t="s">
        <v>4733</v>
      </c>
      <c r="F523" t="s">
        <v>4734</v>
      </c>
      <c r="G523" t="s">
        <v>4725</v>
      </c>
      <c r="H523" t="s">
        <v>4736</v>
      </c>
      <c r="I523" t="s">
        <v>85</v>
      </c>
      <c r="J523" t="s">
        <v>22</v>
      </c>
      <c r="K523" t="s">
        <v>4735</v>
      </c>
      <c r="L523" t="s">
        <v>4739</v>
      </c>
      <c r="M523" t="s">
        <v>25</v>
      </c>
      <c r="N523" t="s">
        <v>4740</v>
      </c>
      <c r="O523" t="s">
        <v>25</v>
      </c>
      <c r="P523" t="s">
        <v>4741</v>
      </c>
      <c r="Q523" t="s">
        <v>29</v>
      </c>
      <c r="R523" t="s">
        <v>4737</v>
      </c>
      <c r="S523" t="s">
        <v>4738</v>
      </c>
    </row>
    <row r="524" spans="1:19" x14ac:dyDescent="0.25">
      <c r="A524" s="1">
        <v>522</v>
      </c>
      <c r="B524" t="str">
        <f>HYPERLINK("https://www.dasschnelle.at/hillinger-e-u-daniela-sipbachzell-gewerbe-park-ost","Website")</f>
        <v>Website</v>
      </c>
      <c r="C524" t="str">
        <f>HYPERLINK("https://www.dasschnelle.at/hillinger-e-u-daniela-sipbachzell-gewerbe-park-ost","Website")</f>
        <v>Website</v>
      </c>
      <c r="D524" t="str">
        <f>HYPERLINK("http://www.google.com/maps/place/48.11083,14.10374","Location")</f>
        <v>Location</v>
      </c>
      <c r="E524" t="s">
        <v>4742</v>
      </c>
      <c r="F524" t="s">
        <v>4743</v>
      </c>
      <c r="G524" t="s">
        <v>4745</v>
      </c>
      <c r="H524" t="s">
        <v>4746</v>
      </c>
      <c r="I524" t="s">
        <v>85</v>
      </c>
      <c r="J524" t="s">
        <v>22</v>
      </c>
      <c r="K524" t="s">
        <v>4744</v>
      </c>
      <c r="L524" t="s">
        <v>4749</v>
      </c>
      <c r="M524" t="s">
        <v>25</v>
      </c>
      <c r="N524" t="s">
        <v>25</v>
      </c>
      <c r="O524" t="s">
        <v>25</v>
      </c>
      <c r="P524" t="s">
        <v>4750</v>
      </c>
      <c r="Q524" t="s">
        <v>29</v>
      </c>
      <c r="R524" t="s">
        <v>4747</v>
      </c>
      <c r="S524" t="s">
        <v>4748</v>
      </c>
    </row>
    <row r="525" spans="1:19" x14ac:dyDescent="0.25">
      <c r="A525" s="1">
        <v>523</v>
      </c>
      <c r="B525" t="str">
        <f>HYPERLINK("https://www.dasschnelle.at/geyrhofer-hans-und-sohn-gesmbh-wels-hans-sachs-straße","Website")</f>
        <v>Website</v>
      </c>
      <c r="C525" t="str">
        <f>HYPERLINK("http://www.geyrhofer.bmw.at","Website")</f>
        <v>Website</v>
      </c>
      <c r="D525" t="str">
        <f>HYPERLINK("http://www.google.com/maps/place/48.17161,14.04889","Location")</f>
        <v>Location</v>
      </c>
      <c r="E525" t="s">
        <v>4751</v>
      </c>
      <c r="F525" t="s">
        <v>4752</v>
      </c>
      <c r="G525" t="s">
        <v>4725</v>
      </c>
      <c r="H525" t="s">
        <v>4754</v>
      </c>
      <c r="I525" t="s">
        <v>85</v>
      </c>
      <c r="J525" t="s">
        <v>22</v>
      </c>
      <c r="K525" t="s">
        <v>4753</v>
      </c>
      <c r="L525" t="s">
        <v>4757</v>
      </c>
      <c r="M525" t="s">
        <v>25</v>
      </c>
      <c r="N525" t="s">
        <v>4758</v>
      </c>
      <c r="O525" t="s">
        <v>25</v>
      </c>
      <c r="P525" t="s">
        <v>4759</v>
      </c>
      <c r="Q525" t="s">
        <v>29</v>
      </c>
      <c r="R525" t="s">
        <v>4755</v>
      </c>
      <c r="S525" t="s">
        <v>4756</v>
      </c>
    </row>
    <row r="526" spans="1:19" x14ac:dyDescent="0.25">
      <c r="A526" s="1">
        <v>524</v>
      </c>
      <c r="B526" t="str">
        <f>HYPERLINK("https://www.dasschnelle.at/wurm-michaela-wels-dragonerstraße","Website")</f>
        <v>Website</v>
      </c>
      <c r="C526" t="str">
        <f>HYPERLINK("http://www.blumenbox.at","Website")</f>
        <v>Website</v>
      </c>
      <c r="D526" t="str">
        <f>HYPERLINK("http://www.google.com/maps/place/48.15438,14.00526","Location")</f>
        <v>Location</v>
      </c>
      <c r="E526" t="s">
        <v>4760</v>
      </c>
      <c r="F526" t="s">
        <v>4761</v>
      </c>
      <c r="G526" t="s">
        <v>4725</v>
      </c>
      <c r="H526" t="s">
        <v>4754</v>
      </c>
      <c r="I526" t="s">
        <v>85</v>
      </c>
      <c r="J526" t="s">
        <v>22</v>
      </c>
      <c r="K526" t="s">
        <v>4762</v>
      </c>
      <c r="L526" t="s">
        <v>4765</v>
      </c>
      <c r="M526" t="s">
        <v>25</v>
      </c>
      <c r="N526" t="s">
        <v>4766</v>
      </c>
      <c r="O526" t="s">
        <v>4767</v>
      </c>
      <c r="P526" t="s">
        <v>4768</v>
      </c>
      <c r="Q526" t="s">
        <v>29</v>
      </c>
      <c r="R526" t="s">
        <v>4763</v>
      </c>
      <c r="S526" t="s">
        <v>4764</v>
      </c>
    </row>
    <row r="527" spans="1:19" x14ac:dyDescent="0.25">
      <c r="A527" s="1">
        <v>525</v>
      </c>
      <c r="B527" t="str">
        <f>HYPERLINK("https://www.dasschnelle.at/silber-josef-e-u-elektro-welt-wels-ringstraße","Website")</f>
        <v>Website</v>
      </c>
      <c r="C527" t="str">
        <f>HYPERLINK("http://www.silber-elektrowelt.at","Website")</f>
        <v>Website</v>
      </c>
      <c r="D527" t="str">
        <f>HYPERLINK("http://www.google.com/maps/place/48.15778,14.02236","Location")</f>
        <v>Location</v>
      </c>
      <c r="E527" t="s">
        <v>4769</v>
      </c>
      <c r="F527" t="s">
        <v>4770</v>
      </c>
      <c r="G527" t="s">
        <v>4725</v>
      </c>
      <c r="H527" t="s">
        <v>4754</v>
      </c>
      <c r="I527" t="s">
        <v>85</v>
      </c>
      <c r="J527" t="s">
        <v>22</v>
      </c>
      <c r="K527" t="s">
        <v>4771</v>
      </c>
      <c r="L527" t="s">
        <v>4774</v>
      </c>
      <c r="M527" t="s">
        <v>25</v>
      </c>
      <c r="N527" t="s">
        <v>4775</v>
      </c>
      <c r="O527" t="s">
        <v>25</v>
      </c>
      <c r="P527" t="s">
        <v>4776</v>
      </c>
      <c r="Q527" t="s">
        <v>29</v>
      </c>
      <c r="R527" t="s">
        <v>4772</v>
      </c>
      <c r="S527" t="s">
        <v>4773</v>
      </c>
    </row>
    <row r="528" spans="1:19" x14ac:dyDescent="0.25">
      <c r="A528" s="1">
        <v>526</v>
      </c>
      <c r="B528" t="str">
        <f>HYPERLINK("https://www.dasschnelle.at/htu-dirisamer-gmbh-gunskirchen-liedering","Website")</f>
        <v>Website</v>
      </c>
      <c r="C528" t="str">
        <f>HYPERLINK("http://www.htu-dirisamer.at","Website")</f>
        <v>Website</v>
      </c>
      <c r="D528" t="str">
        <f>HYPERLINK("http://www.google.com/maps/place/48.1585647,13.9146650","Location")</f>
        <v>Location</v>
      </c>
      <c r="E528" t="s">
        <v>4777</v>
      </c>
      <c r="F528" t="s">
        <v>4778</v>
      </c>
      <c r="G528" t="s">
        <v>4780</v>
      </c>
      <c r="H528" t="s">
        <v>4781</v>
      </c>
      <c r="I528" t="s">
        <v>85</v>
      </c>
      <c r="J528" t="s">
        <v>22</v>
      </c>
      <c r="K528" t="s">
        <v>4779</v>
      </c>
      <c r="L528" t="s">
        <v>4784</v>
      </c>
      <c r="M528" t="s">
        <v>25</v>
      </c>
      <c r="N528" t="s">
        <v>4785</v>
      </c>
      <c r="O528" t="s">
        <v>25</v>
      </c>
      <c r="P528" t="s">
        <v>4786</v>
      </c>
      <c r="Q528" t="s">
        <v>29</v>
      </c>
      <c r="R528" t="s">
        <v>4782</v>
      </c>
      <c r="S528" t="s">
        <v>4783</v>
      </c>
    </row>
    <row r="529" spans="1:19" x14ac:dyDescent="0.25">
      <c r="A529" s="1">
        <v>527</v>
      </c>
      <c r="B529" t="str">
        <f>HYPERLINK("https://www.dasschnelle.at/rene-täubel-gmbh-wels-eferdinger-straße","Website")</f>
        <v>Website</v>
      </c>
      <c r="C529" t="str">
        <f>HYPERLINK("http://www.taeubel.at","Website")</f>
        <v>Website</v>
      </c>
      <c r="D529" t="str">
        <f>HYPERLINK("http://www.google.com/maps/place/48.17119,14.02631","Location")</f>
        <v>Location</v>
      </c>
      <c r="E529" t="s">
        <v>4787</v>
      </c>
      <c r="F529" t="s">
        <v>4788</v>
      </c>
      <c r="G529" t="s">
        <v>4725</v>
      </c>
      <c r="H529" t="s">
        <v>4754</v>
      </c>
      <c r="I529" t="s">
        <v>85</v>
      </c>
      <c r="J529" t="s">
        <v>22</v>
      </c>
      <c r="K529" t="s">
        <v>4789</v>
      </c>
      <c r="L529" t="s">
        <v>4792</v>
      </c>
      <c r="M529" t="s">
        <v>25</v>
      </c>
      <c r="N529" t="s">
        <v>4793</v>
      </c>
      <c r="O529" t="s">
        <v>4794</v>
      </c>
      <c r="P529" t="s">
        <v>4795</v>
      </c>
      <c r="Q529" t="s">
        <v>29</v>
      </c>
      <c r="R529" t="s">
        <v>4790</v>
      </c>
      <c r="S529" t="s">
        <v>4791</v>
      </c>
    </row>
    <row r="530" spans="1:19" x14ac:dyDescent="0.25">
      <c r="A530" s="1">
        <v>528</v>
      </c>
      <c r="B530" t="str">
        <f>HYPERLINK("https://www.dasschnelle.at/kransteiner-gmbh-bernardin-würzburgerstraße","Website")</f>
        <v>Website</v>
      </c>
      <c r="C530" t="str">
        <f>HYPERLINK("http://www.kransteiner.at","Website")</f>
        <v>Website</v>
      </c>
      <c r="D530" t="str">
        <f>HYPERLINK("http://www.google.com/maps/place/48.1612,14.00956","Location")</f>
        <v>Location</v>
      </c>
      <c r="E530" t="s">
        <v>4796</v>
      </c>
      <c r="F530" t="s">
        <v>4797</v>
      </c>
      <c r="G530" t="s">
        <v>4725</v>
      </c>
      <c r="H530" t="s">
        <v>4799</v>
      </c>
      <c r="I530" t="s">
        <v>85</v>
      </c>
      <c r="J530" t="s">
        <v>22</v>
      </c>
      <c r="K530" t="s">
        <v>4798</v>
      </c>
      <c r="L530" t="s">
        <v>4802</v>
      </c>
      <c r="M530" t="s">
        <v>4803</v>
      </c>
      <c r="N530" t="s">
        <v>4804</v>
      </c>
      <c r="O530" t="s">
        <v>4805</v>
      </c>
      <c r="P530" t="s">
        <v>4806</v>
      </c>
      <c r="Q530" t="s">
        <v>29</v>
      </c>
      <c r="R530" t="s">
        <v>4800</v>
      </c>
      <c r="S530" t="s">
        <v>4801</v>
      </c>
    </row>
    <row r="531" spans="1:19" x14ac:dyDescent="0.25">
      <c r="A531" s="1">
        <v>529</v>
      </c>
      <c r="B531" t="str">
        <f>HYPERLINK("https://www.dasschnelle.at/ea-service-scheiterbauer-andreas-wels-eferdinger-straße","Website")</f>
        <v>Website</v>
      </c>
      <c r="C531" t="str">
        <f>HYPERLINK("http://www.ea-service.at","Website")</f>
        <v>Website</v>
      </c>
      <c r="D531" t="str">
        <f>HYPERLINK("http://www.google.com/maps/place/48.16939,14.02571","Location")</f>
        <v>Location</v>
      </c>
      <c r="E531" t="s">
        <v>4807</v>
      </c>
      <c r="F531" t="s">
        <v>4808</v>
      </c>
      <c r="G531" t="s">
        <v>4725</v>
      </c>
      <c r="H531" t="s">
        <v>4754</v>
      </c>
      <c r="I531" t="s">
        <v>85</v>
      </c>
      <c r="J531" t="s">
        <v>22</v>
      </c>
      <c r="K531" t="s">
        <v>4809</v>
      </c>
      <c r="L531" t="s">
        <v>4812</v>
      </c>
      <c r="M531" t="s">
        <v>25</v>
      </c>
      <c r="N531" t="s">
        <v>4813</v>
      </c>
      <c r="O531" t="s">
        <v>25</v>
      </c>
      <c r="P531" t="s">
        <v>4814</v>
      </c>
      <c r="Q531" t="s">
        <v>29</v>
      </c>
      <c r="R531" t="s">
        <v>4810</v>
      </c>
      <c r="S531" t="s">
        <v>4811</v>
      </c>
    </row>
    <row r="532" spans="1:19" x14ac:dyDescent="0.25">
      <c r="A532" s="1">
        <v>530</v>
      </c>
      <c r="B532" t="str">
        <f>HYPERLINK("https://www.dasschnelle.at/ranzmeir-roland-laahen-ziehrerstraße","Website")</f>
        <v>Website</v>
      </c>
      <c r="C532" t="str">
        <f>HYPERLINK("http://www.ranzmeir-immobilien.at","Website")</f>
        <v>Website</v>
      </c>
      <c r="D532" t="str">
        <f>HYPERLINK("http://www.google.com/maps/place/48.17175,14.00485","Location")</f>
        <v>Location</v>
      </c>
      <c r="E532" t="s">
        <v>4815</v>
      </c>
      <c r="F532" t="s">
        <v>4816</v>
      </c>
      <c r="G532" t="s">
        <v>4725</v>
      </c>
      <c r="H532" t="s">
        <v>4726</v>
      </c>
      <c r="I532" t="s">
        <v>85</v>
      </c>
      <c r="J532" t="s">
        <v>22</v>
      </c>
      <c r="K532" t="s">
        <v>4817</v>
      </c>
      <c r="L532" t="s">
        <v>4820</v>
      </c>
      <c r="M532" t="s">
        <v>25</v>
      </c>
      <c r="N532" t="s">
        <v>4821</v>
      </c>
      <c r="O532" t="s">
        <v>25</v>
      </c>
      <c r="P532" t="s">
        <v>4822</v>
      </c>
      <c r="Q532" t="s">
        <v>29</v>
      </c>
      <c r="R532" t="s">
        <v>4818</v>
      </c>
      <c r="S532" t="s">
        <v>4819</v>
      </c>
    </row>
    <row r="533" spans="1:19" x14ac:dyDescent="0.25">
      <c r="A533" s="1">
        <v>531</v>
      </c>
      <c r="B533" t="str">
        <f>HYPERLINK("https://www.dasschnelle.at/stockinger-gmbh-schuhmode-und-orthopädie-grieskirchen-steiffstraße","Website")</f>
        <v>Website</v>
      </c>
      <c r="C533" t="str">
        <f>HYPERLINK("http://wiesbauer.stockinger.co.at/","Website")</f>
        <v>Website</v>
      </c>
      <c r="D533" t="str">
        <f>HYPERLINK("http://www.google.com/maps/place/48.2336500,13.8206800","Location")</f>
        <v>Location</v>
      </c>
      <c r="E533" t="s">
        <v>4823</v>
      </c>
      <c r="F533" t="s">
        <v>4824</v>
      </c>
      <c r="G533" t="s">
        <v>4826</v>
      </c>
      <c r="H533" t="s">
        <v>4827</v>
      </c>
      <c r="I533" t="s">
        <v>85</v>
      </c>
      <c r="J533" t="s">
        <v>22</v>
      </c>
      <c r="K533" t="s">
        <v>4825</v>
      </c>
      <c r="L533" t="s">
        <v>4830</v>
      </c>
      <c r="M533" t="s">
        <v>25</v>
      </c>
      <c r="N533" t="s">
        <v>4831</v>
      </c>
      <c r="O533" t="s">
        <v>25</v>
      </c>
      <c r="P533" t="s">
        <v>4832</v>
      </c>
      <c r="Q533" t="s">
        <v>29</v>
      </c>
      <c r="R533" t="s">
        <v>4828</v>
      </c>
      <c r="S533" t="s">
        <v>4829</v>
      </c>
    </row>
    <row r="534" spans="1:19" x14ac:dyDescent="0.25">
      <c r="A534" s="1">
        <v>532</v>
      </c>
      <c r="B534" t="str">
        <f>HYPERLINK("https://www.dasschnelle.at/gundo-installationstechnik-gmbh-wels-wimpassinger-straße","Website")</f>
        <v>Website</v>
      </c>
      <c r="C534" t="str">
        <f>HYPERLINK("http://www.go-installationstechnik.at","Website")</f>
        <v>Website</v>
      </c>
      <c r="D534" t="str">
        <f>HYPERLINK("http://www.google.com/maps/place/48.16023,14.00512","Location")</f>
        <v>Location</v>
      </c>
      <c r="E534" t="s">
        <v>4833</v>
      </c>
      <c r="F534" t="s">
        <v>4834</v>
      </c>
      <c r="G534" t="s">
        <v>4725</v>
      </c>
      <c r="H534" t="s">
        <v>4754</v>
      </c>
      <c r="I534" t="s">
        <v>85</v>
      </c>
      <c r="J534" t="s">
        <v>22</v>
      </c>
      <c r="K534" t="s">
        <v>4835</v>
      </c>
      <c r="L534" t="s">
        <v>4838</v>
      </c>
      <c r="M534" t="s">
        <v>25</v>
      </c>
      <c r="N534" t="s">
        <v>4839</v>
      </c>
      <c r="O534" t="s">
        <v>4840</v>
      </c>
      <c r="P534" t="s">
        <v>4841</v>
      </c>
      <c r="Q534" t="s">
        <v>29</v>
      </c>
      <c r="R534" t="s">
        <v>4836</v>
      </c>
      <c r="S534" t="s">
        <v>4837</v>
      </c>
    </row>
    <row r="535" spans="1:19" x14ac:dyDescent="0.25">
      <c r="A535" s="1">
        <v>533</v>
      </c>
      <c r="B535" t="str">
        <f>HYPERLINK("https://www.dasschnelle.at/scheuchenstuhl-andreas-wels-stelzhamerstraße","Website")</f>
        <v>Website</v>
      </c>
      <c r="C535" t="str">
        <f>HYPERLINK("http://www.scheuchenstuhl.at","Website")</f>
        <v>Website</v>
      </c>
      <c r="D535" t="str">
        <f>HYPERLINK("http://www.google.com/maps/place/48.1603463,14.0263077","Location")</f>
        <v>Location</v>
      </c>
      <c r="E535" t="s">
        <v>4842</v>
      </c>
      <c r="F535" t="s">
        <v>4843</v>
      </c>
      <c r="G535" t="s">
        <v>4725</v>
      </c>
      <c r="H535" t="s">
        <v>4754</v>
      </c>
      <c r="I535" t="s">
        <v>85</v>
      </c>
      <c r="J535" t="s">
        <v>22</v>
      </c>
      <c r="K535" t="s">
        <v>4844</v>
      </c>
      <c r="L535" t="s">
        <v>4847</v>
      </c>
      <c r="M535" t="s">
        <v>25</v>
      </c>
      <c r="N535" t="s">
        <v>4848</v>
      </c>
      <c r="O535" t="s">
        <v>4849</v>
      </c>
      <c r="P535" t="s">
        <v>4850</v>
      </c>
      <c r="Q535" t="s">
        <v>29</v>
      </c>
      <c r="R535" t="s">
        <v>4845</v>
      </c>
      <c r="S535" t="s">
        <v>4846</v>
      </c>
    </row>
    <row r="536" spans="1:19" x14ac:dyDescent="0.25">
      <c r="A536" s="1">
        <v>534</v>
      </c>
      <c r="B536" t="str">
        <f>HYPERLINK("https://www.dasschnelle.at/molto-luce-gmbh-wels-europastraße","Website")</f>
        <v>Website</v>
      </c>
      <c r="C536" t="str">
        <f>HYPERLINK("http://www.moltoluce.com","Website")</f>
        <v>Website</v>
      </c>
      <c r="D536" t="str">
        <f>HYPERLINK("http://www.google.com/maps/place/48.14998,13.99342","Location")</f>
        <v>Location</v>
      </c>
      <c r="E536" t="s">
        <v>4851</v>
      </c>
      <c r="F536" t="s">
        <v>4852</v>
      </c>
      <c r="G536" t="s">
        <v>4725</v>
      </c>
      <c r="H536" t="s">
        <v>4754</v>
      </c>
      <c r="I536" t="s">
        <v>85</v>
      </c>
      <c r="J536" t="s">
        <v>22</v>
      </c>
      <c r="K536" t="s">
        <v>4853</v>
      </c>
      <c r="L536" t="s">
        <v>4856</v>
      </c>
      <c r="M536" t="s">
        <v>25</v>
      </c>
      <c r="N536" t="s">
        <v>4857</v>
      </c>
      <c r="O536" t="s">
        <v>25</v>
      </c>
      <c r="P536" t="s">
        <v>4858</v>
      </c>
      <c r="Q536" t="s">
        <v>29</v>
      </c>
      <c r="R536" t="s">
        <v>4854</v>
      </c>
      <c r="S536" t="s">
        <v>4855</v>
      </c>
    </row>
    <row r="537" spans="1:19" x14ac:dyDescent="0.25">
      <c r="A537" s="1">
        <v>535</v>
      </c>
      <c r="B537" t="str">
        <f>HYPERLINK("https://www.dasschnelle.at/blitz-blank-reinigung-wels-franz-fritsch-straße","Website")</f>
        <v>Website</v>
      </c>
      <c r="C537" t="str">
        <f>HYPERLINK("https://www.dasschnelle.at/blitz-blank-reinigung-wels-franz-fritsch-stra%C3%9Fe","Website")</f>
        <v>Website</v>
      </c>
      <c r="D537" t="str">
        <f>HYPERLINK("http://www.google.com/maps/place/48.15523,14.01052","Location")</f>
        <v>Location</v>
      </c>
      <c r="E537" t="s">
        <v>4859</v>
      </c>
      <c r="F537" t="s">
        <v>4860</v>
      </c>
      <c r="G537" t="s">
        <v>4725</v>
      </c>
      <c r="H537" t="s">
        <v>4754</v>
      </c>
      <c r="I537" t="s">
        <v>85</v>
      </c>
      <c r="J537" t="s">
        <v>22</v>
      </c>
      <c r="K537" t="s">
        <v>4861</v>
      </c>
      <c r="L537" t="s">
        <v>4864</v>
      </c>
      <c r="M537" t="s">
        <v>25</v>
      </c>
      <c r="N537" t="s">
        <v>4865</v>
      </c>
      <c r="O537" t="s">
        <v>25</v>
      </c>
      <c r="P537" t="s">
        <v>4866</v>
      </c>
      <c r="Q537" t="s">
        <v>29</v>
      </c>
      <c r="R537" t="s">
        <v>4862</v>
      </c>
      <c r="S537" t="s">
        <v>4863</v>
      </c>
    </row>
    <row r="538" spans="1:19" x14ac:dyDescent="0.25">
      <c r="A538" s="1">
        <v>536</v>
      </c>
      <c r="B538" t="str">
        <f>HYPERLINK("https://www.dasschnelle.at/höfinger-alexia-wels-ringstraße","Website")</f>
        <v>Website</v>
      </c>
      <c r="C538" t="str">
        <f>HYPERLINK("http://www.alexiahoefinger.com","Website")</f>
        <v>Website</v>
      </c>
      <c r="D538" t="str">
        <f>HYPERLINK("http://www.google.com/maps/place/48.15844,14.02273","Location")</f>
        <v>Location</v>
      </c>
      <c r="E538" t="s">
        <v>4867</v>
      </c>
      <c r="F538" t="s">
        <v>4868</v>
      </c>
      <c r="G538" t="s">
        <v>4725</v>
      </c>
      <c r="H538" t="s">
        <v>4754</v>
      </c>
      <c r="I538" t="s">
        <v>85</v>
      </c>
      <c r="J538" t="s">
        <v>22</v>
      </c>
      <c r="K538" t="s">
        <v>4869</v>
      </c>
      <c r="L538" t="s">
        <v>4872</v>
      </c>
      <c r="M538" t="s">
        <v>25</v>
      </c>
      <c r="N538" t="s">
        <v>4873</v>
      </c>
      <c r="O538" t="s">
        <v>25</v>
      </c>
      <c r="P538" t="s">
        <v>4874</v>
      </c>
      <c r="Q538" t="s">
        <v>29</v>
      </c>
      <c r="R538" t="s">
        <v>4870</v>
      </c>
      <c r="S538" t="s">
        <v>4871</v>
      </c>
    </row>
    <row r="539" spans="1:19" x14ac:dyDescent="0.25">
      <c r="A539" s="1">
        <v>537</v>
      </c>
      <c r="B539" t="str">
        <f>HYPERLINK("https://www.dasschnelle.at/heitzinger-christian-wels-vogelweiderstraße","Website")</f>
        <v>Website</v>
      </c>
      <c r="C539" t="str">
        <f>HYPERLINK("http://www.heitzinger-installationen.at","Website")</f>
        <v>Website</v>
      </c>
      <c r="D539" t="str">
        <f>HYPERLINK("http://www.google.com/maps/place/48.16102,14.01766","Location")</f>
        <v>Location</v>
      </c>
      <c r="E539" t="s">
        <v>4875</v>
      </c>
      <c r="F539" t="s">
        <v>4876</v>
      </c>
      <c r="G539" t="s">
        <v>4725</v>
      </c>
      <c r="H539" t="s">
        <v>4754</v>
      </c>
      <c r="I539" t="s">
        <v>85</v>
      </c>
      <c r="J539" t="s">
        <v>22</v>
      </c>
      <c r="K539" t="s">
        <v>4877</v>
      </c>
      <c r="L539" t="s">
        <v>4880</v>
      </c>
      <c r="M539" t="s">
        <v>25</v>
      </c>
      <c r="N539" t="s">
        <v>4881</v>
      </c>
      <c r="O539" t="s">
        <v>25</v>
      </c>
      <c r="P539" t="s">
        <v>4882</v>
      </c>
      <c r="Q539" t="s">
        <v>29</v>
      </c>
      <c r="R539" t="s">
        <v>4878</v>
      </c>
      <c r="S539" t="s">
        <v>4879</v>
      </c>
    </row>
    <row r="540" spans="1:19" x14ac:dyDescent="0.25">
      <c r="A540" s="1">
        <v>538</v>
      </c>
      <c r="B540" t="str">
        <f>HYPERLINK("https://www.dasschnelle.at/ellensohn-florian-wels-paracelsusstraße","Website")</f>
        <v>Website</v>
      </c>
      <c r="C540" t="str">
        <f>HYPERLINK("http://www.ellensohn-installationen.com","Website")</f>
        <v>Website</v>
      </c>
      <c r="D540" t="str">
        <f>HYPERLINK("http://www.google.com/maps/place/48.15675,13.99825","Location")</f>
        <v>Location</v>
      </c>
      <c r="E540" t="s">
        <v>4883</v>
      </c>
      <c r="F540" t="s">
        <v>4884</v>
      </c>
      <c r="G540" t="s">
        <v>4725</v>
      </c>
      <c r="H540" t="s">
        <v>4754</v>
      </c>
      <c r="I540" t="s">
        <v>85</v>
      </c>
      <c r="J540" t="s">
        <v>22</v>
      </c>
      <c r="K540" t="s">
        <v>4885</v>
      </c>
      <c r="L540" t="s">
        <v>4888</v>
      </c>
      <c r="M540" t="s">
        <v>25</v>
      </c>
      <c r="N540" t="s">
        <v>4889</v>
      </c>
      <c r="O540" t="s">
        <v>4890</v>
      </c>
      <c r="P540" t="s">
        <v>697</v>
      </c>
      <c r="Q540" t="s">
        <v>29</v>
      </c>
      <c r="R540" t="s">
        <v>4886</v>
      </c>
      <c r="S540" t="s">
        <v>4887</v>
      </c>
    </row>
    <row r="541" spans="1:19" x14ac:dyDescent="0.25">
      <c r="A541" s="1">
        <v>539</v>
      </c>
      <c r="B541" t="str">
        <f>HYPERLINK("https://www.dasschnelle.at/bogicevic-rodoljub-wels-salzburger-straße","Website")</f>
        <v>Website</v>
      </c>
      <c r="C541" t="str">
        <f>HYPERLINK("http://www.dorapool.at","Website")</f>
        <v>Website</v>
      </c>
      <c r="D541" t="str">
        <f>HYPERLINK("http://www.google.com/maps/place/48.15661,14.00368","Location")</f>
        <v>Location</v>
      </c>
      <c r="E541" t="s">
        <v>4891</v>
      </c>
      <c r="F541" t="s">
        <v>4892</v>
      </c>
      <c r="G541" t="s">
        <v>4725</v>
      </c>
      <c r="H541" t="s">
        <v>4754</v>
      </c>
      <c r="I541" t="s">
        <v>85</v>
      </c>
      <c r="J541" t="s">
        <v>22</v>
      </c>
      <c r="K541" t="s">
        <v>4893</v>
      </c>
      <c r="L541" t="s">
        <v>4896</v>
      </c>
      <c r="M541" t="s">
        <v>25</v>
      </c>
      <c r="N541" t="s">
        <v>4897</v>
      </c>
      <c r="O541" t="s">
        <v>25</v>
      </c>
      <c r="P541" t="s">
        <v>4898</v>
      </c>
      <c r="Q541" t="s">
        <v>29</v>
      </c>
      <c r="R541" t="s">
        <v>4894</v>
      </c>
      <c r="S541" t="s">
        <v>4895</v>
      </c>
    </row>
    <row r="542" spans="1:19" x14ac:dyDescent="0.25">
      <c r="A542" s="1">
        <v>540</v>
      </c>
      <c r="B542" t="str">
        <f>HYPERLINK("https://www.dasschnelle.at/haigner-transport-u-entsorgung-gmbh-leithen-kiesstraße","Website")</f>
        <v>Website</v>
      </c>
      <c r="C542" t="str">
        <f>HYPERLINK("http://www.haigner.co.at","Website")</f>
        <v>Website</v>
      </c>
      <c r="D542" t="str">
        <f>HYPERLINK("http://www.google.com/maps/place/48.19365,14.14532","Location")</f>
        <v>Location</v>
      </c>
      <c r="E542" t="s">
        <v>4899</v>
      </c>
      <c r="F542" t="s">
        <v>4900</v>
      </c>
      <c r="G542" t="s">
        <v>4902</v>
      </c>
      <c r="H542" t="s">
        <v>4903</v>
      </c>
      <c r="I542" t="s">
        <v>85</v>
      </c>
      <c r="J542" t="s">
        <v>22</v>
      </c>
      <c r="K542" t="s">
        <v>4901</v>
      </c>
      <c r="L542" t="s">
        <v>4906</v>
      </c>
      <c r="M542" t="s">
        <v>4907</v>
      </c>
      <c r="N542" t="s">
        <v>4908</v>
      </c>
      <c r="O542" t="s">
        <v>4909</v>
      </c>
      <c r="P542" t="s">
        <v>4910</v>
      </c>
      <c r="Q542" t="s">
        <v>29</v>
      </c>
      <c r="R542" t="s">
        <v>4904</v>
      </c>
      <c r="S542" t="s">
        <v>4905</v>
      </c>
    </row>
    <row r="543" spans="1:19" x14ac:dyDescent="0.25">
      <c r="A543" s="1">
        <v>541</v>
      </c>
      <c r="B543" t="str">
        <f>HYPERLINK("https://www.dasschnelle.at/nd-beauty-lounge-wels-kaiser-josef-platz","Website")</f>
        <v>Website</v>
      </c>
      <c r="C543" t="str">
        <f>HYPERLINK("http://www.ndbeautylounge.at","Website")</f>
        <v>Website</v>
      </c>
      <c r="D543" t="str">
        <f>HYPERLINK("http://www.google.com/maps/place/48.1590107,14.0214598","Location")</f>
        <v>Location</v>
      </c>
      <c r="E543" t="s">
        <v>4911</v>
      </c>
      <c r="F543" t="s">
        <v>4912</v>
      </c>
      <c r="G543" t="s">
        <v>4725</v>
      </c>
      <c r="H543" t="s">
        <v>4754</v>
      </c>
      <c r="I543" t="s">
        <v>85</v>
      </c>
      <c r="J543" t="s">
        <v>22</v>
      </c>
      <c r="K543" t="s">
        <v>4913</v>
      </c>
      <c r="L543" t="s">
        <v>4916</v>
      </c>
      <c r="M543" t="s">
        <v>25</v>
      </c>
      <c r="N543" t="s">
        <v>4917</v>
      </c>
      <c r="O543" t="s">
        <v>25</v>
      </c>
      <c r="P543" t="s">
        <v>4918</v>
      </c>
      <c r="Q543" t="s">
        <v>29</v>
      </c>
      <c r="R543" t="s">
        <v>4914</v>
      </c>
      <c r="S543" t="s">
        <v>4915</v>
      </c>
    </row>
    <row r="544" spans="1:19" x14ac:dyDescent="0.25">
      <c r="A544" s="1">
        <v>542</v>
      </c>
      <c r="B544" t="str">
        <f>HYPERLINK("https://www.dasschnelle.at/reiter-roland-buchkirchen-am-bachgrund-15","Website")</f>
        <v>Website</v>
      </c>
      <c r="C544" t="str">
        <f>HYPERLINK("http://www.alu-reiter.at","Website")</f>
        <v>Website</v>
      </c>
      <c r="D544" t="str">
        <f>HYPERLINK("http://www.google.com/maps/place/48.2063,14.05975","Location")</f>
        <v>Location</v>
      </c>
      <c r="E544" t="s">
        <v>4919</v>
      </c>
      <c r="F544" t="s">
        <v>4920</v>
      </c>
      <c r="G544" t="s">
        <v>4922</v>
      </c>
      <c r="H544" t="s">
        <v>4923</v>
      </c>
      <c r="I544" t="s">
        <v>85</v>
      </c>
      <c r="J544" t="s">
        <v>22</v>
      </c>
      <c r="K544" t="s">
        <v>4921</v>
      </c>
      <c r="L544" t="s">
        <v>4926</v>
      </c>
      <c r="M544" t="s">
        <v>25</v>
      </c>
      <c r="N544" t="s">
        <v>4927</v>
      </c>
      <c r="O544" t="s">
        <v>25</v>
      </c>
      <c r="P544" t="s">
        <v>4928</v>
      </c>
      <c r="Q544" t="s">
        <v>29</v>
      </c>
      <c r="R544" t="s">
        <v>4924</v>
      </c>
      <c r="S544" t="s">
        <v>4925</v>
      </c>
    </row>
    <row r="545" spans="1:19" x14ac:dyDescent="0.25">
      <c r="A545" s="1">
        <v>543</v>
      </c>
      <c r="B545" t="str">
        <f>HYPERLINK("https://www.dasschnelle.at/etzelsdorfer-doris-wels-traungasse","Website")</f>
        <v>Website</v>
      </c>
      <c r="C545" t="str">
        <f>HYPERLINK("http://www.immobilien-fleck.at","Website")</f>
        <v>Website</v>
      </c>
      <c r="D545" t="str">
        <f>HYPERLINK("http://www.google.com/maps/place/48.15528,14.02641","Location")</f>
        <v>Location</v>
      </c>
      <c r="E545" t="s">
        <v>4929</v>
      </c>
      <c r="F545" t="s">
        <v>4930</v>
      </c>
      <c r="G545" t="s">
        <v>4725</v>
      </c>
      <c r="H545" t="s">
        <v>4754</v>
      </c>
      <c r="I545" t="s">
        <v>85</v>
      </c>
      <c r="J545" t="s">
        <v>22</v>
      </c>
      <c r="K545" t="s">
        <v>4931</v>
      </c>
      <c r="L545" t="s">
        <v>4934</v>
      </c>
      <c r="M545" t="s">
        <v>25</v>
      </c>
      <c r="N545" t="s">
        <v>4935</v>
      </c>
      <c r="O545" t="s">
        <v>4936</v>
      </c>
      <c r="P545" t="s">
        <v>4937</v>
      </c>
      <c r="Q545" t="s">
        <v>29</v>
      </c>
      <c r="R545" t="s">
        <v>4932</v>
      </c>
      <c r="S545" t="s">
        <v>4933</v>
      </c>
    </row>
    <row r="546" spans="1:19" x14ac:dyDescent="0.25">
      <c r="A546" s="1">
        <v>544</v>
      </c>
      <c r="B546" t="str">
        <f>HYPERLINK("https://www.dasschnelle.at/semsii-service-wels-brennereistraße","Website")</f>
        <v>Website</v>
      </c>
      <c r="C546" t="str">
        <f>HYPERLINK("http://www.semsii.at","Website")</f>
        <v>Website</v>
      </c>
      <c r="D546" t="str">
        <f>HYPERLINK("http://www.google.com/maps/place/48.16052,14.01392","Location")</f>
        <v>Location</v>
      </c>
      <c r="E546" t="s">
        <v>4938</v>
      </c>
      <c r="F546" t="s">
        <v>4939</v>
      </c>
      <c r="G546" t="s">
        <v>4725</v>
      </c>
      <c r="H546" t="s">
        <v>4754</v>
      </c>
      <c r="I546" t="s">
        <v>85</v>
      </c>
      <c r="J546" t="s">
        <v>22</v>
      </c>
      <c r="K546" t="s">
        <v>4940</v>
      </c>
      <c r="L546" t="s">
        <v>4943</v>
      </c>
      <c r="M546" t="s">
        <v>25</v>
      </c>
      <c r="N546" t="s">
        <v>4944</v>
      </c>
      <c r="O546" t="s">
        <v>25</v>
      </c>
      <c r="P546" t="s">
        <v>4945</v>
      </c>
      <c r="Q546" t="s">
        <v>29</v>
      </c>
      <c r="R546" t="s">
        <v>4941</v>
      </c>
      <c r="S546" t="s">
        <v>4942</v>
      </c>
    </row>
    <row r="547" spans="1:19" x14ac:dyDescent="0.25">
      <c r="A547" s="1">
        <v>545</v>
      </c>
      <c r="B547" t="str">
        <f>HYPERLINK("https://www.dasschnelle.at/fußpflege-sunny-feet-melisa-makelic-wels-eisenhowerstraße","Website")</f>
        <v>Website</v>
      </c>
      <c r="C547" t="str">
        <f>HYPERLINK("https://www.dasschnelle.at/fu%C3%9Fpflege-sunny-feet-melisa-makelic-wels-eisenhowerstra%C3%9Fe","Website")</f>
        <v>Website</v>
      </c>
      <c r="D547" t="str">
        <f>HYPERLINK("http://www.google.com/maps/place/48.16111,14.02091","Location")</f>
        <v>Location</v>
      </c>
      <c r="E547" t="s">
        <v>4946</v>
      </c>
      <c r="F547" t="s">
        <v>4947</v>
      </c>
      <c r="G547" t="s">
        <v>4725</v>
      </c>
      <c r="H547" t="s">
        <v>4754</v>
      </c>
      <c r="I547" t="s">
        <v>85</v>
      </c>
      <c r="J547" t="s">
        <v>22</v>
      </c>
      <c r="K547" t="s">
        <v>4948</v>
      </c>
      <c r="L547" t="s">
        <v>4951</v>
      </c>
      <c r="M547" t="s">
        <v>25</v>
      </c>
      <c r="N547" t="s">
        <v>4952</v>
      </c>
      <c r="O547" t="s">
        <v>25</v>
      </c>
      <c r="P547" t="s">
        <v>4953</v>
      </c>
      <c r="Q547" t="s">
        <v>29</v>
      </c>
      <c r="R547" t="s">
        <v>4949</v>
      </c>
      <c r="S547" t="s">
        <v>4950</v>
      </c>
    </row>
    <row r="548" spans="1:19" x14ac:dyDescent="0.25">
      <c r="A548" s="1">
        <v>546</v>
      </c>
      <c r="B548" t="str">
        <f>HYPERLINK("https://www.dasschnelle.at/liman-reinigungs-u-umweltpflegeges-wels-hans-piber-straße","Website")</f>
        <v>Website</v>
      </c>
      <c r="C548" t="str">
        <f>HYPERLINK("http://www.liman.at","Website")</f>
        <v>Website</v>
      </c>
      <c r="D548" t="str">
        <f>HYPERLINK("http://www.google.com/maps/place/48.1897400,14.0566300","Location")</f>
        <v>Location</v>
      </c>
      <c r="E548" t="s">
        <v>4954</v>
      </c>
      <c r="F548" t="s">
        <v>4955</v>
      </c>
      <c r="G548" t="s">
        <v>4725</v>
      </c>
      <c r="H548" t="s">
        <v>4754</v>
      </c>
      <c r="I548" t="s">
        <v>85</v>
      </c>
      <c r="J548" t="s">
        <v>22</v>
      </c>
      <c r="K548" t="s">
        <v>4956</v>
      </c>
      <c r="L548" t="s">
        <v>4959</v>
      </c>
      <c r="M548" t="s">
        <v>25</v>
      </c>
      <c r="N548" t="s">
        <v>4960</v>
      </c>
      <c r="O548" t="s">
        <v>25</v>
      </c>
      <c r="P548" t="s">
        <v>4961</v>
      </c>
      <c r="Q548" t="s">
        <v>29</v>
      </c>
      <c r="R548" t="s">
        <v>4957</v>
      </c>
      <c r="S548" t="s">
        <v>4958</v>
      </c>
    </row>
    <row r="549" spans="1:19" x14ac:dyDescent="0.25">
      <c r="A549" s="1">
        <v>547</v>
      </c>
      <c r="B549" t="str">
        <f>HYPERLINK("https://www.dasschnelle.at/hoffmann-jürgen-steinhaus-fischlhamerstraße","Website")</f>
        <v>Website</v>
      </c>
      <c r="C549" t="str">
        <f>HYPERLINK("https://www.dasschnelle.at/hoffmann-j%C3%BCrgen-steinhaus-fischlhamerstra%C3%9Fe","Website")</f>
        <v>Website</v>
      </c>
      <c r="D549" t="str">
        <f>HYPERLINK("http://www.google.com/maps/place/48.12785,14.00971","Location")</f>
        <v>Location</v>
      </c>
      <c r="E549" t="s">
        <v>4962</v>
      </c>
      <c r="F549" t="s">
        <v>4963</v>
      </c>
      <c r="G549" t="s">
        <v>4965</v>
      </c>
      <c r="H549" t="s">
        <v>4966</v>
      </c>
      <c r="I549" t="s">
        <v>85</v>
      </c>
      <c r="J549" t="s">
        <v>22</v>
      </c>
      <c r="K549" t="s">
        <v>4964</v>
      </c>
      <c r="L549" t="s">
        <v>4969</v>
      </c>
      <c r="M549" t="s">
        <v>25</v>
      </c>
      <c r="N549" t="s">
        <v>4970</v>
      </c>
      <c r="O549" t="s">
        <v>25</v>
      </c>
      <c r="P549" t="s">
        <v>4971</v>
      </c>
      <c r="Q549" t="s">
        <v>29</v>
      </c>
      <c r="R549" t="s">
        <v>4967</v>
      </c>
      <c r="S549" t="s">
        <v>4968</v>
      </c>
    </row>
    <row r="550" spans="1:19" x14ac:dyDescent="0.25">
      <c r="A550" s="1">
        <v>548</v>
      </c>
      <c r="B550" t="str">
        <f>HYPERLINK("https://www.dasschnelle.at/optik-bauer-gesmbh-wels-adlerstraße","Website")</f>
        <v>Website</v>
      </c>
      <c r="C550" t="str">
        <f>HYPERLINK("http://www.optikbauer.at","Website")</f>
        <v>Website</v>
      </c>
      <c r="D550" t="str">
        <f>HYPERLINK("http://www.google.com/maps/place/48.15922,14.02817","Location")</f>
        <v>Location</v>
      </c>
      <c r="E550" t="s">
        <v>4972</v>
      </c>
      <c r="F550" t="s">
        <v>4973</v>
      </c>
      <c r="G550" t="s">
        <v>4725</v>
      </c>
      <c r="H550" t="s">
        <v>4754</v>
      </c>
      <c r="I550" t="s">
        <v>85</v>
      </c>
      <c r="J550" t="s">
        <v>22</v>
      </c>
      <c r="K550" t="s">
        <v>4974</v>
      </c>
      <c r="L550" t="s">
        <v>4977</v>
      </c>
      <c r="M550" t="s">
        <v>25</v>
      </c>
      <c r="N550" t="s">
        <v>25</v>
      </c>
      <c r="O550" t="s">
        <v>25</v>
      </c>
      <c r="P550" t="s">
        <v>4978</v>
      </c>
      <c r="Q550" t="s">
        <v>29</v>
      </c>
      <c r="R550" t="s">
        <v>4975</v>
      </c>
      <c r="S550" t="s">
        <v>4976</v>
      </c>
    </row>
    <row r="551" spans="1:19" x14ac:dyDescent="0.25">
      <c r="A551" s="1">
        <v>549</v>
      </c>
      <c r="B551" t="str">
        <f>HYPERLINK("https://www.dasschnelle.at/viera-versicherungsberatungs-gmbh-wels-grieskirchner-straße","Website")</f>
        <v>Website</v>
      </c>
      <c r="C551" t="str">
        <f>HYPERLINK("http://www.4a-berater.at","Website")</f>
        <v>Website</v>
      </c>
      <c r="D551" t="str">
        <f>HYPERLINK("http://www.google.com/maps/place/48.17993,14.01945","Location")</f>
        <v>Location</v>
      </c>
      <c r="E551" t="s">
        <v>4979</v>
      </c>
      <c r="F551" t="s">
        <v>4980</v>
      </c>
      <c r="G551" t="s">
        <v>4725</v>
      </c>
      <c r="H551" t="s">
        <v>4754</v>
      </c>
      <c r="I551" t="s">
        <v>85</v>
      </c>
      <c r="J551" t="s">
        <v>22</v>
      </c>
      <c r="K551" t="s">
        <v>4981</v>
      </c>
      <c r="L551" t="s">
        <v>4984</v>
      </c>
      <c r="M551" t="s">
        <v>25</v>
      </c>
      <c r="N551" t="s">
        <v>4985</v>
      </c>
      <c r="O551" t="s">
        <v>4986</v>
      </c>
      <c r="P551" t="s">
        <v>4987</v>
      </c>
      <c r="Q551" t="s">
        <v>29</v>
      </c>
      <c r="R551" t="s">
        <v>4982</v>
      </c>
      <c r="S551" t="s">
        <v>4983</v>
      </c>
    </row>
    <row r="552" spans="1:19" x14ac:dyDescent="0.25">
      <c r="A552" s="1">
        <v>550</v>
      </c>
      <c r="B552" t="str">
        <f>HYPERLINK("https://www.dasschnelle.at/sun-asia-shop-und-imbiss-wels-salzburger-straße","Website")</f>
        <v>Website</v>
      </c>
      <c r="C552" t="str">
        <f>HYPERLINK("http://www.sun-asiashop.at","Website")</f>
        <v>Website</v>
      </c>
      <c r="D552" t="str">
        <f>HYPERLINK("http://www.google.com/maps/place/48.1565,14.00547","Location")</f>
        <v>Location</v>
      </c>
      <c r="E552" t="s">
        <v>4988</v>
      </c>
      <c r="F552" t="s">
        <v>4989</v>
      </c>
      <c r="G552" t="s">
        <v>4725</v>
      </c>
      <c r="H552" t="s">
        <v>4754</v>
      </c>
      <c r="I552" t="s">
        <v>85</v>
      </c>
      <c r="J552" t="s">
        <v>22</v>
      </c>
      <c r="K552" t="s">
        <v>4990</v>
      </c>
      <c r="L552" t="s">
        <v>4993</v>
      </c>
      <c r="M552" t="s">
        <v>25</v>
      </c>
      <c r="N552" t="s">
        <v>4994</v>
      </c>
      <c r="O552" t="s">
        <v>25</v>
      </c>
      <c r="P552" t="s">
        <v>4995</v>
      </c>
      <c r="Q552" t="s">
        <v>29</v>
      </c>
      <c r="R552" t="s">
        <v>4991</v>
      </c>
      <c r="S552" t="s">
        <v>4992</v>
      </c>
    </row>
    <row r="553" spans="1:19" x14ac:dyDescent="0.25">
      <c r="A553" s="1">
        <v>551</v>
      </c>
      <c r="B553" t="str">
        <f>HYPERLINK("https://www.dasschnelle.at/hubert-reinhard-anglerwelt-wels-eferdinger-straße","Website")</f>
        <v>Website</v>
      </c>
      <c r="C553" t="str">
        <f>HYPERLINK("https://www.dasschnelle.at/hubert-reinhard-anglerwelt-wels-eferdinger-stra%C3%9Fe","Website")</f>
        <v>Website</v>
      </c>
      <c r="D553" t="str">
        <f>HYPERLINK("http://www.google.com/maps/place/48.16777,14.02517","Location")</f>
        <v>Location</v>
      </c>
      <c r="E553" t="s">
        <v>4996</v>
      </c>
      <c r="F553" t="s">
        <v>4997</v>
      </c>
      <c r="G553" t="s">
        <v>4725</v>
      </c>
      <c r="H553" t="s">
        <v>4754</v>
      </c>
      <c r="I553" t="s">
        <v>85</v>
      </c>
      <c r="J553" t="s">
        <v>22</v>
      </c>
      <c r="K553" t="s">
        <v>4998</v>
      </c>
      <c r="L553" t="s">
        <v>5001</v>
      </c>
      <c r="M553" t="s">
        <v>25</v>
      </c>
      <c r="N553" t="s">
        <v>5002</v>
      </c>
      <c r="O553" t="s">
        <v>25</v>
      </c>
      <c r="P553" t="s">
        <v>5003</v>
      </c>
      <c r="Q553" t="s">
        <v>29</v>
      </c>
      <c r="R553" t="s">
        <v>4999</v>
      </c>
      <c r="S553" t="s">
        <v>5000</v>
      </c>
    </row>
    <row r="554" spans="1:19" x14ac:dyDescent="0.25">
      <c r="A554" s="1">
        <v>552</v>
      </c>
      <c r="B554" t="str">
        <f>HYPERLINK("https://www.dasschnelle.at/hoffmann-reinhold-oberschauersberg-bachstraße","Website")</f>
        <v>Website</v>
      </c>
      <c r="C554" t="str">
        <f>HYPERLINK("http://www.hoffmann-dach.at","Website")</f>
        <v>Website</v>
      </c>
      <c r="D554" t="str">
        <f>HYPERLINK("http://www.google.com/maps/place/48.1333522,14.0078607","Location")</f>
        <v>Location</v>
      </c>
      <c r="E554" t="s">
        <v>5004</v>
      </c>
      <c r="F554" t="s">
        <v>5005</v>
      </c>
      <c r="G554" t="s">
        <v>4965</v>
      </c>
      <c r="H554" t="s">
        <v>5007</v>
      </c>
      <c r="I554" t="s">
        <v>85</v>
      </c>
      <c r="J554" t="s">
        <v>22</v>
      </c>
      <c r="K554" t="s">
        <v>5006</v>
      </c>
      <c r="L554" t="s">
        <v>5010</v>
      </c>
      <c r="M554" t="s">
        <v>25</v>
      </c>
      <c r="N554" t="s">
        <v>5011</v>
      </c>
      <c r="O554" t="s">
        <v>5012</v>
      </c>
      <c r="P554" t="s">
        <v>5013</v>
      </c>
      <c r="Q554" t="s">
        <v>29</v>
      </c>
      <c r="R554" t="s">
        <v>5008</v>
      </c>
      <c r="S554" t="s">
        <v>5009</v>
      </c>
    </row>
    <row r="555" spans="1:19" x14ac:dyDescent="0.25">
      <c r="A555" s="1">
        <v>553</v>
      </c>
      <c r="B555" t="str">
        <f>HYPERLINK("https://www.dasschnelle.at/w-und-r-sicherheitstechnik-gmbh-wels-maria-theresia-straße","Website")</f>
        <v>Website</v>
      </c>
      <c r="C555" t="str">
        <f>HYPERLINK("https://www.dasschnelle.at/w-und-r-sicherheitstechnik-gmbh-wels-maria-theresia-stra%C3%9Fe","Website")</f>
        <v>Website</v>
      </c>
      <c r="D555" t="str">
        <f>HYPERLINK("http://www.google.com/maps/place/48.15627,14.02039","Location")</f>
        <v>Location</v>
      </c>
      <c r="E555" t="s">
        <v>5014</v>
      </c>
      <c r="F555" t="s">
        <v>5015</v>
      </c>
      <c r="G555" t="s">
        <v>4725</v>
      </c>
      <c r="H555" t="s">
        <v>4754</v>
      </c>
      <c r="I555" t="s">
        <v>85</v>
      </c>
      <c r="J555" t="s">
        <v>22</v>
      </c>
      <c r="K555" t="s">
        <v>5016</v>
      </c>
      <c r="L555" t="s">
        <v>5019</v>
      </c>
      <c r="M555" t="s">
        <v>25</v>
      </c>
      <c r="N555" t="s">
        <v>25</v>
      </c>
      <c r="O555" t="s">
        <v>25</v>
      </c>
      <c r="P555" t="s">
        <v>5020</v>
      </c>
      <c r="Q555" t="s">
        <v>29</v>
      </c>
      <c r="R555" t="s">
        <v>5017</v>
      </c>
      <c r="S555" t="s">
        <v>5018</v>
      </c>
    </row>
    <row r="556" spans="1:19" x14ac:dyDescent="0.25">
      <c r="A556" s="1">
        <v>554</v>
      </c>
      <c r="B556" t="str">
        <f>HYPERLINK("https://www.dasschnelle.at/milijkovic-naida-höllwiesen-oberfeldstraße","Website")</f>
        <v>Website</v>
      </c>
      <c r="C556" t="str">
        <f>HYPERLINK("http://www.frisuren-steininger.at","Website")</f>
        <v>Website</v>
      </c>
      <c r="D556" t="str">
        <f>HYPERLINK("http://www.google.com/maps/place/48.18232,14.01431","Location")</f>
        <v>Location</v>
      </c>
      <c r="E556" t="s">
        <v>5021</v>
      </c>
      <c r="F556" t="s">
        <v>5022</v>
      </c>
      <c r="G556" t="s">
        <v>4725</v>
      </c>
      <c r="H556" t="s">
        <v>5024</v>
      </c>
      <c r="I556" t="s">
        <v>85</v>
      </c>
      <c r="J556" t="s">
        <v>22</v>
      </c>
      <c r="K556" t="s">
        <v>5023</v>
      </c>
      <c r="L556" t="s">
        <v>5027</v>
      </c>
      <c r="M556" t="s">
        <v>25</v>
      </c>
      <c r="N556" t="s">
        <v>5028</v>
      </c>
      <c r="O556" t="s">
        <v>25</v>
      </c>
      <c r="P556" t="s">
        <v>5029</v>
      </c>
      <c r="Q556" t="s">
        <v>29</v>
      </c>
      <c r="R556" t="s">
        <v>5025</v>
      </c>
      <c r="S556" t="s">
        <v>5026</v>
      </c>
    </row>
    <row r="557" spans="1:19" x14ac:dyDescent="0.25">
      <c r="A557" s="1">
        <v>555</v>
      </c>
      <c r="B557" t="str">
        <f>HYPERLINK("https://www.dasschnelle.at/ehk-sowi-eisenwaren-haus-u-küchengeräte-großhandels-gmbh-wels-gärtnerstraße","Website")</f>
        <v>Website</v>
      </c>
      <c r="C557" t="str">
        <f>HYPERLINK("http://www.schildmair.at","Website")</f>
        <v>Website</v>
      </c>
      <c r="D557" t="str">
        <f>HYPERLINK("http://www.google.com/maps/place/48.1672,14.02741","Location")</f>
        <v>Location</v>
      </c>
      <c r="E557" t="s">
        <v>5030</v>
      </c>
      <c r="F557" t="s">
        <v>5031</v>
      </c>
      <c r="G557" t="s">
        <v>4725</v>
      </c>
      <c r="H557" t="s">
        <v>4754</v>
      </c>
      <c r="I557" t="s">
        <v>85</v>
      </c>
      <c r="J557" t="s">
        <v>22</v>
      </c>
      <c r="K557" t="s">
        <v>5032</v>
      </c>
      <c r="L557" t="s">
        <v>5035</v>
      </c>
      <c r="M557" t="s">
        <v>5036</v>
      </c>
      <c r="N557" t="s">
        <v>5037</v>
      </c>
      <c r="O557" t="s">
        <v>25</v>
      </c>
      <c r="P557" t="s">
        <v>5038</v>
      </c>
      <c r="Q557" t="s">
        <v>29</v>
      </c>
      <c r="R557" t="s">
        <v>5033</v>
      </c>
      <c r="S557" t="s">
        <v>5034</v>
      </c>
    </row>
    <row r="558" spans="1:19" x14ac:dyDescent="0.25">
      <c r="A558" s="1">
        <v>556</v>
      </c>
      <c r="B558" t="str">
        <f>HYPERLINK("https://www.dasschnelle.at/hmw-huber-metall-werktstatt-wels-gärtnerstraße","Website")</f>
        <v>Website</v>
      </c>
      <c r="C558" t="str">
        <f>HYPERLINK("http://www.hmw.cc","Website")</f>
        <v>Website</v>
      </c>
      <c r="D558" t="str">
        <f>HYPERLINK("http://www.google.com/maps/place/48.16724,14.0276","Location")</f>
        <v>Location</v>
      </c>
      <c r="E558" t="s">
        <v>5039</v>
      </c>
      <c r="F558" t="s">
        <v>5040</v>
      </c>
      <c r="G558" t="s">
        <v>4725</v>
      </c>
      <c r="H558" t="s">
        <v>4754</v>
      </c>
      <c r="I558" t="s">
        <v>85</v>
      </c>
      <c r="J558" t="s">
        <v>22</v>
      </c>
      <c r="K558" t="s">
        <v>5041</v>
      </c>
      <c r="L558" t="s">
        <v>5044</v>
      </c>
      <c r="M558" t="s">
        <v>5045</v>
      </c>
      <c r="N558" t="s">
        <v>5046</v>
      </c>
      <c r="O558" t="s">
        <v>5047</v>
      </c>
      <c r="P558" t="s">
        <v>5048</v>
      </c>
      <c r="Q558" t="s">
        <v>29</v>
      </c>
      <c r="R558" t="s">
        <v>5042</v>
      </c>
      <c r="S558" t="s">
        <v>5043</v>
      </c>
    </row>
    <row r="559" spans="1:19" x14ac:dyDescent="0.25">
      <c r="A559" s="1">
        <v>557</v>
      </c>
      <c r="B559" t="str">
        <f>HYPERLINK("https://www.dasschnelle.at/auto-rainer-gesmbh-und-co-kg-wels-camillo-schulz-straße","Website")</f>
        <v>Website</v>
      </c>
      <c r="C559" t="str">
        <f>HYPERLINK("http://www.mazda-rainer.at","Website")</f>
        <v>Website</v>
      </c>
      <c r="D559" t="str">
        <f>HYPERLINK("http://www.google.com/maps/place/48.1611073,14.0083262","Location")</f>
        <v>Location</v>
      </c>
      <c r="E559" t="s">
        <v>5049</v>
      </c>
      <c r="F559" t="s">
        <v>5050</v>
      </c>
      <c r="G559" t="s">
        <v>4725</v>
      </c>
      <c r="H559" t="s">
        <v>4754</v>
      </c>
      <c r="I559" t="s">
        <v>85</v>
      </c>
      <c r="J559" t="s">
        <v>22</v>
      </c>
      <c r="K559" t="s">
        <v>5051</v>
      </c>
      <c r="L559" t="s">
        <v>5054</v>
      </c>
      <c r="M559" t="s">
        <v>5055</v>
      </c>
      <c r="N559" t="s">
        <v>5056</v>
      </c>
      <c r="O559" t="s">
        <v>25</v>
      </c>
      <c r="P559" t="s">
        <v>5057</v>
      </c>
      <c r="Q559" t="s">
        <v>29</v>
      </c>
      <c r="R559" t="s">
        <v>5052</v>
      </c>
      <c r="S559" t="s">
        <v>5053</v>
      </c>
    </row>
    <row r="560" spans="1:19" x14ac:dyDescent="0.25">
      <c r="A560" s="1">
        <v>558</v>
      </c>
      <c r="B560" t="str">
        <f>HYPERLINK("https://www.dasschnelle.at/immotreuhand-immobilienberatung-vermi-wels-kaiser-josef-platz","Website")</f>
        <v>Website</v>
      </c>
      <c r="C560" t="str">
        <f>HYPERLINK("http://www.immotreuhand.at","Website")</f>
        <v>Website</v>
      </c>
      <c r="D560" t="str">
        <f>HYPERLINK("http://www.google.com/maps/place/48.1590300,14.0209400","Location")</f>
        <v>Location</v>
      </c>
      <c r="E560" t="s">
        <v>5058</v>
      </c>
      <c r="F560" t="s">
        <v>5059</v>
      </c>
      <c r="G560" t="s">
        <v>4725</v>
      </c>
      <c r="H560" t="s">
        <v>4754</v>
      </c>
      <c r="I560" t="s">
        <v>85</v>
      </c>
      <c r="J560" t="s">
        <v>22</v>
      </c>
      <c r="K560" t="s">
        <v>5060</v>
      </c>
      <c r="L560" t="s">
        <v>5063</v>
      </c>
      <c r="M560" t="s">
        <v>25</v>
      </c>
      <c r="N560" t="s">
        <v>5064</v>
      </c>
      <c r="O560" t="s">
        <v>25</v>
      </c>
      <c r="P560" t="s">
        <v>5065</v>
      </c>
      <c r="Q560" t="s">
        <v>29</v>
      </c>
      <c r="R560" t="s">
        <v>5061</v>
      </c>
      <c r="S560" t="s">
        <v>5062</v>
      </c>
    </row>
    <row r="561" spans="1:19" x14ac:dyDescent="0.25">
      <c r="A561" s="1">
        <v>559</v>
      </c>
      <c r="B561" t="str">
        <f>HYPERLINK("https://www.dasschnelle.at/krauland-peter-sittersdorf-kristendorf","Website")</f>
        <v>Website</v>
      </c>
      <c r="C561" t="str">
        <f>HYPERLINK("https://www.dasschnelle.at/krauland-peter-sittersdorf-kristendorf","Website")</f>
        <v>Website</v>
      </c>
      <c r="D561" t="str">
        <f>HYPERLINK("http://www.google.com/maps/place/46.5537588,14.6485392","Location")</f>
        <v>Location</v>
      </c>
      <c r="E561" t="s">
        <v>5066</v>
      </c>
      <c r="F561" t="s">
        <v>5067</v>
      </c>
      <c r="G561" t="s">
        <v>5069</v>
      </c>
      <c r="H561" t="s">
        <v>5070</v>
      </c>
      <c r="I561" t="s">
        <v>4130</v>
      </c>
      <c r="J561" t="s">
        <v>22</v>
      </c>
      <c r="K561" t="s">
        <v>5068</v>
      </c>
      <c r="L561" t="s">
        <v>5073</v>
      </c>
      <c r="M561" t="s">
        <v>25</v>
      </c>
      <c r="N561" t="s">
        <v>5074</v>
      </c>
      <c r="O561" t="s">
        <v>25</v>
      </c>
      <c r="P561" t="s">
        <v>5075</v>
      </c>
      <c r="Q561" t="s">
        <v>29</v>
      </c>
      <c r="R561" t="s">
        <v>5071</v>
      </c>
      <c r="S561" t="s">
        <v>5072</v>
      </c>
    </row>
    <row r="562" spans="1:19" x14ac:dyDescent="0.25">
      <c r="A562" s="1">
        <v>560</v>
      </c>
      <c r="B562" t="str">
        <f>HYPERLINK("https://www.dasschnelle.at/deutsch-josef-dr-völkermarkt-hauptplatz","Website")</f>
        <v>Website</v>
      </c>
      <c r="C562" t="str">
        <f>HYPERLINK("http://www.lungenpraxis-deutsch.at","Website")</f>
        <v>Website</v>
      </c>
      <c r="D562" t="str">
        <f>HYPERLINK("http://www.google.com/maps/place/46.65833,14.63337","Location")</f>
        <v>Location</v>
      </c>
      <c r="E562" t="s">
        <v>5076</v>
      </c>
      <c r="F562" t="s">
        <v>5077</v>
      </c>
      <c r="G562" t="s">
        <v>5079</v>
      </c>
      <c r="H562" t="s">
        <v>5080</v>
      </c>
      <c r="I562" t="s">
        <v>4130</v>
      </c>
      <c r="J562" t="s">
        <v>22</v>
      </c>
      <c r="K562" t="s">
        <v>5078</v>
      </c>
      <c r="L562" t="s">
        <v>5083</v>
      </c>
      <c r="M562" t="s">
        <v>25</v>
      </c>
      <c r="N562" t="s">
        <v>5084</v>
      </c>
      <c r="O562" t="s">
        <v>25</v>
      </c>
      <c r="P562" t="s">
        <v>5085</v>
      </c>
      <c r="Q562" t="s">
        <v>29</v>
      </c>
      <c r="R562" t="s">
        <v>5081</v>
      </c>
      <c r="S562" t="s">
        <v>5082</v>
      </c>
    </row>
    <row r="563" spans="1:19" x14ac:dyDescent="0.25">
      <c r="A563" s="1">
        <v>561</v>
      </c>
      <c r="B563" t="str">
        <f>HYPERLINK("https://www.dasschnelle.at/calabro-gertraud-pizzeria-don-carlo-völkermarkt-herzog-bernhard-platz","Website")</f>
        <v>Website</v>
      </c>
      <c r="C563" t="str">
        <f>HYPERLINK("http://www.doncarlo.at","Website")</f>
        <v>Website</v>
      </c>
      <c r="D563" t="str">
        <f>HYPERLINK("http://www.google.com/maps/place/46.6622542,14.6336734","Location")</f>
        <v>Location</v>
      </c>
      <c r="E563" t="s">
        <v>5086</v>
      </c>
      <c r="F563" t="s">
        <v>5087</v>
      </c>
      <c r="G563" t="s">
        <v>5079</v>
      </c>
      <c r="H563" t="s">
        <v>5080</v>
      </c>
      <c r="I563" t="s">
        <v>4130</v>
      </c>
      <c r="J563" t="s">
        <v>22</v>
      </c>
      <c r="K563" t="s">
        <v>5088</v>
      </c>
      <c r="L563" t="s">
        <v>5091</v>
      </c>
      <c r="M563" t="s">
        <v>25</v>
      </c>
      <c r="N563" t="s">
        <v>5092</v>
      </c>
      <c r="O563" t="s">
        <v>25</v>
      </c>
      <c r="P563" t="s">
        <v>5093</v>
      </c>
      <c r="Q563" t="s">
        <v>29</v>
      </c>
      <c r="R563" t="s">
        <v>5089</v>
      </c>
      <c r="S563" t="s">
        <v>5090</v>
      </c>
    </row>
    <row r="564" spans="1:19" x14ac:dyDescent="0.25">
      <c r="A564" s="1">
        <v>562</v>
      </c>
      <c r="B564" t="str">
        <f>HYPERLINK("https://www.dasschnelle.at/easy-drivers-völkermarkt-mettingerstraße","Website")</f>
        <v>Website</v>
      </c>
      <c r="C564" t="str">
        <f>HYPERLINK("http://www.easydrivers.at","Website")</f>
        <v>Website</v>
      </c>
      <c r="D564" t="str">
        <f>HYPERLINK("http://www.google.com/maps/place/46.66052,14.63244","Location")</f>
        <v>Location</v>
      </c>
      <c r="E564" t="s">
        <v>5094</v>
      </c>
      <c r="F564" t="s">
        <v>5095</v>
      </c>
      <c r="G564" t="s">
        <v>5079</v>
      </c>
      <c r="H564" t="s">
        <v>5080</v>
      </c>
      <c r="I564" t="s">
        <v>4130</v>
      </c>
      <c r="J564" t="s">
        <v>22</v>
      </c>
      <c r="K564" t="s">
        <v>5096</v>
      </c>
      <c r="L564" t="s">
        <v>5099</v>
      </c>
      <c r="M564" t="s">
        <v>25</v>
      </c>
      <c r="N564" t="s">
        <v>5100</v>
      </c>
      <c r="O564" t="s">
        <v>25</v>
      </c>
      <c r="P564" t="s">
        <v>5101</v>
      </c>
      <c r="Q564" t="s">
        <v>29</v>
      </c>
      <c r="R564" t="s">
        <v>5097</v>
      </c>
      <c r="S564" t="s">
        <v>5098</v>
      </c>
    </row>
    <row r="565" spans="1:19" x14ac:dyDescent="0.25">
      <c r="A565" s="1">
        <v>563</v>
      </c>
      <c r="B565" t="str">
        <f>HYPERLINK("https://www.dasschnelle.at/pruntsch-günter-völkermarkt-ratschitschach","Website")</f>
        <v>Website</v>
      </c>
      <c r="C565" t="str">
        <f>HYPERLINK("http://www.schlosserei-pruntsch.at","Website")</f>
        <v>Website</v>
      </c>
      <c r="D565" t="str">
        <f>HYPERLINK("http://www.google.com/maps/place/46.6452593,14.6867284","Location")</f>
        <v>Location</v>
      </c>
      <c r="E565" t="s">
        <v>5102</v>
      </c>
      <c r="F565" t="s">
        <v>5103</v>
      </c>
      <c r="G565" t="s">
        <v>5079</v>
      </c>
      <c r="H565" t="s">
        <v>5080</v>
      </c>
      <c r="I565" t="s">
        <v>4130</v>
      </c>
      <c r="J565" t="s">
        <v>22</v>
      </c>
      <c r="K565" t="s">
        <v>5104</v>
      </c>
      <c r="L565" t="s">
        <v>5107</v>
      </c>
      <c r="M565" t="s">
        <v>25</v>
      </c>
      <c r="N565" t="s">
        <v>5108</v>
      </c>
      <c r="O565" t="s">
        <v>25</v>
      </c>
      <c r="P565" t="s">
        <v>5109</v>
      </c>
      <c r="Q565" t="s">
        <v>29</v>
      </c>
      <c r="R565" t="s">
        <v>5105</v>
      </c>
      <c r="S565" t="s">
        <v>5106</v>
      </c>
    </row>
    <row r="566" spans="1:19" x14ac:dyDescent="0.25">
      <c r="A566" s="1">
        <v>564</v>
      </c>
      <c r="B566" t="str">
        <f>HYPERLINK("https://www.dasschnelle.at/zuraj-sebastijan-dr-med-bleiburg-10-oktober-platz","Website")</f>
        <v>Website</v>
      </c>
      <c r="C566" t="str">
        <f>HYPERLINK("http://www.augenarzt-bleiburg.at","Website")</f>
        <v>Website</v>
      </c>
      <c r="D566" t="str">
        <f>HYPERLINK("http://www.google.com/maps/place/46.5902572,14.7984661","Location")</f>
        <v>Location</v>
      </c>
      <c r="E566" t="s">
        <v>5110</v>
      </c>
      <c r="F566" t="s">
        <v>5111</v>
      </c>
      <c r="G566" t="s">
        <v>5113</v>
      </c>
      <c r="H566" t="s">
        <v>5114</v>
      </c>
      <c r="I566" t="s">
        <v>4130</v>
      </c>
      <c r="J566" t="s">
        <v>22</v>
      </c>
      <c r="K566" t="s">
        <v>5112</v>
      </c>
      <c r="L566" t="s">
        <v>5117</v>
      </c>
      <c r="M566" t="s">
        <v>25</v>
      </c>
      <c r="N566" t="s">
        <v>5118</v>
      </c>
      <c r="O566" t="s">
        <v>25</v>
      </c>
      <c r="P566" t="s">
        <v>5119</v>
      </c>
      <c r="Q566" t="s">
        <v>29</v>
      </c>
      <c r="R566" t="s">
        <v>5115</v>
      </c>
      <c r="S566" t="s">
        <v>5116</v>
      </c>
    </row>
    <row r="567" spans="1:19" x14ac:dyDescent="0.25">
      <c r="A567" s="1">
        <v>565</v>
      </c>
      <c r="B567" t="str">
        <f>HYPERLINK("https://www.dasschnelle.at/kaltner-petra-griffen-pustritz","Website")</f>
        <v>Website</v>
      </c>
      <c r="C567" t="str">
        <f>HYPERLINK("http://www.im-einklang-mit-mir.at","Website")</f>
        <v>Website</v>
      </c>
      <c r="D567" t="str">
        <f>HYPERLINK("http://www.google.com/maps/place/46.7445511,14.7415157","Location")</f>
        <v>Location</v>
      </c>
      <c r="E567" t="s">
        <v>5120</v>
      </c>
      <c r="F567" t="s">
        <v>5121</v>
      </c>
      <c r="G567" t="s">
        <v>5123</v>
      </c>
      <c r="H567" t="s">
        <v>5124</v>
      </c>
      <c r="I567" t="s">
        <v>4130</v>
      </c>
      <c r="J567" t="s">
        <v>22</v>
      </c>
      <c r="K567" t="s">
        <v>5122</v>
      </c>
      <c r="L567" t="s">
        <v>5127</v>
      </c>
      <c r="M567" t="s">
        <v>25</v>
      </c>
      <c r="N567" t="s">
        <v>5128</v>
      </c>
      <c r="O567" t="s">
        <v>25</v>
      </c>
      <c r="P567" t="s">
        <v>697</v>
      </c>
      <c r="Q567" t="s">
        <v>29</v>
      </c>
      <c r="R567" t="s">
        <v>5125</v>
      </c>
      <c r="S567" t="s">
        <v>5126</v>
      </c>
    </row>
    <row r="568" spans="1:19" x14ac:dyDescent="0.25">
      <c r="A568" s="1">
        <v>566</v>
      </c>
      <c r="B568" t="str">
        <f>HYPERLINK("https://www.dasschnelle.at/gärtnerei-messner-griffen-rosenweg","Website")</f>
        <v>Website</v>
      </c>
      <c r="C568" t="str">
        <f>HYPERLINK("http://www.gaertnerei.messner.at","Website")</f>
        <v>Website</v>
      </c>
      <c r="D568" t="str">
        <f>HYPERLINK("http://www.google.com/maps/place/46.70296,14.73522","Location")</f>
        <v>Location</v>
      </c>
      <c r="E568" t="s">
        <v>5129</v>
      </c>
      <c r="F568" t="s">
        <v>5130</v>
      </c>
      <c r="G568" t="s">
        <v>5123</v>
      </c>
      <c r="H568" t="s">
        <v>5124</v>
      </c>
      <c r="I568" t="s">
        <v>4130</v>
      </c>
      <c r="J568" t="s">
        <v>22</v>
      </c>
      <c r="K568" t="s">
        <v>5131</v>
      </c>
      <c r="L568" t="s">
        <v>5134</v>
      </c>
      <c r="M568" t="s">
        <v>25</v>
      </c>
      <c r="N568" t="s">
        <v>5135</v>
      </c>
      <c r="O568" t="s">
        <v>25</v>
      </c>
      <c r="P568" t="s">
        <v>5136</v>
      </c>
      <c r="Q568" t="s">
        <v>29</v>
      </c>
      <c r="R568" t="s">
        <v>5132</v>
      </c>
      <c r="S568" t="s">
        <v>5133</v>
      </c>
    </row>
    <row r="569" spans="1:19" x14ac:dyDescent="0.25">
      <c r="A569" s="1">
        <v>567</v>
      </c>
      <c r="B569" t="str">
        <f>HYPERLINK("https://www.dasschnelle.at/galerie-magnet-völkermarkt-hauptplatz","Website")</f>
        <v>Website</v>
      </c>
      <c r="C569" t="str">
        <f>HYPERLINK("http://www.buchmagnet.at","Website")</f>
        <v>Website</v>
      </c>
      <c r="D569" t="str">
        <f>HYPERLINK("http://www.google.com/maps/place/46.66002,14.63426","Location")</f>
        <v>Location</v>
      </c>
      <c r="E569" t="s">
        <v>5137</v>
      </c>
      <c r="F569" t="s">
        <v>5138</v>
      </c>
      <c r="G569" t="s">
        <v>5079</v>
      </c>
      <c r="H569" t="s">
        <v>5080</v>
      </c>
      <c r="I569" t="s">
        <v>4130</v>
      </c>
      <c r="J569" t="s">
        <v>22</v>
      </c>
      <c r="K569" t="s">
        <v>1594</v>
      </c>
      <c r="L569" t="s">
        <v>5141</v>
      </c>
      <c r="M569" t="s">
        <v>25</v>
      </c>
      <c r="N569" t="s">
        <v>5142</v>
      </c>
      <c r="O569" t="s">
        <v>25</v>
      </c>
      <c r="P569" t="s">
        <v>5143</v>
      </c>
      <c r="Q569" t="s">
        <v>29</v>
      </c>
      <c r="R569" t="s">
        <v>5139</v>
      </c>
      <c r="S569" t="s">
        <v>5140</v>
      </c>
    </row>
    <row r="570" spans="1:19" x14ac:dyDescent="0.25">
      <c r="A570" s="1">
        <v>568</v>
      </c>
      <c r="B570" t="str">
        <f>HYPERLINK("https://www.dasschnelle.at/kfz-j-morri-völkermarkt-gurtschitschach","Website")</f>
        <v>Website</v>
      </c>
      <c r="C570" t="str">
        <f>HYPERLINK("https://www.dasschnelle.at/kfz-j-morri-v%C3%B6lkermarkt-gurtschitschach","Website")</f>
        <v>Website</v>
      </c>
      <c r="D570" t="str">
        <f>HYPERLINK("http://www.google.com/maps/place/46.6384683,14.6738820","Location")</f>
        <v>Location</v>
      </c>
      <c r="E570" t="s">
        <v>5144</v>
      </c>
      <c r="F570" t="s">
        <v>5145</v>
      </c>
      <c r="G570" t="s">
        <v>5079</v>
      </c>
      <c r="H570" t="s">
        <v>5080</v>
      </c>
      <c r="I570" t="s">
        <v>4130</v>
      </c>
      <c r="J570" t="s">
        <v>22</v>
      </c>
      <c r="K570" t="s">
        <v>5146</v>
      </c>
      <c r="L570" t="s">
        <v>5149</v>
      </c>
      <c r="M570" t="s">
        <v>25</v>
      </c>
      <c r="N570" t="s">
        <v>5150</v>
      </c>
      <c r="O570" t="s">
        <v>25</v>
      </c>
      <c r="P570" t="s">
        <v>697</v>
      </c>
      <c r="Q570" t="s">
        <v>29</v>
      </c>
      <c r="R570" t="s">
        <v>5147</v>
      </c>
      <c r="S570" t="s">
        <v>5148</v>
      </c>
    </row>
    <row r="571" spans="1:19" x14ac:dyDescent="0.25">
      <c r="A571" s="1">
        <v>569</v>
      </c>
      <c r="B571" t="str">
        <f>HYPERLINK("https://www.dasschnelle.at/stornig-martha-gattersdorf-gattersdorf","Website")</f>
        <v>Website</v>
      </c>
      <c r="C571" t="str">
        <f>HYPERLINK("https://www.dasschnelle.at/stornig-martha-gattersdorf-gattersdorf","Website")</f>
        <v>Website</v>
      </c>
      <c r="D571" t="str">
        <f>HYPERLINK("http://www.google.com/maps/place/46.7044996,14.5836154","Location")</f>
        <v>Location</v>
      </c>
      <c r="E571" t="s">
        <v>5151</v>
      </c>
      <c r="F571" t="s">
        <v>5152</v>
      </c>
      <c r="G571" t="s">
        <v>5154</v>
      </c>
      <c r="H571" t="s">
        <v>5155</v>
      </c>
      <c r="I571" t="s">
        <v>4130</v>
      </c>
      <c r="J571" t="s">
        <v>22</v>
      </c>
      <c r="K571" t="s">
        <v>5153</v>
      </c>
      <c r="L571" t="s">
        <v>5158</v>
      </c>
      <c r="M571" t="s">
        <v>25</v>
      </c>
      <c r="N571" t="s">
        <v>5159</v>
      </c>
      <c r="O571" t="s">
        <v>25</v>
      </c>
      <c r="P571" t="s">
        <v>5160</v>
      </c>
      <c r="Q571" t="s">
        <v>29</v>
      </c>
      <c r="R571" t="s">
        <v>5156</v>
      </c>
      <c r="S571" t="s">
        <v>5157</v>
      </c>
    </row>
    <row r="572" spans="1:19" x14ac:dyDescent="0.25">
      <c r="A572" s="1">
        <v>570</v>
      </c>
      <c r="B572" t="str">
        <f>HYPERLINK("https://www.dasschnelle.at/poganitsch-fejan-und-ragger-rechtsanwälte-gmbh-bleiburg-graben","Website")</f>
        <v>Website</v>
      </c>
      <c r="C572" t="str">
        <f>HYPERLINK("http://www.poganitsch-fejan.at","Website")</f>
        <v>Website</v>
      </c>
      <c r="D572" t="str">
        <f>HYPERLINK("http://www.google.com/maps/place/46.59059,14.7965","Location")</f>
        <v>Location</v>
      </c>
      <c r="E572" t="s">
        <v>5161</v>
      </c>
      <c r="F572" t="s">
        <v>5162</v>
      </c>
      <c r="G572" t="s">
        <v>5113</v>
      </c>
      <c r="H572" t="s">
        <v>5114</v>
      </c>
      <c r="I572" t="s">
        <v>4130</v>
      </c>
      <c r="J572" t="s">
        <v>22</v>
      </c>
      <c r="K572" t="s">
        <v>5163</v>
      </c>
      <c r="L572" t="s">
        <v>5166</v>
      </c>
      <c r="M572" t="s">
        <v>25</v>
      </c>
      <c r="N572" t="s">
        <v>5167</v>
      </c>
      <c r="O572" t="s">
        <v>25</v>
      </c>
      <c r="P572" t="s">
        <v>5168</v>
      </c>
      <c r="Q572" t="s">
        <v>29</v>
      </c>
      <c r="R572" t="s">
        <v>5164</v>
      </c>
      <c r="S572" t="s">
        <v>5165</v>
      </c>
    </row>
    <row r="573" spans="1:19" x14ac:dyDescent="0.25">
      <c r="A573" s="1">
        <v>571</v>
      </c>
      <c r="B573" t="str">
        <f>HYPERLINK("https://www.dasschnelle.at/vaupetitsch-georg-dr-med-univ-et-med-dent-völkermarkt-umfahrungsstraße","Website")</f>
        <v>Website</v>
      </c>
      <c r="C573" t="str">
        <f>HYPERLINK("https://www.dasschnelle.at/vaupetitsch-georg-dr-med-univ-et-med-dent-v%C3%B6lkermarkt-umfahrungsstra%C3%9Fe","Website")</f>
        <v>Website</v>
      </c>
      <c r="D573" t="str">
        <f>HYPERLINK("http://www.google.com/maps/place/46.66343,14.6288","Location")</f>
        <v>Location</v>
      </c>
      <c r="E573" t="s">
        <v>5169</v>
      </c>
      <c r="F573" t="s">
        <v>5170</v>
      </c>
      <c r="G573" t="s">
        <v>5079</v>
      </c>
      <c r="H573" t="s">
        <v>5080</v>
      </c>
      <c r="I573" t="s">
        <v>4130</v>
      </c>
      <c r="J573" t="s">
        <v>22</v>
      </c>
      <c r="K573" t="s">
        <v>5171</v>
      </c>
      <c r="L573" t="s">
        <v>5174</v>
      </c>
      <c r="M573" t="s">
        <v>25</v>
      </c>
      <c r="N573" t="s">
        <v>5175</v>
      </c>
      <c r="O573" t="s">
        <v>25</v>
      </c>
      <c r="P573" t="s">
        <v>5176</v>
      </c>
      <c r="Q573" t="s">
        <v>29</v>
      </c>
      <c r="R573" t="s">
        <v>5172</v>
      </c>
      <c r="S573" t="s">
        <v>5173</v>
      </c>
    </row>
    <row r="574" spans="1:19" x14ac:dyDescent="0.25">
      <c r="A574" s="1">
        <v>572</v>
      </c>
      <c r="B574" t="str">
        <f>HYPERLINK("https://www.dasschnelle.at/friseurstudio-ulli-bleiburg-koschatstraße","Website")</f>
        <v>Website</v>
      </c>
      <c r="C574" t="str">
        <f>HYPERLINK("https://www.dasschnelle.at/friseurstudio-ulli-bleiburg-koschatstra%C3%9Fe","Website")</f>
        <v>Website</v>
      </c>
      <c r="D574" t="str">
        <f>HYPERLINK("http://www.google.com/maps/place/46.5897,14.79551","Location")</f>
        <v>Location</v>
      </c>
      <c r="E574" t="s">
        <v>5177</v>
      </c>
      <c r="F574" t="s">
        <v>5178</v>
      </c>
      <c r="G574" t="s">
        <v>5113</v>
      </c>
      <c r="H574" t="s">
        <v>5114</v>
      </c>
      <c r="I574" t="s">
        <v>4130</v>
      </c>
      <c r="J574" t="s">
        <v>22</v>
      </c>
      <c r="K574" t="s">
        <v>5179</v>
      </c>
      <c r="L574" t="s">
        <v>5182</v>
      </c>
      <c r="M574" t="s">
        <v>25</v>
      </c>
      <c r="N574" t="s">
        <v>5183</v>
      </c>
      <c r="O574" t="s">
        <v>25</v>
      </c>
      <c r="P574" t="s">
        <v>5184</v>
      </c>
      <c r="Q574" t="s">
        <v>29</v>
      </c>
      <c r="R574" t="s">
        <v>5180</v>
      </c>
      <c r="S574" t="s">
        <v>5181</v>
      </c>
    </row>
    <row r="575" spans="1:19" x14ac:dyDescent="0.25">
      <c r="A575" s="1">
        <v>573</v>
      </c>
      <c r="B575" t="str">
        <f>HYPERLINK("https://www.dasschnelle.at/geku-personal-st-kanzian-am-klopeiner-see-kirchweg","Website")</f>
        <v>Website</v>
      </c>
      <c r="C575" t="str">
        <f>HYPERLINK("http://www.geku.at","Website")</f>
        <v>Website</v>
      </c>
      <c r="D575" t="str">
        <f>HYPERLINK("http://www.google.com/maps/place/46.6155,14.57583","Location")</f>
        <v>Location</v>
      </c>
      <c r="E575" t="s">
        <v>5185</v>
      </c>
      <c r="F575" t="s">
        <v>5186</v>
      </c>
      <c r="G575" t="s">
        <v>5188</v>
      </c>
      <c r="H575" t="s">
        <v>5189</v>
      </c>
      <c r="I575" t="s">
        <v>4130</v>
      </c>
      <c r="J575" t="s">
        <v>22</v>
      </c>
      <c r="K575" t="s">
        <v>5187</v>
      </c>
      <c r="L575" t="s">
        <v>5192</v>
      </c>
      <c r="M575" t="s">
        <v>25</v>
      </c>
      <c r="N575" t="s">
        <v>5193</v>
      </c>
      <c r="O575" t="s">
        <v>25</v>
      </c>
      <c r="P575" t="s">
        <v>5194</v>
      </c>
      <c r="Q575" t="s">
        <v>29</v>
      </c>
      <c r="R575" t="s">
        <v>5190</v>
      </c>
      <c r="S575" t="s">
        <v>5191</v>
      </c>
    </row>
    <row r="576" spans="1:19" x14ac:dyDescent="0.25">
      <c r="A576" s="1">
        <v>574</v>
      </c>
      <c r="B576" t="str">
        <f>HYPERLINK("https://www.dasschnelle.at/schmautzer-und-pirker-gmbh-griffen-lind","Website")</f>
        <v>Website</v>
      </c>
      <c r="C576" t="str">
        <f>HYPERLINK("http://www.tuer-tortechnik.com","Website")</f>
        <v>Website</v>
      </c>
      <c r="D576" t="str">
        <f>HYPERLINK("http://www.google.com/maps/place/46.6723229,14.7739061","Location")</f>
        <v>Location</v>
      </c>
      <c r="E576" t="s">
        <v>5195</v>
      </c>
      <c r="F576" t="s">
        <v>5196</v>
      </c>
      <c r="G576" t="s">
        <v>5123</v>
      </c>
      <c r="H576" t="s">
        <v>5124</v>
      </c>
      <c r="I576" t="s">
        <v>4130</v>
      </c>
      <c r="J576" t="s">
        <v>22</v>
      </c>
      <c r="K576" t="s">
        <v>5197</v>
      </c>
      <c r="L576" t="s">
        <v>5200</v>
      </c>
      <c r="M576" t="s">
        <v>25</v>
      </c>
      <c r="N576" t="s">
        <v>5201</v>
      </c>
      <c r="O576" t="s">
        <v>25</v>
      </c>
      <c r="P576" t="s">
        <v>5202</v>
      </c>
      <c r="Q576" t="s">
        <v>29</v>
      </c>
      <c r="R576" t="s">
        <v>5198</v>
      </c>
      <c r="S576" t="s">
        <v>5199</v>
      </c>
    </row>
    <row r="577" spans="1:19" x14ac:dyDescent="0.25">
      <c r="A577" s="1">
        <v>575</v>
      </c>
      <c r="B577" t="str">
        <f>HYPERLINK("https://www.dasschnelle.at/uster-gmbh-kühnsdorf-nord","Website")</f>
        <v>Website</v>
      </c>
      <c r="C577" t="str">
        <f>HYPERLINK("http://www.uster.at","Website")</f>
        <v>Website</v>
      </c>
      <c r="D577" t="str">
        <f>HYPERLINK("http://www.google.com/maps/place/46.62461,14.63388","Location")</f>
        <v>Location</v>
      </c>
      <c r="E577" t="s">
        <v>5203</v>
      </c>
      <c r="F577" t="s">
        <v>5204</v>
      </c>
      <c r="G577" t="s">
        <v>5206</v>
      </c>
      <c r="H577" t="s">
        <v>5207</v>
      </c>
      <c r="I577" t="s">
        <v>4130</v>
      </c>
      <c r="J577" t="s">
        <v>22</v>
      </c>
      <c r="K577" t="s">
        <v>5205</v>
      </c>
      <c r="L577" t="s">
        <v>5210</v>
      </c>
      <c r="M577" t="s">
        <v>25</v>
      </c>
      <c r="N577" t="s">
        <v>5211</v>
      </c>
      <c r="O577" t="s">
        <v>5212</v>
      </c>
      <c r="P577" t="s">
        <v>5213</v>
      </c>
      <c r="Q577" t="s">
        <v>29</v>
      </c>
      <c r="R577" t="s">
        <v>5208</v>
      </c>
      <c r="S577" t="s">
        <v>5209</v>
      </c>
    </row>
    <row r="578" spans="1:19" x14ac:dyDescent="0.25">
      <c r="A578" s="1">
        <v>576</v>
      </c>
      <c r="B578" t="str">
        <f>HYPERLINK("https://www.dasschnelle.at/santer-selina-völkermarkt-umfahrungsstraße","Website")</f>
        <v>Website</v>
      </c>
      <c r="C578" t="str">
        <f>HYPERLINK("https://www.dasschnelle.at/santer-selina-v%C3%B6lkermarkt-umfahrungsstra%C3%9Fe","Website")</f>
        <v>Website</v>
      </c>
      <c r="D578" t="str">
        <f>HYPERLINK("http://www.google.com/maps/place/46.66198,14.62059","Location")</f>
        <v>Location</v>
      </c>
      <c r="E578" t="s">
        <v>5214</v>
      </c>
      <c r="F578" t="s">
        <v>5215</v>
      </c>
      <c r="G578" t="s">
        <v>5079</v>
      </c>
      <c r="H578" t="s">
        <v>5080</v>
      </c>
      <c r="I578" t="s">
        <v>4130</v>
      </c>
      <c r="J578" t="s">
        <v>22</v>
      </c>
      <c r="K578" t="s">
        <v>5216</v>
      </c>
      <c r="L578" t="s">
        <v>5219</v>
      </c>
      <c r="M578" t="s">
        <v>25</v>
      </c>
      <c r="N578" t="s">
        <v>5220</v>
      </c>
      <c r="O578" t="s">
        <v>5221</v>
      </c>
      <c r="P578" t="s">
        <v>5222</v>
      </c>
      <c r="Q578" t="s">
        <v>29</v>
      </c>
      <c r="R578" t="s">
        <v>5217</v>
      </c>
      <c r="S578" t="s">
        <v>5218</v>
      </c>
    </row>
    <row r="579" spans="1:19" x14ac:dyDescent="0.25">
      <c r="A579" s="1">
        <v>577</v>
      </c>
      <c r="B579" t="str">
        <f>HYPERLINK("https://www.dasschnelle.at/sks-kfz-technik-og-navis-außerweg","Website")</f>
        <v>Website</v>
      </c>
      <c r="C579" t="str">
        <f>HYPERLINK("https://www.dasschnelle.at/sks-kfz-technik-og-navis-au%C3%9Ferweg","Website")</f>
        <v>Website</v>
      </c>
      <c r="D579" t="str">
        <f>HYPERLINK("http://www.google.com/maps/place/47.1258650,11.4542843","Location")</f>
        <v>Location</v>
      </c>
      <c r="E579" t="s">
        <v>5223</v>
      </c>
      <c r="F579" t="s">
        <v>5224</v>
      </c>
      <c r="G579" t="s">
        <v>5226</v>
      </c>
      <c r="H579" t="s">
        <v>5227</v>
      </c>
      <c r="I579" t="s">
        <v>21</v>
      </c>
      <c r="J579" t="s">
        <v>22</v>
      </c>
      <c r="K579" t="s">
        <v>5225</v>
      </c>
      <c r="L579" t="s">
        <v>5230</v>
      </c>
      <c r="M579" t="s">
        <v>25</v>
      </c>
      <c r="N579" t="s">
        <v>5231</v>
      </c>
      <c r="O579" t="s">
        <v>25</v>
      </c>
      <c r="P579" t="s">
        <v>697</v>
      </c>
      <c r="Q579" t="s">
        <v>29</v>
      </c>
      <c r="R579" t="s">
        <v>5228</v>
      </c>
      <c r="S579" t="s">
        <v>5229</v>
      </c>
    </row>
    <row r="580" spans="1:19" x14ac:dyDescent="0.25">
      <c r="A580" s="1">
        <v>578</v>
      </c>
      <c r="B580" t="str">
        <f>HYPERLINK("https://www.dasschnelle.at/transporte-helli-schönberg-im-stubaital-brennerautobahn","Website")</f>
        <v>Website</v>
      </c>
      <c r="C580" t="str">
        <f>HYPERLINK("http://www.transporte-helli.at","Website")</f>
        <v>Website</v>
      </c>
      <c r="D580" t="str">
        <f>HYPERLINK("http://www.google.com/maps/place/47.18569,11.4","Location")</f>
        <v>Location</v>
      </c>
      <c r="E580" t="s">
        <v>5232</v>
      </c>
      <c r="F580" t="s">
        <v>5233</v>
      </c>
      <c r="G580" t="s">
        <v>5235</v>
      </c>
      <c r="H580" t="s">
        <v>5236</v>
      </c>
      <c r="I580" t="s">
        <v>21</v>
      </c>
      <c r="J580" t="s">
        <v>22</v>
      </c>
      <c r="K580" t="s">
        <v>5234</v>
      </c>
      <c r="L580" t="s">
        <v>5239</v>
      </c>
      <c r="M580" t="s">
        <v>25</v>
      </c>
      <c r="N580" t="s">
        <v>5240</v>
      </c>
      <c r="O580" t="s">
        <v>25</v>
      </c>
      <c r="P580" t="s">
        <v>5241</v>
      </c>
      <c r="Q580" t="s">
        <v>29</v>
      </c>
      <c r="R580" t="s">
        <v>5237</v>
      </c>
      <c r="S580" t="s">
        <v>5238</v>
      </c>
    </row>
    <row r="581" spans="1:19" x14ac:dyDescent="0.25">
      <c r="A581" s="1">
        <v>579</v>
      </c>
      <c r="B581" t="str">
        <f>HYPERLINK("https://www.dasschnelle.at/htl-transport-und-logistik-gmbh-stafflach-stafflach","Website")</f>
        <v>Website</v>
      </c>
      <c r="C581" t="str">
        <f>HYPERLINK("http://www.huter-tirol.at","Website")</f>
        <v>Website</v>
      </c>
      <c r="D581" t="str">
        <f>HYPERLINK("http://www.google.com/maps/place/47.06881,11.48499","Location")</f>
        <v>Location</v>
      </c>
      <c r="E581" t="s">
        <v>5242</v>
      </c>
      <c r="F581" t="s">
        <v>5243</v>
      </c>
      <c r="G581" t="s">
        <v>5245</v>
      </c>
      <c r="H581" t="s">
        <v>5246</v>
      </c>
      <c r="I581" t="s">
        <v>21</v>
      </c>
      <c r="J581" t="s">
        <v>22</v>
      </c>
      <c r="K581" t="s">
        <v>5244</v>
      </c>
      <c r="L581" t="s">
        <v>5249</v>
      </c>
      <c r="M581" t="s">
        <v>25</v>
      </c>
      <c r="N581" t="s">
        <v>5250</v>
      </c>
      <c r="O581" t="s">
        <v>25</v>
      </c>
      <c r="P581" t="s">
        <v>5251</v>
      </c>
      <c r="Q581" t="s">
        <v>29</v>
      </c>
      <c r="R581" t="s">
        <v>5247</v>
      </c>
      <c r="S581" t="s">
        <v>5248</v>
      </c>
    </row>
    <row r="582" spans="1:19" x14ac:dyDescent="0.25">
      <c r="A582" s="1">
        <v>580</v>
      </c>
      <c r="B582" t="str">
        <f>HYPERLINK("https://www.dasschnelle.at/möschl-martin-steinach-brennerstraße","Website")</f>
        <v>Website</v>
      </c>
      <c r="C582" t="str">
        <f>HYPERLINK("http://www.moeschl-edv.at","Website")</f>
        <v>Website</v>
      </c>
      <c r="D582" t="str">
        <f>HYPERLINK("http://www.google.com/maps/place/47.0908040,11.4660910","Location")</f>
        <v>Location</v>
      </c>
      <c r="E582" t="s">
        <v>5252</v>
      </c>
      <c r="F582" t="s">
        <v>5253</v>
      </c>
      <c r="G582" t="s">
        <v>5245</v>
      </c>
      <c r="H582" t="s">
        <v>5255</v>
      </c>
      <c r="I582" t="s">
        <v>21</v>
      </c>
      <c r="J582" t="s">
        <v>22</v>
      </c>
      <c r="K582" t="s">
        <v>5254</v>
      </c>
      <c r="L582" t="s">
        <v>5258</v>
      </c>
      <c r="M582" t="s">
        <v>25</v>
      </c>
      <c r="N582" t="s">
        <v>5259</v>
      </c>
      <c r="O582" t="s">
        <v>25</v>
      </c>
      <c r="P582" t="s">
        <v>5260</v>
      </c>
      <c r="Q582" t="s">
        <v>29</v>
      </c>
      <c r="R582" t="s">
        <v>5256</v>
      </c>
      <c r="S582" t="s">
        <v>5257</v>
      </c>
    </row>
    <row r="583" spans="1:19" x14ac:dyDescent="0.25">
      <c r="A583" s="1">
        <v>581</v>
      </c>
      <c r="B583" t="str">
        <f>HYPERLINK("https://www.dasschnelle.at/fattor-dietmar-arch-steinach-höhenweg","Website")</f>
        <v>Website</v>
      </c>
      <c r="C583" t="str">
        <f>HYPERLINK("http://www.fattor.at","Website")</f>
        <v>Website</v>
      </c>
      <c r="D583" t="str">
        <f>HYPERLINK("http://www.google.com/maps/place/47.0890200,11.4711300","Location")</f>
        <v>Location</v>
      </c>
      <c r="E583" t="s">
        <v>5261</v>
      </c>
      <c r="F583" t="s">
        <v>5262</v>
      </c>
      <c r="G583" t="s">
        <v>5245</v>
      </c>
      <c r="H583" t="s">
        <v>5255</v>
      </c>
      <c r="I583" t="s">
        <v>21</v>
      </c>
      <c r="J583" t="s">
        <v>22</v>
      </c>
      <c r="K583" t="s">
        <v>5263</v>
      </c>
      <c r="L583" t="s">
        <v>5266</v>
      </c>
      <c r="M583" t="s">
        <v>5267</v>
      </c>
      <c r="N583" t="s">
        <v>5268</v>
      </c>
      <c r="O583" t="s">
        <v>25</v>
      </c>
      <c r="P583" t="s">
        <v>5269</v>
      </c>
      <c r="Q583" t="s">
        <v>29</v>
      </c>
      <c r="R583" t="s">
        <v>5264</v>
      </c>
      <c r="S583" t="s">
        <v>5265</v>
      </c>
    </row>
    <row r="584" spans="1:19" x14ac:dyDescent="0.25">
      <c r="A584" s="1">
        <v>582</v>
      </c>
      <c r="B584" t="str">
        <f>HYPERLINK("https://www.dasschnelle.at/wilberger-harald-fulpmes-riehlstraße","Website")</f>
        <v>Website</v>
      </c>
      <c r="C584" t="str">
        <f>HYPERLINK("https://www.dasschnelle.at/wilberger-harald-fulpmes-riehlstra%C3%9Fe","Website")</f>
        <v>Website</v>
      </c>
      <c r="D584" t="str">
        <f>HYPERLINK("http://www.google.com/maps/place/47.15297,11.34877","Location")</f>
        <v>Location</v>
      </c>
      <c r="E584" t="s">
        <v>5270</v>
      </c>
      <c r="F584" t="s">
        <v>5271</v>
      </c>
      <c r="G584" t="s">
        <v>5273</v>
      </c>
      <c r="H584" t="s">
        <v>5274</v>
      </c>
      <c r="I584" t="s">
        <v>21</v>
      </c>
      <c r="J584" t="s">
        <v>22</v>
      </c>
      <c r="K584" t="s">
        <v>5272</v>
      </c>
      <c r="L584" t="s">
        <v>5277</v>
      </c>
      <c r="M584" t="s">
        <v>25</v>
      </c>
      <c r="N584" t="s">
        <v>5278</v>
      </c>
      <c r="O584" t="s">
        <v>25</v>
      </c>
      <c r="P584" t="s">
        <v>5279</v>
      </c>
      <c r="Q584" t="s">
        <v>29</v>
      </c>
      <c r="R584" t="s">
        <v>5275</v>
      </c>
      <c r="S584" t="s">
        <v>5276</v>
      </c>
    </row>
    <row r="585" spans="1:19" x14ac:dyDescent="0.25">
      <c r="A585" s="1">
        <v>583</v>
      </c>
      <c r="B585" t="str">
        <f>HYPERLINK("https://www.dasschnelle.at/gumpold-johann-neustift-im-stubaital-dorf","Website")</f>
        <v>Website</v>
      </c>
      <c r="C585" t="str">
        <f>HYPERLINK("http://www.appart-gumpold.com","Website")</f>
        <v>Website</v>
      </c>
      <c r="D585" t="str">
        <f>HYPERLINK("http://www.google.com/maps/place/47.10944,11.3046","Location")</f>
        <v>Location</v>
      </c>
      <c r="E585" t="s">
        <v>5280</v>
      </c>
      <c r="F585" t="s">
        <v>5281</v>
      </c>
      <c r="G585" t="s">
        <v>5283</v>
      </c>
      <c r="H585" t="s">
        <v>5284</v>
      </c>
      <c r="I585" t="s">
        <v>21</v>
      </c>
      <c r="J585" t="s">
        <v>22</v>
      </c>
      <c r="K585" t="s">
        <v>5282</v>
      </c>
      <c r="L585" t="s">
        <v>5287</v>
      </c>
      <c r="M585" t="s">
        <v>25</v>
      </c>
      <c r="N585" t="s">
        <v>5288</v>
      </c>
      <c r="O585" t="s">
        <v>25</v>
      </c>
      <c r="P585" t="s">
        <v>5289</v>
      </c>
      <c r="Q585" t="s">
        <v>29</v>
      </c>
      <c r="R585" t="s">
        <v>5285</v>
      </c>
      <c r="S585" t="s">
        <v>5286</v>
      </c>
    </row>
    <row r="586" spans="1:19" x14ac:dyDescent="0.25">
      <c r="A586" s="1">
        <v>584</v>
      </c>
      <c r="B586" t="str">
        <f>HYPERLINK("https://www.dasschnelle.at/kocsis-christian-fulpmes-industriegelände-zone-a","Website")</f>
        <v>Website</v>
      </c>
      <c r="C586" t="str">
        <f>HYPERLINK("https://www.dasschnelle.at/kocsis-christian-fulpmes-industriegel%C3%A4nde-zone-a","Website")</f>
        <v>Website</v>
      </c>
      <c r="D586" t="str">
        <f>HYPERLINK("http://www.google.com/maps/place/47.13565,11.33972","Location")</f>
        <v>Location</v>
      </c>
      <c r="E586" t="s">
        <v>5290</v>
      </c>
      <c r="F586" t="s">
        <v>5291</v>
      </c>
      <c r="G586" t="s">
        <v>5273</v>
      </c>
      <c r="H586" t="s">
        <v>5274</v>
      </c>
      <c r="I586" t="s">
        <v>21</v>
      </c>
      <c r="J586" t="s">
        <v>22</v>
      </c>
      <c r="K586" t="s">
        <v>5292</v>
      </c>
      <c r="L586" t="s">
        <v>5295</v>
      </c>
      <c r="M586" t="s">
        <v>25</v>
      </c>
      <c r="N586" t="s">
        <v>5296</v>
      </c>
      <c r="O586" t="s">
        <v>25</v>
      </c>
      <c r="P586" t="s">
        <v>5297</v>
      </c>
      <c r="Q586" t="s">
        <v>29</v>
      </c>
      <c r="R586" t="s">
        <v>5293</v>
      </c>
      <c r="S586" t="s">
        <v>5294</v>
      </c>
    </row>
    <row r="587" spans="1:19" x14ac:dyDescent="0.25">
      <c r="A587" s="1">
        <v>585</v>
      </c>
      <c r="B587" t="str">
        <f>HYPERLINK("https://www.dasschnelle.at/bäckerei-aste-gmbh-matrei-am-brenner","Website")</f>
        <v>Website</v>
      </c>
      <c r="C587" t="str">
        <f>HYPERLINK("http://www.aste-brot.at","Website")</f>
        <v>Website</v>
      </c>
      <c r="D587" t="str">
        <f>HYPERLINK("http://www.google.com/maps/place/47.1328930,11.4519958","Location")</f>
        <v>Location</v>
      </c>
      <c r="E587" t="s">
        <v>5298</v>
      </c>
      <c r="F587" t="s">
        <v>5299</v>
      </c>
      <c r="G587" t="s">
        <v>5300</v>
      </c>
      <c r="H587" t="s">
        <v>5301</v>
      </c>
      <c r="I587" t="s">
        <v>21</v>
      </c>
      <c r="J587" t="s">
        <v>22</v>
      </c>
      <c r="K587" t="s">
        <v>25</v>
      </c>
      <c r="L587" t="s">
        <v>5304</v>
      </c>
      <c r="M587" t="s">
        <v>5305</v>
      </c>
      <c r="N587" t="s">
        <v>5306</v>
      </c>
      <c r="O587" t="s">
        <v>25</v>
      </c>
      <c r="P587" t="s">
        <v>5307</v>
      </c>
      <c r="Q587" t="s">
        <v>29</v>
      </c>
      <c r="R587" t="s">
        <v>5302</v>
      </c>
      <c r="S587" t="s">
        <v>5303</v>
      </c>
    </row>
    <row r="588" spans="1:19" x14ac:dyDescent="0.25">
      <c r="A588" s="1">
        <v>586</v>
      </c>
      <c r="B588" t="str">
        <f>HYPERLINK("https://www.dasschnelle.at/eller-thomas-außerschmirn-aue","Website")</f>
        <v>Website</v>
      </c>
      <c r="C588" t="str">
        <f>HYPERLINK("http://www.installationen-eller.heimat.eu","Website")</f>
        <v>Website</v>
      </c>
      <c r="D588" t="str">
        <f>HYPERLINK("http://www.google.com/maps/place/47.0728156,11.5497767","Location")</f>
        <v>Location</v>
      </c>
      <c r="E588" t="s">
        <v>5308</v>
      </c>
      <c r="F588" t="s">
        <v>5309</v>
      </c>
      <c r="G588" t="s">
        <v>5311</v>
      </c>
      <c r="H588" t="s">
        <v>5312</v>
      </c>
      <c r="I588" t="s">
        <v>21</v>
      </c>
      <c r="J588" t="s">
        <v>22</v>
      </c>
      <c r="K588" t="s">
        <v>5310</v>
      </c>
      <c r="L588" t="s">
        <v>5315</v>
      </c>
      <c r="M588" t="s">
        <v>25</v>
      </c>
      <c r="N588" t="s">
        <v>5316</v>
      </c>
      <c r="O588" t="s">
        <v>25</v>
      </c>
      <c r="P588" t="s">
        <v>5317</v>
      </c>
      <c r="Q588" t="s">
        <v>29</v>
      </c>
      <c r="R588" t="s">
        <v>5313</v>
      </c>
      <c r="S588" t="s">
        <v>5314</v>
      </c>
    </row>
    <row r="589" spans="1:19" x14ac:dyDescent="0.25">
      <c r="A589" s="1">
        <v>587</v>
      </c>
      <c r="B589" t="str">
        <f>HYPERLINK("https://www.dasschnelle.at/eller-karl-heinz-navis-außerweg","Website")</f>
        <v>Website</v>
      </c>
      <c r="C589" t="str">
        <f>HYPERLINK("http://www.eller-fliesendesign.at","Website")</f>
        <v>Website</v>
      </c>
      <c r="D589" t="str">
        <f>HYPERLINK("http://www.google.com/maps/place/47.1316664,11.5385319","Location")</f>
        <v>Location</v>
      </c>
      <c r="E589" t="s">
        <v>5318</v>
      </c>
      <c r="F589" t="s">
        <v>5319</v>
      </c>
      <c r="G589" t="s">
        <v>5226</v>
      </c>
      <c r="H589" t="s">
        <v>5227</v>
      </c>
      <c r="I589" t="s">
        <v>21</v>
      </c>
      <c r="J589" t="s">
        <v>22</v>
      </c>
      <c r="K589" t="s">
        <v>5320</v>
      </c>
      <c r="L589" t="s">
        <v>5323</v>
      </c>
      <c r="M589" t="s">
        <v>25</v>
      </c>
      <c r="N589" t="s">
        <v>5324</v>
      </c>
      <c r="O589" t="s">
        <v>25</v>
      </c>
      <c r="P589" t="s">
        <v>5325</v>
      </c>
      <c r="Q589" t="s">
        <v>29</v>
      </c>
      <c r="R589" t="s">
        <v>5321</v>
      </c>
      <c r="S589" t="s">
        <v>5322</v>
      </c>
    </row>
    <row r="590" spans="1:19" x14ac:dyDescent="0.25">
      <c r="A590" s="1">
        <v>588</v>
      </c>
      <c r="B590" t="str">
        <f>HYPERLINK("https://www.dasschnelle.at/detassis-kg-vals-vals","Website")</f>
        <v>Website</v>
      </c>
      <c r="C590" t="str">
        <f>HYPERLINK("http://www.wipptal.taxi","Website")</f>
        <v>Website</v>
      </c>
      <c r="D590" t="str">
        <f>HYPERLINK("http://www.google.com/maps/place/47.0604441,11.5071794","Location")</f>
        <v>Location</v>
      </c>
      <c r="E590" t="s">
        <v>5326</v>
      </c>
      <c r="F590" t="s">
        <v>5327</v>
      </c>
      <c r="G590" t="s">
        <v>5311</v>
      </c>
      <c r="H590" t="s">
        <v>5329</v>
      </c>
      <c r="I590" t="s">
        <v>21</v>
      </c>
      <c r="J590" t="s">
        <v>22</v>
      </c>
      <c r="K590" t="s">
        <v>5328</v>
      </c>
      <c r="L590" t="s">
        <v>5332</v>
      </c>
      <c r="M590" t="s">
        <v>25</v>
      </c>
      <c r="N590" t="s">
        <v>5333</v>
      </c>
      <c r="O590" t="s">
        <v>25</v>
      </c>
      <c r="P590" t="s">
        <v>5334</v>
      </c>
      <c r="Q590" t="s">
        <v>29</v>
      </c>
      <c r="R590" t="s">
        <v>5330</v>
      </c>
      <c r="S590" t="s">
        <v>5331</v>
      </c>
    </row>
    <row r="591" spans="1:19" x14ac:dyDescent="0.25">
      <c r="A591" s="1">
        <v>589</v>
      </c>
      <c r="B591" t="str">
        <f>HYPERLINK("https://www.dasschnelle.at/elektro-sykora-gmbh-schönberg-im-stubaital-moosweg","Website")</f>
        <v>Website</v>
      </c>
      <c r="C591" t="str">
        <f>HYPERLINK("http://www.elektro-sykora.at","Website")</f>
        <v>Website</v>
      </c>
      <c r="D591" t="str">
        <f>HYPERLINK("http://www.google.com/maps/place/47.18069,11.39715","Location")</f>
        <v>Location</v>
      </c>
      <c r="E591" t="s">
        <v>5335</v>
      </c>
      <c r="F591" t="s">
        <v>5336</v>
      </c>
      <c r="G591" t="s">
        <v>5235</v>
      </c>
      <c r="H591" t="s">
        <v>5236</v>
      </c>
      <c r="I591" t="s">
        <v>21</v>
      </c>
      <c r="J591" t="s">
        <v>22</v>
      </c>
      <c r="K591" t="s">
        <v>5337</v>
      </c>
      <c r="L591" t="s">
        <v>5340</v>
      </c>
      <c r="M591" t="s">
        <v>25</v>
      </c>
      <c r="N591" t="s">
        <v>5341</v>
      </c>
      <c r="O591" t="s">
        <v>25</v>
      </c>
      <c r="P591" t="s">
        <v>5342</v>
      </c>
      <c r="Q591" t="s">
        <v>29</v>
      </c>
      <c r="R591" t="s">
        <v>5338</v>
      </c>
      <c r="S591" t="s">
        <v>5339</v>
      </c>
    </row>
    <row r="592" spans="1:19" x14ac:dyDescent="0.25">
      <c r="A592" s="1">
        <v>590</v>
      </c>
      <c r="B592" t="str">
        <f>HYPERLINK("https://www.dasschnelle.at/elektro-peer-gmbh-matrei-am-brenner-brennerstraße","Website")</f>
        <v>Website</v>
      </c>
      <c r="C592" t="str">
        <f>HYPERLINK("http://www.elektro-peer.tirol","Website")</f>
        <v>Website</v>
      </c>
      <c r="D592" t="str">
        <f>HYPERLINK("http://www.google.com/maps/place/47.1293660,11.4519590","Location")</f>
        <v>Location</v>
      </c>
      <c r="E592" t="s">
        <v>5343</v>
      </c>
      <c r="F592" t="s">
        <v>5344</v>
      </c>
      <c r="G592" t="s">
        <v>5300</v>
      </c>
      <c r="H592" t="s">
        <v>5301</v>
      </c>
      <c r="I592" t="s">
        <v>21</v>
      </c>
      <c r="J592" t="s">
        <v>22</v>
      </c>
      <c r="K592" t="s">
        <v>5345</v>
      </c>
      <c r="L592" t="s">
        <v>5348</v>
      </c>
      <c r="M592" t="s">
        <v>5349</v>
      </c>
      <c r="N592" t="s">
        <v>5350</v>
      </c>
      <c r="O592" t="s">
        <v>25</v>
      </c>
      <c r="P592" t="s">
        <v>5351</v>
      </c>
      <c r="Q592" t="s">
        <v>29</v>
      </c>
      <c r="R592" t="s">
        <v>5346</v>
      </c>
      <c r="S592" t="s">
        <v>5347</v>
      </c>
    </row>
    <row r="593" spans="1:19" x14ac:dyDescent="0.25">
      <c r="A593" s="1">
        <v>591</v>
      </c>
      <c r="B593" t="str">
        <f>HYPERLINK("https://www.dasschnelle.at/schönherr-und-schönherr-steuerberatungs-u-unternehmensberatungs-gmbh-neustift-im-stubaital-außerrain","Website")</f>
        <v>Website</v>
      </c>
      <c r="C593" t="str">
        <f>HYPERLINK("http://www.schoenherr-schoenherr.at/","Website")</f>
        <v>Website</v>
      </c>
      <c r="D593" t="str">
        <f>HYPERLINK("http://www.google.com/maps/place/47.1251,11.32541","Location")</f>
        <v>Location</v>
      </c>
      <c r="E593" t="s">
        <v>5352</v>
      </c>
      <c r="F593" t="s">
        <v>5353</v>
      </c>
      <c r="G593" t="s">
        <v>5283</v>
      </c>
      <c r="H593" t="s">
        <v>5284</v>
      </c>
      <c r="I593" t="s">
        <v>21</v>
      </c>
      <c r="J593" t="s">
        <v>22</v>
      </c>
      <c r="K593" t="s">
        <v>5354</v>
      </c>
      <c r="L593" t="s">
        <v>5357</v>
      </c>
      <c r="M593" t="s">
        <v>25</v>
      </c>
      <c r="N593" t="s">
        <v>5358</v>
      </c>
      <c r="O593" t="s">
        <v>25</v>
      </c>
      <c r="P593" t="s">
        <v>5359</v>
      </c>
      <c r="Q593" t="s">
        <v>29</v>
      </c>
      <c r="R593" t="s">
        <v>5355</v>
      </c>
      <c r="S593" t="s">
        <v>5356</v>
      </c>
    </row>
    <row r="594" spans="1:19" x14ac:dyDescent="0.25">
      <c r="A594" s="1">
        <v>592</v>
      </c>
      <c r="B594" t="str">
        <f>HYPERLINK("https://www.dasschnelle.at/freund-albert-gries-am-brenner-gasse","Website")</f>
        <v>Website</v>
      </c>
      <c r="C594" t="str">
        <f>HYPERLINK("http://www.spenglerei-freund.at","Website")</f>
        <v>Website</v>
      </c>
      <c r="D594" t="str">
        <f>HYPERLINK("http://www.google.com/maps/place/47.0395000,11.4787044","Location")</f>
        <v>Location</v>
      </c>
      <c r="E594" t="s">
        <v>5360</v>
      </c>
      <c r="F594" t="s">
        <v>5361</v>
      </c>
      <c r="G594" t="s">
        <v>5363</v>
      </c>
      <c r="H594" t="s">
        <v>5364</v>
      </c>
      <c r="I594" t="s">
        <v>21</v>
      </c>
      <c r="J594" t="s">
        <v>22</v>
      </c>
      <c r="K594" t="s">
        <v>5362</v>
      </c>
      <c r="L594" t="s">
        <v>5367</v>
      </c>
      <c r="M594" t="s">
        <v>25</v>
      </c>
      <c r="N594" t="s">
        <v>5368</v>
      </c>
      <c r="O594" t="s">
        <v>25</v>
      </c>
      <c r="P594" t="s">
        <v>5369</v>
      </c>
      <c r="Q594" t="s">
        <v>29</v>
      </c>
      <c r="R594" t="s">
        <v>5365</v>
      </c>
      <c r="S594" t="s">
        <v>5366</v>
      </c>
    </row>
    <row r="595" spans="1:19" x14ac:dyDescent="0.25">
      <c r="A595" s="1">
        <v>593</v>
      </c>
      <c r="B595" t="str">
        <f>HYPERLINK("https://www.dasschnelle.at/schöpf-emanuel","Website")</f>
        <v>Website</v>
      </c>
      <c r="C595" t="str">
        <f>HYPERLINK("http://www.taxi-schoepf.at","Website")</f>
        <v>Website</v>
      </c>
      <c r="D595" t="str">
        <f>HYPERLINK("http://www.google.com/maps/place/47.12847,11.33742","Location")</f>
        <v>Location</v>
      </c>
      <c r="E595" t="s">
        <v>5370</v>
      </c>
      <c r="F595" t="s">
        <v>5371</v>
      </c>
      <c r="G595" t="s">
        <v>25</v>
      </c>
      <c r="H595" t="s">
        <v>25</v>
      </c>
      <c r="I595" t="s">
        <v>21</v>
      </c>
      <c r="J595" t="s">
        <v>22</v>
      </c>
      <c r="K595" t="s">
        <v>25</v>
      </c>
      <c r="L595" t="s">
        <v>4926</v>
      </c>
      <c r="M595" t="s">
        <v>25</v>
      </c>
      <c r="N595" t="s">
        <v>5374</v>
      </c>
      <c r="O595" t="s">
        <v>25</v>
      </c>
      <c r="P595" t="s">
        <v>5375</v>
      </c>
      <c r="Q595" t="s">
        <v>29</v>
      </c>
      <c r="R595" t="s">
        <v>5372</v>
      </c>
      <c r="S595" t="s">
        <v>5373</v>
      </c>
    </row>
    <row r="596" spans="1:19" x14ac:dyDescent="0.25">
      <c r="A596" s="1">
        <v>594</v>
      </c>
      <c r="B596" t="str">
        <f>HYPERLINK("https://www.dasschnelle.at/obojes-hannes-matrei-am-brenner-sportplatzsiedlung","Website")</f>
        <v>Website</v>
      </c>
      <c r="C596" t="str">
        <f>HYPERLINK("http://www.obojes-wohnen.at","Website")</f>
        <v>Website</v>
      </c>
      <c r="D596" t="str">
        <f>HYPERLINK("http://www.google.com/maps/place/47.1333248,11.4541108","Location")</f>
        <v>Location</v>
      </c>
      <c r="E596" t="s">
        <v>5376</v>
      </c>
      <c r="F596" t="s">
        <v>5377</v>
      </c>
      <c r="G596" t="s">
        <v>5300</v>
      </c>
      <c r="H596" t="s">
        <v>5301</v>
      </c>
      <c r="I596" t="s">
        <v>21</v>
      </c>
      <c r="J596" t="s">
        <v>22</v>
      </c>
      <c r="K596" t="s">
        <v>5378</v>
      </c>
      <c r="L596" t="s">
        <v>5381</v>
      </c>
      <c r="M596" t="s">
        <v>25</v>
      </c>
      <c r="N596" t="s">
        <v>5382</v>
      </c>
      <c r="O596" t="s">
        <v>25</v>
      </c>
      <c r="P596" t="s">
        <v>5383</v>
      </c>
      <c r="Q596" t="s">
        <v>29</v>
      </c>
      <c r="R596" t="s">
        <v>5379</v>
      </c>
      <c r="S596" t="s">
        <v>5380</v>
      </c>
    </row>
    <row r="597" spans="1:19" x14ac:dyDescent="0.25">
      <c r="A597" s="1">
        <v>595</v>
      </c>
      <c r="B597" t="str">
        <f>HYPERLINK("https://www.dasschnelle.at/jenewein-und-fröhlich-og-steinach-saxen","Website")</f>
        <v>Website</v>
      </c>
      <c r="C597" t="str">
        <f>HYPERLINK("https://www.dasschnelle.at/jenewein-und-fr%C3%B6hlich-og-steinach-saxen","Website")</f>
        <v>Website</v>
      </c>
      <c r="D597" t="str">
        <f>HYPERLINK("http://www.google.com/maps/place/47.07931,11.47668","Location")</f>
        <v>Location</v>
      </c>
      <c r="E597" t="s">
        <v>5384</v>
      </c>
      <c r="F597" t="s">
        <v>5385</v>
      </c>
      <c r="G597" t="s">
        <v>5245</v>
      </c>
      <c r="H597" t="s">
        <v>5255</v>
      </c>
      <c r="I597" t="s">
        <v>21</v>
      </c>
      <c r="J597" t="s">
        <v>22</v>
      </c>
      <c r="K597" t="s">
        <v>5386</v>
      </c>
      <c r="L597" t="s">
        <v>5389</v>
      </c>
      <c r="M597" t="s">
        <v>25</v>
      </c>
      <c r="N597" t="s">
        <v>5390</v>
      </c>
      <c r="O597" t="s">
        <v>25</v>
      </c>
      <c r="P597" t="s">
        <v>5391</v>
      </c>
      <c r="Q597" t="s">
        <v>29</v>
      </c>
      <c r="R597" t="s">
        <v>5387</v>
      </c>
      <c r="S597" t="s">
        <v>5388</v>
      </c>
    </row>
    <row r="598" spans="1:19" x14ac:dyDescent="0.25">
      <c r="A598" s="1">
        <v>596</v>
      </c>
      <c r="B598" t="str">
        <f>HYPERLINK("https://www.dasschnelle.at/tp-metalltechnik-und-design-gmbh-trins-rauth","Website")</f>
        <v>Website</v>
      </c>
      <c r="C598" t="str">
        <f>HYPERLINK("http://www.metalltechnik-tp.at","Website")</f>
        <v>Website</v>
      </c>
      <c r="D598" t="str">
        <f>HYPERLINK("http://www.google.com/maps/place/47.06566,11.39063","Location")</f>
        <v>Location</v>
      </c>
      <c r="E598" t="s">
        <v>5392</v>
      </c>
      <c r="F598" t="s">
        <v>5393</v>
      </c>
      <c r="G598" t="s">
        <v>5395</v>
      </c>
      <c r="H598" t="s">
        <v>5396</v>
      </c>
      <c r="I598" t="s">
        <v>21</v>
      </c>
      <c r="J598" t="s">
        <v>22</v>
      </c>
      <c r="K598" t="s">
        <v>5394</v>
      </c>
      <c r="L598" t="s">
        <v>5399</v>
      </c>
      <c r="M598" t="s">
        <v>25</v>
      </c>
      <c r="N598" t="s">
        <v>5400</v>
      </c>
      <c r="O598" t="s">
        <v>25</v>
      </c>
      <c r="P598" t="s">
        <v>5401</v>
      </c>
      <c r="Q598" t="s">
        <v>29</v>
      </c>
      <c r="R598" t="s">
        <v>5397</v>
      </c>
      <c r="S598" t="s">
        <v>5398</v>
      </c>
    </row>
    <row r="599" spans="1:19" x14ac:dyDescent="0.25">
      <c r="A599" s="1">
        <v>597</v>
      </c>
      <c r="B599" t="str">
        <f>HYPERLINK("https://www.dasschnelle.at/spörr-ferdinand-gesmbh-und-co-kg-stafflach-harland","Website")</f>
        <v>Website</v>
      </c>
      <c r="C599" t="str">
        <f>HYPERLINK("http://www.baumarkt-spoerr.at","Website")</f>
        <v>Website</v>
      </c>
      <c r="D599" t="str">
        <f>HYPERLINK("http://www.google.com/maps/place/47.0833616,11.4729175","Location")</f>
        <v>Location</v>
      </c>
      <c r="E599" t="s">
        <v>5402</v>
      </c>
      <c r="F599" t="s">
        <v>5403</v>
      </c>
      <c r="G599" t="s">
        <v>5245</v>
      </c>
      <c r="H599" t="s">
        <v>5246</v>
      </c>
      <c r="I599" t="s">
        <v>21</v>
      </c>
      <c r="J599" t="s">
        <v>22</v>
      </c>
      <c r="K599" t="s">
        <v>5404</v>
      </c>
      <c r="L599" t="s">
        <v>5407</v>
      </c>
      <c r="M599" t="s">
        <v>25</v>
      </c>
      <c r="N599" t="s">
        <v>5408</v>
      </c>
      <c r="O599" t="s">
        <v>25</v>
      </c>
      <c r="P599" t="s">
        <v>5409</v>
      </c>
      <c r="Q599" t="s">
        <v>29</v>
      </c>
      <c r="R599" t="s">
        <v>5405</v>
      </c>
      <c r="S599" t="s">
        <v>5406</v>
      </c>
    </row>
    <row r="600" spans="1:19" x14ac:dyDescent="0.25">
      <c r="A600" s="1">
        <v>598</v>
      </c>
      <c r="B600" t="str">
        <f>HYPERLINK("https://www.dasschnelle.at/wipptal-apotheke-mag-pharm-elisabeth-sterlacci-e-u-matrei-am-brenner-matrei-am-brenner","Website")</f>
        <v>Website</v>
      </c>
      <c r="C600" t="str">
        <f>HYPERLINK("http://www.wipptal-apotheke.at","Website")</f>
        <v>Website</v>
      </c>
      <c r="D600" t="str">
        <f>HYPERLINK("http://www.google.com/maps/place/47.1323480,11.4524297","Location")</f>
        <v>Location</v>
      </c>
      <c r="E600" t="s">
        <v>5410</v>
      </c>
      <c r="F600" t="s">
        <v>5411</v>
      </c>
      <c r="G600" t="s">
        <v>5300</v>
      </c>
      <c r="H600" t="s">
        <v>5301</v>
      </c>
      <c r="I600" t="s">
        <v>21</v>
      </c>
      <c r="J600" t="s">
        <v>22</v>
      </c>
      <c r="K600" t="s">
        <v>5412</v>
      </c>
      <c r="L600" t="s">
        <v>5415</v>
      </c>
      <c r="M600" t="s">
        <v>25</v>
      </c>
      <c r="N600" t="s">
        <v>25</v>
      </c>
      <c r="O600" t="s">
        <v>25</v>
      </c>
      <c r="P600" t="s">
        <v>5416</v>
      </c>
      <c r="Q600" t="s">
        <v>29</v>
      </c>
      <c r="R600" t="s">
        <v>5413</v>
      </c>
      <c r="S600" t="s">
        <v>5414</v>
      </c>
    </row>
    <row r="601" spans="1:19" x14ac:dyDescent="0.25">
      <c r="A601" s="1">
        <v>599</v>
      </c>
      <c r="B601" t="str">
        <f>HYPERLINK("https://www.dasschnelle.at/volderauer-klaus-neustift-im-stubaital-neder-ried","Website")</f>
        <v>Website</v>
      </c>
      <c r="C601" t="str">
        <f>HYPERLINK("http://www.elektro-volderauer.at","Website")</f>
        <v>Website</v>
      </c>
      <c r="D601" t="str">
        <f>HYPERLINK("http://www.google.com/maps/place/47.12131,11.32715","Location")</f>
        <v>Location</v>
      </c>
      <c r="E601" t="s">
        <v>5417</v>
      </c>
      <c r="F601" t="s">
        <v>5418</v>
      </c>
      <c r="G601" t="s">
        <v>5283</v>
      </c>
      <c r="H601" t="s">
        <v>5284</v>
      </c>
      <c r="I601" t="s">
        <v>21</v>
      </c>
      <c r="J601" t="s">
        <v>22</v>
      </c>
      <c r="K601" t="s">
        <v>5419</v>
      </c>
      <c r="L601" t="s">
        <v>5422</v>
      </c>
      <c r="M601" t="s">
        <v>25</v>
      </c>
      <c r="N601" t="s">
        <v>5423</v>
      </c>
      <c r="O601" t="s">
        <v>25</v>
      </c>
      <c r="P601" t="s">
        <v>5424</v>
      </c>
      <c r="Q601" t="s">
        <v>29</v>
      </c>
      <c r="R601" t="s">
        <v>5420</v>
      </c>
      <c r="S601" t="s">
        <v>5421</v>
      </c>
    </row>
    <row r="602" spans="1:19" x14ac:dyDescent="0.25">
      <c r="A602" s="1">
        <v>600</v>
      </c>
      <c r="B602" t="str">
        <f>HYPERLINK("https://www.dasschnelle.at/henökl-konrad-steinach-erlach","Website")</f>
        <v>Website</v>
      </c>
      <c r="C602" t="str">
        <f>HYPERLINK("http://www.wipptalkamin.at","Website")</f>
        <v>Website</v>
      </c>
      <c r="D602" t="str">
        <f>HYPERLINK("http://www.google.com/maps/place/47.0942585,11.4665395","Location")</f>
        <v>Location</v>
      </c>
      <c r="E602" t="s">
        <v>5425</v>
      </c>
      <c r="F602" t="s">
        <v>5426</v>
      </c>
      <c r="G602" t="s">
        <v>5245</v>
      </c>
      <c r="H602" t="s">
        <v>5255</v>
      </c>
      <c r="I602" t="s">
        <v>21</v>
      </c>
      <c r="J602" t="s">
        <v>22</v>
      </c>
      <c r="K602" t="s">
        <v>5427</v>
      </c>
      <c r="L602" t="s">
        <v>5430</v>
      </c>
      <c r="M602" t="s">
        <v>25</v>
      </c>
      <c r="N602" t="s">
        <v>5431</v>
      </c>
      <c r="O602" t="s">
        <v>25</v>
      </c>
      <c r="P602" t="s">
        <v>5432</v>
      </c>
      <c r="Q602" t="s">
        <v>29</v>
      </c>
      <c r="R602" t="s">
        <v>5428</v>
      </c>
      <c r="S602" t="s">
        <v>5429</v>
      </c>
    </row>
    <row r="603" spans="1:19" x14ac:dyDescent="0.25">
      <c r="A603" s="1">
        <v>601</v>
      </c>
      <c r="B603" t="str">
        <f>HYPERLINK("https://www.dasschnelle.at/almi-gastronomie-gmbh-obernberg-am-brenner-außertal","Website")</f>
        <v>Website</v>
      </c>
      <c r="C603" t="str">
        <f>HYPERLINK("http://www.almis-berghotel.at","Website")</f>
        <v>Website</v>
      </c>
      <c r="D603" t="str">
        <f>HYPERLINK("http://www.google.com/maps/place/47.01637,11.42213","Location")</f>
        <v>Location</v>
      </c>
      <c r="E603" t="s">
        <v>5433</v>
      </c>
      <c r="F603" t="s">
        <v>5434</v>
      </c>
      <c r="G603" t="s">
        <v>5436</v>
      </c>
      <c r="H603" t="s">
        <v>5437</v>
      </c>
      <c r="I603" t="s">
        <v>21</v>
      </c>
      <c r="J603" t="s">
        <v>22</v>
      </c>
      <c r="K603" t="s">
        <v>5435</v>
      </c>
      <c r="L603" t="s">
        <v>5440</v>
      </c>
      <c r="M603" t="s">
        <v>5441</v>
      </c>
      <c r="N603" t="s">
        <v>5442</v>
      </c>
      <c r="O603" t="s">
        <v>25</v>
      </c>
      <c r="P603" t="s">
        <v>5443</v>
      </c>
      <c r="Q603" t="s">
        <v>29</v>
      </c>
      <c r="R603" t="s">
        <v>5438</v>
      </c>
      <c r="S603" t="s">
        <v>5439</v>
      </c>
    </row>
    <row r="604" spans="1:19" x14ac:dyDescent="0.25">
      <c r="A604" s="1">
        <v>602</v>
      </c>
      <c r="B604" t="str">
        <f>HYPERLINK("https://www.dasschnelle.at/auer-haustechnik-und-wellness-gmbh-fulpmes-industriegelände-zone-a","Website")</f>
        <v>Website</v>
      </c>
      <c r="C604" t="str">
        <f>HYPERLINK("http://www.auer-fulpmes.at","Website")</f>
        <v>Website</v>
      </c>
      <c r="D604" t="str">
        <f>HYPERLINK("http://www.google.com/maps/place/47.13364,11.33967","Location")</f>
        <v>Location</v>
      </c>
      <c r="E604" t="s">
        <v>5444</v>
      </c>
      <c r="F604" t="s">
        <v>5445</v>
      </c>
      <c r="G604" t="s">
        <v>5273</v>
      </c>
      <c r="H604" t="s">
        <v>5274</v>
      </c>
      <c r="I604" t="s">
        <v>21</v>
      </c>
      <c r="J604" t="s">
        <v>22</v>
      </c>
      <c r="K604" t="s">
        <v>5446</v>
      </c>
      <c r="L604" t="s">
        <v>5449</v>
      </c>
      <c r="M604" t="s">
        <v>25</v>
      </c>
      <c r="N604" t="s">
        <v>5450</v>
      </c>
      <c r="O604" t="s">
        <v>25</v>
      </c>
      <c r="P604" t="s">
        <v>5451</v>
      </c>
      <c r="Q604" t="s">
        <v>29</v>
      </c>
      <c r="R604" t="s">
        <v>5447</v>
      </c>
      <c r="S604" t="s">
        <v>5448</v>
      </c>
    </row>
    <row r="605" spans="1:19" x14ac:dyDescent="0.25">
      <c r="A605" s="1">
        <v>603</v>
      </c>
      <c r="B605" t="str">
        <f>HYPERLINK("https://www.dasschnelle.at/grasl-franz-matrei-am-brenner-brennerstraße","Website")</f>
        <v>Website</v>
      </c>
      <c r="C605" t="str">
        <f>HYPERLINK("https://www.dasschnelle.at/grasl-franz-matrei-am-brenner-brennerstra%C3%9Fe","Website")</f>
        <v>Website</v>
      </c>
      <c r="D605" t="str">
        <f>HYPERLINK("http://www.google.com/maps/place/47.1303120,11.4530165","Location")</f>
        <v>Location</v>
      </c>
      <c r="E605" t="s">
        <v>5452</v>
      </c>
      <c r="F605" t="s">
        <v>5453</v>
      </c>
      <c r="G605" t="s">
        <v>5300</v>
      </c>
      <c r="H605" t="s">
        <v>5301</v>
      </c>
      <c r="I605" t="s">
        <v>21</v>
      </c>
      <c r="J605" t="s">
        <v>22</v>
      </c>
      <c r="K605" t="s">
        <v>5454</v>
      </c>
      <c r="L605" t="s">
        <v>5457</v>
      </c>
      <c r="M605" t="s">
        <v>25</v>
      </c>
      <c r="N605" t="s">
        <v>5458</v>
      </c>
      <c r="O605" t="s">
        <v>25</v>
      </c>
      <c r="P605" t="s">
        <v>5459</v>
      </c>
      <c r="Q605" t="s">
        <v>29</v>
      </c>
      <c r="R605" t="s">
        <v>5455</v>
      </c>
      <c r="S605" t="s">
        <v>5456</v>
      </c>
    </row>
    <row r="606" spans="1:19" x14ac:dyDescent="0.25">
      <c r="A606" s="1">
        <v>604</v>
      </c>
      <c r="B606" t="str">
        <f>HYPERLINK("https://www.dasschnelle.at/penz-markus-navis-unterweg","Website")</f>
        <v>Website</v>
      </c>
      <c r="C606" t="str">
        <f>HYPERLINK("http://www.tischlerei-penz.com","Website")</f>
        <v>Website</v>
      </c>
      <c r="D606" t="str">
        <f>HYPERLINK("http://www.google.com/maps/place/47.1308750,11.5375330","Location")</f>
        <v>Location</v>
      </c>
      <c r="E606" t="s">
        <v>5460</v>
      </c>
      <c r="F606" t="s">
        <v>5461</v>
      </c>
      <c r="G606" t="s">
        <v>5226</v>
      </c>
      <c r="H606" t="s">
        <v>5227</v>
      </c>
      <c r="I606" t="s">
        <v>21</v>
      </c>
      <c r="J606" t="s">
        <v>22</v>
      </c>
      <c r="K606" t="s">
        <v>5462</v>
      </c>
      <c r="L606" t="s">
        <v>5465</v>
      </c>
      <c r="M606" t="s">
        <v>25</v>
      </c>
      <c r="N606" t="s">
        <v>5466</v>
      </c>
      <c r="O606" t="s">
        <v>25</v>
      </c>
      <c r="P606" t="s">
        <v>5467</v>
      </c>
      <c r="Q606" t="s">
        <v>29</v>
      </c>
      <c r="R606" t="s">
        <v>5463</v>
      </c>
      <c r="S606" t="s">
        <v>5464</v>
      </c>
    </row>
    <row r="607" spans="1:19" x14ac:dyDescent="0.25">
      <c r="A607" s="1">
        <v>605</v>
      </c>
      <c r="B607" t="str">
        <f>HYPERLINK("https://www.dasschnelle.at/mair-gmbh-matrei-am-brenner-matrei-am-brenner","Website")</f>
        <v>Website</v>
      </c>
      <c r="C607" t="str">
        <f>HYPERLINK("http://www.busreisen-mair.tirol","Website")</f>
        <v>Website</v>
      </c>
      <c r="D607" t="str">
        <f>HYPERLINK("http://www.google.com/maps/place/47.1316447,11.4525292","Location")</f>
        <v>Location</v>
      </c>
      <c r="E607" t="s">
        <v>5468</v>
      </c>
      <c r="F607" t="s">
        <v>5469</v>
      </c>
      <c r="G607" t="s">
        <v>5300</v>
      </c>
      <c r="H607" t="s">
        <v>5301</v>
      </c>
      <c r="I607" t="s">
        <v>21</v>
      </c>
      <c r="J607" t="s">
        <v>22</v>
      </c>
      <c r="K607" t="s">
        <v>5470</v>
      </c>
      <c r="L607" t="s">
        <v>5473</v>
      </c>
      <c r="M607" t="s">
        <v>25</v>
      </c>
      <c r="N607" t="s">
        <v>5474</v>
      </c>
      <c r="O607" t="s">
        <v>25</v>
      </c>
      <c r="P607" t="s">
        <v>5475</v>
      </c>
      <c r="Q607" t="s">
        <v>29</v>
      </c>
      <c r="R607" t="s">
        <v>5471</v>
      </c>
      <c r="S607" t="s">
        <v>5472</v>
      </c>
    </row>
    <row r="608" spans="1:19" x14ac:dyDescent="0.25">
      <c r="A608" s="1">
        <v>606</v>
      </c>
      <c r="B608" t="str">
        <f>HYPERLINK("https://www.dasschnelle.at/rupert-muigg-navis-oberweg","Website")</f>
        <v>Website</v>
      </c>
      <c r="C608" t="str">
        <f>HYPERLINK("http://www.computerservice-navis.at","Website")</f>
        <v>Website</v>
      </c>
      <c r="D608" t="str">
        <f>HYPERLINK("http://www.google.com/maps/place/47.1276600,11.5024700","Location")</f>
        <v>Location</v>
      </c>
      <c r="E608" t="s">
        <v>5476</v>
      </c>
      <c r="F608" t="s">
        <v>5477</v>
      </c>
      <c r="G608" t="s">
        <v>5226</v>
      </c>
      <c r="H608" t="s">
        <v>5227</v>
      </c>
      <c r="I608" t="s">
        <v>21</v>
      </c>
      <c r="J608" t="s">
        <v>22</v>
      </c>
      <c r="K608" t="s">
        <v>5478</v>
      </c>
      <c r="L608" t="s">
        <v>5481</v>
      </c>
      <c r="M608" t="s">
        <v>25</v>
      </c>
      <c r="N608" t="s">
        <v>5482</v>
      </c>
      <c r="O608" t="s">
        <v>25</v>
      </c>
      <c r="P608" t="s">
        <v>697</v>
      </c>
      <c r="Q608" t="s">
        <v>29</v>
      </c>
      <c r="R608" t="s">
        <v>5479</v>
      </c>
      <c r="S608" t="s">
        <v>5480</v>
      </c>
    </row>
    <row r="609" spans="1:19" x14ac:dyDescent="0.25">
      <c r="A609" s="1">
        <v>607</v>
      </c>
      <c r="B609" t="str">
        <f>HYPERLINK("https://www.dasschnelle.at/müller-hubert-fulpmes-industriegelände-zone-a","Website")</f>
        <v>Website</v>
      </c>
      <c r="C609" t="str">
        <f>HYPERLINK("https://www.dasschnelle.at/m%C3%BCller-hubert-fulpmes-industriegel%C3%A4nde-zone-a","Website")</f>
        <v>Website</v>
      </c>
      <c r="D609" t="str">
        <f>HYPERLINK("http://www.google.com/maps/place/47.13554,11.33871","Location")</f>
        <v>Location</v>
      </c>
      <c r="E609" t="s">
        <v>5483</v>
      </c>
      <c r="F609" t="s">
        <v>5484</v>
      </c>
      <c r="G609" t="s">
        <v>5273</v>
      </c>
      <c r="H609" t="s">
        <v>5274</v>
      </c>
      <c r="I609" t="s">
        <v>21</v>
      </c>
      <c r="J609" t="s">
        <v>22</v>
      </c>
      <c r="K609" t="s">
        <v>5485</v>
      </c>
      <c r="L609" t="s">
        <v>5488</v>
      </c>
      <c r="M609" t="s">
        <v>25</v>
      </c>
      <c r="N609" t="s">
        <v>5489</v>
      </c>
      <c r="O609" t="s">
        <v>25</v>
      </c>
      <c r="P609" t="s">
        <v>5490</v>
      </c>
      <c r="Q609" t="s">
        <v>29</v>
      </c>
      <c r="R609" t="s">
        <v>5486</v>
      </c>
      <c r="S609" t="s">
        <v>5487</v>
      </c>
    </row>
    <row r="610" spans="1:19" x14ac:dyDescent="0.25">
      <c r="A610" s="1">
        <v>608</v>
      </c>
      <c r="B610" t="str">
        <f>HYPERLINK("https://www.dasschnelle.at/reymair-hannes-steinach-am-brenner-hochacker","Website")</f>
        <v>Website</v>
      </c>
      <c r="C610" t="str">
        <f>HYPERLINK("http://www.physiotherapie-reymair.at","Website")</f>
        <v>Website</v>
      </c>
      <c r="D610" t="str">
        <f>HYPERLINK("http://www.google.com/maps/place/47.0858027,11.4737002","Location")</f>
        <v>Location</v>
      </c>
      <c r="E610" t="s">
        <v>5491</v>
      </c>
      <c r="F610" t="s">
        <v>5492</v>
      </c>
      <c r="G610" t="s">
        <v>5245</v>
      </c>
      <c r="H610" t="s">
        <v>5494</v>
      </c>
      <c r="I610" t="s">
        <v>21</v>
      </c>
      <c r="J610" t="s">
        <v>22</v>
      </c>
      <c r="K610" t="s">
        <v>5493</v>
      </c>
      <c r="L610" t="s">
        <v>5497</v>
      </c>
      <c r="M610" t="s">
        <v>25</v>
      </c>
      <c r="N610" t="s">
        <v>5498</v>
      </c>
      <c r="O610" t="s">
        <v>25</v>
      </c>
      <c r="P610" t="s">
        <v>5499</v>
      </c>
      <c r="Q610" t="s">
        <v>29</v>
      </c>
      <c r="R610" t="s">
        <v>5495</v>
      </c>
      <c r="S610" t="s">
        <v>5496</v>
      </c>
    </row>
    <row r="611" spans="1:19" x14ac:dyDescent="0.25">
      <c r="A611" s="1">
        <v>609</v>
      </c>
      <c r="B611" t="str">
        <f>HYPERLINK("https://www.dasschnelle.at/mayr-stefan-neustift-im-stubaital-scheibe","Website")</f>
        <v>Website</v>
      </c>
      <c r="C611" t="str">
        <f>HYPERLINK("http://www.blumenmayr.at","Website")</f>
        <v>Website</v>
      </c>
      <c r="D611" t="str">
        <f>HYPERLINK("http://www.google.com/maps/place/47.10834,11.30095","Location")</f>
        <v>Location</v>
      </c>
      <c r="E611" t="s">
        <v>5500</v>
      </c>
      <c r="F611" t="s">
        <v>5501</v>
      </c>
      <c r="G611" t="s">
        <v>5283</v>
      </c>
      <c r="H611" t="s">
        <v>5284</v>
      </c>
      <c r="I611" t="s">
        <v>21</v>
      </c>
      <c r="J611" t="s">
        <v>22</v>
      </c>
      <c r="K611" t="s">
        <v>5502</v>
      </c>
      <c r="L611" t="s">
        <v>5505</v>
      </c>
      <c r="M611" t="s">
        <v>25</v>
      </c>
      <c r="N611" t="s">
        <v>5506</v>
      </c>
      <c r="O611" t="s">
        <v>25</v>
      </c>
      <c r="P611" t="s">
        <v>5507</v>
      </c>
      <c r="Q611" t="s">
        <v>29</v>
      </c>
      <c r="R611" t="s">
        <v>5503</v>
      </c>
      <c r="S611" t="s">
        <v>5504</v>
      </c>
    </row>
    <row r="612" spans="1:19" x14ac:dyDescent="0.25">
      <c r="A612" s="1">
        <v>610</v>
      </c>
      <c r="B612" t="str">
        <f>HYPERLINK("https://www.dasschnelle.at/gleinser-mirella-neustift-im-stubaital-scheibe","Website")</f>
        <v>Website</v>
      </c>
      <c r="C612" t="str">
        <f>HYPERLINK("http://www.friseurmirella.at","Website")</f>
        <v>Website</v>
      </c>
      <c r="D612" t="str">
        <f>HYPERLINK("http://www.google.com/maps/place/47.10881,11.30285","Location")</f>
        <v>Location</v>
      </c>
      <c r="E612" t="s">
        <v>5508</v>
      </c>
      <c r="F612" t="s">
        <v>5509</v>
      </c>
      <c r="G612" t="s">
        <v>5283</v>
      </c>
      <c r="H612" t="s">
        <v>5284</v>
      </c>
      <c r="I612" t="s">
        <v>21</v>
      </c>
      <c r="J612" t="s">
        <v>22</v>
      </c>
      <c r="K612" t="s">
        <v>5510</v>
      </c>
      <c r="L612" t="s">
        <v>5513</v>
      </c>
      <c r="M612" t="s">
        <v>25</v>
      </c>
      <c r="N612" t="s">
        <v>5514</v>
      </c>
      <c r="O612" t="s">
        <v>25</v>
      </c>
      <c r="P612" t="s">
        <v>5515</v>
      </c>
      <c r="Q612" t="s">
        <v>29</v>
      </c>
      <c r="R612" t="s">
        <v>5511</v>
      </c>
      <c r="S612" t="s">
        <v>5512</v>
      </c>
    </row>
    <row r="613" spans="1:19" x14ac:dyDescent="0.25">
      <c r="A613" s="1">
        <v>611</v>
      </c>
      <c r="B613" t="str">
        <f>HYPERLINK("https://www.dasschnelle.at/schmidt-patrizia-fulpmes-clemens-holzmeister-straße","Website")</f>
        <v>Website</v>
      </c>
      <c r="C613" t="str">
        <f>HYPERLINK("https://www.dasschnelle.at/schmidt-patrizia-fulpmes-clemens-holzmeister-stra%C3%9Fe","Website")</f>
        <v>Website</v>
      </c>
      <c r="D613" t="str">
        <f>HYPERLINK("http://www.google.com/maps/place/47.1498,11.35079","Location")</f>
        <v>Location</v>
      </c>
      <c r="E613" t="s">
        <v>5516</v>
      </c>
      <c r="F613" t="s">
        <v>5517</v>
      </c>
      <c r="G613" t="s">
        <v>5273</v>
      </c>
      <c r="H613" t="s">
        <v>5274</v>
      </c>
      <c r="I613" t="s">
        <v>21</v>
      </c>
      <c r="J613" t="s">
        <v>22</v>
      </c>
      <c r="K613" t="s">
        <v>5518</v>
      </c>
      <c r="L613" t="s">
        <v>5521</v>
      </c>
      <c r="M613" t="s">
        <v>25</v>
      </c>
      <c r="N613" t="s">
        <v>5522</v>
      </c>
      <c r="O613" t="s">
        <v>25</v>
      </c>
      <c r="P613" t="s">
        <v>5523</v>
      </c>
      <c r="Q613" t="s">
        <v>29</v>
      </c>
      <c r="R613" t="s">
        <v>5519</v>
      </c>
      <c r="S613" t="s">
        <v>5520</v>
      </c>
    </row>
    <row r="614" spans="1:19" x14ac:dyDescent="0.25">
      <c r="A614" s="1">
        <v>612</v>
      </c>
      <c r="B614" t="str">
        <f>HYPERLINK("https://www.dasschnelle.at/silbergasser-markus-trins-siedlung-galtschein","Website")</f>
        <v>Website</v>
      </c>
      <c r="C614" t="str">
        <f>HYPERLINK("https://www.dasschnelle.at/silbergasser-markus-trins-siedlung-galtschein","Website")</f>
        <v>Website</v>
      </c>
      <c r="D614" t="str">
        <f>HYPERLINK("http://www.google.com/maps/place/47.07487,11.39903","Location")</f>
        <v>Location</v>
      </c>
      <c r="E614" t="s">
        <v>5524</v>
      </c>
      <c r="F614" t="s">
        <v>5525</v>
      </c>
      <c r="G614" t="s">
        <v>5395</v>
      </c>
      <c r="H614" t="s">
        <v>5396</v>
      </c>
      <c r="I614" t="s">
        <v>21</v>
      </c>
      <c r="J614" t="s">
        <v>22</v>
      </c>
      <c r="K614" t="s">
        <v>5526</v>
      </c>
      <c r="L614" t="s">
        <v>5529</v>
      </c>
      <c r="M614" t="s">
        <v>25</v>
      </c>
      <c r="N614" t="s">
        <v>5530</v>
      </c>
      <c r="O614" t="s">
        <v>25</v>
      </c>
      <c r="P614" t="s">
        <v>5531</v>
      </c>
      <c r="Q614" t="s">
        <v>29</v>
      </c>
      <c r="R614" t="s">
        <v>5527</v>
      </c>
      <c r="S614" t="s">
        <v>5528</v>
      </c>
    </row>
    <row r="615" spans="1:19" x14ac:dyDescent="0.25">
      <c r="A615" s="1">
        <v>613</v>
      </c>
      <c r="B615" t="str">
        <f>HYPERLINK("https://www.dasschnelle.at/alexander-primus-steinach-brennerstraße","Website")</f>
        <v>Website</v>
      </c>
      <c r="C615" t="str">
        <f>HYPERLINK("http://www.teamtirol.com","Website")</f>
        <v>Website</v>
      </c>
      <c r="D615" t="str">
        <f>HYPERLINK("http://www.google.com/maps/place/47.2647000,11.4398700","Location")</f>
        <v>Location</v>
      </c>
      <c r="E615" t="s">
        <v>5532</v>
      </c>
      <c r="F615" t="s">
        <v>5533</v>
      </c>
      <c r="G615" t="s">
        <v>5245</v>
      </c>
      <c r="H615" t="s">
        <v>5255</v>
      </c>
      <c r="I615" t="s">
        <v>21</v>
      </c>
      <c r="J615" t="s">
        <v>22</v>
      </c>
      <c r="K615" t="s">
        <v>5534</v>
      </c>
      <c r="L615" t="s">
        <v>5537</v>
      </c>
      <c r="M615" t="s">
        <v>25</v>
      </c>
      <c r="N615" t="s">
        <v>5538</v>
      </c>
      <c r="O615" t="s">
        <v>25</v>
      </c>
      <c r="P615" t="s">
        <v>5539</v>
      </c>
      <c r="Q615" t="s">
        <v>29</v>
      </c>
      <c r="R615" t="s">
        <v>5535</v>
      </c>
      <c r="S615" t="s">
        <v>5536</v>
      </c>
    </row>
    <row r="616" spans="1:19" x14ac:dyDescent="0.25">
      <c r="A616" s="1">
        <v>614</v>
      </c>
      <c r="B616" t="str">
        <f>HYPERLINK("https://www.dasschnelle.at/marth-philipp-ing-schönberg-im-stubaital-römerstraße","Website")</f>
        <v>Website</v>
      </c>
      <c r="C616" t="str">
        <f>HYPERLINK("http://www.holzbau-marth.com","Website")</f>
        <v>Website</v>
      </c>
      <c r="D616" t="str">
        <f>HYPERLINK("http://www.google.com/maps/place/47.1867,11.40588","Location")</f>
        <v>Location</v>
      </c>
      <c r="E616" t="s">
        <v>5540</v>
      </c>
      <c r="F616" t="s">
        <v>5541</v>
      </c>
      <c r="G616" t="s">
        <v>5235</v>
      </c>
      <c r="H616" t="s">
        <v>5236</v>
      </c>
      <c r="I616" t="s">
        <v>21</v>
      </c>
      <c r="J616" t="s">
        <v>22</v>
      </c>
      <c r="K616" t="s">
        <v>5542</v>
      </c>
      <c r="L616" t="s">
        <v>5545</v>
      </c>
      <c r="M616" t="s">
        <v>25</v>
      </c>
      <c r="N616" t="s">
        <v>5546</v>
      </c>
      <c r="O616" t="s">
        <v>25</v>
      </c>
      <c r="P616" t="s">
        <v>5547</v>
      </c>
      <c r="Q616" t="s">
        <v>29</v>
      </c>
      <c r="R616" t="s">
        <v>5543</v>
      </c>
      <c r="S616" t="s">
        <v>5544</v>
      </c>
    </row>
    <row r="617" spans="1:19" x14ac:dyDescent="0.25">
      <c r="A617" s="1">
        <v>615</v>
      </c>
      <c r="B617" t="str">
        <f>HYPERLINK("https://www.dasschnelle.at/seitinger-franz-gmbh-und-co-kg-zell-schüttbachweg","Website")</f>
        <v>Website</v>
      </c>
      <c r="C617" t="str">
        <f>HYPERLINK("http://www.seitinger.info","Website")</f>
        <v>Website</v>
      </c>
      <c r="D617" t="str">
        <f>HYPERLINK("http://www.google.com/maps/place/47.3039000,12.7950000","Location")</f>
        <v>Location</v>
      </c>
      <c r="E617" t="s">
        <v>5548</v>
      </c>
      <c r="F617" t="s">
        <v>5549</v>
      </c>
      <c r="G617" t="s">
        <v>5551</v>
      </c>
      <c r="H617" t="s">
        <v>5552</v>
      </c>
      <c r="I617" t="s">
        <v>2239</v>
      </c>
      <c r="J617" t="s">
        <v>22</v>
      </c>
      <c r="K617" t="s">
        <v>5550</v>
      </c>
      <c r="L617" t="s">
        <v>5555</v>
      </c>
      <c r="M617" t="s">
        <v>5556</v>
      </c>
      <c r="N617" t="s">
        <v>5557</v>
      </c>
      <c r="O617" t="s">
        <v>5558</v>
      </c>
      <c r="P617" t="s">
        <v>5559</v>
      </c>
      <c r="Q617" t="s">
        <v>29</v>
      </c>
      <c r="R617" t="s">
        <v>5553</v>
      </c>
      <c r="S617" t="s">
        <v>5554</v>
      </c>
    </row>
    <row r="618" spans="1:19" x14ac:dyDescent="0.25">
      <c r="A618" s="1">
        <v>616</v>
      </c>
      <c r="B618" t="str">
        <f>HYPERLINK("https://www.dasschnelle.at/schösser-erdbau-hollersbach-im-pinzgau-grubing","Website")</f>
        <v>Website</v>
      </c>
      <c r="C618" t="str">
        <f>HYPERLINK("http://www.schoesser-erdbau.at","Website")</f>
        <v>Website</v>
      </c>
      <c r="D618" t="str">
        <f>HYPERLINK("http://www.google.com/maps/place/47.2826422,12.4161540","Location")</f>
        <v>Location</v>
      </c>
      <c r="E618" t="s">
        <v>5560</v>
      </c>
      <c r="F618" t="s">
        <v>5561</v>
      </c>
      <c r="G618" t="s">
        <v>5563</v>
      </c>
      <c r="H618" t="s">
        <v>5564</v>
      </c>
      <c r="I618" t="s">
        <v>2239</v>
      </c>
      <c r="J618" t="s">
        <v>22</v>
      </c>
      <c r="K618" t="s">
        <v>5562</v>
      </c>
      <c r="L618" t="s">
        <v>5567</v>
      </c>
      <c r="M618" t="s">
        <v>25</v>
      </c>
      <c r="N618" t="s">
        <v>5568</v>
      </c>
      <c r="O618" t="s">
        <v>25</v>
      </c>
      <c r="P618" t="s">
        <v>5569</v>
      </c>
      <c r="Q618" t="s">
        <v>29</v>
      </c>
      <c r="R618" t="s">
        <v>5565</v>
      </c>
      <c r="S618" t="s">
        <v>5566</v>
      </c>
    </row>
    <row r="619" spans="1:19" x14ac:dyDescent="0.25">
      <c r="A619" s="1">
        <v>617</v>
      </c>
      <c r="B619" t="str">
        <f>HYPERLINK("https://www.dasschnelle.at/eitler-bau-gmbh-saalfelden-bahnhofstraße","Website")</f>
        <v>Website</v>
      </c>
      <c r="C619" t="str">
        <f>HYPERLINK("http://www.eitlerbau.at","Website")</f>
        <v>Website</v>
      </c>
      <c r="D619" t="str">
        <f>HYPERLINK("http://www.google.com/maps/place/47.42119,12.83285","Location")</f>
        <v>Location</v>
      </c>
      <c r="E619" t="s">
        <v>5570</v>
      </c>
      <c r="F619" t="s">
        <v>5571</v>
      </c>
      <c r="G619" t="s">
        <v>5573</v>
      </c>
      <c r="H619" t="s">
        <v>5574</v>
      </c>
      <c r="I619" t="s">
        <v>2239</v>
      </c>
      <c r="J619" t="s">
        <v>22</v>
      </c>
      <c r="K619" t="s">
        <v>5572</v>
      </c>
      <c r="L619" t="s">
        <v>5577</v>
      </c>
      <c r="M619" t="s">
        <v>5578</v>
      </c>
      <c r="N619" t="s">
        <v>5579</v>
      </c>
      <c r="O619" t="s">
        <v>25</v>
      </c>
      <c r="P619" t="s">
        <v>5580</v>
      </c>
      <c r="Q619" t="s">
        <v>29</v>
      </c>
      <c r="R619" t="s">
        <v>5575</v>
      </c>
      <c r="S619" t="s">
        <v>5576</v>
      </c>
    </row>
    <row r="620" spans="1:19" x14ac:dyDescent="0.25">
      <c r="A620" s="1">
        <v>618</v>
      </c>
      <c r="B620" t="str">
        <f>HYPERLINK("https://www.dasschnelle.at/hafner-thomas-zell-rosengasse","Website")</f>
        <v>Website</v>
      </c>
      <c r="C620" t="str">
        <f>HYPERLINK("https://www.dasschnelle.at/hafner-thomas-zell-rosengasse","Website")</f>
        <v>Website</v>
      </c>
      <c r="D620" t="str">
        <f>HYPERLINK("http://www.google.com/maps/place/47.2936946,12.7812635","Location")</f>
        <v>Location</v>
      </c>
      <c r="E620" t="s">
        <v>5581</v>
      </c>
      <c r="F620" t="s">
        <v>5582</v>
      </c>
      <c r="G620" t="s">
        <v>5551</v>
      </c>
      <c r="H620" t="s">
        <v>5552</v>
      </c>
      <c r="I620" t="s">
        <v>2239</v>
      </c>
      <c r="J620" t="s">
        <v>22</v>
      </c>
      <c r="K620" t="s">
        <v>5583</v>
      </c>
      <c r="L620" t="s">
        <v>5586</v>
      </c>
      <c r="M620" t="s">
        <v>25</v>
      </c>
      <c r="N620" t="s">
        <v>5587</v>
      </c>
      <c r="O620" t="s">
        <v>5588</v>
      </c>
      <c r="P620" t="s">
        <v>5589</v>
      </c>
      <c r="Q620" t="s">
        <v>29</v>
      </c>
      <c r="R620" t="s">
        <v>5584</v>
      </c>
      <c r="S620" t="s">
        <v>5585</v>
      </c>
    </row>
    <row r="621" spans="1:19" x14ac:dyDescent="0.25">
      <c r="A621" s="1">
        <v>619</v>
      </c>
      <c r="B621" t="str">
        <f>HYPERLINK("https://www.dasschnelle.at/mayr-karl-gmbh-und-co-bachwinkl-georg-scherer-straße","Website")</f>
        <v>Website</v>
      </c>
      <c r="C621" t="str">
        <f>HYPERLINK("http://www.mayr-dach.at","Website")</f>
        <v>Website</v>
      </c>
      <c r="D621" t="str">
        <f>HYPERLINK("http://www.google.com/maps/place/47.43524,12.85121","Location")</f>
        <v>Location</v>
      </c>
      <c r="E621" t="s">
        <v>5590</v>
      </c>
      <c r="F621" t="s">
        <v>5591</v>
      </c>
      <c r="G621" t="s">
        <v>5573</v>
      </c>
      <c r="H621" t="s">
        <v>5593</v>
      </c>
      <c r="I621" t="s">
        <v>2239</v>
      </c>
      <c r="J621" t="s">
        <v>22</v>
      </c>
      <c r="K621" t="s">
        <v>5592</v>
      </c>
      <c r="L621" t="s">
        <v>5596</v>
      </c>
      <c r="M621" t="s">
        <v>5597</v>
      </c>
      <c r="N621" t="s">
        <v>5598</v>
      </c>
      <c r="O621" t="s">
        <v>25</v>
      </c>
      <c r="P621" t="s">
        <v>5599</v>
      </c>
      <c r="Q621" t="s">
        <v>29</v>
      </c>
      <c r="R621" t="s">
        <v>5594</v>
      </c>
      <c r="S621" t="s">
        <v>5595</v>
      </c>
    </row>
    <row r="622" spans="1:19" x14ac:dyDescent="0.25">
      <c r="A622" s="1">
        <v>620</v>
      </c>
      <c r="B622" t="str">
        <f>HYPERLINK("https://www.dasschnelle.at/monika-frisiersalon-niedernsill-steindorferstraße","Website")</f>
        <v>Website</v>
      </c>
      <c r="C622" t="str">
        <f>HYPERLINK("https://www.dasschnelle.at/monika-frisiersalon-niedernsill-steindorferstra%C3%9Fe","Website")</f>
        <v>Website</v>
      </c>
      <c r="D622" t="str">
        <f>HYPERLINK("http://www.google.com/maps/place/47.28547,12.64551","Location")</f>
        <v>Location</v>
      </c>
      <c r="E622" t="s">
        <v>5600</v>
      </c>
      <c r="F622" t="s">
        <v>5601</v>
      </c>
      <c r="G622" t="s">
        <v>5603</v>
      </c>
      <c r="H622" t="s">
        <v>5604</v>
      </c>
      <c r="I622" t="s">
        <v>2239</v>
      </c>
      <c r="J622" t="s">
        <v>22</v>
      </c>
      <c r="K622" t="s">
        <v>5602</v>
      </c>
      <c r="L622" t="s">
        <v>5607</v>
      </c>
      <c r="M622" t="s">
        <v>25</v>
      </c>
      <c r="N622" t="s">
        <v>5608</v>
      </c>
      <c r="O622" t="s">
        <v>25</v>
      </c>
      <c r="P622" t="s">
        <v>5609</v>
      </c>
      <c r="Q622" t="s">
        <v>29</v>
      </c>
      <c r="R622" t="s">
        <v>5605</v>
      </c>
      <c r="S622" t="s">
        <v>5606</v>
      </c>
    </row>
    <row r="623" spans="1:19" x14ac:dyDescent="0.25">
      <c r="A623" s="1">
        <v>621</v>
      </c>
      <c r="B623" t="str">
        <f>HYPERLINK("https://www.dasschnelle.at/steuerberatung-saalfelden-gmbh-und-co-kg-saalfelden-stadtplatz","Website")</f>
        <v>Website</v>
      </c>
      <c r="C623" t="str">
        <f>HYPERLINK("http://www.steuerberatung-saalfelden.com","Website")</f>
        <v>Website</v>
      </c>
      <c r="D623" t="str">
        <f>HYPERLINK("http://www.google.com/maps/place/47.4261422,12.8313725","Location")</f>
        <v>Location</v>
      </c>
      <c r="E623" t="s">
        <v>5610</v>
      </c>
      <c r="F623" t="s">
        <v>5611</v>
      </c>
      <c r="G623" t="s">
        <v>5573</v>
      </c>
      <c r="H623" t="s">
        <v>5574</v>
      </c>
      <c r="I623" t="s">
        <v>2239</v>
      </c>
      <c r="J623" t="s">
        <v>22</v>
      </c>
      <c r="K623" t="s">
        <v>5612</v>
      </c>
      <c r="L623" t="s">
        <v>5615</v>
      </c>
      <c r="M623" t="s">
        <v>5616</v>
      </c>
      <c r="N623" t="s">
        <v>5617</v>
      </c>
      <c r="O623" t="s">
        <v>25</v>
      </c>
      <c r="P623" t="s">
        <v>5618</v>
      </c>
      <c r="Q623" t="s">
        <v>29</v>
      </c>
      <c r="R623" t="s">
        <v>5613</v>
      </c>
      <c r="S623" t="s">
        <v>5614</v>
      </c>
    </row>
    <row r="624" spans="1:19" x14ac:dyDescent="0.25">
      <c r="A624" s="1">
        <v>622</v>
      </c>
      <c r="B624" t="str">
        <f>HYPERLINK("https://www.dasschnelle.at/malerei-schwaiger-saalfelden-almerstraße","Website")</f>
        <v>Website</v>
      </c>
      <c r="C624" t="str">
        <f>HYPERLINK("http://www.malerei-schwaiger.at","Website")</f>
        <v>Website</v>
      </c>
      <c r="D624" t="str">
        <f>HYPERLINK("http://www.google.com/maps/place/47.4191627,12.8553022","Location")</f>
        <v>Location</v>
      </c>
      <c r="E624" t="s">
        <v>5619</v>
      </c>
      <c r="F624" t="s">
        <v>5620</v>
      </c>
      <c r="G624" t="s">
        <v>5573</v>
      </c>
      <c r="H624" t="s">
        <v>5574</v>
      </c>
      <c r="I624" t="s">
        <v>2239</v>
      </c>
      <c r="J624" t="s">
        <v>22</v>
      </c>
      <c r="K624" t="s">
        <v>5621</v>
      </c>
      <c r="L624" t="s">
        <v>5624</v>
      </c>
      <c r="M624" t="s">
        <v>25</v>
      </c>
      <c r="N624" t="s">
        <v>5625</v>
      </c>
      <c r="O624" t="s">
        <v>25</v>
      </c>
      <c r="P624" t="s">
        <v>5626</v>
      </c>
      <c r="Q624" t="s">
        <v>29</v>
      </c>
      <c r="R624" t="s">
        <v>5622</v>
      </c>
      <c r="S624" t="s">
        <v>5623</v>
      </c>
    </row>
    <row r="625" spans="1:19" x14ac:dyDescent="0.25">
      <c r="A625" s="1">
        <v>623</v>
      </c>
      <c r="B625" t="str">
        <f>HYPERLINK("https://www.dasschnelle.at/baicu-marius-daniel-dr-zell-hafnergasse","Website")</f>
        <v>Website</v>
      </c>
      <c r="C625" t="str">
        <f>HYPERLINK("http://www.doktorszellamsee.com","Website")</f>
        <v>Website</v>
      </c>
      <c r="D625" t="str">
        <f>HYPERLINK("http://www.google.com/maps/place/47.3269115,12.7969041","Location")</f>
        <v>Location</v>
      </c>
      <c r="E625" t="s">
        <v>5627</v>
      </c>
      <c r="F625" t="s">
        <v>5628</v>
      </c>
      <c r="G625" t="s">
        <v>5551</v>
      </c>
      <c r="H625" t="s">
        <v>5552</v>
      </c>
      <c r="I625" t="s">
        <v>2239</v>
      </c>
      <c r="J625" t="s">
        <v>22</v>
      </c>
      <c r="K625" t="s">
        <v>5629</v>
      </c>
      <c r="L625" t="s">
        <v>5632</v>
      </c>
      <c r="M625" t="s">
        <v>25</v>
      </c>
      <c r="N625" t="s">
        <v>5633</v>
      </c>
      <c r="O625" t="s">
        <v>25</v>
      </c>
      <c r="P625" t="s">
        <v>5634</v>
      </c>
      <c r="Q625" t="s">
        <v>29</v>
      </c>
      <c r="R625" t="s">
        <v>5630</v>
      </c>
      <c r="S625" t="s">
        <v>5631</v>
      </c>
    </row>
    <row r="626" spans="1:19" x14ac:dyDescent="0.25">
      <c r="A626" s="1">
        <v>624</v>
      </c>
      <c r="B626" t="str">
        <f>HYPERLINK("https://www.dasschnelle.at/hetz-jutta-piesendorf-am-bachangerl","Website")</f>
        <v>Website</v>
      </c>
      <c r="C626" t="str">
        <f>HYPERLINK("https://www.dasschnelle.at/hetz-jutta-piesendorf-am-bachangerl","Website")</f>
        <v>Website</v>
      </c>
      <c r="D626" t="str">
        <f>HYPERLINK("http://www.google.com/maps/place/47.2894,12.74679","Location")</f>
        <v>Location</v>
      </c>
      <c r="E626" t="s">
        <v>5635</v>
      </c>
      <c r="F626" t="s">
        <v>5636</v>
      </c>
      <c r="G626" t="s">
        <v>5638</v>
      </c>
      <c r="H626" t="s">
        <v>5639</v>
      </c>
      <c r="I626" t="s">
        <v>2239</v>
      </c>
      <c r="J626" t="s">
        <v>22</v>
      </c>
      <c r="K626" t="s">
        <v>5637</v>
      </c>
      <c r="L626" t="s">
        <v>5642</v>
      </c>
      <c r="M626" t="s">
        <v>25</v>
      </c>
      <c r="N626" t="s">
        <v>5643</v>
      </c>
      <c r="O626" t="s">
        <v>25</v>
      </c>
      <c r="P626" t="s">
        <v>5644</v>
      </c>
      <c r="Q626" t="s">
        <v>29</v>
      </c>
      <c r="R626" t="s">
        <v>5640</v>
      </c>
      <c r="S626" t="s">
        <v>5641</v>
      </c>
    </row>
    <row r="627" spans="1:19" x14ac:dyDescent="0.25">
      <c r="A627" s="1">
        <v>625</v>
      </c>
      <c r="B627" t="str">
        <f>HYPERLINK("https://www.dasschnelle.at/landauer-alfred-gmbh-saalfelden-bsuch","Website")</f>
        <v>Website</v>
      </c>
      <c r="C627" t="str">
        <f>HYPERLINK("http://www.landauer-fenster.at","Website")</f>
        <v>Website</v>
      </c>
      <c r="D627" t="str">
        <f>HYPERLINK("http://www.google.com/maps/place/47.3997823,12.8371234","Location")</f>
        <v>Location</v>
      </c>
      <c r="E627" t="s">
        <v>5645</v>
      </c>
      <c r="F627" t="s">
        <v>5646</v>
      </c>
      <c r="G627" t="s">
        <v>5573</v>
      </c>
      <c r="H627" t="s">
        <v>5574</v>
      </c>
      <c r="I627" t="s">
        <v>2239</v>
      </c>
      <c r="J627" t="s">
        <v>22</v>
      </c>
      <c r="K627" t="s">
        <v>5647</v>
      </c>
      <c r="L627" t="s">
        <v>5650</v>
      </c>
      <c r="M627" t="s">
        <v>25</v>
      </c>
      <c r="N627" t="s">
        <v>5651</v>
      </c>
      <c r="O627" t="s">
        <v>5652</v>
      </c>
      <c r="P627" t="s">
        <v>5653</v>
      </c>
      <c r="Q627" t="s">
        <v>29</v>
      </c>
      <c r="R627" t="s">
        <v>5648</v>
      </c>
      <c r="S627" t="s">
        <v>5649</v>
      </c>
    </row>
    <row r="628" spans="1:19" x14ac:dyDescent="0.25">
      <c r="A628" s="1">
        <v>626</v>
      </c>
      <c r="B628" t="str">
        <f>HYPERLINK("https://www.dasschnelle.at/elektrotechnik-christian-e-u-stuhlfelden-bahnhofstraße","Website")</f>
        <v>Website</v>
      </c>
      <c r="C628" t="str">
        <f>HYPERLINK("https://www.dasschnelle.at/elektrotechnik-christian-e-u-stuhlfelden-bahnhofstra%C3%9Fe","Website")</f>
        <v>Website</v>
      </c>
      <c r="D628" t="str">
        <f>HYPERLINK("http://www.google.com/maps/place/47.2881774,12.5284718","Location")</f>
        <v>Location</v>
      </c>
      <c r="E628" t="s">
        <v>5654</v>
      </c>
      <c r="F628" t="s">
        <v>5655</v>
      </c>
      <c r="G628" t="s">
        <v>5657</v>
      </c>
      <c r="H628" t="s">
        <v>5658</v>
      </c>
      <c r="I628" t="s">
        <v>2239</v>
      </c>
      <c r="J628" t="s">
        <v>22</v>
      </c>
      <c r="K628" t="s">
        <v>5656</v>
      </c>
      <c r="L628" t="s">
        <v>5661</v>
      </c>
      <c r="M628" t="s">
        <v>25</v>
      </c>
      <c r="N628" t="s">
        <v>5662</v>
      </c>
      <c r="O628" t="s">
        <v>25</v>
      </c>
      <c r="P628" t="s">
        <v>5663</v>
      </c>
      <c r="Q628" t="s">
        <v>29</v>
      </c>
      <c r="R628" t="s">
        <v>5659</v>
      </c>
      <c r="S628" t="s">
        <v>5660</v>
      </c>
    </row>
    <row r="629" spans="1:19" x14ac:dyDescent="0.25">
      <c r="A629" s="1">
        <v>627</v>
      </c>
      <c r="B629" t="str">
        <f>HYPERLINK("https://www.dasschnelle.at/gruber-elektro-ternitz-franz-samwaldstraße","Website")</f>
        <v>Website</v>
      </c>
      <c r="C629" t="str">
        <f>HYPERLINK("https://www.dasschnelle.at/gruber-elektro-ternitz-franz-samwaldstra%C3%9Fe","Website")</f>
        <v>Website</v>
      </c>
      <c r="D629" t="str">
        <f>HYPERLINK("http://www.google.com/maps/place/47.70118,16.01297","Location")</f>
        <v>Location</v>
      </c>
      <c r="E629" t="s">
        <v>5664</v>
      </c>
      <c r="F629" t="s">
        <v>5665</v>
      </c>
      <c r="G629" t="s">
        <v>5667</v>
      </c>
      <c r="H629" t="s">
        <v>5668</v>
      </c>
      <c r="I629" t="s">
        <v>177</v>
      </c>
      <c r="J629" t="s">
        <v>22</v>
      </c>
      <c r="K629" t="s">
        <v>5666</v>
      </c>
      <c r="L629" t="s">
        <v>5671</v>
      </c>
      <c r="M629" t="s">
        <v>25</v>
      </c>
      <c r="N629" t="s">
        <v>5672</v>
      </c>
      <c r="O629" t="s">
        <v>25</v>
      </c>
      <c r="P629" t="s">
        <v>5673</v>
      </c>
      <c r="Q629" t="s">
        <v>29</v>
      </c>
      <c r="R629" t="s">
        <v>5669</v>
      </c>
      <c r="S629" t="s">
        <v>5670</v>
      </c>
    </row>
    <row r="630" spans="1:19" x14ac:dyDescent="0.25">
      <c r="A630" s="1">
        <v>628</v>
      </c>
      <c r="B630" t="str">
        <f>HYPERLINK("https://www.dasschnelle.at/erholungszentrum-neunkirchen-neunkirchen-hauptplatz","Website")</f>
        <v>Website</v>
      </c>
      <c r="C630" t="str">
        <f>HYPERLINK("http://www.neunkirchen.gv.at","Website")</f>
        <v>Website</v>
      </c>
      <c r="D630" t="str">
        <f>HYPERLINK("http://www.google.com/maps/place/47.72066,16.08154","Location")</f>
        <v>Location</v>
      </c>
      <c r="E630" t="s">
        <v>5674</v>
      </c>
      <c r="F630" t="s">
        <v>5675</v>
      </c>
      <c r="G630" t="s">
        <v>5676</v>
      </c>
      <c r="H630" t="s">
        <v>5677</v>
      </c>
      <c r="I630" t="s">
        <v>177</v>
      </c>
      <c r="J630" t="s">
        <v>22</v>
      </c>
      <c r="K630" t="s">
        <v>1778</v>
      </c>
      <c r="L630" t="s">
        <v>5680</v>
      </c>
      <c r="M630" t="s">
        <v>25</v>
      </c>
      <c r="N630" t="s">
        <v>5681</v>
      </c>
      <c r="O630" t="s">
        <v>25</v>
      </c>
      <c r="P630" t="s">
        <v>5682</v>
      </c>
      <c r="Q630" t="s">
        <v>29</v>
      </c>
      <c r="R630" t="s">
        <v>5678</v>
      </c>
      <c r="S630" t="s">
        <v>5679</v>
      </c>
    </row>
    <row r="631" spans="1:19" x14ac:dyDescent="0.25">
      <c r="A631" s="1">
        <v>629</v>
      </c>
      <c r="B631" t="str">
        <f>HYPERLINK("https://www.dasschnelle.at/schuster-elektro-gmbh-neunkirchen-wiener-straße","Website")</f>
        <v>Website</v>
      </c>
      <c r="C631" t="str">
        <f>HYPERLINK("http://www.elektro-schuster.com","Website")</f>
        <v>Website</v>
      </c>
      <c r="D631" t="str">
        <f>HYPERLINK("http://www.google.com/maps/place/47.72808,16.09044","Location")</f>
        <v>Location</v>
      </c>
      <c r="E631" t="s">
        <v>5683</v>
      </c>
      <c r="F631" t="s">
        <v>5684</v>
      </c>
      <c r="G631" t="s">
        <v>5676</v>
      </c>
      <c r="H631" t="s">
        <v>5677</v>
      </c>
      <c r="I631" t="s">
        <v>177</v>
      </c>
      <c r="J631" t="s">
        <v>22</v>
      </c>
      <c r="K631" t="s">
        <v>5685</v>
      </c>
      <c r="L631" t="s">
        <v>5688</v>
      </c>
      <c r="M631" t="s">
        <v>25</v>
      </c>
      <c r="N631" t="s">
        <v>5689</v>
      </c>
      <c r="O631" t="s">
        <v>25</v>
      </c>
      <c r="P631" t="s">
        <v>5690</v>
      </c>
      <c r="Q631" t="s">
        <v>29</v>
      </c>
      <c r="R631" t="s">
        <v>5686</v>
      </c>
      <c r="S631" t="s">
        <v>5687</v>
      </c>
    </row>
    <row r="632" spans="1:19" x14ac:dyDescent="0.25">
      <c r="A632" s="1">
        <v>630</v>
      </c>
      <c r="B632" t="str">
        <f>HYPERLINK("https://www.dasschnelle.at/schlosserei-l-reiterer-gmbh-flatz-falterweg","Website")</f>
        <v>Website</v>
      </c>
      <c r="C632" t="str">
        <f>HYPERLINK("http://www.schlosserei-reiterer.at","Website")</f>
        <v>Website</v>
      </c>
      <c r="D632" t="str">
        <f>HYPERLINK("http://www.google.com/maps/place/47.74177,16.02246","Location")</f>
        <v>Location</v>
      </c>
      <c r="E632" t="s">
        <v>5691</v>
      </c>
      <c r="F632" t="s">
        <v>5692</v>
      </c>
      <c r="G632" t="s">
        <v>5676</v>
      </c>
      <c r="H632" t="s">
        <v>5694</v>
      </c>
      <c r="I632" t="s">
        <v>177</v>
      </c>
      <c r="J632" t="s">
        <v>22</v>
      </c>
      <c r="K632" t="s">
        <v>5693</v>
      </c>
      <c r="L632" t="s">
        <v>5697</v>
      </c>
      <c r="M632" t="s">
        <v>25</v>
      </c>
      <c r="N632" t="s">
        <v>5698</v>
      </c>
      <c r="O632" t="s">
        <v>25</v>
      </c>
      <c r="P632" t="s">
        <v>5699</v>
      </c>
      <c r="Q632" t="s">
        <v>29</v>
      </c>
      <c r="R632" t="s">
        <v>5695</v>
      </c>
      <c r="S632" t="s">
        <v>5696</v>
      </c>
    </row>
    <row r="633" spans="1:19" x14ac:dyDescent="0.25">
      <c r="A633" s="1">
        <v>631</v>
      </c>
      <c r="B633" t="str">
        <f>HYPERLINK("https://www.dasschnelle.at/edlinger-möbel-gmbh-gloggnitz-franz-dittelbach-straße","Website")</f>
        <v>Website</v>
      </c>
      <c r="C633" t="str">
        <f>HYPERLINK("http://www.moebeledlinger.at","Website")</f>
        <v>Website</v>
      </c>
      <c r="D633" t="str">
        <f>HYPERLINK("http://www.google.com/maps/place/47.6760000,15.9463600","Location")</f>
        <v>Location</v>
      </c>
      <c r="E633" t="s">
        <v>5700</v>
      </c>
      <c r="F633" t="s">
        <v>5701</v>
      </c>
      <c r="G633" t="s">
        <v>5703</v>
      </c>
      <c r="H633" t="s">
        <v>5704</v>
      </c>
      <c r="I633" t="s">
        <v>177</v>
      </c>
      <c r="J633" t="s">
        <v>22</v>
      </c>
      <c r="K633" t="s">
        <v>5702</v>
      </c>
      <c r="L633" t="s">
        <v>5707</v>
      </c>
      <c r="M633" t="s">
        <v>25</v>
      </c>
      <c r="N633" t="s">
        <v>5708</v>
      </c>
      <c r="O633" t="s">
        <v>25</v>
      </c>
      <c r="P633" t="s">
        <v>5709</v>
      </c>
      <c r="Q633" t="s">
        <v>29</v>
      </c>
      <c r="R633" t="s">
        <v>5705</v>
      </c>
      <c r="S633" t="s">
        <v>5706</v>
      </c>
    </row>
    <row r="634" spans="1:19" x14ac:dyDescent="0.25">
      <c r="A634" s="1">
        <v>632</v>
      </c>
      <c r="B634" t="str">
        <f>HYPERLINK("https://www.dasschnelle.at/komenda-gmbh-pongauer-jägerzaun-tischlerei-u-holzhandel-neunkirchen-postweg","Website")</f>
        <v>Website</v>
      </c>
      <c r="C634" t="str">
        <f>HYPERLINK("http://www.komenda.cc","Website")</f>
        <v>Website</v>
      </c>
      <c r="D634" t="str">
        <f>HYPERLINK("http://www.google.com/maps/place/47.71946,16.07234","Location")</f>
        <v>Location</v>
      </c>
      <c r="E634" t="s">
        <v>5710</v>
      </c>
      <c r="F634" t="s">
        <v>5711</v>
      </c>
      <c r="G634" t="s">
        <v>5676</v>
      </c>
      <c r="H634" t="s">
        <v>5677</v>
      </c>
      <c r="I634" t="s">
        <v>177</v>
      </c>
      <c r="J634" t="s">
        <v>22</v>
      </c>
      <c r="K634" t="s">
        <v>5712</v>
      </c>
      <c r="L634" t="s">
        <v>5715</v>
      </c>
      <c r="M634" t="s">
        <v>25</v>
      </c>
      <c r="N634" t="s">
        <v>5716</v>
      </c>
      <c r="O634" t="s">
        <v>25</v>
      </c>
      <c r="P634" t="s">
        <v>5717</v>
      </c>
      <c r="Q634" t="s">
        <v>29</v>
      </c>
      <c r="R634" t="s">
        <v>5713</v>
      </c>
      <c r="S634" t="s">
        <v>5714</v>
      </c>
    </row>
    <row r="635" spans="1:19" x14ac:dyDescent="0.25">
      <c r="A635" s="1">
        <v>633</v>
      </c>
      <c r="B635" t="str">
        <f>HYPERLINK("https://www.dasschnelle.at/rehberger-mario-neunkirchen-lagergasse","Website")</f>
        <v>Website</v>
      </c>
      <c r="C635" t="str">
        <f>HYPERLINK("https://www.dasschnelle.at/rehberger-mario-neunkirchen-lagergasse","Website")</f>
        <v>Website</v>
      </c>
      <c r="D635" t="str">
        <f>HYPERLINK("http://www.google.com/maps/place/47.73042,16.08276","Location")</f>
        <v>Location</v>
      </c>
      <c r="E635" t="s">
        <v>5718</v>
      </c>
      <c r="F635" t="s">
        <v>5719</v>
      </c>
      <c r="G635" t="s">
        <v>5676</v>
      </c>
      <c r="H635" t="s">
        <v>5677</v>
      </c>
      <c r="I635" t="s">
        <v>177</v>
      </c>
      <c r="J635" t="s">
        <v>22</v>
      </c>
      <c r="K635" t="s">
        <v>5720</v>
      </c>
      <c r="L635" t="s">
        <v>5723</v>
      </c>
      <c r="M635" t="s">
        <v>25</v>
      </c>
      <c r="N635" t="s">
        <v>5724</v>
      </c>
      <c r="O635" t="s">
        <v>25</v>
      </c>
      <c r="P635" t="s">
        <v>5725</v>
      </c>
      <c r="Q635" t="s">
        <v>29</v>
      </c>
      <c r="R635" t="s">
        <v>5721</v>
      </c>
      <c r="S635" t="s">
        <v>5722</v>
      </c>
    </row>
    <row r="636" spans="1:19" x14ac:dyDescent="0.25">
      <c r="A636" s="1">
        <v>634</v>
      </c>
      <c r="B636" t="str">
        <f>HYPERLINK("https://www.dasschnelle.at/schauer-hans-willendorf-wolfsohler-straße","Website")</f>
        <v>Website</v>
      </c>
      <c r="C636" t="str">
        <f>HYPERLINK("http://www.malerei-schauer.at","Website")</f>
        <v>Website</v>
      </c>
      <c r="D636" t="str">
        <f>HYPERLINK("http://www.google.com/maps/place/47.76346,16.05118","Location")</f>
        <v>Location</v>
      </c>
      <c r="E636" t="s">
        <v>5726</v>
      </c>
      <c r="F636" t="s">
        <v>5727</v>
      </c>
      <c r="G636" t="s">
        <v>5729</v>
      </c>
      <c r="H636" t="s">
        <v>5730</v>
      </c>
      <c r="I636" t="s">
        <v>177</v>
      </c>
      <c r="J636" t="s">
        <v>22</v>
      </c>
      <c r="K636" t="s">
        <v>5728</v>
      </c>
      <c r="L636" t="s">
        <v>5733</v>
      </c>
      <c r="M636" t="s">
        <v>25</v>
      </c>
      <c r="N636" t="s">
        <v>5734</v>
      </c>
      <c r="O636" t="s">
        <v>25</v>
      </c>
      <c r="P636" t="s">
        <v>5735</v>
      </c>
      <c r="Q636" t="s">
        <v>29</v>
      </c>
      <c r="R636" t="s">
        <v>5731</v>
      </c>
      <c r="S636" t="s">
        <v>5732</v>
      </c>
    </row>
    <row r="637" spans="1:19" x14ac:dyDescent="0.25">
      <c r="A637" s="1">
        <v>635</v>
      </c>
      <c r="B637" t="str">
        <f>HYPERLINK("https://www.dasschnelle.at/hofbauer-gerald-neunkirchen-beethovengasse","Website")</f>
        <v>Website</v>
      </c>
      <c r="C637" t="str">
        <f>HYPERLINK("http://www.steinwerk.at","Website")</f>
        <v>Website</v>
      </c>
      <c r="D637" t="str">
        <f>HYPERLINK("http://www.google.com/maps/place/47.7290798,16.0888672","Location")</f>
        <v>Location</v>
      </c>
      <c r="E637" t="s">
        <v>5736</v>
      </c>
      <c r="F637" t="s">
        <v>5737</v>
      </c>
      <c r="G637" t="s">
        <v>5676</v>
      </c>
      <c r="H637" t="s">
        <v>5677</v>
      </c>
      <c r="I637" t="s">
        <v>177</v>
      </c>
      <c r="J637" t="s">
        <v>22</v>
      </c>
      <c r="K637" t="s">
        <v>5738</v>
      </c>
      <c r="L637" t="s">
        <v>5741</v>
      </c>
      <c r="M637" t="s">
        <v>25</v>
      </c>
      <c r="N637" t="s">
        <v>5742</v>
      </c>
      <c r="O637" t="s">
        <v>25</v>
      </c>
      <c r="P637" t="s">
        <v>5743</v>
      </c>
      <c r="Q637" t="s">
        <v>29</v>
      </c>
      <c r="R637" t="s">
        <v>5739</v>
      </c>
      <c r="S637" t="s">
        <v>5740</v>
      </c>
    </row>
    <row r="638" spans="1:19" x14ac:dyDescent="0.25">
      <c r="A638" s="1">
        <v>636</v>
      </c>
      <c r="B638" t="str">
        <f>HYPERLINK("https://www.dasschnelle.at/heissenberger-installationstechnik-gmbh-aspang-markt-andreas-hofer-straße","Website")</f>
        <v>Website</v>
      </c>
      <c r="C638" t="str">
        <f>HYPERLINK("http://www.heissenberger-hkls.at","Website")</f>
        <v>Website</v>
      </c>
      <c r="D638" t="str">
        <f>HYPERLINK("http://www.google.com/maps/place/47.56865,16.09924","Location")</f>
        <v>Location</v>
      </c>
      <c r="E638" t="s">
        <v>5744</v>
      </c>
      <c r="F638" t="s">
        <v>5745</v>
      </c>
      <c r="G638" t="s">
        <v>5747</v>
      </c>
      <c r="H638" t="s">
        <v>5748</v>
      </c>
      <c r="I638" t="s">
        <v>177</v>
      </c>
      <c r="J638" t="s">
        <v>22</v>
      </c>
      <c r="K638" t="s">
        <v>5746</v>
      </c>
      <c r="L638" t="s">
        <v>5751</v>
      </c>
      <c r="M638" t="s">
        <v>25</v>
      </c>
      <c r="N638" t="s">
        <v>5752</v>
      </c>
      <c r="O638" t="s">
        <v>25</v>
      </c>
      <c r="P638" t="s">
        <v>5753</v>
      </c>
      <c r="Q638" t="s">
        <v>29</v>
      </c>
      <c r="R638" t="s">
        <v>5749</v>
      </c>
      <c r="S638" t="s">
        <v>5750</v>
      </c>
    </row>
    <row r="639" spans="1:19" x14ac:dyDescent="0.25">
      <c r="A639" s="1">
        <v>637</v>
      </c>
      <c r="B639" t="str">
        <f>HYPERLINK("https://www.dasschnelle.at/schuhaus-lassmann-gloggnitz-wienerstrasse","Website")</f>
        <v>Website</v>
      </c>
      <c r="C639" t="str">
        <f>HYPERLINK("http://www.schuhe-lassmann.at","Website")</f>
        <v>Website</v>
      </c>
      <c r="D639" t="str">
        <f>HYPERLINK("http://www.google.com/maps/place/47.6751,15.94006","Location")</f>
        <v>Location</v>
      </c>
      <c r="E639" t="s">
        <v>5754</v>
      </c>
      <c r="F639" t="s">
        <v>5755</v>
      </c>
      <c r="G639" t="s">
        <v>5703</v>
      </c>
      <c r="H639" t="s">
        <v>5704</v>
      </c>
      <c r="I639" t="s">
        <v>177</v>
      </c>
      <c r="J639" t="s">
        <v>22</v>
      </c>
      <c r="K639" t="s">
        <v>5756</v>
      </c>
      <c r="L639" t="s">
        <v>5759</v>
      </c>
      <c r="M639" t="s">
        <v>25</v>
      </c>
      <c r="N639" t="s">
        <v>5760</v>
      </c>
      <c r="O639" t="s">
        <v>25</v>
      </c>
      <c r="P639" t="s">
        <v>5761</v>
      </c>
      <c r="Q639" t="s">
        <v>29</v>
      </c>
      <c r="R639" t="s">
        <v>5757</v>
      </c>
      <c r="S639" t="s">
        <v>5758</v>
      </c>
    </row>
    <row r="640" spans="1:19" x14ac:dyDescent="0.25">
      <c r="A640" s="1">
        <v>638</v>
      </c>
      <c r="B640" t="str">
        <f>HYPERLINK("https://www.dasschnelle.at/the-mister-barber-gloggnitz-hauptstraße","Website")</f>
        <v>Website</v>
      </c>
      <c r="C640" t="str">
        <f>HYPERLINK("https://www.dasschnelle.at/the-mister-barber-gloggnitz-hauptstra%C3%9Fe","Website")</f>
        <v>Website</v>
      </c>
      <c r="D640" t="str">
        <f>HYPERLINK("http://www.google.com/maps/place/47.6757499,15.9347920","Location")</f>
        <v>Location</v>
      </c>
      <c r="E640" t="s">
        <v>5762</v>
      </c>
      <c r="F640" t="s">
        <v>5763</v>
      </c>
      <c r="G640" t="s">
        <v>5703</v>
      </c>
      <c r="H640" t="s">
        <v>5704</v>
      </c>
      <c r="I640" t="s">
        <v>177</v>
      </c>
      <c r="J640" t="s">
        <v>22</v>
      </c>
      <c r="K640" t="s">
        <v>5764</v>
      </c>
      <c r="L640" t="s">
        <v>5767</v>
      </c>
      <c r="M640" t="s">
        <v>25</v>
      </c>
      <c r="N640" t="s">
        <v>5768</v>
      </c>
      <c r="O640" t="s">
        <v>5769</v>
      </c>
      <c r="P640" t="s">
        <v>5770</v>
      </c>
      <c r="Q640" t="s">
        <v>29</v>
      </c>
      <c r="R640" t="s">
        <v>5765</v>
      </c>
      <c r="S640" t="s">
        <v>5766</v>
      </c>
    </row>
    <row r="641" spans="1:19" x14ac:dyDescent="0.25">
      <c r="A641" s="1">
        <v>639</v>
      </c>
      <c r="B641" t="str">
        <f>HYPERLINK("https://www.dasschnelle.at/kleinhofer-romana-payerbach-wiener-straße","Website")</f>
        <v>Website</v>
      </c>
      <c r="C641" t="str">
        <f>HYPERLINK("http://www.q-lounge.com","Website")</f>
        <v>Website</v>
      </c>
      <c r="D641" t="str">
        <f>HYPERLINK("http://www.google.com/maps/place/47.69301,15.86395","Location")</f>
        <v>Location</v>
      </c>
      <c r="E641" t="s">
        <v>5771</v>
      </c>
      <c r="F641" t="s">
        <v>5772</v>
      </c>
      <c r="G641" t="s">
        <v>5773</v>
      </c>
      <c r="H641" t="s">
        <v>5774</v>
      </c>
      <c r="I641" t="s">
        <v>177</v>
      </c>
      <c r="J641" t="s">
        <v>22</v>
      </c>
      <c r="K641" t="s">
        <v>3361</v>
      </c>
      <c r="L641" t="s">
        <v>5777</v>
      </c>
      <c r="M641" t="s">
        <v>25</v>
      </c>
      <c r="N641" t="s">
        <v>5778</v>
      </c>
      <c r="O641" t="s">
        <v>25</v>
      </c>
      <c r="P641" t="s">
        <v>5779</v>
      </c>
      <c r="Q641" t="s">
        <v>29</v>
      </c>
      <c r="R641" t="s">
        <v>5775</v>
      </c>
      <c r="S641" t="s">
        <v>5776</v>
      </c>
    </row>
    <row r="642" spans="1:19" x14ac:dyDescent="0.25">
      <c r="A642" s="1">
        <v>640</v>
      </c>
      <c r="B642" t="str">
        <f>HYPERLINK("https://www.dasschnelle.at/e-u-h-tisch-wolfgang-puchberg-am-schneeberg-ödenhof","Website")</f>
        <v>Website</v>
      </c>
      <c r="C642" t="str">
        <f>HYPERLINK("https://www.dasschnelle.at/e-u-h-tisch-wolfgang-puchberg-am-schneeberg-%C3%B6denhof","Website")</f>
        <v>Website</v>
      </c>
      <c r="D642" t="str">
        <f>HYPERLINK("http://www.google.com/maps/place/47.7640639,15.9441807","Location")</f>
        <v>Location</v>
      </c>
      <c r="E642" t="s">
        <v>5780</v>
      </c>
      <c r="F642" t="s">
        <v>5781</v>
      </c>
      <c r="G642" t="s">
        <v>5783</v>
      </c>
      <c r="H642" t="s">
        <v>5784</v>
      </c>
      <c r="I642" t="s">
        <v>177</v>
      </c>
      <c r="J642" t="s">
        <v>22</v>
      </c>
      <c r="K642" t="s">
        <v>5782</v>
      </c>
      <c r="L642" t="s">
        <v>5787</v>
      </c>
      <c r="M642" t="s">
        <v>25</v>
      </c>
      <c r="N642" t="s">
        <v>5788</v>
      </c>
      <c r="O642" t="s">
        <v>25</v>
      </c>
      <c r="P642" t="s">
        <v>5789</v>
      </c>
      <c r="Q642" t="s">
        <v>29</v>
      </c>
      <c r="R642" t="s">
        <v>5785</v>
      </c>
      <c r="S642" t="s">
        <v>5786</v>
      </c>
    </row>
    <row r="643" spans="1:19" x14ac:dyDescent="0.25">
      <c r="A643" s="1">
        <v>641</v>
      </c>
      <c r="B643" t="str">
        <f>HYPERLINK("https://www.dasschnelle.at/dichtl-karin-gloggnitz-richtergasse","Website")</f>
        <v>Website</v>
      </c>
      <c r="C643" t="str">
        <f>HYPERLINK("http://www.studiokarin.at","Website")</f>
        <v>Website</v>
      </c>
      <c r="D643" t="str">
        <f>HYPERLINK("http://www.google.com/maps/place/47.67509,15.93416","Location")</f>
        <v>Location</v>
      </c>
      <c r="E643" t="s">
        <v>5790</v>
      </c>
      <c r="F643" t="s">
        <v>5791</v>
      </c>
      <c r="G643" t="s">
        <v>5703</v>
      </c>
      <c r="H643" t="s">
        <v>5704</v>
      </c>
      <c r="I643" t="s">
        <v>177</v>
      </c>
      <c r="J643" t="s">
        <v>22</v>
      </c>
      <c r="K643" t="s">
        <v>5792</v>
      </c>
      <c r="L643" t="s">
        <v>5795</v>
      </c>
      <c r="M643" t="s">
        <v>25</v>
      </c>
      <c r="N643" t="s">
        <v>5796</v>
      </c>
      <c r="O643" t="s">
        <v>25</v>
      </c>
      <c r="P643" t="s">
        <v>5797</v>
      </c>
      <c r="Q643" t="s">
        <v>29</v>
      </c>
      <c r="R643" t="s">
        <v>5793</v>
      </c>
      <c r="S643" t="s">
        <v>5794</v>
      </c>
    </row>
    <row r="644" spans="1:19" x14ac:dyDescent="0.25">
      <c r="A644" s="1">
        <v>642</v>
      </c>
      <c r="B644" t="str">
        <f>HYPERLINK("https://www.dasschnelle.at/ungersböck-alfred-prim-dr-neunkirchen-parkgasse","Website")</f>
        <v>Website</v>
      </c>
      <c r="C644" t="str">
        <f>HYPERLINK("http://www.ungersboeck.or.at","Website")</f>
        <v>Website</v>
      </c>
      <c r="D644" t="str">
        <f>HYPERLINK("http://www.google.com/maps/place/47.72664,16.08211","Location")</f>
        <v>Location</v>
      </c>
      <c r="E644" t="s">
        <v>5798</v>
      </c>
      <c r="F644" t="s">
        <v>5799</v>
      </c>
      <c r="G644" t="s">
        <v>5676</v>
      </c>
      <c r="H644" t="s">
        <v>5677</v>
      </c>
      <c r="I644" t="s">
        <v>177</v>
      </c>
      <c r="J644" t="s">
        <v>22</v>
      </c>
      <c r="K644" t="s">
        <v>5800</v>
      </c>
      <c r="L644" t="s">
        <v>5803</v>
      </c>
      <c r="M644" t="s">
        <v>25</v>
      </c>
      <c r="N644" t="s">
        <v>5804</v>
      </c>
      <c r="O644" t="s">
        <v>25</v>
      </c>
      <c r="P644" t="s">
        <v>5805</v>
      </c>
      <c r="Q644" t="s">
        <v>29</v>
      </c>
      <c r="R644" t="s">
        <v>5801</v>
      </c>
      <c r="S644" t="s">
        <v>5802</v>
      </c>
    </row>
    <row r="645" spans="1:19" x14ac:dyDescent="0.25">
      <c r="A645" s="1">
        <v>643</v>
      </c>
      <c r="B645" t="str">
        <f>HYPERLINK("https://www.dasschnelle.at/weninger-wolfgang-grimmenstein-hütten-berg","Website")</f>
        <v>Website</v>
      </c>
      <c r="C645" t="str">
        <f>HYPERLINK("http://www.tischlereiweninger.at","Website")</f>
        <v>Website</v>
      </c>
      <c r="D645" t="str">
        <f>HYPERLINK("http://www.google.com/maps/place/47.5196987,14.9621936","Location")</f>
        <v>Location</v>
      </c>
      <c r="E645" t="s">
        <v>5806</v>
      </c>
      <c r="F645" t="s">
        <v>5807</v>
      </c>
      <c r="G645" t="s">
        <v>5809</v>
      </c>
      <c r="H645" t="s">
        <v>5810</v>
      </c>
      <c r="I645" t="s">
        <v>177</v>
      </c>
      <c r="J645" t="s">
        <v>22</v>
      </c>
      <c r="K645" t="s">
        <v>5808</v>
      </c>
      <c r="L645" t="s">
        <v>5813</v>
      </c>
      <c r="M645" t="s">
        <v>5814</v>
      </c>
      <c r="N645" t="s">
        <v>5815</v>
      </c>
      <c r="O645" t="s">
        <v>25</v>
      </c>
      <c r="P645" t="s">
        <v>5816</v>
      </c>
      <c r="Q645" t="s">
        <v>29</v>
      </c>
      <c r="R645" t="s">
        <v>5811</v>
      </c>
      <c r="S645" t="s">
        <v>5812</v>
      </c>
    </row>
    <row r="646" spans="1:19" x14ac:dyDescent="0.25">
      <c r="A646" s="1">
        <v>644</v>
      </c>
      <c r="B646" t="str">
        <f>HYPERLINK("https://www.dasschnelle.at/rottensteiner-hans-wimpassing-im-schwarzatale-schwarzastraße","Website")</f>
        <v>Website</v>
      </c>
      <c r="C646" t="str">
        <f>HYPERLINK("http://www.steine-rottensteiner.at","Website")</f>
        <v>Website</v>
      </c>
      <c r="D646" t="str">
        <f>HYPERLINK("http://www.google.com/maps/place/47.69119,16.00698","Location")</f>
        <v>Location</v>
      </c>
      <c r="E646" t="s">
        <v>5817</v>
      </c>
      <c r="F646" t="s">
        <v>5818</v>
      </c>
      <c r="G646" t="s">
        <v>5820</v>
      </c>
      <c r="H646" t="s">
        <v>5821</v>
      </c>
      <c r="I646" t="s">
        <v>177</v>
      </c>
      <c r="J646" t="s">
        <v>22</v>
      </c>
      <c r="K646" t="s">
        <v>5819</v>
      </c>
      <c r="L646" t="s">
        <v>5824</v>
      </c>
      <c r="M646" t="s">
        <v>25</v>
      </c>
      <c r="N646" t="s">
        <v>5825</v>
      </c>
      <c r="O646" t="s">
        <v>25</v>
      </c>
      <c r="P646" t="s">
        <v>5826</v>
      </c>
      <c r="Q646" t="s">
        <v>29</v>
      </c>
      <c r="R646" t="s">
        <v>5822</v>
      </c>
      <c r="S646" t="s">
        <v>5823</v>
      </c>
    </row>
    <row r="647" spans="1:19" x14ac:dyDescent="0.25">
      <c r="A647" s="1">
        <v>645</v>
      </c>
      <c r="B647" t="str">
        <f>HYPERLINK("https://www.dasschnelle.at/peter-mies-e-u-ternitz-vordere-sonnleitenstraße","Website")</f>
        <v>Website</v>
      </c>
      <c r="C647" t="str">
        <f>HYPERLINK("http://www.petermies.at","Website")</f>
        <v>Website</v>
      </c>
      <c r="D647" t="str">
        <f>HYPERLINK("http://www.google.com/maps/place/47.70618,15.99965","Location")</f>
        <v>Location</v>
      </c>
      <c r="E647" t="s">
        <v>5827</v>
      </c>
      <c r="F647" t="s">
        <v>5828</v>
      </c>
      <c r="G647" t="s">
        <v>5667</v>
      </c>
      <c r="H647" t="s">
        <v>5668</v>
      </c>
      <c r="I647" t="s">
        <v>25</v>
      </c>
      <c r="J647" t="s">
        <v>22</v>
      </c>
      <c r="K647" t="s">
        <v>5829</v>
      </c>
      <c r="L647" t="s">
        <v>5832</v>
      </c>
      <c r="M647" t="s">
        <v>25</v>
      </c>
      <c r="N647" t="s">
        <v>5833</v>
      </c>
      <c r="O647" t="s">
        <v>25</v>
      </c>
      <c r="P647" t="s">
        <v>5834</v>
      </c>
      <c r="Q647" t="s">
        <v>29</v>
      </c>
      <c r="R647" t="s">
        <v>5830</v>
      </c>
      <c r="S647" t="s">
        <v>5831</v>
      </c>
    </row>
    <row r="648" spans="1:19" x14ac:dyDescent="0.25">
      <c r="A648" s="1">
        <v>646</v>
      </c>
      <c r="B648" t="str">
        <f>HYPERLINK("https://www.dasschnelle.at/weißenböck-peter-feistritz-am-wechsel-feistritz-am-wechsel","Website")</f>
        <v>Website</v>
      </c>
      <c r="C648" t="str">
        <f>HYPERLINK("http://www.pwinstallationen.at","Website")</f>
        <v>Website</v>
      </c>
      <c r="D648" t="str">
        <f>HYPERLINK("http://www.google.com/maps/place/47.6015848,16.0433589","Location")</f>
        <v>Location</v>
      </c>
      <c r="E648" t="s">
        <v>5835</v>
      </c>
      <c r="F648" t="s">
        <v>5836</v>
      </c>
      <c r="G648" t="s">
        <v>5838</v>
      </c>
      <c r="H648" t="s">
        <v>5839</v>
      </c>
      <c r="I648" t="s">
        <v>177</v>
      </c>
      <c r="J648" t="s">
        <v>22</v>
      </c>
      <c r="K648" t="s">
        <v>5837</v>
      </c>
      <c r="L648" t="s">
        <v>5842</v>
      </c>
      <c r="M648" t="s">
        <v>25</v>
      </c>
      <c r="N648" t="s">
        <v>5843</v>
      </c>
      <c r="O648" t="s">
        <v>25</v>
      </c>
      <c r="P648" t="s">
        <v>5844</v>
      </c>
      <c r="Q648" t="s">
        <v>29</v>
      </c>
      <c r="R648" t="s">
        <v>5840</v>
      </c>
      <c r="S648" t="s">
        <v>5841</v>
      </c>
    </row>
    <row r="649" spans="1:19" x14ac:dyDescent="0.25">
      <c r="A649" s="1">
        <v>647</v>
      </c>
      <c r="B649" t="str">
        <f>HYPERLINK("https://www.dasschnelle.at/tischlerei-kühteubl-bromberg-schlatten","Website")</f>
        <v>Website</v>
      </c>
      <c r="C649" t="str">
        <f>HYPERLINK("http://www.tischlerei-kuehteubl.at","Website")</f>
        <v>Website</v>
      </c>
      <c r="D649" t="str">
        <f>HYPERLINK("http://www.google.com/maps/place/47.6442633,16.2406675","Location")</f>
        <v>Location</v>
      </c>
      <c r="E649" t="s">
        <v>5845</v>
      </c>
      <c r="F649" t="s">
        <v>5846</v>
      </c>
      <c r="G649" t="s">
        <v>5848</v>
      </c>
      <c r="H649" t="s">
        <v>5849</v>
      </c>
      <c r="I649" t="s">
        <v>177</v>
      </c>
      <c r="J649" t="s">
        <v>22</v>
      </c>
      <c r="K649" t="s">
        <v>5847</v>
      </c>
      <c r="L649" t="s">
        <v>5852</v>
      </c>
      <c r="M649" t="s">
        <v>25</v>
      </c>
      <c r="N649" t="s">
        <v>5853</v>
      </c>
      <c r="O649" t="s">
        <v>5854</v>
      </c>
      <c r="P649" t="s">
        <v>697</v>
      </c>
      <c r="Q649" t="s">
        <v>29</v>
      </c>
      <c r="R649" t="s">
        <v>5850</v>
      </c>
      <c r="S649" t="s">
        <v>5851</v>
      </c>
    </row>
    <row r="650" spans="1:19" x14ac:dyDescent="0.25">
      <c r="A650" s="1">
        <v>648</v>
      </c>
      <c r="B650" t="str">
        <f>HYPERLINK("https://www.dasschnelle.at/polat-ilhan-neunkirchen-wenischgasse","Website")</f>
        <v>Website</v>
      </c>
      <c r="C650" t="str">
        <f>HYPERLINK("http://www.kfz-polat.at","Website")</f>
        <v>Website</v>
      </c>
      <c r="D650" t="str">
        <f>HYPERLINK("http://www.google.com/maps/place/47.7296788,16.0768115","Location")</f>
        <v>Location</v>
      </c>
      <c r="E650" t="s">
        <v>5855</v>
      </c>
      <c r="F650" t="s">
        <v>5856</v>
      </c>
      <c r="G650" t="s">
        <v>5676</v>
      </c>
      <c r="H650" t="s">
        <v>5677</v>
      </c>
      <c r="I650" t="s">
        <v>177</v>
      </c>
      <c r="J650" t="s">
        <v>22</v>
      </c>
      <c r="K650" t="s">
        <v>5857</v>
      </c>
      <c r="L650" t="s">
        <v>5860</v>
      </c>
      <c r="M650" t="s">
        <v>25</v>
      </c>
      <c r="N650" t="s">
        <v>5861</v>
      </c>
      <c r="O650" t="s">
        <v>25</v>
      </c>
      <c r="P650" t="s">
        <v>5862</v>
      </c>
      <c r="Q650" t="s">
        <v>29</v>
      </c>
      <c r="R650" t="s">
        <v>5858</v>
      </c>
      <c r="S650" t="s">
        <v>5859</v>
      </c>
    </row>
    <row r="651" spans="1:19" x14ac:dyDescent="0.25">
      <c r="A651" s="1">
        <v>649</v>
      </c>
      <c r="B651" t="str">
        <f>HYPERLINK("https://www.dasschnelle.at/lueger-harald-wagrain-ölschlagerweg","Website")</f>
        <v>Website</v>
      </c>
      <c r="C651" t="str">
        <f>HYPERLINK("http://www.physio-lueger.com","Website")</f>
        <v>Website</v>
      </c>
      <c r="D651" t="str">
        <f>HYPERLINK("http://www.google.com/maps/place/47.337,13.30401","Location")</f>
        <v>Location</v>
      </c>
      <c r="E651" t="s">
        <v>5863</v>
      </c>
      <c r="F651" t="s">
        <v>5864</v>
      </c>
      <c r="G651" t="s">
        <v>5866</v>
      </c>
      <c r="H651" t="s">
        <v>5867</v>
      </c>
      <c r="I651" t="s">
        <v>2239</v>
      </c>
      <c r="J651" t="s">
        <v>22</v>
      </c>
      <c r="K651" t="s">
        <v>5865</v>
      </c>
      <c r="L651" t="s">
        <v>5870</v>
      </c>
      <c r="M651" t="s">
        <v>25</v>
      </c>
      <c r="N651" t="s">
        <v>5871</v>
      </c>
      <c r="O651" t="s">
        <v>25</v>
      </c>
      <c r="P651" t="s">
        <v>5872</v>
      </c>
      <c r="Q651" t="s">
        <v>29</v>
      </c>
      <c r="R651" t="s">
        <v>5868</v>
      </c>
      <c r="S651" t="s">
        <v>5869</v>
      </c>
    </row>
    <row r="652" spans="1:19" x14ac:dyDescent="0.25">
      <c r="A652" s="1">
        <v>650</v>
      </c>
      <c r="B652" t="str">
        <f>HYPERLINK("https://www.dasschnelle.at/reischl-rosemarie-altenmarkt-im-pongau-oberndorferstraße","Website")</f>
        <v>Website</v>
      </c>
      <c r="C652" t="str">
        <f>HYPERLINK("http://www.dr-reischl.at","Website")</f>
        <v>Website</v>
      </c>
      <c r="D652" t="str">
        <f>HYPERLINK("http://www.google.com/maps/place/47.38542,13.41344","Location")</f>
        <v>Location</v>
      </c>
      <c r="E652" t="s">
        <v>5873</v>
      </c>
      <c r="F652" t="s">
        <v>5874</v>
      </c>
      <c r="G652" t="s">
        <v>5876</v>
      </c>
      <c r="H652" t="s">
        <v>5877</v>
      </c>
      <c r="I652" t="s">
        <v>2239</v>
      </c>
      <c r="J652" t="s">
        <v>22</v>
      </c>
      <c r="K652" t="s">
        <v>5875</v>
      </c>
      <c r="L652" t="s">
        <v>5880</v>
      </c>
      <c r="M652" t="s">
        <v>25</v>
      </c>
      <c r="N652" t="s">
        <v>5881</v>
      </c>
      <c r="O652" t="s">
        <v>25</v>
      </c>
      <c r="P652" t="s">
        <v>5882</v>
      </c>
      <c r="Q652" t="s">
        <v>29</v>
      </c>
      <c r="R652" t="s">
        <v>5878</v>
      </c>
      <c r="S652" t="s">
        <v>5879</v>
      </c>
    </row>
    <row r="653" spans="1:19" x14ac:dyDescent="0.25">
      <c r="A653" s="1">
        <v>651</v>
      </c>
      <c r="B653" t="str">
        <f>HYPERLINK("https://www.dasschnelle.at/rückgrat-rettenbacher-schwarzach-im-pongau-marktplatz","Website")</f>
        <v>Website</v>
      </c>
      <c r="C653" t="str">
        <f>HYPERLINK("https://www.dasschnelle.at/r%C3%BCckgrat-rettenbacher-schwarzach-im-pongau-marktplatz","Website")</f>
        <v>Website</v>
      </c>
      <c r="D653" t="str">
        <f>HYPERLINK("http://www.google.com/maps/place/47.32108,13.15122","Location")</f>
        <v>Location</v>
      </c>
      <c r="E653" t="s">
        <v>5883</v>
      </c>
      <c r="F653" t="s">
        <v>5884</v>
      </c>
      <c r="G653" t="s">
        <v>5886</v>
      </c>
      <c r="H653" t="s">
        <v>5887</v>
      </c>
      <c r="I653" t="s">
        <v>2239</v>
      </c>
      <c r="J653" t="s">
        <v>22</v>
      </c>
      <c r="K653" t="s">
        <v>5885</v>
      </c>
      <c r="L653" t="s">
        <v>5890</v>
      </c>
      <c r="M653" t="s">
        <v>25</v>
      </c>
      <c r="N653" t="s">
        <v>5891</v>
      </c>
      <c r="O653" t="s">
        <v>25</v>
      </c>
      <c r="P653" t="s">
        <v>5892</v>
      </c>
      <c r="Q653" t="s">
        <v>29</v>
      </c>
      <c r="R653" t="s">
        <v>5888</v>
      </c>
      <c r="S653" t="s">
        <v>5889</v>
      </c>
    </row>
    <row r="654" spans="1:19" x14ac:dyDescent="0.25">
      <c r="A654" s="1">
        <v>652</v>
      </c>
      <c r="B654" t="str">
        <f>HYPERLINK("https://www.dasschnelle.at/scharfetter-herbert-höch-schartlhofweg","Website")</f>
        <v>Website</v>
      </c>
      <c r="C654" t="str">
        <f>HYPERLINK("http://www.zimmerei-flachau.at","Website")</f>
        <v>Website</v>
      </c>
      <c r="D654" t="str">
        <f>HYPERLINK("http://www.google.com/maps/place/47.39565,13.39405","Location")</f>
        <v>Location</v>
      </c>
      <c r="E654" t="s">
        <v>5893</v>
      </c>
      <c r="F654" t="s">
        <v>5894</v>
      </c>
      <c r="G654" t="s">
        <v>5896</v>
      </c>
      <c r="H654" t="s">
        <v>5897</v>
      </c>
      <c r="I654" t="s">
        <v>2239</v>
      </c>
      <c r="J654" t="s">
        <v>22</v>
      </c>
      <c r="K654" t="s">
        <v>5895</v>
      </c>
      <c r="L654" t="s">
        <v>5900</v>
      </c>
      <c r="M654" t="s">
        <v>25</v>
      </c>
      <c r="N654" t="s">
        <v>5901</v>
      </c>
      <c r="O654" t="s">
        <v>5902</v>
      </c>
      <c r="P654" t="s">
        <v>5903</v>
      </c>
      <c r="Q654" t="s">
        <v>29</v>
      </c>
      <c r="R654" t="s">
        <v>5898</v>
      </c>
      <c r="S654" t="s">
        <v>5899</v>
      </c>
    </row>
    <row r="655" spans="1:19" x14ac:dyDescent="0.25">
      <c r="A655" s="1">
        <v>653</v>
      </c>
      <c r="B655" t="str">
        <f>HYPERLINK("https://www.dasschnelle.at/taxmodel-strategie-und-service-steuerberatung-gmbh-und-co-kg-altenmarkt-im-pongau-obere-marktstraße","Website")</f>
        <v>Website</v>
      </c>
      <c r="C655" t="str">
        <f>HYPERLINK("http://www.taxmodel.at","Website")</f>
        <v>Website</v>
      </c>
      <c r="D655" t="str">
        <f>HYPERLINK("http://www.google.com/maps/place/47.3699891,13.4212473","Location")</f>
        <v>Location</v>
      </c>
      <c r="E655" t="s">
        <v>5904</v>
      </c>
      <c r="F655" t="s">
        <v>5905</v>
      </c>
      <c r="G655" t="s">
        <v>5876</v>
      </c>
      <c r="H655" t="s">
        <v>5877</v>
      </c>
      <c r="I655" t="s">
        <v>2239</v>
      </c>
      <c r="J655" t="s">
        <v>22</v>
      </c>
      <c r="K655" t="s">
        <v>5906</v>
      </c>
      <c r="L655" t="s">
        <v>5909</v>
      </c>
      <c r="M655" t="s">
        <v>25</v>
      </c>
      <c r="N655" t="s">
        <v>5910</v>
      </c>
      <c r="O655" t="s">
        <v>25</v>
      </c>
      <c r="P655" t="s">
        <v>5911</v>
      </c>
      <c r="Q655" t="s">
        <v>29</v>
      </c>
      <c r="R655" t="s">
        <v>5907</v>
      </c>
      <c r="S655" t="s">
        <v>5908</v>
      </c>
    </row>
    <row r="656" spans="1:19" x14ac:dyDescent="0.25">
      <c r="A656" s="1">
        <v>654</v>
      </c>
      <c r="B656" t="str">
        <f>HYPERLINK("https://www.dasschnelle.at/simoplast-gerhard-simoner-loosdorf-wiener-straße","Website")</f>
        <v>Website</v>
      </c>
      <c r="C656" t="str">
        <f>HYPERLINK("http://www.simoplast.at","Website")</f>
        <v>Website</v>
      </c>
      <c r="D656" t="str">
        <f>HYPERLINK("http://www.google.com/maps/place/48.19868,15.40728","Location")</f>
        <v>Location</v>
      </c>
      <c r="E656" t="s">
        <v>5912</v>
      </c>
      <c r="F656" t="s">
        <v>5913</v>
      </c>
      <c r="G656" t="s">
        <v>5915</v>
      </c>
      <c r="H656" t="s">
        <v>5916</v>
      </c>
      <c r="I656" t="s">
        <v>177</v>
      </c>
      <c r="J656" t="s">
        <v>22</v>
      </c>
      <c r="K656" t="s">
        <v>5914</v>
      </c>
      <c r="L656" t="s">
        <v>5919</v>
      </c>
      <c r="M656" t="s">
        <v>5920</v>
      </c>
      <c r="N656" t="s">
        <v>5921</v>
      </c>
      <c r="O656" t="s">
        <v>25</v>
      </c>
      <c r="P656" t="s">
        <v>5922</v>
      </c>
      <c r="Q656" t="s">
        <v>29</v>
      </c>
      <c r="R656" t="s">
        <v>5917</v>
      </c>
      <c r="S656" t="s">
        <v>5918</v>
      </c>
    </row>
    <row r="657" spans="1:19" x14ac:dyDescent="0.25">
      <c r="A657" s="1">
        <v>655</v>
      </c>
      <c r="B657" t="str">
        <f>HYPERLINK("https://www.dasschnelle.at/diacu-nicolae-melk-wiener-straße","Website")</f>
        <v>Website</v>
      </c>
      <c r="C657" t="str">
        <f>HYPERLINK("http://www.fliesen-diacu.at","Website")</f>
        <v>Website</v>
      </c>
      <c r="D657" t="str">
        <f>HYPERLINK("http://www.google.com/maps/place/48.22779,15.33624","Location")</f>
        <v>Location</v>
      </c>
      <c r="E657" t="s">
        <v>5923</v>
      </c>
      <c r="F657" t="s">
        <v>5924</v>
      </c>
      <c r="G657" t="s">
        <v>5926</v>
      </c>
      <c r="H657" t="s">
        <v>5927</v>
      </c>
      <c r="I657" t="s">
        <v>177</v>
      </c>
      <c r="J657" t="s">
        <v>22</v>
      </c>
      <c r="K657" t="s">
        <v>5925</v>
      </c>
      <c r="L657" t="s">
        <v>5930</v>
      </c>
      <c r="M657" t="s">
        <v>25</v>
      </c>
      <c r="N657" t="s">
        <v>5931</v>
      </c>
      <c r="O657" t="s">
        <v>25</v>
      </c>
      <c r="P657" t="s">
        <v>5932</v>
      </c>
      <c r="Q657" t="s">
        <v>29</v>
      </c>
      <c r="R657" t="s">
        <v>5928</v>
      </c>
      <c r="S657" t="s">
        <v>5929</v>
      </c>
    </row>
    <row r="658" spans="1:19" x14ac:dyDescent="0.25">
      <c r="A658" s="1">
        <v>656</v>
      </c>
      <c r="B658" t="str">
        <f>HYPERLINK("https://www.dasschnelle.at/haustechnik-hahn-kirnberg-an-der-mank-weidenweg","Website")</f>
        <v>Website</v>
      </c>
      <c r="C658" t="str">
        <f>HYPERLINK("http://www.haustechnik-hahn.at","Website")</f>
        <v>Website</v>
      </c>
      <c r="D658" t="str">
        <f>HYPERLINK("http://www.google.com/maps/place/48.0750281,15.3165169","Location")</f>
        <v>Location</v>
      </c>
      <c r="E658" t="s">
        <v>5933</v>
      </c>
      <c r="F658" t="s">
        <v>5934</v>
      </c>
      <c r="G658" t="s">
        <v>5936</v>
      </c>
      <c r="H658" t="s">
        <v>5937</v>
      </c>
      <c r="I658" t="s">
        <v>177</v>
      </c>
      <c r="J658" t="s">
        <v>22</v>
      </c>
      <c r="K658" t="s">
        <v>5935</v>
      </c>
      <c r="L658" t="s">
        <v>5940</v>
      </c>
      <c r="M658" t="s">
        <v>25</v>
      </c>
      <c r="N658" t="s">
        <v>5941</v>
      </c>
      <c r="O658" t="s">
        <v>25</v>
      </c>
      <c r="P658" t="s">
        <v>5942</v>
      </c>
      <c r="Q658" t="s">
        <v>29</v>
      </c>
      <c r="R658" t="s">
        <v>5938</v>
      </c>
      <c r="S658" t="s">
        <v>5939</v>
      </c>
    </row>
    <row r="659" spans="1:19" x14ac:dyDescent="0.25">
      <c r="A659" s="1">
        <v>657</v>
      </c>
      <c r="B659" t="str">
        <f>HYPERLINK("https://www.dasschnelle.at/glasner-andrea-gesmbh-melk-abt-karl-straße","Website")</f>
        <v>Website</v>
      </c>
      <c r="C659" t="str">
        <f>HYPERLINK("http://www.bestattung-melk-loosdorf.at","Website")</f>
        <v>Website</v>
      </c>
      <c r="D659" t="str">
        <f>HYPERLINK("http://www.google.com/maps/place/48.22568,15.32778","Location")</f>
        <v>Location</v>
      </c>
      <c r="E659" t="s">
        <v>5943</v>
      </c>
      <c r="F659" t="s">
        <v>5944</v>
      </c>
      <c r="G659" t="s">
        <v>5926</v>
      </c>
      <c r="H659" t="s">
        <v>5927</v>
      </c>
      <c r="I659" t="s">
        <v>177</v>
      </c>
      <c r="J659" t="s">
        <v>22</v>
      </c>
      <c r="K659" t="s">
        <v>5945</v>
      </c>
      <c r="L659" t="s">
        <v>5948</v>
      </c>
      <c r="M659" t="s">
        <v>25</v>
      </c>
      <c r="N659" t="s">
        <v>5949</v>
      </c>
      <c r="O659" t="s">
        <v>25</v>
      </c>
      <c r="P659" t="s">
        <v>5950</v>
      </c>
      <c r="Q659" t="s">
        <v>29</v>
      </c>
      <c r="R659" t="s">
        <v>5946</v>
      </c>
      <c r="S659" t="s">
        <v>5947</v>
      </c>
    </row>
    <row r="660" spans="1:19" x14ac:dyDescent="0.25">
      <c r="A660" s="1">
        <v>658</v>
      </c>
      <c r="B660" t="str">
        <f>HYPERLINK("https://www.dasschnelle.at/wieseneder-leopold-jun-texing-texing","Website")</f>
        <v>Website</v>
      </c>
      <c r="C660" t="str">
        <f>HYPERLINK("https://www.dasschnelle.at/wieseneder-leopold-jun-texing-texing","Website")</f>
        <v>Website</v>
      </c>
      <c r="D660" t="str">
        <f>HYPERLINK("http://www.google.com/maps/place/48.0488400,15.3256400","Location")</f>
        <v>Location</v>
      </c>
      <c r="E660" t="s">
        <v>5951</v>
      </c>
      <c r="F660" t="s">
        <v>5952</v>
      </c>
      <c r="G660" t="s">
        <v>5954</v>
      </c>
      <c r="H660" t="s">
        <v>5955</v>
      </c>
      <c r="I660" t="s">
        <v>177</v>
      </c>
      <c r="J660" t="s">
        <v>22</v>
      </c>
      <c r="K660" t="s">
        <v>5953</v>
      </c>
      <c r="L660" t="s">
        <v>5958</v>
      </c>
      <c r="M660" t="s">
        <v>25</v>
      </c>
      <c r="N660" t="s">
        <v>5959</v>
      </c>
      <c r="O660" t="s">
        <v>25</v>
      </c>
      <c r="P660" t="s">
        <v>5960</v>
      </c>
      <c r="Q660" t="s">
        <v>29</v>
      </c>
      <c r="R660" t="s">
        <v>5956</v>
      </c>
      <c r="S660" t="s">
        <v>5957</v>
      </c>
    </row>
    <row r="661" spans="1:19" x14ac:dyDescent="0.25">
      <c r="A661" s="1">
        <v>659</v>
      </c>
      <c r="B661" t="str">
        <f>HYPERLINK("https://www.dasschnelle.at/kosmetik-evelyn-evelyn-michl-melk-linzer-straße-23","Website")</f>
        <v>Website</v>
      </c>
      <c r="C661" t="str">
        <f>HYPERLINK("http://www.kosmetikevelyn.at","Website")</f>
        <v>Website</v>
      </c>
      <c r="D661" t="str">
        <f>HYPERLINK("http://www.google.com/maps/place/48.22599,15.3271","Location")</f>
        <v>Location</v>
      </c>
      <c r="E661" t="s">
        <v>5961</v>
      </c>
      <c r="F661" t="s">
        <v>5962</v>
      </c>
      <c r="G661" t="s">
        <v>5926</v>
      </c>
      <c r="H661" t="s">
        <v>5927</v>
      </c>
      <c r="I661" t="s">
        <v>177</v>
      </c>
      <c r="J661" t="s">
        <v>22</v>
      </c>
      <c r="K661" t="s">
        <v>5963</v>
      </c>
      <c r="L661" t="s">
        <v>5966</v>
      </c>
      <c r="M661" t="s">
        <v>25</v>
      </c>
      <c r="N661" t="s">
        <v>5967</v>
      </c>
      <c r="O661" t="s">
        <v>25</v>
      </c>
      <c r="P661" t="s">
        <v>5968</v>
      </c>
      <c r="Q661" t="s">
        <v>29</v>
      </c>
      <c r="R661" t="s">
        <v>5964</v>
      </c>
      <c r="S661" t="s">
        <v>5965</v>
      </c>
    </row>
    <row r="662" spans="1:19" x14ac:dyDescent="0.25">
      <c r="A662" s="1">
        <v>660</v>
      </c>
      <c r="B662" t="str">
        <f>HYPERLINK("https://www.dasschnelle.at/halbartschlager-daniel-neumarkt-an-der-ybbs-bahnstraße","Website")</f>
        <v>Website</v>
      </c>
      <c r="C662" t="str">
        <f>HYPERLINK("http://www.baggerverleih-halbartschlager.at","Website")</f>
        <v>Website</v>
      </c>
      <c r="D662" t="str">
        <f>HYPERLINK("http://www.google.com/maps/place/48.1419389,15.0530840","Location")</f>
        <v>Location</v>
      </c>
      <c r="E662" t="s">
        <v>5969</v>
      </c>
      <c r="F662" t="s">
        <v>5970</v>
      </c>
      <c r="G662" t="s">
        <v>5972</v>
      </c>
      <c r="H662" t="s">
        <v>5973</v>
      </c>
      <c r="I662" t="s">
        <v>177</v>
      </c>
      <c r="J662" t="s">
        <v>22</v>
      </c>
      <c r="K662" t="s">
        <v>5971</v>
      </c>
      <c r="L662" t="s">
        <v>5976</v>
      </c>
      <c r="M662" t="s">
        <v>25</v>
      </c>
      <c r="N662" t="s">
        <v>5977</v>
      </c>
      <c r="O662" t="s">
        <v>25</v>
      </c>
      <c r="P662" t="s">
        <v>5978</v>
      </c>
      <c r="Q662" t="s">
        <v>29</v>
      </c>
      <c r="R662" t="s">
        <v>5974</v>
      </c>
      <c r="S662" t="s">
        <v>5975</v>
      </c>
    </row>
    <row r="663" spans="1:19" x14ac:dyDescent="0.25">
      <c r="A663" s="1">
        <v>661</v>
      </c>
      <c r="B663" t="str">
        <f>HYPERLINK("https://www.dasschnelle.at/waldbauer-josef-pöchlarn-wienerstraße","Website")</f>
        <v>Website</v>
      </c>
      <c r="C663" t="str">
        <f>HYPERLINK("http://www.josefwaldbauer.at","Website")</f>
        <v>Website</v>
      </c>
      <c r="D663" t="str">
        <f>HYPERLINK("http://www.google.com/maps/place/48.21251,15.21894","Location")</f>
        <v>Location</v>
      </c>
      <c r="E663" t="s">
        <v>5979</v>
      </c>
      <c r="F663" t="s">
        <v>5980</v>
      </c>
      <c r="G663" t="s">
        <v>5982</v>
      </c>
      <c r="H663" t="s">
        <v>5983</v>
      </c>
      <c r="I663" t="s">
        <v>177</v>
      </c>
      <c r="J663" t="s">
        <v>22</v>
      </c>
      <c r="K663" t="s">
        <v>5981</v>
      </c>
      <c r="L663" t="s">
        <v>5986</v>
      </c>
      <c r="M663" t="s">
        <v>25</v>
      </c>
      <c r="N663" t="s">
        <v>5987</v>
      </c>
      <c r="O663" t="s">
        <v>25</v>
      </c>
      <c r="P663" t="s">
        <v>5988</v>
      </c>
      <c r="Q663" t="s">
        <v>29</v>
      </c>
      <c r="R663" t="s">
        <v>5984</v>
      </c>
      <c r="S663" t="s">
        <v>5985</v>
      </c>
    </row>
    <row r="664" spans="1:19" x14ac:dyDescent="0.25">
      <c r="A664" s="1">
        <v>662</v>
      </c>
      <c r="B664" t="str">
        <f>HYPERLINK("https://www.dasschnelle.at/kronister-martina-haarscharf-pöggstall-rogendorferstraße","Website")</f>
        <v>Website</v>
      </c>
      <c r="C664" t="str">
        <f>HYPERLINK("https://www.dasschnelle.at/kronister-martina-haarscharf-p%C3%B6ggstall-rogendorferstra%C3%9Fe","Website")</f>
        <v>Website</v>
      </c>
      <c r="D664" t="str">
        <f>HYPERLINK("http://www.google.com/maps/place/48.31545,15.19751","Location")</f>
        <v>Location</v>
      </c>
      <c r="E664" t="s">
        <v>5989</v>
      </c>
      <c r="F664" t="s">
        <v>5990</v>
      </c>
      <c r="G664" t="s">
        <v>5992</v>
      </c>
      <c r="H664" t="s">
        <v>5993</v>
      </c>
      <c r="I664" t="s">
        <v>177</v>
      </c>
      <c r="J664" t="s">
        <v>22</v>
      </c>
      <c r="K664" t="s">
        <v>5991</v>
      </c>
      <c r="L664" t="s">
        <v>5996</v>
      </c>
      <c r="M664" t="s">
        <v>25</v>
      </c>
      <c r="N664" t="s">
        <v>5997</v>
      </c>
      <c r="O664" t="s">
        <v>25</v>
      </c>
      <c r="P664" t="s">
        <v>5998</v>
      </c>
      <c r="Q664" t="s">
        <v>29</v>
      </c>
      <c r="R664" t="s">
        <v>5994</v>
      </c>
      <c r="S664" t="s">
        <v>5995</v>
      </c>
    </row>
    <row r="665" spans="1:19" x14ac:dyDescent="0.25">
      <c r="A665" s="1">
        <v>663</v>
      </c>
      <c r="B665" t="str">
        <f>HYPERLINK("https://www.dasschnelle.at/brunbauer-martin-loosdorf-rohrerstraße","Website")</f>
        <v>Website</v>
      </c>
      <c r="C665" t="str">
        <f>HYPERLINK("https://www.dasschnelle.at/brunbauer-martin-loosdorf-rohrerstra%C3%9Fe","Website")</f>
        <v>Website</v>
      </c>
      <c r="D665" t="str">
        <f>HYPERLINK("http://www.google.com/maps/place/48.1964821,15.4091165","Location")</f>
        <v>Location</v>
      </c>
      <c r="E665" t="s">
        <v>5999</v>
      </c>
      <c r="F665" t="s">
        <v>6000</v>
      </c>
      <c r="G665" t="s">
        <v>5915</v>
      </c>
      <c r="H665" t="s">
        <v>5916</v>
      </c>
      <c r="I665" t="s">
        <v>177</v>
      </c>
      <c r="J665" t="s">
        <v>22</v>
      </c>
      <c r="K665" t="s">
        <v>6001</v>
      </c>
      <c r="L665" t="s">
        <v>6004</v>
      </c>
      <c r="M665" t="s">
        <v>25</v>
      </c>
      <c r="N665" t="s">
        <v>6005</v>
      </c>
      <c r="O665" t="s">
        <v>25</v>
      </c>
      <c r="P665" t="s">
        <v>6006</v>
      </c>
      <c r="Q665" t="s">
        <v>29</v>
      </c>
      <c r="R665" t="s">
        <v>6002</v>
      </c>
      <c r="S665" t="s">
        <v>6003</v>
      </c>
    </row>
    <row r="666" spans="1:19" x14ac:dyDescent="0.25">
      <c r="A666" s="1">
        <v>664</v>
      </c>
      <c r="B666" t="str">
        <f>HYPERLINK("https://www.dasschnelle.at/dobler-margit-mauer-bei-melk-kerngasse","Website")</f>
        <v>Website</v>
      </c>
      <c r="C666" t="str">
        <f>HYPERLINK("http://www.frisierstube-margit.at","Website")</f>
        <v>Website</v>
      </c>
      <c r="D666" t="str">
        <f>HYPERLINK("http://www.google.com/maps/place/48.22353,15.41089","Location")</f>
        <v>Location</v>
      </c>
      <c r="E666" t="s">
        <v>6007</v>
      </c>
      <c r="F666" t="s">
        <v>6008</v>
      </c>
      <c r="G666" t="s">
        <v>5915</v>
      </c>
      <c r="H666" t="s">
        <v>6010</v>
      </c>
      <c r="I666" t="s">
        <v>177</v>
      </c>
      <c r="J666" t="s">
        <v>22</v>
      </c>
      <c r="K666" t="s">
        <v>6009</v>
      </c>
      <c r="L666" t="s">
        <v>6013</v>
      </c>
      <c r="M666" t="s">
        <v>25</v>
      </c>
      <c r="N666" t="s">
        <v>6014</v>
      </c>
      <c r="O666" t="s">
        <v>25</v>
      </c>
      <c r="P666" t="s">
        <v>6015</v>
      </c>
      <c r="Q666" t="s">
        <v>29</v>
      </c>
      <c r="R666" t="s">
        <v>6011</v>
      </c>
      <c r="S666" t="s">
        <v>6012</v>
      </c>
    </row>
    <row r="667" spans="1:19" x14ac:dyDescent="0.25">
      <c r="A667" s="1">
        <v>665</v>
      </c>
      <c r="B667" t="str">
        <f>HYPERLINK("https://www.dasschnelle.at/haslauer-rainer-ybbs-herrengasse","Website")</f>
        <v>Website</v>
      </c>
      <c r="C667" t="str">
        <f>HYPERLINK("http://www.rainer-hair-beauty.at","Website")</f>
        <v>Website</v>
      </c>
      <c r="D667" t="str">
        <f>HYPERLINK("http://www.google.com/maps/place/48.1774573,15.0835829","Location")</f>
        <v>Location</v>
      </c>
      <c r="E667" t="s">
        <v>6016</v>
      </c>
      <c r="F667" t="s">
        <v>6017</v>
      </c>
      <c r="G667" t="s">
        <v>6019</v>
      </c>
      <c r="H667" t="s">
        <v>6020</v>
      </c>
      <c r="I667" t="s">
        <v>177</v>
      </c>
      <c r="J667" t="s">
        <v>22</v>
      </c>
      <c r="K667" t="s">
        <v>6018</v>
      </c>
      <c r="L667" t="s">
        <v>6023</v>
      </c>
      <c r="M667" t="s">
        <v>25</v>
      </c>
      <c r="N667" t="s">
        <v>6024</v>
      </c>
      <c r="O667" t="s">
        <v>25</v>
      </c>
      <c r="P667" t="s">
        <v>6025</v>
      </c>
      <c r="Q667" t="s">
        <v>29</v>
      </c>
      <c r="R667" t="s">
        <v>6021</v>
      </c>
      <c r="S667" t="s">
        <v>6022</v>
      </c>
    </row>
    <row r="668" spans="1:19" x14ac:dyDescent="0.25">
      <c r="A668" s="1">
        <v>666</v>
      </c>
      <c r="B668" t="str">
        <f>HYPERLINK("https://www.dasschnelle.at/baumgartner-josef-loosdorf-wiener-straße","Website")</f>
        <v>Website</v>
      </c>
      <c r="C668" t="str">
        <f>HYPERLINK("http://www.malerbetrieb-baumgartner.at","Website")</f>
        <v>Website</v>
      </c>
      <c r="D668" t="str">
        <f>HYPERLINK("http://www.google.com/maps/place/48.19898,15.40786","Location")</f>
        <v>Location</v>
      </c>
      <c r="E668" t="s">
        <v>6026</v>
      </c>
      <c r="F668" t="s">
        <v>6027</v>
      </c>
      <c r="G668" t="s">
        <v>5915</v>
      </c>
      <c r="H668" t="s">
        <v>5916</v>
      </c>
      <c r="I668" t="s">
        <v>177</v>
      </c>
      <c r="J668" t="s">
        <v>22</v>
      </c>
      <c r="K668" t="s">
        <v>6028</v>
      </c>
      <c r="L668" t="s">
        <v>6031</v>
      </c>
      <c r="M668" t="s">
        <v>6032</v>
      </c>
      <c r="N668" t="s">
        <v>6033</v>
      </c>
      <c r="O668" t="s">
        <v>25</v>
      </c>
      <c r="P668" t="s">
        <v>6034</v>
      </c>
      <c r="Q668" t="s">
        <v>29</v>
      </c>
      <c r="R668" t="s">
        <v>6029</v>
      </c>
      <c r="S668" t="s">
        <v>6030</v>
      </c>
    </row>
    <row r="669" spans="1:19" x14ac:dyDescent="0.25">
      <c r="A669" s="1">
        <v>667</v>
      </c>
      <c r="B669" t="str">
        <f>HYPERLINK("https://www.dasschnelle.at/gassner-ernst-st-leonhard-am-forst-quellstraße","Website")</f>
        <v>Website</v>
      </c>
      <c r="C669" t="str">
        <f>HYPERLINK("http://www.gassner-bau.at","Website")</f>
        <v>Website</v>
      </c>
      <c r="D669" t="str">
        <f>HYPERLINK("http://www.google.com/maps/place/48.1376631,15.2895921","Location")</f>
        <v>Location</v>
      </c>
      <c r="E669" t="s">
        <v>6035</v>
      </c>
      <c r="F669" t="s">
        <v>6036</v>
      </c>
      <c r="G669" t="s">
        <v>6038</v>
      </c>
      <c r="H669" t="s">
        <v>6039</v>
      </c>
      <c r="I669" t="s">
        <v>177</v>
      </c>
      <c r="J669" t="s">
        <v>22</v>
      </c>
      <c r="K669" t="s">
        <v>6037</v>
      </c>
      <c r="L669" t="s">
        <v>25</v>
      </c>
      <c r="M669" t="s">
        <v>6042</v>
      </c>
      <c r="N669" t="s">
        <v>6043</v>
      </c>
      <c r="O669" t="s">
        <v>25</v>
      </c>
      <c r="P669" t="s">
        <v>6044</v>
      </c>
      <c r="Q669" t="s">
        <v>29</v>
      </c>
      <c r="R669" t="s">
        <v>6040</v>
      </c>
      <c r="S669" t="s">
        <v>6041</v>
      </c>
    </row>
    <row r="670" spans="1:19" x14ac:dyDescent="0.25">
      <c r="A670" s="1">
        <v>668</v>
      </c>
      <c r="B670" t="str">
        <f>HYPERLINK("https://www.dasschnelle.at/neuwirth-reinhold-dr-med-melk-josef-adlmanseder-straße","Website")</f>
        <v>Website</v>
      </c>
      <c r="C670" t="str">
        <f>HYPERLINK("http://www.lungenfacharzt-melk.at","Website")</f>
        <v>Website</v>
      </c>
      <c r="D670" t="str">
        <f>HYPERLINK("http://www.google.com/maps/place/48.22624,15.34869","Location")</f>
        <v>Location</v>
      </c>
      <c r="E670" t="s">
        <v>6045</v>
      </c>
      <c r="F670" t="s">
        <v>6046</v>
      </c>
      <c r="G670" t="s">
        <v>5926</v>
      </c>
      <c r="H670" t="s">
        <v>5927</v>
      </c>
      <c r="I670" t="s">
        <v>177</v>
      </c>
      <c r="J670" t="s">
        <v>22</v>
      </c>
      <c r="K670" t="s">
        <v>6047</v>
      </c>
      <c r="L670" t="s">
        <v>6050</v>
      </c>
      <c r="M670" t="s">
        <v>6051</v>
      </c>
      <c r="N670" t="s">
        <v>6052</v>
      </c>
      <c r="O670" t="s">
        <v>25</v>
      </c>
      <c r="P670" t="s">
        <v>6053</v>
      </c>
      <c r="Q670" t="s">
        <v>29</v>
      </c>
      <c r="R670" t="s">
        <v>6048</v>
      </c>
      <c r="S670" t="s">
        <v>6049</v>
      </c>
    </row>
    <row r="671" spans="1:19" x14ac:dyDescent="0.25">
      <c r="A671" s="1">
        <v>669</v>
      </c>
      <c r="B671" t="str">
        <f>HYPERLINK("https://www.dasschnelle.at/födinger-stefan-loosdorf-ofenloch","Website")</f>
        <v>Website</v>
      </c>
      <c r="C671" t="str">
        <f>HYPERLINK("http://www.foedinger.co.at","Website")</f>
        <v>Website</v>
      </c>
      <c r="D671" t="str">
        <f>HYPERLINK("http://www.google.com/maps/place/48.39826,15.69363","Location")</f>
        <v>Location</v>
      </c>
      <c r="E671" t="s">
        <v>6054</v>
      </c>
      <c r="F671" t="s">
        <v>6055</v>
      </c>
      <c r="G671" t="s">
        <v>5915</v>
      </c>
      <c r="H671" t="s">
        <v>5916</v>
      </c>
      <c r="I671" t="s">
        <v>177</v>
      </c>
      <c r="J671" t="s">
        <v>22</v>
      </c>
      <c r="K671" t="s">
        <v>6056</v>
      </c>
      <c r="L671" t="s">
        <v>6059</v>
      </c>
      <c r="M671" t="s">
        <v>25</v>
      </c>
      <c r="N671" t="s">
        <v>6060</v>
      </c>
      <c r="O671" t="s">
        <v>6061</v>
      </c>
      <c r="P671" t="s">
        <v>6062</v>
      </c>
      <c r="Q671" t="s">
        <v>29</v>
      </c>
      <c r="R671" t="s">
        <v>6057</v>
      </c>
      <c r="S671" t="s">
        <v>6058</v>
      </c>
    </row>
    <row r="672" spans="1:19" x14ac:dyDescent="0.25">
      <c r="A672" s="1">
        <v>670</v>
      </c>
      <c r="B672" t="str">
        <f>HYPERLINK("https://www.dasschnelle.at/seyer-werner-hafnerbach-zenostraße","Website")</f>
        <v>Website</v>
      </c>
      <c r="C672" t="str">
        <f>HYPERLINK("http://www.tischlerei-seyer.at","Website")</f>
        <v>Website</v>
      </c>
      <c r="D672" t="str">
        <f>HYPERLINK("http://www.google.com/maps/place/48.21718,15.48687","Location")</f>
        <v>Location</v>
      </c>
      <c r="E672" t="s">
        <v>6063</v>
      </c>
      <c r="F672" t="s">
        <v>6064</v>
      </c>
      <c r="G672" t="s">
        <v>6066</v>
      </c>
      <c r="H672" t="s">
        <v>6067</v>
      </c>
      <c r="I672" t="s">
        <v>177</v>
      </c>
      <c r="J672" t="s">
        <v>22</v>
      </c>
      <c r="K672" t="s">
        <v>6065</v>
      </c>
      <c r="L672" t="s">
        <v>6070</v>
      </c>
      <c r="M672" t="s">
        <v>25</v>
      </c>
      <c r="N672" t="s">
        <v>6071</v>
      </c>
      <c r="O672" t="s">
        <v>25</v>
      </c>
      <c r="P672" t="s">
        <v>6072</v>
      </c>
      <c r="Q672" t="s">
        <v>29</v>
      </c>
      <c r="R672" t="s">
        <v>6068</v>
      </c>
      <c r="S672" t="s">
        <v>6069</v>
      </c>
    </row>
    <row r="673" spans="1:19" x14ac:dyDescent="0.25">
      <c r="A673" s="1">
        <v>671</v>
      </c>
      <c r="B673" t="str">
        <f>HYPERLINK("https://www.dasschnelle.at/olah-gabor-bergland-henning","Website")</f>
        <v>Website</v>
      </c>
      <c r="C673" t="str">
        <f>HYPERLINK("http://www.reifengo.at","Website")</f>
        <v>Website</v>
      </c>
      <c r="D673" t="str">
        <f>HYPERLINK("http://www.google.com/maps/place/48.17051,15.15217","Location")</f>
        <v>Location</v>
      </c>
      <c r="E673" t="s">
        <v>6073</v>
      </c>
      <c r="F673" t="s">
        <v>6074</v>
      </c>
      <c r="G673" t="s">
        <v>6076</v>
      </c>
      <c r="H673" t="s">
        <v>6077</v>
      </c>
      <c r="I673" t="s">
        <v>177</v>
      </c>
      <c r="J673" t="s">
        <v>22</v>
      </c>
      <c r="K673" t="s">
        <v>6075</v>
      </c>
      <c r="L673" t="s">
        <v>6080</v>
      </c>
      <c r="M673" t="s">
        <v>25</v>
      </c>
      <c r="N673" t="s">
        <v>6081</v>
      </c>
      <c r="O673" t="s">
        <v>25</v>
      </c>
      <c r="P673" t="s">
        <v>6082</v>
      </c>
      <c r="Q673" t="s">
        <v>29</v>
      </c>
      <c r="R673" t="s">
        <v>6078</v>
      </c>
      <c r="S673" t="s">
        <v>6079</v>
      </c>
    </row>
    <row r="674" spans="1:19" x14ac:dyDescent="0.25">
      <c r="A674" s="1">
        <v>672</v>
      </c>
      <c r="B674" t="str">
        <f>HYPERLINK("https://www.dasschnelle.at/schlögl-lukas-loosdorf-bahnhofstraße","Website")</f>
        <v>Website</v>
      </c>
      <c r="C674" t="str">
        <f>HYPERLINK("http://www.blumen-schloegl.at","Website")</f>
        <v>Website</v>
      </c>
      <c r="D674" t="str">
        <f>HYPERLINK("http://www.google.com/maps/place/48.20054,15.39996","Location")</f>
        <v>Location</v>
      </c>
      <c r="E674" t="s">
        <v>6083</v>
      </c>
      <c r="F674" t="s">
        <v>6084</v>
      </c>
      <c r="G674" t="s">
        <v>5915</v>
      </c>
      <c r="H674" t="s">
        <v>5916</v>
      </c>
      <c r="I674" t="s">
        <v>177</v>
      </c>
      <c r="J674" t="s">
        <v>22</v>
      </c>
      <c r="K674" t="s">
        <v>4581</v>
      </c>
      <c r="L674" t="s">
        <v>6087</v>
      </c>
      <c r="M674" t="s">
        <v>25</v>
      </c>
      <c r="N674" t="s">
        <v>6088</v>
      </c>
      <c r="O674" t="s">
        <v>25</v>
      </c>
      <c r="P674" t="s">
        <v>6089</v>
      </c>
      <c r="Q674" t="s">
        <v>29</v>
      </c>
      <c r="R674" t="s">
        <v>6085</v>
      </c>
      <c r="S674" t="s">
        <v>6086</v>
      </c>
    </row>
    <row r="675" spans="1:19" x14ac:dyDescent="0.25">
      <c r="A675" s="1">
        <v>673</v>
      </c>
      <c r="B675" t="str">
        <f>HYPERLINK("https://www.dasschnelle.at/eichmayer-johann-loosdorf-mozartstraße","Website")</f>
        <v>Website</v>
      </c>
      <c r="C675" t="str">
        <f>HYPERLINK("http://www.schlosserei-eichmayer.at","Website")</f>
        <v>Website</v>
      </c>
      <c r="D675" t="str">
        <f>HYPERLINK("http://www.google.com/maps/place/48.19177,15.41679","Location")</f>
        <v>Location</v>
      </c>
      <c r="E675" t="s">
        <v>6090</v>
      </c>
      <c r="F675" t="s">
        <v>6091</v>
      </c>
      <c r="G675" t="s">
        <v>5915</v>
      </c>
      <c r="H675" t="s">
        <v>5916</v>
      </c>
      <c r="I675" t="s">
        <v>177</v>
      </c>
      <c r="J675" t="s">
        <v>22</v>
      </c>
      <c r="K675" t="s">
        <v>6092</v>
      </c>
      <c r="L675" t="s">
        <v>6095</v>
      </c>
      <c r="M675" t="s">
        <v>25</v>
      </c>
      <c r="N675" t="s">
        <v>6096</v>
      </c>
      <c r="O675" t="s">
        <v>25</v>
      </c>
      <c r="P675" t="s">
        <v>6097</v>
      </c>
      <c r="Q675" t="s">
        <v>29</v>
      </c>
      <c r="R675" t="s">
        <v>6093</v>
      </c>
      <c r="S675" t="s">
        <v>6094</v>
      </c>
    </row>
    <row r="676" spans="1:19" x14ac:dyDescent="0.25">
      <c r="A676" s="1">
        <v>674</v>
      </c>
      <c r="B676" t="str">
        <f>HYPERLINK("https://www.dasschnelle.at/freiberger-iris-persenbeug-dr-hamon-gasse","Website")</f>
        <v>Website</v>
      </c>
      <c r="C676" t="str">
        <f>HYPERLINK("http://www.hairlich-freiberger.at","Website")</f>
        <v>Website</v>
      </c>
      <c r="D676" t="str">
        <f>HYPERLINK("http://www.google.com/maps/place/48.18704,15.08384","Location")</f>
        <v>Location</v>
      </c>
      <c r="E676" t="s">
        <v>6098</v>
      </c>
      <c r="F676" t="s">
        <v>6099</v>
      </c>
      <c r="G676" t="s">
        <v>6101</v>
      </c>
      <c r="H676" t="s">
        <v>6102</v>
      </c>
      <c r="I676" t="s">
        <v>177</v>
      </c>
      <c r="J676" t="s">
        <v>22</v>
      </c>
      <c r="K676" t="s">
        <v>6100</v>
      </c>
      <c r="L676" t="s">
        <v>6105</v>
      </c>
      <c r="M676" t="s">
        <v>25</v>
      </c>
      <c r="N676" t="s">
        <v>6106</v>
      </c>
      <c r="O676" t="s">
        <v>25</v>
      </c>
      <c r="P676" t="s">
        <v>6107</v>
      </c>
      <c r="Q676" t="s">
        <v>29</v>
      </c>
      <c r="R676" t="s">
        <v>6103</v>
      </c>
      <c r="S676" t="s">
        <v>6104</v>
      </c>
    </row>
    <row r="677" spans="1:19" x14ac:dyDescent="0.25">
      <c r="A677" s="1">
        <v>675</v>
      </c>
      <c r="B677" t="str">
        <f>HYPERLINK("https://www.dasschnelle.at/schroll-florian-neue-welt","Website")</f>
        <v>Website</v>
      </c>
      <c r="C677" t="str">
        <f>HYPERLINK("https://www.dasschnelle.at/schroll-florian-neue-welt","Website")</f>
        <v>Website</v>
      </c>
      <c r="D677" t="str">
        <f>HYPERLINK("http://www.google.com/maps/place/48.2855489,15.1271799","Location")</f>
        <v>Location</v>
      </c>
      <c r="E677" t="s">
        <v>6108</v>
      </c>
      <c r="F677" t="s">
        <v>6109</v>
      </c>
      <c r="G677" t="s">
        <v>5992</v>
      </c>
      <c r="H677" t="s">
        <v>6110</v>
      </c>
      <c r="I677" t="s">
        <v>177</v>
      </c>
      <c r="J677" t="s">
        <v>22</v>
      </c>
      <c r="K677" t="s">
        <v>25</v>
      </c>
      <c r="L677" t="s">
        <v>6113</v>
      </c>
      <c r="M677" t="s">
        <v>25</v>
      </c>
      <c r="N677" t="s">
        <v>6114</v>
      </c>
      <c r="O677" t="s">
        <v>25</v>
      </c>
      <c r="P677" t="s">
        <v>6115</v>
      </c>
      <c r="Q677" t="s">
        <v>29</v>
      </c>
      <c r="R677" t="s">
        <v>6111</v>
      </c>
      <c r="S677" t="s">
        <v>6112</v>
      </c>
    </row>
    <row r="678" spans="1:19" x14ac:dyDescent="0.25">
      <c r="A678" s="1">
        <v>676</v>
      </c>
      <c r="B678" t="str">
        <f>HYPERLINK("https://www.dasschnelle.at/schlosser-elisabeth-st-leonhard-hauptplatz","Website")</f>
        <v>Website</v>
      </c>
      <c r="C678" t="str">
        <f>HYPERLINK("http://www.ghz-leonhofen.at/unser-team/elisabeth-schlosser","Website")</f>
        <v>Website</v>
      </c>
      <c r="D678" t="str">
        <f>HYPERLINK("http://www.google.com/maps/place/48.1416040,15.2799304","Location")</f>
        <v>Location</v>
      </c>
      <c r="E678" t="s">
        <v>6116</v>
      </c>
      <c r="F678" t="s">
        <v>6117</v>
      </c>
      <c r="G678" t="s">
        <v>6038</v>
      </c>
      <c r="H678" t="s">
        <v>6119</v>
      </c>
      <c r="I678" t="s">
        <v>177</v>
      </c>
      <c r="J678" t="s">
        <v>22</v>
      </c>
      <c r="K678" t="s">
        <v>6118</v>
      </c>
      <c r="L678" t="s">
        <v>6122</v>
      </c>
      <c r="M678" t="s">
        <v>25</v>
      </c>
      <c r="N678" t="s">
        <v>6123</v>
      </c>
      <c r="O678" t="s">
        <v>25</v>
      </c>
      <c r="P678" t="s">
        <v>6124</v>
      </c>
      <c r="Q678" t="s">
        <v>29</v>
      </c>
      <c r="R678" t="s">
        <v>6120</v>
      </c>
      <c r="S678" t="s">
        <v>6121</v>
      </c>
    </row>
    <row r="679" spans="1:19" x14ac:dyDescent="0.25">
      <c r="A679" s="1">
        <v>677</v>
      </c>
      <c r="B679" t="str">
        <f>HYPERLINK("https://www.dasschnelle.at/kern-steinmetzmeister-e-u-melk-pielacher-straße","Website")</f>
        <v>Website</v>
      </c>
      <c r="C679" t="str">
        <f>HYPERLINK("http://www.wohnstein.at","Website")</f>
        <v>Website</v>
      </c>
      <c r="D679" t="str">
        <f>HYPERLINK("http://www.google.com/maps/place/48.22669,15.37166","Location")</f>
        <v>Location</v>
      </c>
      <c r="E679" t="s">
        <v>6125</v>
      </c>
      <c r="F679" t="s">
        <v>6126</v>
      </c>
      <c r="G679" t="s">
        <v>5926</v>
      </c>
      <c r="H679" t="s">
        <v>5927</v>
      </c>
      <c r="I679" t="s">
        <v>177</v>
      </c>
      <c r="J679" t="s">
        <v>22</v>
      </c>
      <c r="K679" t="s">
        <v>6127</v>
      </c>
      <c r="L679" t="s">
        <v>6130</v>
      </c>
      <c r="M679" t="s">
        <v>25</v>
      </c>
      <c r="N679" t="s">
        <v>6131</v>
      </c>
      <c r="O679" t="s">
        <v>25</v>
      </c>
      <c r="P679" t="s">
        <v>6132</v>
      </c>
      <c r="Q679" t="s">
        <v>29</v>
      </c>
      <c r="R679" t="s">
        <v>6128</v>
      </c>
      <c r="S679" t="s">
        <v>6129</v>
      </c>
    </row>
    <row r="680" spans="1:19" x14ac:dyDescent="0.25">
      <c r="A680" s="1">
        <v>678</v>
      </c>
      <c r="B680" t="str">
        <f>HYPERLINK("https://www.dasschnelle.at/taubinger-gmbh-mank-hörsdorf","Website")</f>
        <v>Website</v>
      </c>
      <c r="C680" t="str">
        <f>HYPERLINK("http://www.taubinger.net","Website")</f>
        <v>Website</v>
      </c>
      <c r="D680" t="str">
        <f>HYPERLINK("http://www.google.com/maps/place/48.1146557,15.3363478","Location")</f>
        <v>Location</v>
      </c>
      <c r="E680" t="s">
        <v>6133</v>
      </c>
      <c r="F680" t="s">
        <v>6134</v>
      </c>
      <c r="G680" t="s">
        <v>6136</v>
      </c>
      <c r="H680" t="s">
        <v>6137</v>
      </c>
      <c r="I680" t="s">
        <v>177</v>
      </c>
      <c r="J680" t="s">
        <v>22</v>
      </c>
      <c r="K680" t="s">
        <v>6135</v>
      </c>
      <c r="L680" t="s">
        <v>6140</v>
      </c>
      <c r="M680" t="s">
        <v>25</v>
      </c>
      <c r="N680" t="s">
        <v>6141</v>
      </c>
      <c r="O680" t="s">
        <v>6142</v>
      </c>
      <c r="P680" t="s">
        <v>6143</v>
      </c>
      <c r="Q680" t="s">
        <v>29</v>
      </c>
      <c r="R680" t="s">
        <v>6138</v>
      </c>
      <c r="S680" t="s">
        <v>6139</v>
      </c>
    </row>
    <row r="681" spans="1:19" x14ac:dyDescent="0.25">
      <c r="A681" s="1">
        <v>679</v>
      </c>
      <c r="B681" t="str">
        <f>HYPERLINK("https://www.dasschnelle.at/baumgartner-alfred-gmbh-ruprechtshofen-lehen","Website")</f>
        <v>Website</v>
      </c>
      <c r="C681" t="str">
        <f>HYPERLINK("http://www.ab-holz.at","Website")</f>
        <v>Website</v>
      </c>
      <c r="D681" t="str">
        <f>HYPERLINK("http://www.google.com/maps/place/48.0953059,15.2428234","Location")</f>
        <v>Location</v>
      </c>
      <c r="E681" t="s">
        <v>6144</v>
      </c>
      <c r="F681" t="s">
        <v>6145</v>
      </c>
      <c r="G681" t="s">
        <v>6147</v>
      </c>
      <c r="H681" t="s">
        <v>6148</v>
      </c>
      <c r="I681" t="s">
        <v>177</v>
      </c>
      <c r="J681" t="s">
        <v>22</v>
      </c>
      <c r="K681" t="s">
        <v>6146</v>
      </c>
      <c r="L681" t="s">
        <v>6151</v>
      </c>
      <c r="M681" t="s">
        <v>6152</v>
      </c>
      <c r="N681" t="s">
        <v>6153</v>
      </c>
      <c r="O681" t="s">
        <v>6154</v>
      </c>
      <c r="P681" t="s">
        <v>6155</v>
      </c>
      <c r="Q681" t="s">
        <v>29</v>
      </c>
      <c r="R681" t="s">
        <v>6149</v>
      </c>
      <c r="S681" t="s">
        <v>6150</v>
      </c>
    </row>
    <row r="682" spans="1:19" x14ac:dyDescent="0.25">
      <c r="A682" s="1">
        <v>680</v>
      </c>
      <c r="B682" t="str">
        <f>HYPERLINK("https://www.dasschnelle.at/schmoll-isabella-bischofstetten-florianigasse","Website")</f>
        <v>Website</v>
      </c>
      <c r="C682" t="str">
        <f>HYPERLINK("http://www.fliegende-friseurin.at","Website")</f>
        <v>Website</v>
      </c>
      <c r="D682" t="str">
        <f>HYPERLINK("http://www.google.com/maps/place/48.12266,15.46735","Location")</f>
        <v>Location</v>
      </c>
      <c r="E682" t="s">
        <v>6156</v>
      </c>
      <c r="F682" t="s">
        <v>6157</v>
      </c>
      <c r="G682" t="s">
        <v>6159</v>
      </c>
      <c r="H682" t="s">
        <v>6160</v>
      </c>
      <c r="I682" t="s">
        <v>177</v>
      </c>
      <c r="J682" t="s">
        <v>22</v>
      </c>
      <c r="K682" t="s">
        <v>6158</v>
      </c>
      <c r="L682" t="s">
        <v>6163</v>
      </c>
      <c r="M682" t="s">
        <v>25</v>
      </c>
      <c r="N682" t="s">
        <v>6164</v>
      </c>
      <c r="O682" t="s">
        <v>25</v>
      </c>
      <c r="P682" t="s">
        <v>6165</v>
      </c>
      <c r="Q682" t="s">
        <v>29</v>
      </c>
      <c r="R682" t="s">
        <v>6161</v>
      </c>
      <c r="S682" t="s">
        <v>6162</v>
      </c>
    </row>
    <row r="683" spans="1:19" x14ac:dyDescent="0.25">
      <c r="A683" s="1">
        <v>681</v>
      </c>
      <c r="B683" t="str">
        <f>HYPERLINK("https://www.dasschnelle.at/oberleitner-franz-horst-st-leonhard-am-forst-seimetzbach","Website")</f>
        <v>Website</v>
      </c>
      <c r="C683" t="str">
        <f>HYPERLINK("http://www.oberleitner.at","Website")</f>
        <v>Website</v>
      </c>
      <c r="D683" t="str">
        <f>HYPERLINK("http://www.google.com/maps/place/48.1561818,15.3423761","Location")</f>
        <v>Location</v>
      </c>
      <c r="E683" t="s">
        <v>6166</v>
      </c>
      <c r="F683" t="s">
        <v>6167</v>
      </c>
      <c r="G683" t="s">
        <v>6038</v>
      </c>
      <c r="H683" t="s">
        <v>6039</v>
      </c>
      <c r="I683" t="s">
        <v>177</v>
      </c>
      <c r="J683" t="s">
        <v>22</v>
      </c>
      <c r="K683" t="s">
        <v>6168</v>
      </c>
      <c r="L683" t="s">
        <v>6171</v>
      </c>
      <c r="M683" t="s">
        <v>25</v>
      </c>
      <c r="N683" t="s">
        <v>6172</v>
      </c>
      <c r="O683" t="s">
        <v>6173</v>
      </c>
      <c r="P683" t="s">
        <v>6174</v>
      </c>
      <c r="Q683" t="s">
        <v>29</v>
      </c>
      <c r="R683" t="s">
        <v>6169</v>
      </c>
      <c r="S683" t="s">
        <v>6170</v>
      </c>
    </row>
    <row r="684" spans="1:19" x14ac:dyDescent="0.25">
      <c r="A684" s="1">
        <v>682</v>
      </c>
      <c r="B684" t="str">
        <f>HYPERLINK("https://www.dasschnelle.at/mühlberger-josef-münichreith-am-ostrong-edelsreith","Website")</f>
        <v>Website</v>
      </c>
      <c r="C684" t="str">
        <f>HYPERLINK("http://www.ostronger-tannenhof.at","Website")</f>
        <v>Website</v>
      </c>
      <c r="D684" t="str">
        <f>HYPERLINK("http://www.google.com/maps/place/48.2506915,15.1264910","Location")</f>
        <v>Location</v>
      </c>
      <c r="E684" t="s">
        <v>6175</v>
      </c>
      <c r="F684" t="s">
        <v>6176</v>
      </c>
      <c r="G684" t="s">
        <v>6178</v>
      </c>
      <c r="H684" t="s">
        <v>6179</v>
      </c>
      <c r="I684" t="s">
        <v>177</v>
      </c>
      <c r="J684" t="s">
        <v>22</v>
      </c>
      <c r="K684" t="s">
        <v>6177</v>
      </c>
      <c r="L684" t="s">
        <v>6182</v>
      </c>
      <c r="M684" t="s">
        <v>25</v>
      </c>
      <c r="N684" t="s">
        <v>6183</v>
      </c>
      <c r="O684" t="s">
        <v>25</v>
      </c>
      <c r="P684" t="s">
        <v>6184</v>
      </c>
      <c r="Q684" t="s">
        <v>29</v>
      </c>
      <c r="R684" t="s">
        <v>6180</v>
      </c>
      <c r="S684" t="s">
        <v>6181</v>
      </c>
    </row>
    <row r="685" spans="1:19" x14ac:dyDescent="0.25">
      <c r="A685" s="1">
        <v>683</v>
      </c>
      <c r="B685" t="str">
        <f>HYPERLINK("https://www.dasschnelle.at/glaser-jurin-alexandra-mank-hauptplatz","Website")</f>
        <v>Website</v>
      </c>
      <c r="C685" t="str">
        <f>HYPERLINK("http://www.alex-haargenau.at","Website")</f>
        <v>Website</v>
      </c>
      <c r="D685" t="str">
        <f>HYPERLINK("http://www.google.com/maps/place/48.11244,15.34207","Location")</f>
        <v>Location</v>
      </c>
      <c r="E685" t="s">
        <v>6185</v>
      </c>
      <c r="F685" t="s">
        <v>6186</v>
      </c>
      <c r="G685" t="s">
        <v>6136</v>
      </c>
      <c r="H685" t="s">
        <v>6137</v>
      </c>
      <c r="I685" t="s">
        <v>177</v>
      </c>
      <c r="J685" t="s">
        <v>22</v>
      </c>
      <c r="K685" t="s">
        <v>6187</v>
      </c>
      <c r="L685" t="s">
        <v>6190</v>
      </c>
      <c r="M685" t="s">
        <v>25</v>
      </c>
      <c r="N685" t="s">
        <v>6191</v>
      </c>
      <c r="O685" t="s">
        <v>25</v>
      </c>
      <c r="P685" t="s">
        <v>6192</v>
      </c>
      <c r="Q685" t="s">
        <v>29</v>
      </c>
      <c r="R685" t="s">
        <v>6188</v>
      </c>
      <c r="S685" t="s">
        <v>6189</v>
      </c>
    </row>
    <row r="686" spans="1:19" x14ac:dyDescent="0.25">
      <c r="A686" s="1">
        <v>684</v>
      </c>
      <c r="B686" t="str">
        <f>HYPERLINK("https://www.dasschnelle.at/ofner-nina-mag-ybbs-an-der-donau-hauptplatz","Website")</f>
        <v>Website</v>
      </c>
      <c r="C686" t="str">
        <f>HYPERLINK("http://www.notar-ofner.at","Website")</f>
        <v>Website</v>
      </c>
      <c r="D686" t="str">
        <f>HYPERLINK("http://www.google.com/maps/place/48.1770231,15.0851600","Location")</f>
        <v>Location</v>
      </c>
      <c r="E686" t="s">
        <v>6193</v>
      </c>
      <c r="F686" t="s">
        <v>6194</v>
      </c>
      <c r="G686" t="s">
        <v>6019</v>
      </c>
      <c r="H686" t="s">
        <v>6195</v>
      </c>
      <c r="I686" t="s">
        <v>177</v>
      </c>
      <c r="J686" t="s">
        <v>22</v>
      </c>
      <c r="K686" t="s">
        <v>1778</v>
      </c>
      <c r="L686" t="s">
        <v>6198</v>
      </c>
      <c r="M686" t="s">
        <v>25</v>
      </c>
      <c r="N686" t="s">
        <v>6199</v>
      </c>
      <c r="O686" t="s">
        <v>25</v>
      </c>
      <c r="P686" t="s">
        <v>6200</v>
      </c>
      <c r="Q686" t="s">
        <v>29</v>
      </c>
      <c r="R686" t="s">
        <v>6196</v>
      </c>
      <c r="S686" t="s">
        <v>6197</v>
      </c>
    </row>
    <row r="687" spans="1:19" x14ac:dyDescent="0.25">
      <c r="A687" s="1">
        <v>685</v>
      </c>
      <c r="B687" t="str">
        <f>HYPERLINK("https://www.dasschnelle.at/dsk-mank-og-mank-gewerbestraße-10","Website")</f>
        <v>Website</v>
      </c>
      <c r="C687" t="str">
        <f>HYPERLINK("https://www.dasschnelle.at/dsk-mank-og-mank-gewerbestra%C3%9Fe-10","Website")</f>
        <v>Website</v>
      </c>
      <c r="D687" t="str">
        <f>HYPERLINK("http://www.google.com/maps/place/48.1210009,15.3446818","Location")</f>
        <v>Location</v>
      </c>
      <c r="E687" t="s">
        <v>6201</v>
      </c>
      <c r="F687" t="s">
        <v>6202</v>
      </c>
      <c r="G687" t="s">
        <v>6136</v>
      </c>
      <c r="H687" t="s">
        <v>6137</v>
      </c>
      <c r="I687" t="s">
        <v>177</v>
      </c>
      <c r="J687" t="s">
        <v>22</v>
      </c>
      <c r="K687" t="s">
        <v>4254</v>
      </c>
      <c r="L687" t="s">
        <v>6205</v>
      </c>
      <c r="M687" t="s">
        <v>25</v>
      </c>
      <c r="N687" t="s">
        <v>6206</v>
      </c>
      <c r="O687" t="s">
        <v>6207</v>
      </c>
      <c r="P687" t="s">
        <v>6208</v>
      </c>
      <c r="Q687" t="s">
        <v>29</v>
      </c>
      <c r="R687" t="s">
        <v>6203</v>
      </c>
      <c r="S687" t="s">
        <v>6204</v>
      </c>
    </row>
    <row r="688" spans="1:19" x14ac:dyDescent="0.25">
      <c r="A688" s="1">
        <v>686</v>
      </c>
      <c r="B688" t="str">
        <f>HYPERLINK("https://www.dasschnelle.at/hainböck-gerold-persenbeug-hauptstraße","Website")</f>
        <v>Website</v>
      </c>
      <c r="C688" t="str">
        <f>HYPERLINK("https://www.dasschnelle.at/hainb%C3%B6ck-gerold-persenbeug-hauptstra%C3%9Fe","Website")</f>
        <v>Website</v>
      </c>
      <c r="D688" t="str">
        <f>HYPERLINK("http://www.google.com/maps/place/48.18725,15.08011","Location")</f>
        <v>Location</v>
      </c>
      <c r="E688" t="s">
        <v>6209</v>
      </c>
      <c r="F688" t="s">
        <v>6210</v>
      </c>
      <c r="G688" t="s">
        <v>6101</v>
      </c>
      <c r="H688" t="s">
        <v>6102</v>
      </c>
      <c r="I688" t="s">
        <v>177</v>
      </c>
      <c r="J688" t="s">
        <v>22</v>
      </c>
      <c r="K688" t="s">
        <v>6211</v>
      </c>
      <c r="L688" t="s">
        <v>6214</v>
      </c>
      <c r="M688" t="s">
        <v>25</v>
      </c>
      <c r="N688" t="s">
        <v>6215</v>
      </c>
      <c r="O688" t="s">
        <v>25</v>
      </c>
      <c r="P688" t="s">
        <v>6216</v>
      </c>
      <c r="Q688" t="s">
        <v>29</v>
      </c>
      <c r="R688" t="s">
        <v>6212</v>
      </c>
      <c r="S688" t="s">
        <v>6213</v>
      </c>
    </row>
    <row r="689" spans="1:19" x14ac:dyDescent="0.25">
      <c r="A689" s="1">
        <v>687</v>
      </c>
      <c r="B689" t="str">
        <f>HYPERLINK("https://www.dasschnelle.at/lagler-sabine-klein-pöchlarn-artstettner-straße","Website")</f>
        <v>Website</v>
      </c>
      <c r="C689" t="str">
        <f>HYPERLINK("http://www.blumenlager.at","Website")</f>
        <v>Website</v>
      </c>
      <c r="D689" t="str">
        <f>HYPERLINK("http://www.google.com/maps/place/48.21915,15.21425","Location")</f>
        <v>Location</v>
      </c>
      <c r="E689" t="s">
        <v>6217</v>
      </c>
      <c r="F689" t="s">
        <v>6218</v>
      </c>
      <c r="G689" t="s">
        <v>6220</v>
      </c>
      <c r="H689" t="s">
        <v>6221</v>
      </c>
      <c r="I689" t="s">
        <v>177</v>
      </c>
      <c r="J689" t="s">
        <v>22</v>
      </c>
      <c r="K689" t="s">
        <v>6219</v>
      </c>
      <c r="L689" t="s">
        <v>6223</v>
      </c>
      <c r="M689" t="s">
        <v>25</v>
      </c>
      <c r="N689" t="s">
        <v>6224</v>
      </c>
      <c r="O689" t="s">
        <v>25</v>
      </c>
      <c r="P689" t="s">
        <v>6225</v>
      </c>
      <c r="Q689" t="s">
        <v>29</v>
      </c>
      <c r="R689" t="s">
        <v>3439</v>
      </c>
      <c r="S689" t="s">
        <v>6222</v>
      </c>
    </row>
    <row r="690" spans="1:19" x14ac:dyDescent="0.25">
      <c r="A690" s="1">
        <v>688</v>
      </c>
      <c r="B690" t="str">
        <f>HYPERLINK("https://www.dasschnelle.at/dipl-ing-kochberger-thomas-melk-nibelungenlände","Website")</f>
        <v>Website</v>
      </c>
      <c r="C690" t="str">
        <f>HYPERLINK("https://www.geometer-melk.at","Website")</f>
        <v>Website</v>
      </c>
      <c r="D690" t="str">
        <f>HYPERLINK("http://www.google.com/maps/place/48.2267,15.32758","Location")</f>
        <v>Location</v>
      </c>
      <c r="E690" t="s">
        <v>6226</v>
      </c>
      <c r="F690" t="s">
        <v>6227</v>
      </c>
      <c r="G690" t="s">
        <v>5926</v>
      </c>
      <c r="H690" t="s">
        <v>5927</v>
      </c>
      <c r="I690" t="s">
        <v>177</v>
      </c>
      <c r="J690" t="s">
        <v>22</v>
      </c>
      <c r="K690" t="s">
        <v>6228</v>
      </c>
      <c r="L690" t="s">
        <v>6231</v>
      </c>
      <c r="M690" t="s">
        <v>25</v>
      </c>
      <c r="N690" t="s">
        <v>6232</v>
      </c>
      <c r="O690" t="s">
        <v>25</v>
      </c>
      <c r="P690" t="s">
        <v>6233</v>
      </c>
      <c r="Q690" t="s">
        <v>29</v>
      </c>
      <c r="R690" t="s">
        <v>6229</v>
      </c>
      <c r="S690" t="s">
        <v>6230</v>
      </c>
    </row>
    <row r="691" spans="1:19" x14ac:dyDescent="0.25">
      <c r="A691" s="1">
        <v>689</v>
      </c>
      <c r="B691" t="str">
        <f>HYPERLINK("https://www.dasschnelle.at/fahrschule-melk-melk-wiener-straße","Website")</f>
        <v>Website</v>
      </c>
      <c r="C691" t="str">
        <f>HYPERLINK("http://www.fahrschulerath.at","Website")</f>
        <v>Website</v>
      </c>
      <c r="D691" t="str">
        <f>HYPERLINK("http://www.google.com/maps/place/48.22756,15.34192","Location")</f>
        <v>Location</v>
      </c>
      <c r="E691" t="s">
        <v>6234</v>
      </c>
      <c r="F691" t="s">
        <v>6235</v>
      </c>
      <c r="G691" t="s">
        <v>5926</v>
      </c>
      <c r="H691" t="s">
        <v>5927</v>
      </c>
      <c r="I691" t="s">
        <v>177</v>
      </c>
      <c r="J691" t="s">
        <v>22</v>
      </c>
      <c r="K691" t="s">
        <v>6236</v>
      </c>
      <c r="L691" t="s">
        <v>6239</v>
      </c>
      <c r="M691" t="s">
        <v>25</v>
      </c>
      <c r="N691" t="s">
        <v>6240</v>
      </c>
      <c r="O691" t="s">
        <v>25</v>
      </c>
      <c r="P691" t="s">
        <v>6241</v>
      </c>
      <c r="Q691" t="s">
        <v>29</v>
      </c>
      <c r="R691" t="s">
        <v>6237</v>
      </c>
      <c r="S691" t="s">
        <v>6238</v>
      </c>
    </row>
    <row r="692" spans="1:19" x14ac:dyDescent="0.25">
      <c r="A692" s="1">
        <v>690</v>
      </c>
      <c r="B692" t="str">
        <f>HYPERLINK("https://www.dasschnelle.at/weißl-günther-patricia-mag-ried-i-i-kirchenplatz","Website")</f>
        <v>Website</v>
      </c>
      <c r="C692" t="str">
        <f>HYPERLINK("http://www.patricia-weissl.at","Website")</f>
        <v>Website</v>
      </c>
      <c r="D692" t="str">
        <f>HYPERLINK("http://www.google.com/maps/place/48.20885,13.48918","Location")</f>
        <v>Location</v>
      </c>
      <c r="E692" t="s">
        <v>6242</v>
      </c>
      <c r="F692" t="s">
        <v>6243</v>
      </c>
      <c r="G692" t="s">
        <v>6245</v>
      </c>
      <c r="H692" t="s">
        <v>6246</v>
      </c>
      <c r="I692" t="s">
        <v>85</v>
      </c>
      <c r="J692" t="s">
        <v>22</v>
      </c>
      <c r="K692" t="s">
        <v>6244</v>
      </c>
      <c r="L692" t="s">
        <v>6249</v>
      </c>
      <c r="M692" t="s">
        <v>25</v>
      </c>
      <c r="N692" t="s">
        <v>6250</v>
      </c>
      <c r="O692" t="s">
        <v>6251</v>
      </c>
      <c r="P692" t="s">
        <v>6252</v>
      </c>
      <c r="Q692" t="s">
        <v>29</v>
      </c>
      <c r="R692" t="s">
        <v>6247</v>
      </c>
      <c r="S692" t="s">
        <v>6248</v>
      </c>
    </row>
    <row r="693" spans="1:19" x14ac:dyDescent="0.25">
      <c r="A693" s="1">
        <v>691</v>
      </c>
      <c r="B693" t="str">
        <f>HYPERLINK("https://www.dasschnelle.at/ahs-gmbh-mehrnbach-aubach","Website")</f>
        <v>Website</v>
      </c>
      <c r="C693" t="str">
        <f>HYPERLINK("http://www.ahs-reinigung.at","Website")</f>
        <v>Website</v>
      </c>
      <c r="D693" t="str">
        <f>HYPERLINK("http://www.google.com/maps/place/48.2050763,13.4692966","Location")</f>
        <v>Location</v>
      </c>
      <c r="E693" t="s">
        <v>6253</v>
      </c>
      <c r="F693" t="s">
        <v>6254</v>
      </c>
      <c r="G693" t="s">
        <v>6256</v>
      </c>
      <c r="H693" t="s">
        <v>6257</v>
      </c>
      <c r="I693" t="s">
        <v>85</v>
      </c>
      <c r="J693" t="s">
        <v>22</v>
      </c>
      <c r="K693" t="s">
        <v>6255</v>
      </c>
      <c r="L693" t="s">
        <v>6260</v>
      </c>
      <c r="M693" t="s">
        <v>25</v>
      </c>
      <c r="N693" t="s">
        <v>6261</v>
      </c>
      <c r="O693" t="s">
        <v>6262</v>
      </c>
      <c r="P693" t="s">
        <v>6263</v>
      </c>
      <c r="Q693" t="s">
        <v>29</v>
      </c>
      <c r="R693" t="s">
        <v>6258</v>
      </c>
      <c r="S693" t="s">
        <v>6259</v>
      </c>
    </row>
    <row r="694" spans="1:19" x14ac:dyDescent="0.25">
      <c r="A694" s="1">
        <v>692</v>
      </c>
      <c r="B694" t="str">
        <f>HYPERLINK("https://www.dasschnelle.at/mayer-di-gmbh-ried-im-innkreis-hof","Website")</f>
        <v>Website</v>
      </c>
      <c r="C694" t="str">
        <f>HYPERLINK("http://www.karl-mayer.at","Website")</f>
        <v>Website</v>
      </c>
      <c r="D694" t="str">
        <f>HYPERLINK("http://www.google.com/maps/place/48.1673321,13.4848416","Location")</f>
        <v>Location</v>
      </c>
      <c r="E694" t="s">
        <v>6264</v>
      </c>
      <c r="F694" t="s">
        <v>6265</v>
      </c>
      <c r="G694" t="s">
        <v>6245</v>
      </c>
      <c r="H694" t="s">
        <v>6267</v>
      </c>
      <c r="I694" t="s">
        <v>85</v>
      </c>
      <c r="J694" t="s">
        <v>22</v>
      </c>
      <c r="K694" t="s">
        <v>6266</v>
      </c>
      <c r="L694" t="s">
        <v>6270</v>
      </c>
      <c r="M694" t="s">
        <v>25</v>
      </c>
      <c r="N694" t="s">
        <v>6271</v>
      </c>
      <c r="O694" t="s">
        <v>25</v>
      </c>
      <c r="P694" t="s">
        <v>6272</v>
      </c>
      <c r="Q694" t="s">
        <v>29</v>
      </c>
      <c r="R694" t="s">
        <v>6268</v>
      </c>
      <c r="S694" t="s">
        <v>6269</v>
      </c>
    </row>
    <row r="695" spans="1:19" x14ac:dyDescent="0.25">
      <c r="A695" s="1">
        <v>693</v>
      </c>
      <c r="B695" t="str">
        <f>HYPERLINK("https://www.dasschnelle.at/kirchsteiger-josef-katzenberg-katzenberg","Website")</f>
        <v>Website</v>
      </c>
      <c r="C695" t="str">
        <f>HYPERLINK("http://www.schlosstaverne-katzenberg.at","Website")</f>
        <v>Website</v>
      </c>
      <c r="D695" t="str">
        <f>HYPERLINK("http://www.google.com/maps/place/48.2954293,13.3014720","Location")</f>
        <v>Location</v>
      </c>
      <c r="E695" t="s">
        <v>6273</v>
      </c>
      <c r="F695" t="s">
        <v>6274</v>
      </c>
      <c r="G695" t="s">
        <v>6276</v>
      </c>
      <c r="H695" t="s">
        <v>6277</v>
      </c>
      <c r="I695" t="s">
        <v>85</v>
      </c>
      <c r="J695" t="s">
        <v>22</v>
      </c>
      <c r="K695" t="s">
        <v>6275</v>
      </c>
      <c r="L695" t="s">
        <v>6280</v>
      </c>
      <c r="M695" t="s">
        <v>25</v>
      </c>
      <c r="N695" t="s">
        <v>6281</v>
      </c>
      <c r="O695" t="s">
        <v>25</v>
      </c>
      <c r="P695" t="s">
        <v>6282</v>
      </c>
      <c r="Q695" t="s">
        <v>29</v>
      </c>
      <c r="R695" t="s">
        <v>6278</v>
      </c>
      <c r="S695" t="s">
        <v>6279</v>
      </c>
    </row>
    <row r="696" spans="1:19" x14ac:dyDescent="0.25">
      <c r="A696" s="1">
        <v>694</v>
      </c>
      <c r="B696" t="str">
        <f>HYPERLINK("https://www.dasschnelle.at/rauchenecker-kfz-gmbh-aurolzmünster-schärdingerstraße","Website")</f>
        <v>Website</v>
      </c>
      <c r="C696" t="str">
        <f>HYPERLINK("https://www.dasschnelle.at/rauchenecker-kfz-gmbh-aurolzm%C3%BCnster-sch%C3%A4rdingerstra%C3%9Fe","Website")</f>
        <v>Website</v>
      </c>
      <c r="D696" t="str">
        <f>HYPERLINK("http://www.google.com/maps/place/48.2628900,13.4495300","Location")</f>
        <v>Location</v>
      </c>
      <c r="E696" t="s">
        <v>6283</v>
      </c>
      <c r="F696" t="s">
        <v>6284</v>
      </c>
      <c r="G696" t="s">
        <v>6286</v>
      </c>
      <c r="H696" t="s">
        <v>6287</v>
      </c>
      <c r="I696" t="s">
        <v>85</v>
      </c>
      <c r="J696" t="s">
        <v>22</v>
      </c>
      <c r="K696" t="s">
        <v>6285</v>
      </c>
      <c r="L696" t="s">
        <v>6290</v>
      </c>
      <c r="M696" t="s">
        <v>25</v>
      </c>
      <c r="N696" t="s">
        <v>6291</v>
      </c>
      <c r="O696" t="s">
        <v>25</v>
      </c>
      <c r="P696" t="s">
        <v>6292</v>
      </c>
      <c r="Q696" t="s">
        <v>29</v>
      </c>
      <c r="R696" t="s">
        <v>6288</v>
      </c>
      <c r="S696" t="s">
        <v>6289</v>
      </c>
    </row>
    <row r="697" spans="1:19" x14ac:dyDescent="0.25">
      <c r="A697" s="1">
        <v>695</v>
      </c>
      <c r="B697" t="str">
        <f>HYPERLINK("https://www.dasschnelle.at/blütensti-e-l-utzenaich-rieder-straße","Website")</f>
        <v>Website</v>
      </c>
      <c r="C697" t="str">
        <f>HYPERLINK("https://www.dasschnelle.at/bl%C3%BCtensti-e-l-utzenaich-rieder-stra%C3%9Fe","Website")</f>
        <v>Website</v>
      </c>
      <c r="D697" t="str">
        <f>HYPERLINK("http://www.google.com/maps/place/48.27386,13.45401","Location")</f>
        <v>Location</v>
      </c>
      <c r="E697" t="s">
        <v>6293</v>
      </c>
      <c r="F697" t="s">
        <v>6294</v>
      </c>
      <c r="G697" t="s">
        <v>6296</v>
      </c>
      <c r="H697" t="s">
        <v>6297</v>
      </c>
      <c r="I697" t="s">
        <v>85</v>
      </c>
      <c r="J697" t="s">
        <v>22</v>
      </c>
      <c r="K697" t="s">
        <v>6295</v>
      </c>
      <c r="L697" t="s">
        <v>6300</v>
      </c>
      <c r="M697" t="s">
        <v>25</v>
      </c>
      <c r="N697" t="s">
        <v>6301</v>
      </c>
      <c r="O697" t="s">
        <v>25</v>
      </c>
      <c r="P697" t="s">
        <v>6302</v>
      </c>
      <c r="Q697" t="s">
        <v>29</v>
      </c>
      <c r="R697" t="s">
        <v>6298</v>
      </c>
      <c r="S697" t="s">
        <v>6299</v>
      </c>
    </row>
    <row r="698" spans="1:19" x14ac:dyDescent="0.25">
      <c r="A698" s="1">
        <v>696</v>
      </c>
      <c r="B698" t="str">
        <f>HYPERLINK("https://www.dasschnelle.at/fellner-franz-gutensham-gutensham","Website")</f>
        <v>Website</v>
      </c>
      <c r="C698" t="str">
        <f>HYPERLINK("http://www.mietwagen-fellner.at","Website")</f>
        <v>Website</v>
      </c>
      <c r="D698" t="str">
        <f>HYPERLINK("http://www.google.com/maps/place/48.1457936,13.5023946","Location")</f>
        <v>Location</v>
      </c>
      <c r="E698" t="s">
        <v>6303</v>
      </c>
      <c r="F698" t="s">
        <v>6304</v>
      </c>
      <c r="G698" t="s">
        <v>6306</v>
      </c>
      <c r="H698" t="s">
        <v>6307</v>
      </c>
      <c r="I698" t="s">
        <v>85</v>
      </c>
      <c r="J698" t="s">
        <v>22</v>
      </c>
      <c r="K698" t="s">
        <v>6305</v>
      </c>
      <c r="L698" t="s">
        <v>6310</v>
      </c>
      <c r="M698" t="s">
        <v>25</v>
      </c>
      <c r="N698" t="s">
        <v>6311</v>
      </c>
      <c r="O698" t="s">
        <v>25</v>
      </c>
      <c r="P698" t="s">
        <v>6312</v>
      </c>
      <c r="Q698" t="s">
        <v>29</v>
      </c>
      <c r="R698" t="s">
        <v>6308</v>
      </c>
      <c r="S698" t="s">
        <v>6309</v>
      </c>
    </row>
    <row r="699" spans="1:19" x14ac:dyDescent="0.25">
      <c r="A699" s="1">
        <v>697</v>
      </c>
      <c r="B699" t="str">
        <f>HYPERLINK("https://www.dasschnelle.at/huber-bau-gmbh-antiesen-antiesen","Website")</f>
        <v>Website</v>
      </c>
      <c r="C699" t="str">
        <f>HYPERLINK("http://www.huber-bau.at","Website")</f>
        <v>Website</v>
      </c>
      <c r="D699" t="str">
        <f>HYPERLINK("http://www.google.com/maps/place/48.1670635,13.5537772","Location")</f>
        <v>Location</v>
      </c>
      <c r="E699" t="s">
        <v>6313</v>
      </c>
      <c r="F699" t="s">
        <v>6314</v>
      </c>
      <c r="G699" t="s">
        <v>6316</v>
      </c>
      <c r="H699" t="s">
        <v>6317</v>
      </c>
      <c r="I699" t="s">
        <v>85</v>
      </c>
      <c r="J699" t="s">
        <v>22</v>
      </c>
      <c r="K699" t="s">
        <v>6315</v>
      </c>
      <c r="L699" t="s">
        <v>6320</v>
      </c>
      <c r="M699" t="s">
        <v>25</v>
      </c>
      <c r="N699" t="s">
        <v>6321</v>
      </c>
      <c r="O699" t="s">
        <v>6322</v>
      </c>
      <c r="P699" t="s">
        <v>6323</v>
      </c>
      <c r="Q699" t="s">
        <v>29</v>
      </c>
      <c r="R699" t="s">
        <v>6318</v>
      </c>
      <c r="S699" t="s">
        <v>6319</v>
      </c>
    </row>
    <row r="700" spans="1:19" x14ac:dyDescent="0.25">
      <c r="A700" s="1">
        <v>698</v>
      </c>
      <c r="B700" t="str">
        <f>HYPERLINK("https://www.dasschnelle.at/höck-swantje-mag-ried-im-innkreis-bahnhofstraße","Website")</f>
        <v>Website</v>
      </c>
      <c r="C700" t="str">
        <f>HYPERLINK("https://www.dasschnelle.at/h%C3%B6ck-swantje-mag-ried-im-innkreis-bahnhofstra%C3%9Fe","Website")</f>
        <v>Website</v>
      </c>
      <c r="D700" t="str">
        <f>HYPERLINK("http://www.google.com/maps/place/48.20379,13.48935","Location")</f>
        <v>Location</v>
      </c>
      <c r="E700" t="s">
        <v>6324</v>
      </c>
      <c r="F700" t="s">
        <v>6325</v>
      </c>
      <c r="G700" t="s">
        <v>6245</v>
      </c>
      <c r="H700" t="s">
        <v>6267</v>
      </c>
      <c r="I700" t="s">
        <v>85</v>
      </c>
      <c r="J700" t="s">
        <v>22</v>
      </c>
      <c r="K700" t="s">
        <v>6326</v>
      </c>
      <c r="L700" t="s">
        <v>6329</v>
      </c>
      <c r="M700" t="s">
        <v>25</v>
      </c>
      <c r="N700" t="s">
        <v>6330</v>
      </c>
      <c r="O700" t="s">
        <v>25</v>
      </c>
      <c r="P700" t="s">
        <v>6331</v>
      </c>
      <c r="Q700" t="s">
        <v>29</v>
      </c>
      <c r="R700" t="s">
        <v>6327</v>
      </c>
      <c r="S700" t="s">
        <v>6328</v>
      </c>
    </row>
    <row r="701" spans="1:19" x14ac:dyDescent="0.25">
      <c r="A701" s="1">
        <v>699</v>
      </c>
      <c r="B701" t="str">
        <f>HYPERLINK("https://www.dasschnelle.at/helml-christian-ried-im-innkreis-hauptplatz","Website")</f>
        <v>Website</v>
      </c>
      <c r="C701" t="str">
        <f>HYPERLINK("https://www.dasschnelle.at/helml-christian-ried-im-innkreis-hauptplatz","Website")</f>
        <v>Website</v>
      </c>
      <c r="D701" t="str">
        <f>HYPERLINK("http://www.google.com/maps/place/48.21037,13.48887","Location")</f>
        <v>Location</v>
      </c>
      <c r="E701" t="s">
        <v>6332</v>
      </c>
      <c r="F701" t="s">
        <v>6333</v>
      </c>
      <c r="G701" t="s">
        <v>6245</v>
      </c>
      <c r="H701" t="s">
        <v>6267</v>
      </c>
      <c r="I701" t="s">
        <v>85</v>
      </c>
      <c r="J701" t="s">
        <v>22</v>
      </c>
      <c r="K701" t="s">
        <v>1713</v>
      </c>
      <c r="L701" t="s">
        <v>6336</v>
      </c>
      <c r="M701" t="s">
        <v>25</v>
      </c>
      <c r="N701" t="s">
        <v>6337</v>
      </c>
      <c r="O701" t="s">
        <v>25</v>
      </c>
      <c r="P701" t="s">
        <v>6338</v>
      </c>
      <c r="Q701" t="s">
        <v>29</v>
      </c>
      <c r="R701" t="s">
        <v>6334</v>
      </c>
      <c r="S701" t="s">
        <v>6335</v>
      </c>
    </row>
    <row r="702" spans="1:19" x14ac:dyDescent="0.25">
      <c r="A702" s="1">
        <v>700</v>
      </c>
      <c r="B702" t="str">
        <f>HYPERLINK("https://www.dasschnelle.at/hirschlinger-bettina-polling-im-innkreis-hauptstraße","Website")</f>
        <v>Website</v>
      </c>
      <c r="C702" t="str">
        <f>HYPERLINK("https://www.dasschnelle.at/hirschlinger-bettina-polling-im-innkreis-hauptstra%C3%9Fe","Website")</f>
        <v>Website</v>
      </c>
      <c r="D702" t="str">
        <f>HYPERLINK("http://www.google.com/maps/place/48.22909,13.28509","Location")</f>
        <v>Location</v>
      </c>
      <c r="E702" t="s">
        <v>6339</v>
      </c>
      <c r="F702" t="s">
        <v>6340</v>
      </c>
      <c r="G702" t="s">
        <v>6342</v>
      </c>
      <c r="H702" t="s">
        <v>6343</v>
      </c>
      <c r="I702" t="s">
        <v>85</v>
      </c>
      <c r="J702" t="s">
        <v>22</v>
      </c>
      <c r="K702" t="s">
        <v>6341</v>
      </c>
      <c r="L702" t="s">
        <v>6346</v>
      </c>
      <c r="M702" t="s">
        <v>25</v>
      </c>
      <c r="N702" t="s">
        <v>6347</v>
      </c>
      <c r="O702" t="s">
        <v>25</v>
      </c>
      <c r="P702" t="s">
        <v>6348</v>
      </c>
      <c r="Q702" t="s">
        <v>29</v>
      </c>
      <c r="R702" t="s">
        <v>6344</v>
      </c>
      <c r="S702" t="s">
        <v>6345</v>
      </c>
    </row>
    <row r="703" spans="1:19" x14ac:dyDescent="0.25">
      <c r="A703" s="1">
        <v>701</v>
      </c>
      <c r="B703" t="str">
        <f>HYPERLINK("https://www.dasschnelle.at/wendl-metall-design-und-technik-gmbh-ort-im-innkreis-hübing","Website")</f>
        <v>Website</v>
      </c>
      <c r="C703" t="str">
        <f>HYPERLINK("http://www.wendltreppe.at","Website")</f>
        <v>Website</v>
      </c>
      <c r="D703" t="str">
        <f>HYPERLINK("http://www.google.com/maps/place/48.3208,13.42336","Location")</f>
        <v>Location</v>
      </c>
      <c r="E703" t="s">
        <v>6349</v>
      </c>
      <c r="F703" t="s">
        <v>6350</v>
      </c>
      <c r="G703" t="s">
        <v>6352</v>
      </c>
      <c r="H703" t="s">
        <v>6353</v>
      </c>
      <c r="I703" t="s">
        <v>85</v>
      </c>
      <c r="J703" t="s">
        <v>22</v>
      </c>
      <c r="K703" t="s">
        <v>6351</v>
      </c>
      <c r="L703" t="s">
        <v>6356</v>
      </c>
      <c r="M703" t="s">
        <v>25</v>
      </c>
      <c r="N703" t="s">
        <v>6357</v>
      </c>
      <c r="O703" t="s">
        <v>6358</v>
      </c>
      <c r="P703" t="s">
        <v>6359</v>
      </c>
      <c r="Q703" t="s">
        <v>29</v>
      </c>
      <c r="R703" t="s">
        <v>6354</v>
      </c>
      <c r="S703" t="s">
        <v>6355</v>
      </c>
    </row>
    <row r="704" spans="1:19" x14ac:dyDescent="0.25">
      <c r="A704" s="1">
        <v>702</v>
      </c>
      <c r="B704" t="str">
        <f>HYPERLINK("https://www.dasschnelle.at/nägele-norbert-dr-med-ried-im-innkreis-bahnhofstraße","Website")</f>
        <v>Website</v>
      </c>
      <c r="C704" t="str">
        <f>HYPERLINK("http://www.dr-naegele.at","Website")</f>
        <v>Website</v>
      </c>
      <c r="D704" t="str">
        <f>HYPERLINK("http://www.google.com/maps/place/48.2059,13.48838","Location")</f>
        <v>Location</v>
      </c>
      <c r="E704" t="s">
        <v>6360</v>
      </c>
      <c r="F704" t="s">
        <v>6361</v>
      </c>
      <c r="G704" t="s">
        <v>6245</v>
      </c>
      <c r="H704" t="s">
        <v>6267</v>
      </c>
      <c r="I704" t="s">
        <v>85</v>
      </c>
      <c r="J704" t="s">
        <v>22</v>
      </c>
      <c r="K704" t="s">
        <v>6362</v>
      </c>
      <c r="L704" t="s">
        <v>6365</v>
      </c>
      <c r="M704" t="s">
        <v>6366</v>
      </c>
      <c r="N704" t="s">
        <v>6367</v>
      </c>
      <c r="O704" t="s">
        <v>25</v>
      </c>
      <c r="P704" t="s">
        <v>6368</v>
      </c>
      <c r="Q704" t="s">
        <v>29</v>
      </c>
      <c r="R704" t="s">
        <v>6363</v>
      </c>
      <c r="S704" t="s">
        <v>6364</v>
      </c>
    </row>
    <row r="705" spans="1:19" x14ac:dyDescent="0.25">
      <c r="A705" s="1">
        <v>703</v>
      </c>
      <c r="B705" t="str">
        <f>HYPERLINK("https://www.dasschnelle.at/oberauer-bernhard-dr-ried-im-innkreis-hauptplatz","Website")</f>
        <v>Website</v>
      </c>
      <c r="C705" t="str">
        <f>HYPERLINK("http://www.rechtsanwalt-oberauer.at","Website")</f>
        <v>Website</v>
      </c>
      <c r="D705" t="str">
        <f>HYPERLINK("http://www.google.com/maps/place/48.2103,13.4887","Location")</f>
        <v>Location</v>
      </c>
      <c r="E705" t="s">
        <v>6369</v>
      </c>
      <c r="F705" t="s">
        <v>6370</v>
      </c>
      <c r="G705" t="s">
        <v>6245</v>
      </c>
      <c r="H705" t="s">
        <v>6267</v>
      </c>
      <c r="I705" t="s">
        <v>85</v>
      </c>
      <c r="J705" t="s">
        <v>22</v>
      </c>
      <c r="K705" t="s">
        <v>2948</v>
      </c>
      <c r="L705" t="s">
        <v>6373</v>
      </c>
      <c r="M705" t="s">
        <v>25</v>
      </c>
      <c r="N705" t="s">
        <v>6374</v>
      </c>
      <c r="O705" t="s">
        <v>25</v>
      </c>
      <c r="P705" t="s">
        <v>6375</v>
      </c>
      <c r="Q705" t="s">
        <v>29</v>
      </c>
      <c r="R705" t="s">
        <v>6371</v>
      </c>
      <c r="S705" t="s">
        <v>6372</v>
      </c>
    </row>
    <row r="706" spans="1:19" x14ac:dyDescent="0.25">
      <c r="A706" s="1">
        <v>704</v>
      </c>
      <c r="B706" t="str">
        <f>HYPERLINK("https://www.dasschnelle.at/schwarzinger-edwin-dr-med-perg-naarner-straße","Website")</f>
        <v>Website</v>
      </c>
      <c r="C706" t="str">
        <f>HYPERLINK("http://www.kinderarzt-schwarzinger.at","Website")</f>
        <v>Website</v>
      </c>
      <c r="D706" t="str">
        <f>HYPERLINK("http://www.google.com/maps/place/48.24871,14.63243","Location")</f>
        <v>Location</v>
      </c>
      <c r="E706" t="s">
        <v>6376</v>
      </c>
      <c r="F706" t="s">
        <v>6377</v>
      </c>
      <c r="G706" t="s">
        <v>6379</v>
      </c>
      <c r="H706" t="s">
        <v>6380</v>
      </c>
      <c r="I706" t="s">
        <v>85</v>
      </c>
      <c r="J706" t="s">
        <v>22</v>
      </c>
      <c r="K706" t="s">
        <v>6378</v>
      </c>
      <c r="L706" t="s">
        <v>6383</v>
      </c>
      <c r="M706" t="s">
        <v>6384</v>
      </c>
      <c r="N706" t="s">
        <v>6385</v>
      </c>
      <c r="O706" t="s">
        <v>25</v>
      </c>
      <c r="P706" t="s">
        <v>6386</v>
      </c>
      <c r="Q706" t="s">
        <v>29</v>
      </c>
      <c r="R706" t="s">
        <v>6381</v>
      </c>
      <c r="S706" t="s">
        <v>6382</v>
      </c>
    </row>
    <row r="707" spans="1:19" x14ac:dyDescent="0.25">
      <c r="A707" s="1">
        <v>705</v>
      </c>
      <c r="B707" t="str">
        <f>HYPERLINK("https://www.dasschnelle.at/haus-bau-bunds-og-windhaag-bei-perg-baumgarten","Website")</f>
        <v>Website</v>
      </c>
      <c r="C707" t="str">
        <f>HYPERLINK("http://www.haus-bau.co.at","Website")</f>
        <v>Website</v>
      </c>
      <c r="D707" t="str">
        <f>HYPERLINK("http://www.google.com/maps/place/48.27054,14.67614","Location")</f>
        <v>Location</v>
      </c>
      <c r="E707" t="s">
        <v>6387</v>
      </c>
      <c r="F707" t="s">
        <v>6388</v>
      </c>
      <c r="G707" t="s">
        <v>6390</v>
      </c>
      <c r="H707" t="s">
        <v>6391</v>
      </c>
      <c r="I707" t="s">
        <v>85</v>
      </c>
      <c r="J707" t="s">
        <v>22</v>
      </c>
      <c r="K707" t="s">
        <v>6389</v>
      </c>
      <c r="L707" t="s">
        <v>6394</v>
      </c>
      <c r="M707" t="s">
        <v>25</v>
      </c>
      <c r="N707" t="s">
        <v>6395</v>
      </c>
      <c r="O707" t="s">
        <v>6396</v>
      </c>
      <c r="P707" t="s">
        <v>6397</v>
      </c>
      <c r="Q707" t="s">
        <v>29</v>
      </c>
      <c r="R707" t="s">
        <v>6392</v>
      </c>
      <c r="S707" t="s">
        <v>6393</v>
      </c>
    </row>
    <row r="708" spans="1:19" x14ac:dyDescent="0.25">
      <c r="A708" s="1">
        <v>706</v>
      </c>
      <c r="B708" t="str">
        <f>HYPERLINK("https://www.dasschnelle.at/bunds-haus-bau-bau-und-zimmereiunternehmen-pragtal-baumgarten","Website")</f>
        <v>Website</v>
      </c>
      <c r="C708" t="str">
        <f>HYPERLINK("http://www.haus-bau.co.at","Website")</f>
        <v>Website</v>
      </c>
      <c r="D708" t="str">
        <f>HYPERLINK("http://www.google.com/maps/place/48.27054,14.67614","Location")</f>
        <v>Location</v>
      </c>
      <c r="E708" t="s">
        <v>6398</v>
      </c>
      <c r="F708" t="s">
        <v>6399</v>
      </c>
      <c r="G708" t="s">
        <v>6390</v>
      </c>
      <c r="H708" t="s">
        <v>6400</v>
      </c>
      <c r="I708" t="s">
        <v>85</v>
      </c>
      <c r="J708" t="s">
        <v>22</v>
      </c>
      <c r="K708" t="s">
        <v>6389</v>
      </c>
      <c r="L708" t="s">
        <v>4926</v>
      </c>
      <c r="M708" t="s">
        <v>25</v>
      </c>
      <c r="N708" t="s">
        <v>6395</v>
      </c>
      <c r="O708" t="s">
        <v>6401</v>
      </c>
      <c r="P708" t="s">
        <v>6402</v>
      </c>
      <c r="Q708" t="s">
        <v>29</v>
      </c>
      <c r="R708" t="s">
        <v>6392</v>
      </c>
      <c r="S708" t="s">
        <v>6393</v>
      </c>
    </row>
    <row r="709" spans="1:19" x14ac:dyDescent="0.25">
      <c r="A709" s="1">
        <v>707</v>
      </c>
      <c r="B709" t="str">
        <f>HYPERLINK("https://www.dasschnelle.at/bestattung-ruhesanft-st-georgen-an-der-gusen-marktplatz","Website")</f>
        <v>Website</v>
      </c>
      <c r="C709" t="str">
        <f>HYPERLINK("http://www.ruhesanft.at","Website")</f>
        <v>Website</v>
      </c>
      <c r="D709" t="str">
        <f>HYPERLINK("http://www.google.com/maps/place/48.27172,14.44814","Location")</f>
        <v>Location</v>
      </c>
      <c r="E709" t="s">
        <v>6403</v>
      </c>
      <c r="F709" t="s">
        <v>6404</v>
      </c>
      <c r="G709" t="s">
        <v>6405</v>
      </c>
      <c r="H709" t="s">
        <v>6406</v>
      </c>
      <c r="I709" t="s">
        <v>85</v>
      </c>
      <c r="J709" t="s">
        <v>22</v>
      </c>
      <c r="K709" t="s">
        <v>3860</v>
      </c>
      <c r="L709" t="s">
        <v>6409</v>
      </c>
      <c r="M709" t="s">
        <v>25</v>
      </c>
      <c r="N709" t="s">
        <v>6410</v>
      </c>
      <c r="O709" t="s">
        <v>25</v>
      </c>
      <c r="P709" t="s">
        <v>6411</v>
      </c>
      <c r="Q709" t="s">
        <v>29</v>
      </c>
      <c r="R709" t="s">
        <v>6407</v>
      </c>
      <c r="S709" t="s">
        <v>6408</v>
      </c>
    </row>
    <row r="710" spans="1:19" x14ac:dyDescent="0.25">
      <c r="A710" s="1">
        <v>708</v>
      </c>
      <c r="B710" t="str">
        <f>HYPERLINK("https://www.dasschnelle.at/günther-wolfgang-auto-center-gmbh-schwertberg-technologiepark","Website")</f>
        <v>Website</v>
      </c>
      <c r="C710" t="str">
        <f>HYPERLINK("http://www.autocenter-guenther.at","Website")</f>
        <v>Website</v>
      </c>
      <c r="D710" t="str">
        <f>HYPERLINK("http://www.google.com/maps/place/48.25203,14.58111","Location")</f>
        <v>Location</v>
      </c>
      <c r="E710" t="s">
        <v>6412</v>
      </c>
      <c r="F710" t="s">
        <v>6413</v>
      </c>
      <c r="G710" t="s">
        <v>6415</v>
      </c>
      <c r="H710" t="s">
        <v>6416</v>
      </c>
      <c r="I710" t="s">
        <v>85</v>
      </c>
      <c r="J710" t="s">
        <v>22</v>
      </c>
      <c r="K710" t="s">
        <v>6414</v>
      </c>
      <c r="L710" t="s">
        <v>6419</v>
      </c>
      <c r="M710" t="s">
        <v>25</v>
      </c>
      <c r="N710" t="s">
        <v>6420</v>
      </c>
      <c r="O710" t="s">
        <v>6421</v>
      </c>
      <c r="P710" t="s">
        <v>6422</v>
      </c>
      <c r="Q710" t="s">
        <v>29</v>
      </c>
      <c r="R710" t="s">
        <v>6417</v>
      </c>
      <c r="S710" t="s">
        <v>6418</v>
      </c>
    </row>
    <row r="711" spans="1:19" x14ac:dyDescent="0.25">
      <c r="A711" s="1">
        <v>709</v>
      </c>
      <c r="B711" t="str">
        <f>HYPERLINK("https://www.dasschnelle.at/haarmanufaktur-langenstein-hauptstraße","Website")</f>
        <v>Website</v>
      </c>
      <c r="C711" t="str">
        <f>HYPERLINK("http://www.haarmanufaktur.co.at","Website")</f>
        <v>Website</v>
      </c>
      <c r="D711" t="str">
        <f>HYPERLINK("http://www.google.com/maps/place/48.2523755,14.4756030","Location")</f>
        <v>Location</v>
      </c>
      <c r="E711" t="s">
        <v>6423</v>
      </c>
      <c r="F711" t="s">
        <v>6424</v>
      </c>
      <c r="G711" t="s">
        <v>6405</v>
      </c>
      <c r="H711" t="s">
        <v>6426</v>
      </c>
      <c r="I711" t="s">
        <v>85</v>
      </c>
      <c r="J711" t="s">
        <v>22</v>
      </c>
      <c r="K711" t="s">
        <v>6425</v>
      </c>
      <c r="L711" t="s">
        <v>6429</v>
      </c>
      <c r="M711" t="s">
        <v>25</v>
      </c>
      <c r="N711" t="s">
        <v>6430</v>
      </c>
      <c r="O711" t="s">
        <v>25</v>
      </c>
      <c r="P711" t="s">
        <v>6431</v>
      </c>
      <c r="Q711" t="s">
        <v>29</v>
      </c>
      <c r="R711" t="s">
        <v>6427</v>
      </c>
      <c r="S711" t="s">
        <v>6428</v>
      </c>
    </row>
    <row r="712" spans="1:19" x14ac:dyDescent="0.25">
      <c r="A712" s="1">
        <v>710</v>
      </c>
      <c r="B712" t="str">
        <f>HYPERLINK("https://www.dasschnelle.at/salon-veronika-windhaag-bei-perg-klosterstraße","Website")</f>
        <v>Website</v>
      </c>
      <c r="C712" t="str">
        <f>HYPERLINK("https://www.dasschnelle.at/salon-veronika-windhaag-bei-perg-klosterstra%C3%9Fe","Website")</f>
        <v>Website</v>
      </c>
      <c r="D712" t="str">
        <f>HYPERLINK("http://www.google.com/maps/place/48.28386,14.68169","Location")</f>
        <v>Location</v>
      </c>
      <c r="E712" t="s">
        <v>6432</v>
      </c>
      <c r="F712" t="s">
        <v>6433</v>
      </c>
      <c r="G712" t="s">
        <v>6390</v>
      </c>
      <c r="H712" t="s">
        <v>6391</v>
      </c>
      <c r="I712" t="s">
        <v>85</v>
      </c>
      <c r="J712" t="s">
        <v>22</v>
      </c>
      <c r="K712" t="s">
        <v>6434</v>
      </c>
      <c r="L712" t="s">
        <v>6437</v>
      </c>
      <c r="M712" t="s">
        <v>25</v>
      </c>
      <c r="N712" t="s">
        <v>6438</v>
      </c>
      <c r="O712" t="s">
        <v>6439</v>
      </c>
      <c r="P712" t="s">
        <v>697</v>
      </c>
      <c r="Q712" t="s">
        <v>29</v>
      </c>
      <c r="R712" t="s">
        <v>6435</v>
      </c>
      <c r="S712" t="s">
        <v>6436</v>
      </c>
    </row>
    <row r="713" spans="1:19" x14ac:dyDescent="0.25">
      <c r="A713" s="1">
        <v>711</v>
      </c>
      <c r="B713" t="str">
        <f>HYPERLINK("https://www.dasschnelle.at/eckerwirt-e-u-münzbach-markt","Website")</f>
        <v>Website</v>
      </c>
      <c r="C713" t="str">
        <f>HYPERLINK("https://www.dasschnelle.at/eckerwirt-e-u-m%C3%BCnzbach-markt","Website")</f>
        <v>Website</v>
      </c>
      <c r="D713" t="str">
        <f>HYPERLINK("http://www.google.com/maps/place/48.2671800,14.7129100","Location")</f>
        <v>Location</v>
      </c>
      <c r="E713" t="s">
        <v>6440</v>
      </c>
      <c r="F713" t="s">
        <v>6441</v>
      </c>
      <c r="G713" t="s">
        <v>6443</v>
      </c>
      <c r="H713" t="s">
        <v>6444</v>
      </c>
      <c r="I713" t="s">
        <v>85</v>
      </c>
      <c r="J713" t="s">
        <v>22</v>
      </c>
      <c r="K713" t="s">
        <v>6442</v>
      </c>
      <c r="L713" t="s">
        <v>6447</v>
      </c>
      <c r="M713" t="s">
        <v>25</v>
      </c>
      <c r="N713" t="s">
        <v>6448</v>
      </c>
      <c r="O713" t="s">
        <v>25</v>
      </c>
      <c r="P713" t="s">
        <v>697</v>
      </c>
      <c r="Q713" t="s">
        <v>29</v>
      </c>
      <c r="R713" t="s">
        <v>6445</v>
      </c>
      <c r="S713" t="s">
        <v>6446</v>
      </c>
    </row>
    <row r="714" spans="1:19" x14ac:dyDescent="0.25">
      <c r="A714" s="1">
        <v>712</v>
      </c>
      <c r="B714" t="str">
        <f>HYPERLINK("https://www.dasschnelle.at/hanl-martin-perg-naarner-straße","Website")</f>
        <v>Website</v>
      </c>
      <c r="C714" t="str">
        <f>HYPERLINK("http://www.hanl.at","Website")</f>
        <v>Website</v>
      </c>
      <c r="D714" t="str">
        <f>HYPERLINK("http://www.google.com/maps/place/48.24574,14.62809","Location")</f>
        <v>Location</v>
      </c>
      <c r="E714" t="s">
        <v>6449</v>
      </c>
      <c r="F714" t="s">
        <v>6450</v>
      </c>
      <c r="G714" t="s">
        <v>6379</v>
      </c>
      <c r="H714" t="s">
        <v>6380</v>
      </c>
      <c r="I714" t="s">
        <v>85</v>
      </c>
      <c r="J714" t="s">
        <v>22</v>
      </c>
      <c r="K714" t="s">
        <v>6451</v>
      </c>
      <c r="L714" t="s">
        <v>6454</v>
      </c>
      <c r="M714" t="s">
        <v>25</v>
      </c>
      <c r="N714" t="s">
        <v>6455</v>
      </c>
      <c r="O714" t="s">
        <v>25</v>
      </c>
      <c r="P714" t="s">
        <v>6456</v>
      </c>
      <c r="Q714" t="s">
        <v>29</v>
      </c>
      <c r="R714" t="s">
        <v>6452</v>
      </c>
      <c r="S714" t="s">
        <v>6453</v>
      </c>
    </row>
    <row r="715" spans="1:19" x14ac:dyDescent="0.25">
      <c r="A715" s="1">
        <v>713</v>
      </c>
      <c r="B715" t="str">
        <f>HYPERLINK("https://www.dasschnelle.at/johga-st-thomas-am-blasenstein-rechberg","Website")</f>
        <v>Website</v>
      </c>
      <c r="C715" t="str">
        <f>HYPERLINK("http://www.johga.at","Website")</f>
        <v>Website</v>
      </c>
      <c r="D715" t="str">
        <f>HYPERLINK("http://www.google.com/maps/place/48.3224640,14.7162286","Location")</f>
        <v>Location</v>
      </c>
      <c r="E715" t="s">
        <v>6457</v>
      </c>
      <c r="F715" t="s">
        <v>6458</v>
      </c>
      <c r="G715" t="s">
        <v>6390</v>
      </c>
      <c r="H715" t="s">
        <v>6460</v>
      </c>
      <c r="I715" t="s">
        <v>85</v>
      </c>
      <c r="J715" t="s">
        <v>22</v>
      </c>
      <c r="K715" t="s">
        <v>6459</v>
      </c>
      <c r="L715" t="s">
        <v>6463</v>
      </c>
      <c r="M715" t="s">
        <v>25</v>
      </c>
      <c r="N715" t="s">
        <v>6464</v>
      </c>
      <c r="O715" t="s">
        <v>6465</v>
      </c>
      <c r="P715" t="s">
        <v>6466</v>
      </c>
      <c r="Q715" t="s">
        <v>29</v>
      </c>
      <c r="R715" t="s">
        <v>6461</v>
      </c>
      <c r="S715" t="s">
        <v>6462</v>
      </c>
    </row>
    <row r="716" spans="1:19" x14ac:dyDescent="0.25">
      <c r="A716" s="1">
        <v>714</v>
      </c>
      <c r="B716" t="str">
        <f>HYPERLINK("https://www.dasschnelle.at/killinger-margarete-perg-forndorf","Website")</f>
        <v>Website</v>
      </c>
      <c r="C716" t="str">
        <f>HYPERLINK("http://www.lebensberatung-killinger.at","Website")</f>
        <v>Website</v>
      </c>
      <c r="D716" t="str">
        <f>HYPERLINK("http://www.google.com/maps/place/48.2615205,14.6673098","Location")</f>
        <v>Location</v>
      </c>
      <c r="E716" t="s">
        <v>6467</v>
      </c>
      <c r="F716" t="s">
        <v>6468</v>
      </c>
      <c r="G716" t="s">
        <v>6379</v>
      </c>
      <c r="H716" t="s">
        <v>6380</v>
      </c>
      <c r="I716" t="s">
        <v>85</v>
      </c>
      <c r="J716" t="s">
        <v>22</v>
      </c>
      <c r="K716" t="s">
        <v>6469</v>
      </c>
      <c r="L716" t="s">
        <v>6472</v>
      </c>
      <c r="M716" t="s">
        <v>25</v>
      </c>
      <c r="N716" t="s">
        <v>6473</v>
      </c>
      <c r="O716" t="s">
        <v>25</v>
      </c>
      <c r="P716" t="s">
        <v>6474</v>
      </c>
      <c r="Q716" t="s">
        <v>29</v>
      </c>
      <c r="R716" t="s">
        <v>6470</v>
      </c>
      <c r="S716" t="s">
        <v>6471</v>
      </c>
    </row>
    <row r="717" spans="1:19" x14ac:dyDescent="0.25">
      <c r="A717" s="1">
        <v>715</v>
      </c>
      <c r="B717" t="str">
        <f>HYPERLINK("https://www.dasschnelle.at/poduschka-partner-anwaltsgesellschaft-mbh-schwertberg-bachstraße","Website")</f>
        <v>Website</v>
      </c>
      <c r="C717" t="str">
        <f>HYPERLINK("http://www.poduschka.at","Website")</f>
        <v>Website</v>
      </c>
      <c r="D717" t="str">
        <f>HYPERLINK("http://www.google.com/maps/place/48.27449,14.56188","Location")</f>
        <v>Location</v>
      </c>
      <c r="E717" t="s">
        <v>6475</v>
      </c>
      <c r="F717" t="s">
        <v>6476</v>
      </c>
      <c r="G717" t="s">
        <v>6415</v>
      </c>
      <c r="H717" t="s">
        <v>6416</v>
      </c>
      <c r="I717" t="s">
        <v>85</v>
      </c>
      <c r="J717" t="s">
        <v>22</v>
      </c>
      <c r="K717" t="s">
        <v>6477</v>
      </c>
      <c r="L717" t="s">
        <v>6480</v>
      </c>
      <c r="M717" t="s">
        <v>25</v>
      </c>
      <c r="N717" t="s">
        <v>6481</v>
      </c>
      <c r="O717" t="s">
        <v>6482</v>
      </c>
      <c r="P717" t="s">
        <v>6483</v>
      </c>
      <c r="Q717" t="s">
        <v>29</v>
      </c>
      <c r="R717" t="s">
        <v>6478</v>
      </c>
      <c r="S717" t="s">
        <v>6479</v>
      </c>
    </row>
    <row r="718" spans="1:19" x14ac:dyDescent="0.25">
      <c r="A718" s="1">
        <v>716</v>
      </c>
      <c r="B718" t="str">
        <f>HYPERLINK("https://www.dasschnelle.at/poduschka-partner-anwaltsgesellschaft-mbh-wien-marxergasse","Website")</f>
        <v>Website</v>
      </c>
      <c r="C718" t="str">
        <f>HYPERLINK("http://www.poduschka.at","Website")</f>
        <v>Website</v>
      </c>
      <c r="D718" t="str">
        <f>HYPERLINK("http://www.google.com/maps/place/48.27449,14.56188","Location")</f>
        <v>Location</v>
      </c>
      <c r="E718" t="s">
        <v>6484</v>
      </c>
      <c r="F718" t="s">
        <v>6485</v>
      </c>
      <c r="G718" t="s">
        <v>6487</v>
      </c>
      <c r="H718" t="s">
        <v>6488</v>
      </c>
      <c r="I718" t="s">
        <v>85</v>
      </c>
      <c r="J718" t="s">
        <v>22</v>
      </c>
      <c r="K718" t="s">
        <v>6486</v>
      </c>
      <c r="L718" t="s">
        <v>6489</v>
      </c>
      <c r="M718" t="s">
        <v>25</v>
      </c>
      <c r="N718" t="s">
        <v>6481</v>
      </c>
      <c r="O718" t="s">
        <v>6490</v>
      </c>
      <c r="P718" t="s">
        <v>6491</v>
      </c>
      <c r="Q718" t="s">
        <v>29</v>
      </c>
      <c r="R718" t="s">
        <v>6478</v>
      </c>
      <c r="S718" t="s">
        <v>6479</v>
      </c>
    </row>
    <row r="719" spans="1:19" x14ac:dyDescent="0.25">
      <c r="A719" s="1">
        <v>717</v>
      </c>
      <c r="B719" t="str">
        <f>HYPERLINK("https://www.dasschnelle.at/poduschka-partner-anwaltsgesellschaft-mbh-linz-museumstraße","Website")</f>
        <v>Website</v>
      </c>
      <c r="C719" t="str">
        <f>HYPERLINK("http://www.poduschka.at","Website")</f>
        <v>Website</v>
      </c>
      <c r="D719" t="str">
        <f>HYPERLINK("http://www.google.com/maps/place/48.27449,14.56188","Location")</f>
        <v>Location</v>
      </c>
      <c r="E719" t="s">
        <v>6492</v>
      </c>
      <c r="F719" t="s">
        <v>6493</v>
      </c>
      <c r="G719" t="s">
        <v>6495</v>
      </c>
      <c r="H719" t="s">
        <v>6496</v>
      </c>
      <c r="I719" t="s">
        <v>85</v>
      </c>
      <c r="J719" t="s">
        <v>22</v>
      </c>
      <c r="K719" t="s">
        <v>6494</v>
      </c>
      <c r="L719" t="s">
        <v>6497</v>
      </c>
      <c r="M719" t="s">
        <v>25</v>
      </c>
      <c r="N719" t="s">
        <v>6481</v>
      </c>
      <c r="O719" t="s">
        <v>6498</v>
      </c>
      <c r="P719" t="s">
        <v>6499</v>
      </c>
      <c r="Q719" t="s">
        <v>29</v>
      </c>
      <c r="R719" t="s">
        <v>6478</v>
      </c>
      <c r="S719" t="s">
        <v>6479</v>
      </c>
    </row>
    <row r="720" spans="1:19" x14ac:dyDescent="0.25">
      <c r="A720" s="1">
        <v>718</v>
      </c>
      <c r="B720" t="str">
        <f>HYPERLINK("https://www.dasschnelle.at/pree-romana-luftenberg-statzingerstraße","Website")</f>
        <v>Website</v>
      </c>
      <c r="C720" t="str">
        <f>HYPERLINK("https://www.dasschnelle.at/pree-romana-luftenberg-statzingerstra%C3%9Fe","Website")</f>
        <v>Website</v>
      </c>
      <c r="D720" t="str">
        <f>HYPERLINK("http://www.google.com/maps/place/48.2732200,14.4290300","Location")</f>
        <v>Location</v>
      </c>
      <c r="E720" t="s">
        <v>6500</v>
      </c>
      <c r="F720" t="s">
        <v>6501</v>
      </c>
      <c r="G720" t="s">
        <v>6503</v>
      </c>
      <c r="H720" t="s">
        <v>6504</v>
      </c>
      <c r="I720" t="s">
        <v>85</v>
      </c>
      <c r="J720" t="s">
        <v>22</v>
      </c>
      <c r="K720" t="s">
        <v>6502</v>
      </c>
      <c r="L720" t="s">
        <v>6507</v>
      </c>
      <c r="M720" t="s">
        <v>25</v>
      </c>
      <c r="N720" t="s">
        <v>6508</v>
      </c>
      <c r="O720" t="s">
        <v>6509</v>
      </c>
      <c r="P720" t="s">
        <v>697</v>
      </c>
      <c r="Q720" t="s">
        <v>29</v>
      </c>
      <c r="R720" t="s">
        <v>6505</v>
      </c>
      <c r="S720" t="s">
        <v>6506</v>
      </c>
    </row>
    <row r="721" spans="1:19" x14ac:dyDescent="0.25">
      <c r="A721" s="1">
        <v>719</v>
      </c>
      <c r="B721" t="str">
        <f>HYPERLINK("https://www.dasschnelle.at/greisinger-roswitha-mauthausen-marktstraße","Website")</f>
        <v>Website</v>
      </c>
      <c r="C721" t="str">
        <f>HYPERLINK("https://www.dasschnelle.at/greisinger-roswitha-mauthausen-marktstra%C3%9Fe","Website")</f>
        <v>Website</v>
      </c>
      <c r="D721" t="str">
        <f>HYPERLINK("http://www.google.com/maps/place/48.2408,14.51791","Location")</f>
        <v>Location</v>
      </c>
      <c r="E721" t="s">
        <v>6510</v>
      </c>
      <c r="F721" t="s">
        <v>6511</v>
      </c>
      <c r="G721" t="s">
        <v>6513</v>
      </c>
      <c r="H721" t="s">
        <v>6514</v>
      </c>
      <c r="I721" t="s">
        <v>85</v>
      </c>
      <c r="J721" t="s">
        <v>22</v>
      </c>
      <c r="K721" t="s">
        <v>6512</v>
      </c>
      <c r="L721" t="s">
        <v>6517</v>
      </c>
      <c r="M721" t="s">
        <v>25</v>
      </c>
      <c r="N721" t="s">
        <v>6518</v>
      </c>
      <c r="O721" t="s">
        <v>25</v>
      </c>
      <c r="P721" t="s">
        <v>6519</v>
      </c>
      <c r="Q721" t="s">
        <v>29</v>
      </c>
      <c r="R721" t="s">
        <v>6515</v>
      </c>
      <c r="S721" t="s">
        <v>6516</v>
      </c>
    </row>
    <row r="722" spans="1:19" x14ac:dyDescent="0.25">
      <c r="A722" s="1">
        <v>720</v>
      </c>
      <c r="B722" t="str">
        <f>HYPERLINK("https://www.dasschnelle.at/raummode-heigl-gmbh-mauthausen-vormarktstraße","Website")</f>
        <v>Website</v>
      </c>
      <c r="C722" t="str">
        <f>HYPERLINK("http://www.raummodeheigl.at","Website")</f>
        <v>Website</v>
      </c>
      <c r="D722" t="str">
        <f>HYPERLINK("http://www.google.com/maps/place/48.24007,14.52328","Location")</f>
        <v>Location</v>
      </c>
      <c r="E722" t="s">
        <v>6520</v>
      </c>
      <c r="F722" t="s">
        <v>6521</v>
      </c>
      <c r="G722" t="s">
        <v>6513</v>
      </c>
      <c r="H722" t="s">
        <v>6514</v>
      </c>
      <c r="I722" t="s">
        <v>85</v>
      </c>
      <c r="J722" t="s">
        <v>22</v>
      </c>
      <c r="K722" t="s">
        <v>6522</v>
      </c>
      <c r="L722" t="s">
        <v>6525</v>
      </c>
      <c r="M722" t="s">
        <v>25</v>
      </c>
      <c r="N722" t="s">
        <v>6526</v>
      </c>
      <c r="O722" t="s">
        <v>6527</v>
      </c>
      <c r="P722" t="s">
        <v>6528</v>
      </c>
      <c r="Q722" t="s">
        <v>29</v>
      </c>
      <c r="R722" t="s">
        <v>6523</v>
      </c>
      <c r="S722" t="s">
        <v>6524</v>
      </c>
    </row>
    <row r="723" spans="1:19" x14ac:dyDescent="0.25">
      <c r="A723" s="1">
        <v>721</v>
      </c>
      <c r="B723" t="str">
        <f>HYPERLINK("https://www.dasschnelle.at/haunschmid-kanalservice-gesmbh-katsdorf-bodendorf","Website")</f>
        <v>Website</v>
      </c>
      <c r="C723" t="str">
        <f>HYPERLINK("https://www.dasschnelle.at/haunschmid-kanalservice-gesmbh-katsdorf-bodendorf","Website")</f>
        <v>Website</v>
      </c>
      <c r="D723" t="str">
        <f>HYPERLINK("http://www.google.com/maps/place/48.3213798,14.4888182","Location")</f>
        <v>Location</v>
      </c>
      <c r="E723" t="s">
        <v>6529</v>
      </c>
      <c r="F723" t="s">
        <v>6530</v>
      </c>
      <c r="G723" t="s">
        <v>6532</v>
      </c>
      <c r="H723" t="s">
        <v>6533</v>
      </c>
      <c r="I723" t="s">
        <v>85</v>
      </c>
      <c r="J723" t="s">
        <v>22</v>
      </c>
      <c r="K723" t="s">
        <v>6531</v>
      </c>
      <c r="L723" t="s">
        <v>6536</v>
      </c>
      <c r="M723" t="s">
        <v>25</v>
      </c>
      <c r="N723" t="s">
        <v>6537</v>
      </c>
      <c r="O723" t="s">
        <v>6538</v>
      </c>
      <c r="P723" t="s">
        <v>6539</v>
      </c>
      <c r="Q723" t="s">
        <v>29</v>
      </c>
      <c r="R723" t="s">
        <v>6534</v>
      </c>
      <c r="S723" t="s">
        <v>6535</v>
      </c>
    </row>
    <row r="724" spans="1:19" x14ac:dyDescent="0.25">
      <c r="A724" s="1">
        <v>722</v>
      </c>
      <c r="B724" t="str">
        <f>HYPERLINK("https://www.dasschnelle.at/leitner-aichriedler-ingrid-mondsee-gosauergraben","Website")</f>
        <v>Website</v>
      </c>
      <c r="C724" t="str">
        <f>HYPERLINK("https://www.dasschnelle.at/leitner-aichriedler-ingrid-mondsee-gosauergraben","Website")</f>
        <v>Website</v>
      </c>
      <c r="D724" t="str">
        <f>HYPERLINK("http://www.google.com/maps/place/47.8576,13.35354","Location")</f>
        <v>Location</v>
      </c>
      <c r="E724" t="s">
        <v>6540</v>
      </c>
      <c r="F724" t="s">
        <v>6541</v>
      </c>
      <c r="G724" t="s">
        <v>6543</v>
      </c>
      <c r="H724" t="s">
        <v>6544</v>
      </c>
      <c r="I724" t="s">
        <v>85</v>
      </c>
      <c r="J724" t="s">
        <v>22</v>
      </c>
      <c r="K724" t="s">
        <v>6542</v>
      </c>
      <c r="L724" t="s">
        <v>6547</v>
      </c>
      <c r="M724" t="s">
        <v>25</v>
      </c>
      <c r="N724" t="s">
        <v>6548</v>
      </c>
      <c r="O724" t="s">
        <v>25</v>
      </c>
      <c r="P724" t="s">
        <v>6549</v>
      </c>
      <c r="Q724" t="s">
        <v>29</v>
      </c>
      <c r="R724" t="s">
        <v>6545</v>
      </c>
      <c r="S724" t="s">
        <v>6546</v>
      </c>
    </row>
    <row r="725" spans="1:19" x14ac:dyDescent="0.25">
      <c r="A725" s="1">
        <v>723</v>
      </c>
      <c r="B725" t="str">
        <f>HYPERLINK("https://www.dasschnelle.at/haar-treff-maria-schnidlauer-oberwang-gessenschwandt","Website")</f>
        <v>Website</v>
      </c>
      <c r="C725" t="str">
        <f>HYPERLINK("http://www.haartreff-oberwang.at","Website")</f>
        <v>Website</v>
      </c>
      <c r="D725" t="str">
        <f>HYPERLINK("http://www.google.com/maps/place/47.8673838,13.4394583","Location")</f>
        <v>Location</v>
      </c>
      <c r="E725" t="s">
        <v>6550</v>
      </c>
      <c r="F725" t="s">
        <v>6551</v>
      </c>
      <c r="G725" t="s">
        <v>6553</v>
      </c>
      <c r="H725" t="s">
        <v>6554</v>
      </c>
      <c r="I725" t="s">
        <v>85</v>
      </c>
      <c r="J725" t="s">
        <v>22</v>
      </c>
      <c r="K725" t="s">
        <v>6552</v>
      </c>
      <c r="L725" t="s">
        <v>6557</v>
      </c>
      <c r="M725" t="s">
        <v>25</v>
      </c>
      <c r="N725" t="s">
        <v>6558</v>
      </c>
      <c r="O725" t="s">
        <v>25</v>
      </c>
      <c r="P725" t="s">
        <v>6559</v>
      </c>
      <c r="Q725" t="s">
        <v>29</v>
      </c>
      <c r="R725" t="s">
        <v>6555</v>
      </c>
      <c r="S725" t="s">
        <v>6556</v>
      </c>
    </row>
    <row r="726" spans="1:19" x14ac:dyDescent="0.25">
      <c r="A726" s="1">
        <v>724</v>
      </c>
      <c r="B726" t="str">
        <f>HYPERLINK("https://www.dasschnelle.at/fliesen-strobl-oberwang-oberwang","Website")</f>
        <v>Website</v>
      </c>
      <c r="C726" t="str">
        <f>HYPERLINK("http://www.rsc-strobl.at","Website")</f>
        <v>Website</v>
      </c>
      <c r="D726" t="str">
        <f>HYPERLINK("http://www.google.com/maps/place/47.8695028,13.4218177","Location")</f>
        <v>Location</v>
      </c>
      <c r="E726" t="s">
        <v>6560</v>
      </c>
      <c r="F726" t="s">
        <v>6561</v>
      </c>
      <c r="G726" t="s">
        <v>6553</v>
      </c>
      <c r="H726" t="s">
        <v>6554</v>
      </c>
      <c r="I726" t="s">
        <v>85</v>
      </c>
      <c r="J726" t="s">
        <v>22</v>
      </c>
      <c r="K726" t="s">
        <v>6562</v>
      </c>
      <c r="L726" t="s">
        <v>6565</v>
      </c>
      <c r="M726" t="s">
        <v>25</v>
      </c>
      <c r="N726" t="s">
        <v>6566</v>
      </c>
      <c r="O726" t="s">
        <v>25</v>
      </c>
      <c r="P726" t="s">
        <v>6567</v>
      </c>
      <c r="Q726" t="s">
        <v>29</v>
      </c>
      <c r="R726" t="s">
        <v>6563</v>
      </c>
      <c r="S726" t="s">
        <v>6564</v>
      </c>
    </row>
    <row r="727" spans="1:19" x14ac:dyDescent="0.25">
      <c r="A727" s="1">
        <v>725</v>
      </c>
      <c r="B727" t="str">
        <f>HYPERLINK("https://www.dasschnelle.at/stabauer-helmut-oberwang-oberwang","Website")</f>
        <v>Website</v>
      </c>
      <c r="C727" t="str">
        <f>HYPERLINK("https://www.dasschnelle.at/stabauer-helmut-oberwang-oberwang","Website")</f>
        <v>Website</v>
      </c>
      <c r="D727" t="str">
        <f>HYPERLINK("http://www.google.com/maps/place/47.8683239,13.4340102","Location")</f>
        <v>Location</v>
      </c>
      <c r="E727" t="s">
        <v>6568</v>
      </c>
      <c r="F727" t="s">
        <v>6569</v>
      </c>
      <c r="G727" t="s">
        <v>6553</v>
      </c>
      <c r="H727" t="s">
        <v>6554</v>
      </c>
      <c r="I727" t="s">
        <v>85</v>
      </c>
      <c r="J727" t="s">
        <v>22</v>
      </c>
      <c r="K727" t="s">
        <v>6570</v>
      </c>
      <c r="L727" t="s">
        <v>6573</v>
      </c>
      <c r="M727" t="s">
        <v>25</v>
      </c>
      <c r="N727" t="s">
        <v>6574</v>
      </c>
      <c r="O727" t="s">
        <v>25</v>
      </c>
      <c r="P727" t="s">
        <v>6575</v>
      </c>
      <c r="Q727" t="s">
        <v>29</v>
      </c>
      <c r="R727" t="s">
        <v>6571</v>
      </c>
      <c r="S727" t="s">
        <v>6572</v>
      </c>
    </row>
    <row r="728" spans="1:19" x14ac:dyDescent="0.25">
      <c r="A728" s="1">
        <v>726</v>
      </c>
      <c r="B728" t="str">
        <f>HYPERLINK("https://www.dasschnelle.at/sepp-enzinger-gesellschaft-m-b-h-hof-bei-salzburg-lebachstraße","Website")</f>
        <v>Website</v>
      </c>
      <c r="C728" t="str">
        <f>HYPERLINK("http://www.enzinger.at","Website")</f>
        <v>Website</v>
      </c>
      <c r="D728" t="str">
        <f>HYPERLINK("http://www.google.com/maps/place/47.81828,13.21347","Location")</f>
        <v>Location</v>
      </c>
      <c r="E728" t="s">
        <v>6576</v>
      </c>
      <c r="F728" t="s">
        <v>6577</v>
      </c>
      <c r="G728" t="s">
        <v>6579</v>
      </c>
      <c r="H728" t="s">
        <v>6580</v>
      </c>
      <c r="I728" t="s">
        <v>2239</v>
      </c>
      <c r="J728" t="s">
        <v>22</v>
      </c>
      <c r="K728" t="s">
        <v>6578</v>
      </c>
      <c r="L728" t="s">
        <v>6583</v>
      </c>
      <c r="M728" t="s">
        <v>6584</v>
      </c>
      <c r="N728" t="s">
        <v>6585</v>
      </c>
      <c r="O728" t="s">
        <v>6586</v>
      </c>
      <c r="P728" t="s">
        <v>6587</v>
      </c>
      <c r="Q728" t="s">
        <v>29</v>
      </c>
      <c r="R728" t="s">
        <v>6581</v>
      </c>
      <c r="S728" t="s">
        <v>6582</v>
      </c>
    </row>
    <row r="729" spans="1:19" x14ac:dyDescent="0.25">
      <c r="A729" s="1">
        <v>727</v>
      </c>
      <c r="B729" t="str">
        <f>HYPERLINK("https://www.dasschnelle.at/bürtlmair-gesmbh-lenzing-haid","Website")</f>
        <v>Website</v>
      </c>
      <c r="C729" t="str">
        <f>HYPERLINK("https://www.dasschnelle.at/b%C3%BCrtlmair-gesmbh-lenzing-haid","Website")</f>
        <v>Website</v>
      </c>
      <c r="D729" t="str">
        <f>HYPERLINK("http://www.google.com/maps/place/47.9717832,13.6334790","Location")</f>
        <v>Location</v>
      </c>
      <c r="E729" t="s">
        <v>6588</v>
      </c>
      <c r="F729" t="s">
        <v>6589</v>
      </c>
      <c r="G729" t="s">
        <v>6591</v>
      </c>
      <c r="H729" t="s">
        <v>6592</v>
      </c>
      <c r="I729" t="s">
        <v>85</v>
      </c>
      <c r="J729" t="s">
        <v>22</v>
      </c>
      <c r="K729" t="s">
        <v>6590</v>
      </c>
      <c r="L729" t="s">
        <v>6595</v>
      </c>
      <c r="M729" t="s">
        <v>6596</v>
      </c>
      <c r="N729" t="s">
        <v>6597</v>
      </c>
      <c r="O729" t="s">
        <v>25</v>
      </c>
      <c r="P729" t="s">
        <v>6598</v>
      </c>
      <c r="Q729" t="s">
        <v>29</v>
      </c>
      <c r="R729" t="s">
        <v>6593</v>
      </c>
      <c r="S729" t="s">
        <v>6594</v>
      </c>
    </row>
    <row r="730" spans="1:19" x14ac:dyDescent="0.25">
      <c r="A730" s="1">
        <v>728</v>
      </c>
      <c r="B730" t="str">
        <f>HYPERLINK("https://www.dasschnelle.at/gasthaus-zum-breinwirt-jennersdorf-grieselstein-dorf","Website")</f>
        <v>Website</v>
      </c>
      <c r="C730" t="str">
        <f>HYPERLINK("http://www.breinwirt.at","Website")</f>
        <v>Website</v>
      </c>
      <c r="D730" t="str">
        <f>HYPERLINK("http://www.google.com/maps/place/46.95085,16.1199","Location")</f>
        <v>Location</v>
      </c>
      <c r="E730" t="s">
        <v>6599</v>
      </c>
      <c r="F730" t="s">
        <v>6600</v>
      </c>
      <c r="G730" t="s">
        <v>6602</v>
      </c>
      <c r="H730" t="s">
        <v>6603</v>
      </c>
      <c r="I730" t="s">
        <v>1834</v>
      </c>
      <c r="J730" t="s">
        <v>22</v>
      </c>
      <c r="K730" t="s">
        <v>6601</v>
      </c>
      <c r="L730" t="s">
        <v>6606</v>
      </c>
      <c r="M730" t="s">
        <v>25</v>
      </c>
      <c r="N730" t="s">
        <v>6607</v>
      </c>
      <c r="O730" t="s">
        <v>25</v>
      </c>
      <c r="P730" t="s">
        <v>6608</v>
      </c>
      <c r="Q730" t="s">
        <v>29</v>
      </c>
      <c r="R730" t="s">
        <v>6604</v>
      </c>
      <c r="S730" t="s">
        <v>6605</v>
      </c>
    </row>
    <row r="731" spans="1:19" x14ac:dyDescent="0.25">
      <c r="A731" s="1">
        <v>729</v>
      </c>
      <c r="B731" t="str">
        <f>HYPERLINK("https://www.dasschnelle.at/spenglerei-gassner-deutsch-kaltenbrunn-waldeck","Website")</f>
        <v>Website</v>
      </c>
      <c r="C731" t="str">
        <f>HYPERLINK("http://www.spenglerei-gassner.at","Website")</f>
        <v>Website</v>
      </c>
      <c r="D731" t="str">
        <f>HYPERLINK("http://www.google.com/maps/place/47.0814680,16.1126555","Location")</f>
        <v>Location</v>
      </c>
      <c r="E731" t="s">
        <v>6609</v>
      </c>
      <c r="F731" t="s">
        <v>6610</v>
      </c>
      <c r="G731" t="s">
        <v>6612</v>
      </c>
      <c r="H731" t="s">
        <v>6613</v>
      </c>
      <c r="I731" t="s">
        <v>1834</v>
      </c>
      <c r="J731" t="s">
        <v>22</v>
      </c>
      <c r="K731" t="s">
        <v>6611</v>
      </c>
      <c r="L731" t="s">
        <v>6616</v>
      </c>
      <c r="M731" t="s">
        <v>25</v>
      </c>
      <c r="N731" t="s">
        <v>6617</v>
      </c>
      <c r="O731" t="s">
        <v>6618</v>
      </c>
      <c r="P731" t="s">
        <v>6619</v>
      </c>
      <c r="Q731" t="s">
        <v>29</v>
      </c>
      <c r="R731" t="s">
        <v>6614</v>
      </c>
      <c r="S731" t="s">
        <v>6615</v>
      </c>
    </row>
    <row r="732" spans="1:19" x14ac:dyDescent="0.25">
      <c r="A732" s="1">
        <v>730</v>
      </c>
      <c r="B732" t="str">
        <f>HYPERLINK("https://www.dasschnelle.at/ulm-gerhard-neuberg-an-der-mürz-maierhof","Website")</f>
        <v>Website</v>
      </c>
      <c r="C732" t="str">
        <f>HYPERLINK("https://www.dasschnelle.at/ulm-gerhard-neuberg-an-der-m%C3%BCrz-maierhof","Website")</f>
        <v>Website</v>
      </c>
      <c r="D732" t="str">
        <f>HYPERLINK("http://www.google.com/maps/place/47.66613,15.57506","Location")</f>
        <v>Location</v>
      </c>
      <c r="E732" t="s">
        <v>6620</v>
      </c>
      <c r="F732" t="s">
        <v>6621</v>
      </c>
      <c r="G732" t="s">
        <v>6623</v>
      </c>
      <c r="H732" t="s">
        <v>6624</v>
      </c>
      <c r="I732" t="s">
        <v>451</v>
      </c>
      <c r="J732" t="s">
        <v>22</v>
      </c>
      <c r="K732" t="s">
        <v>6622</v>
      </c>
      <c r="L732" t="s">
        <v>6627</v>
      </c>
      <c r="M732" t="s">
        <v>25</v>
      </c>
      <c r="N732" t="s">
        <v>6628</v>
      </c>
      <c r="O732" t="s">
        <v>25</v>
      </c>
      <c r="P732" t="s">
        <v>6629</v>
      </c>
      <c r="Q732" t="s">
        <v>29</v>
      </c>
      <c r="R732" t="s">
        <v>6625</v>
      </c>
      <c r="S732" t="s">
        <v>6626</v>
      </c>
    </row>
    <row r="733" spans="1:19" x14ac:dyDescent="0.25">
      <c r="A733" s="1">
        <v>731</v>
      </c>
      <c r="B733" t="str">
        <f>HYPERLINK("https://www.dasschnelle.at/gruber-gmbh-farb-raum-design-kindberg-stanzer-strasse","Website")</f>
        <v>Website</v>
      </c>
      <c r="C733" t="str">
        <f>HYPERLINK("http://www.mmgruber.at","Website")</f>
        <v>Website</v>
      </c>
      <c r="D733" t="str">
        <f>HYPERLINK("http://www.google.com/maps/place/47.49937,15.4454","Location")</f>
        <v>Location</v>
      </c>
      <c r="E733" t="s">
        <v>6630</v>
      </c>
      <c r="F733" t="s">
        <v>6631</v>
      </c>
      <c r="G733" t="s">
        <v>6633</v>
      </c>
      <c r="H733" t="s">
        <v>6634</v>
      </c>
      <c r="I733" t="s">
        <v>451</v>
      </c>
      <c r="J733" t="s">
        <v>22</v>
      </c>
      <c r="K733" t="s">
        <v>6632</v>
      </c>
      <c r="L733" t="s">
        <v>6637</v>
      </c>
      <c r="M733" t="s">
        <v>25</v>
      </c>
      <c r="N733" t="s">
        <v>6638</v>
      </c>
      <c r="O733" t="s">
        <v>25</v>
      </c>
      <c r="P733" t="s">
        <v>6639</v>
      </c>
      <c r="Q733" t="s">
        <v>29</v>
      </c>
      <c r="R733" t="s">
        <v>6635</v>
      </c>
      <c r="S733" t="s">
        <v>6636</v>
      </c>
    </row>
    <row r="734" spans="1:19" x14ac:dyDescent="0.25">
      <c r="A734" s="1">
        <v>732</v>
      </c>
      <c r="B734" t="str">
        <f>HYPERLINK("https://www.dasschnelle.at/schaberreiter-gmbh-kindberg-alpinestraße","Website")</f>
        <v>Website</v>
      </c>
      <c r="C734" t="str">
        <f>HYPERLINK("http://www.schaberreiter-beton.at","Website")</f>
        <v>Website</v>
      </c>
      <c r="D734" t="str">
        <f>HYPERLINK("http://www.google.com/maps/place/47.4995277,15.4326203","Location")</f>
        <v>Location</v>
      </c>
      <c r="E734" t="s">
        <v>6640</v>
      </c>
      <c r="F734" t="s">
        <v>6641</v>
      </c>
      <c r="G734" t="s">
        <v>6643</v>
      </c>
      <c r="H734" t="s">
        <v>6634</v>
      </c>
      <c r="I734" t="s">
        <v>451</v>
      </c>
      <c r="J734" t="s">
        <v>22</v>
      </c>
      <c r="K734" t="s">
        <v>6642</v>
      </c>
      <c r="L734" t="s">
        <v>6646</v>
      </c>
      <c r="M734" t="s">
        <v>25</v>
      </c>
      <c r="N734" t="s">
        <v>6647</v>
      </c>
      <c r="O734" t="s">
        <v>25</v>
      </c>
      <c r="P734" t="s">
        <v>6648</v>
      </c>
      <c r="Q734" t="s">
        <v>29</v>
      </c>
      <c r="R734" t="s">
        <v>6644</v>
      </c>
      <c r="S734" t="s">
        <v>6645</v>
      </c>
    </row>
    <row r="735" spans="1:19" x14ac:dyDescent="0.25">
      <c r="A735" s="1">
        <v>733</v>
      </c>
      <c r="B735" t="str">
        <f>HYPERLINK("https://www.dasschnelle.at/hanslwirt-fam-steinbauer-michael-edelsdorf","Website")</f>
        <v>Website</v>
      </c>
      <c r="C735" t="str">
        <f>HYPERLINK("http://www.hanslwirt.eu","Website")</f>
        <v>Website</v>
      </c>
      <c r="D735" t="str">
        <f>HYPERLINK("http://www.google.com/maps/place/47.4760926,15.4676222","Location")</f>
        <v>Location</v>
      </c>
      <c r="E735" t="s">
        <v>6649</v>
      </c>
      <c r="F735" t="s">
        <v>6650</v>
      </c>
      <c r="G735" t="s">
        <v>6651</v>
      </c>
      <c r="H735" t="s">
        <v>6652</v>
      </c>
      <c r="I735" t="s">
        <v>451</v>
      </c>
      <c r="J735" t="s">
        <v>22</v>
      </c>
      <c r="K735" t="s">
        <v>25</v>
      </c>
      <c r="L735" t="s">
        <v>6655</v>
      </c>
      <c r="M735" t="s">
        <v>25</v>
      </c>
      <c r="N735" t="s">
        <v>6656</v>
      </c>
      <c r="O735" t="s">
        <v>25</v>
      </c>
      <c r="P735" t="s">
        <v>6657</v>
      </c>
      <c r="Q735" t="s">
        <v>29</v>
      </c>
      <c r="R735" t="s">
        <v>6653</v>
      </c>
      <c r="S735" t="s">
        <v>6654</v>
      </c>
    </row>
    <row r="736" spans="1:19" x14ac:dyDescent="0.25">
      <c r="A736" s="1">
        <v>734</v>
      </c>
      <c r="B736" t="str">
        <f>HYPERLINK("https://www.dasschnelle.at/fladischer-martina-volle-blüte-kindberg-allerheiligen","Website")</f>
        <v>Website</v>
      </c>
      <c r="C736" t="str">
        <f>HYPERLINK("http://www.vollebluete.com","Website")</f>
        <v>Website</v>
      </c>
      <c r="D736" t="str">
        <f>HYPERLINK("http://www.google.com/maps/place/47.4815821,15.4060931","Location")</f>
        <v>Location</v>
      </c>
      <c r="E736" t="s">
        <v>6658</v>
      </c>
      <c r="F736" t="s">
        <v>6659</v>
      </c>
      <c r="G736" t="s">
        <v>6651</v>
      </c>
      <c r="H736" t="s">
        <v>6634</v>
      </c>
      <c r="I736" t="s">
        <v>451</v>
      </c>
      <c r="J736" t="s">
        <v>22</v>
      </c>
      <c r="K736" t="s">
        <v>6660</v>
      </c>
      <c r="L736" t="s">
        <v>6663</v>
      </c>
      <c r="M736" t="s">
        <v>25</v>
      </c>
      <c r="N736" t="s">
        <v>6664</v>
      </c>
      <c r="O736" t="s">
        <v>6665</v>
      </c>
      <c r="P736" t="s">
        <v>6666</v>
      </c>
      <c r="Q736" t="s">
        <v>29</v>
      </c>
      <c r="R736" t="s">
        <v>6661</v>
      </c>
      <c r="S736" t="s">
        <v>6662</v>
      </c>
    </row>
    <row r="737" spans="1:19" x14ac:dyDescent="0.25">
      <c r="A737" s="1">
        <v>735</v>
      </c>
      <c r="B737" t="str">
        <f>HYPERLINK("https://www.dasschnelle.at/ukaj-naser-mürzzuschlag-grazer-straße","Website")</f>
        <v>Website</v>
      </c>
      <c r="C737" t="str">
        <f>HYPERLINK("http://www.malermeisternaki.at","Website")</f>
        <v>Website</v>
      </c>
      <c r="D737" t="str">
        <f>HYPERLINK("http://www.google.com/maps/place/47.60186,15.66882","Location")</f>
        <v>Location</v>
      </c>
      <c r="E737" t="s">
        <v>6667</v>
      </c>
      <c r="F737" t="s">
        <v>6668</v>
      </c>
      <c r="G737" t="s">
        <v>6670</v>
      </c>
      <c r="H737" t="s">
        <v>6671</v>
      </c>
      <c r="I737" t="s">
        <v>451</v>
      </c>
      <c r="J737" t="s">
        <v>22</v>
      </c>
      <c r="K737" t="s">
        <v>6669</v>
      </c>
      <c r="L737" t="s">
        <v>6674</v>
      </c>
      <c r="M737" t="s">
        <v>25</v>
      </c>
      <c r="N737" t="s">
        <v>6675</v>
      </c>
      <c r="O737" t="s">
        <v>25</v>
      </c>
      <c r="P737" t="s">
        <v>6676</v>
      </c>
      <c r="Q737" t="s">
        <v>29</v>
      </c>
      <c r="R737" t="s">
        <v>6672</v>
      </c>
      <c r="S737" t="s">
        <v>6673</v>
      </c>
    </row>
    <row r="738" spans="1:19" x14ac:dyDescent="0.25">
      <c r="A738" s="1">
        <v>736</v>
      </c>
      <c r="B738" t="str">
        <f>HYPERLINK("https://www.dasschnelle.at/gasthof-oberer-gesslbauer-inh-gernot-grünbichler-stanz-im-mürztal-nr","Website")</f>
        <v>Website</v>
      </c>
      <c r="C738" t="str">
        <f>HYPERLINK("http://www.ghog.at","Website")</f>
        <v>Website</v>
      </c>
      <c r="D738" t="str">
        <f>HYPERLINK("http://www.google.com/maps/place/47.4653100,15.5010400","Location")</f>
        <v>Location</v>
      </c>
      <c r="E738" t="s">
        <v>6677</v>
      </c>
      <c r="F738" t="s">
        <v>6678</v>
      </c>
      <c r="G738" t="s">
        <v>6680</v>
      </c>
      <c r="H738" t="s">
        <v>6681</v>
      </c>
      <c r="I738" t="s">
        <v>451</v>
      </c>
      <c r="J738" t="s">
        <v>22</v>
      </c>
      <c r="K738" t="s">
        <v>6679</v>
      </c>
      <c r="L738" t="s">
        <v>6684</v>
      </c>
      <c r="M738" t="s">
        <v>25</v>
      </c>
      <c r="N738" t="s">
        <v>6685</v>
      </c>
      <c r="O738" t="s">
        <v>25</v>
      </c>
      <c r="P738" t="s">
        <v>6686</v>
      </c>
      <c r="Q738" t="s">
        <v>29</v>
      </c>
      <c r="R738" t="s">
        <v>6682</v>
      </c>
      <c r="S738" t="s">
        <v>6683</v>
      </c>
    </row>
    <row r="739" spans="1:19" x14ac:dyDescent="0.25">
      <c r="A739" s="1">
        <v>737</v>
      </c>
      <c r="B739" t="str">
        <f>HYPERLINK("https://www.dasschnelle.at/toni-gmbh-mürzzuschlag-zimmersdorfgasse","Website")</f>
        <v>Website</v>
      </c>
      <c r="C739" t="str">
        <f>HYPERLINK("http://www.toni-installationen.at","Website")</f>
        <v>Website</v>
      </c>
      <c r="D739" t="str">
        <f>HYPERLINK("http://www.google.com/maps/place/47.58059,15.64589","Location")</f>
        <v>Location</v>
      </c>
      <c r="E739" t="s">
        <v>6687</v>
      </c>
      <c r="F739" t="s">
        <v>6688</v>
      </c>
      <c r="G739" t="s">
        <v>6690</v>
      </c>
      <c r="H739" t="s">
        <v>6671</v>
      </c>
      <c r="I739" t="s">
        <v>451</v>
      </c>
      <c r="J739" t="s">
        <v>22</v>
      </c>
      <c r="K739" t="s">
        <v>6689</v>
      </c>
      <c r="L739" t="s">
        <v>6693</v>
      </c>
      <c r="M739" t="s">
        <v>25</v>
      </c>
      <c r="N739" t="s">
        <v>6694</v>
      </c>
      <c r="O739" t="s">
        <v>25</v>
      </c>
      <c r="P739" t="s">
        <v>6695</v>
      </c>
      <c r="Q739" t="s">
        <v>29</v>
      </c>
      <c r="R739" t="s">
        <v>6691</v>
      </c>
      <c r="S739" t="s">
        <v>6692</v>
      </c>
    </row>
    <row r="740" spans="1:19" x14ac:dyDescent="0.25">
      <c r="A740" s="1">
        <v>738</v>
      </c>
      <c r="B740" t="str">
        <f>HYPERLINK("https://www.dasschnelle.at/verli-drazen-mürzzuschlag-grazer-straße","Website")</f>
        <v>Website</v>
      </c>
      <c r="C740" t="str">
        <f>HYPERLINK("http://www.verli.at","Website")</f>
        <v>Website</v>
      </c>
      <c r="D740" t="str">
        <f>HYPERLINK("http://www.google.com/maps/place/47.59205,15.65984","Location")</f>
        <v>Location</v>
      </c>
      <c r="E740" t="s">
        <v>6696</v>
      </c>
      <c r="F740" t="s">
        <v>6697</v>
      </c>
      <c r="G740" t="s">
        <v>6670</v>
      </c>
      <c r="H740" t="s">
        <v>6671</v>
      </c>
      <c r="I740" t="s">
        <v>451</v>
      </c>
      <c r="J740" t="s">
        <v>22</v>
      </c>
      <c r="K740" t="s">
        <v>6698</v>
      </c>
      <c r="L740" t="s">
        <v>6701</v>
      </c>
      <c r="M740" t="s">
        <v>25</v>
      </c>
      <c r="N740" t="s">
        <v>6702</v>
      </c>
      <c r="O740" t="s">
        <v>25</v>
      </c>
      <c r="P740" t="s">
        <v>6703</v>
      </c>
      <c r="Q740" t="s">
        <v>29</v>
      </c>
      <c r="R740" t="s">
        <v>6699</v>
      </c>
      <c r="S740" t="s">
        <v>6700</v>
      </c>
    </row>
    <row r="741" spans="1:19" x14ac:dyDescent="0.25">
      <c r="A741" s="1">
        <v>739</v>
      </c>
      <c r="B741" t="str">
        <f>HYPERLINK("https://www.dasschnelle.at/kernholz-allerheiligen-im-mürztal-edelsdorf","Website")</f>
        <v>Website</v>
      </c>
      <c r="C741" t="str">
        <f>HYPERLINK("http://www.kernholz.at","Website")</f>
        <v>Website</v>
      </c>
      <c r="D741" t="str">
        <f>HYPERLINK("http://www.google.com/maps/place/47.4766565,15.4470057","Location")</f>
        <v>Location</v>
      </c>
      <c r="E741" t="s">
        <v>6704</v>
      </c>
      <c r="F741" t="s">
        <v>6705</v>
      </c>
      <c r="G741" t="s">
        <v>6651</v>
      </c>
      <c r="H741" t="s">
        <v>6707</v>
      </c>
      <c r="I741" t="s">
        <v>451</v>
      </c>
      <c r="J741" t="s">
        <v>22</v>
      </c>
      <c r="K741" t="s">
        <v>6706</v>
      </c>
      <c r="L741" t="s">
        <v>6710</v>
      </c>
      <c r="M741" t="s">
        <v>25</v>
      </c>
      <c r="N741" t="s">
        <v>6711</v>
      </c>
      <c r="O741" t="s">
        <v>25</v>
      </c>
      <c r="P741" t="s">
        <v>6712</v>
      </c>
      <c r="Q741" t="s">
        <v>29</v>
      </c>
      <c r="R741" t="s">
        <v>6708</v>
      </c>
      <c r="S741" t="s">
        <v>6709</v>
      </c>
    </row>
    <row r="742" spans="1:19" x14ac:dyDescent="0.25">
      <c r="A742" s="1">
        <v>740</v>
      </c>
      <c r="B742" t="str">
        <f>HYPERLINK("https://www.dasschnelle.at/streit-martin-mürzzuschlag-wiener-straße","Website")</f>
        <v>Website</v>
      </c>
      <c r="C742" t="str">
        <f>HYPERLINK("http://www.martinstreit.at","Website")</f>
        <v>Website</v>
      </c>
      <c r="D742" t="str">
        <f>HYPERLINK("http://www.google.com/maps/place/47.60649,15.69087","Location")</f>
        <v>Location</v>
      </c>
      <c r="E742" t="s">
        <v>6713</v>
      </c>
      <c r="F742" t="s">
        <v>6714</v>
      </c>
      <c r="G742" t="s">
        <v>6670</v>
      </c>
      <c r="H742" t="s">
        <v>6671</v>
      </c>
      <c r="I742" t="s">
        <v>451</v>
      </c>
      <c r="J742" t="s">
        <v>22</v>
      </c>
      <c r="K742" t="s">
        <v>6715</v>
      </c>
      <c r="L742" t="s">
        <v>6718</v>
      </c>
      <c r="M742" t="s">
        <v>25</v>
      </c>
      <c r="N742" t="s">
        <v>6719</v>
      </c>
      <c r="O742" t="s">
        <v>25</v>
      </c>
      <c r="P742" t="s">
        <v>6720</v>
      </c>
      <c r="Q742" t="s">
        <v>29</v>
      </c>
      <c r="R742" t="s">
        <v>6716</v>
      </c>
      <c r="S742" t="s">
        <v>6717</v>
      </c>
    </row>
    <row r="743" spans="1:19" x14ac:dyDescent="0.25">
      <c r="A743" s="1">
        <v>741</v>
      </c>
      <c r="B743" t="str">
        <f>HYPERLINK("https://www.dasschnelle.at/fliesenfritz-gmbh-sankt-marein-im-mürztal-böhlerstraße","Website")</f>
        <v>Website</v>
      </c>
      <c r="C743" t="str">
        <f>HYPERLINK("http://www.fliesenfritz.at","Website")</f>
        <v>Website</v>
      </c>
      <c r="D743" t="str">
        <f>HYPERLINK("http://www.google.com/maps/place/47.47291,15.36412","Location")</f>
        <v>Location</v>
      </c>
      <c r="E743" t="s">
        <v>6721</v>
      </c>
      <c r="F743" t="s">
        <v>6722</v>
      </c>
      <c r="G743" t="s">
        <v>3081</v>
      </c>
      <c r="H743" t="s">
        <v>3082</v>
      </c>
      <c r="I743" t="s">
        <v>451</v>
      </c>
      <c r="J743" t="s">
        <v>22</v>
      </c>
      <c r="K743" t="s">
        <v>6723</v>
      </c>
      <c r="L743" t="s">
        <v>6726</v>
      </c>
      <c r="M743" t="s">
        <v>25</v>
      </c>
      <c r="N743" t="s">
        <v>6727</v>
      </c>
      <c r="O743" t="s">
        <v>25</v>
      </c>
      <c r="P743" t="s">
        <v>6728</v>
      </c>
      <c r="Q743" t="s">
        <v>29</v>
      </c>
      <c r="R743" t="s">
        <v>6724</v>
      </c>
      <c r="S743" t="s">
        <v>6725</v>
      </c>
    </row>
    <row r="744" spans="1:19" x14ac:dyDescent="0.25">
      <c r="A744" s="1">
        <v>742</v>
      </c>
      <c r="B744" t="str">
        <f>HYPERLINK("https://www.dasschnelle.at/kfz-technik-kogler-langenwang-schwöbing","Website")</f>
        <v>Website</v>
      </c>
      <c r="C744" t="str">
        <f>HYPERLINK("http://www.kfz-meisterbetrieb-kogler.at","Website")</f>
        <v>Website</v>
      </c>
      <c r="D744" t="str">
        <f>HYPERLINK("http://www.google.com/maps/place/47.5587000,15.6075500","Location")</f>
        <v>Location</v>
      </c>
      <c r="E744" t="s">
        <v>6729</v>
      </c>
      <c r="F744" t="s">
        <v>6730</v>
      </c>
      <c r="G744" t="s">
        <v>6732</v>
      </c>
      <c r="H744" t="s">
        <v>6733</v>
      </c>
      <c r="I744" t="s">
        <v>451</v>
      </c>
      <c r="J744" t="s">
        <v>22</v>
      </c>
      <c r="K744" t="s">
        <v>6731</v>
      </c>
      <c r="L744" t="s">
        <v>6736</v>
      </c>
      <c r="M744" t="s">
        <v>25</v>
      </c>
      <c r="N744" t="s">
        <v>6737</v>
      </c>
      <c r="O744" t="s">
        <v>6738</v>
      </c>
      <c r="P744" t="s">
        <v>6739</v>
      </c>
      <c r="Q744" t="s">
        <v>29</v>
      </c>
      <c r="R744" t="s">
        <v>6734</v>
      </c>
      <c r="S744" t="s">
        <v>6735</v>
      </c>
    </row>
    <row r="745" spans="1:19" x14ac:dyDescent="0.25">
      <c r="A745" s="1">
        <v>743</v>
      </c>
      <c r="B745" t="str">
        <f>HYPERLINK("https://www.dasschnelle.at/elektro-vivot-gmbh-veitsch-klein-veitsch-straße","Website")</f>
        <v>Website</v>
      </c>
      <c r="C745" t="str">
        <f>HYPERLINK("https://www.dasschnelle.at/elektro-vivot-gmbh-veitsch-klein-veitsch-stra%C3%9Fe","Website")</f>
        <v>Website</v>
      </c>
      <c r="D745" t="str">
        <f>HYPERLINK("http://www.google.com/maps/place/47.57966,15.49411","Location")</f>
        <v>Location</v>
      </c>
      <c r="E745" t="s">
        <v>6740</v>
      </c>
      <c r="F745" t="s">
        <v>6741</v>
      </c>
      <c r="G745" t="s">
        <v>6743</v>
      </c>
      <c r="H745" t="s">
        <v>6744</v>
      </c>
      <c r="I745" t="s">
        <v>451</v>
      </c>
      <c r="J745" t="s">
        <v>22</v>
      </c>
      <c r="K745" t="s">
        <v>6742</v>
      </c>
      <c r="L745" t="s">
        <v>6747</v>
      </c>
      <c r="M745" t="s">
        <v>25</v>
      </c>
      <c r="N745" t="s">
        <v>6748</v>
      </c>
      <c r="O745" t="s">
        <v>25</v>
      </c>
      <c r="P745" t="s">
        <v>6749</v>
      </c>
      <c r="Q745" t="s">
        <v>29</v>
      </c>
      <c r="R745" t="s">
        <v>6745</v>
      </c>
      <c r="S745" t="s">
        <v>6746</v>
      </c>
    </row>
    <row r="746" spans="1:19" x14ac:dyDescent="0.25">
      <c r="A746" s="1">
        <v>744</v>
      </c>
      <c r="B746" t="str">
        <f>HYPERLINK("https://www.dasschnelle.at/gutschelhofer-tanja-mürzzuschlag-grazer-straße","Website")</f>
        <v>Website</v>
      </c>
      <c r="C746" t="str">
        <f>HYPERLINK("https://www.dasschnelle.at/gutschelhofer-tanja-m%C3%BCrzzuschlag-grazer-stra%C3%9Fe","Website")</f>
        <v>Website</v>
      </c>
      <c r="D746" t="str">
        <f>HYPERLINK("http://www.google.com/maps/place/47.60524,15.66999","Location")</f>
        <v>Location</v>
      </c>
      <c r="E746" t="s">
        <v>6750</v>
      </c>
      <c r="F746" t="s">
        <v>6751</v>
      </c>
      <c r="G746" t="s">
        <v>6670</v>
      </c>
      <c r="H746" t="s">
        <v>6671</v>
      </c>
      <c r="I746" t="s">
        <v>451</v>
      </c>
      <c r="J746" t="s">
        <v>22</v>
      </c>
      <c r="K746" t="s">
        <v>6752</v>
      </c>
      <c r="L746" t="s">
        <v>6755</v>
      </c>
      <c r="M746" t="s">
        <v>25</v>
      </c>
      <c r="N746" t="s">
        <v>6756</v>
      </c>
      <c r="O746" t="s">
        <v>25</v>
      </c>
      <c r="P746" t="s">
        <v>6757</v>
      </c>
      <c r="Q746" t="s">
        <v>29</v>
      </c>
      <c r="R746" t="s">
        <v>6753</v>
      </c>
      <c r="S746" t="s">
        <v>6754</v>
      </c>
    </row>
    <row r="747" spans="1:19" x14ac:dyDescent="0.25">
      <c r="A747" s="1">
        <v>745</v>
      </c>
      <c r="B747" t="str">
        <f>HYPERLINK("https://www.dasschnelle.at/pink-friedrich-gmbh-mürzzuschlag-industriepark","Website")</f>
        <v>Website</v>
      </c>
      <c r="C747" t="str">
        <f>HYPERLINK("http://www.pinkfritz.at","Website")</f>
        <v>Website</v>
      </c>
      <c r="D747" t="str">
        <f>HYPERLINK("http://www.google.com/maps/place/47.58408,15.65226","Location")</f>
        <v>Location</v>
      </c>
      <c r="E747" t="s">
        <v>6758</v>
      </c>
      <c r="F747" t="s">
        <v>6759</v>
      </c>
      <c r="G747" t="s">
        <v>6690</v>
      </c>
      <c r="H747" t="s">
        <v>6671</v>
      </c>
      <c r="I747" t="s">
        <v>451</v>
      </c>
      <c r="J747" t="s">
        <v>22</v>
      </c>
      <c r="K747" t="s">
        <v>6760</v>
      </c>
      <c r="L747" t="s">
        <v>6763</v>
      </c>
      <c r="M747" t="s">
        <v>6764</v>
      </c>
      <c r="N747" t="s">
        <v>6765</v>
      </c>
      <c r="O747" t="s">
        <v>25</v>
      </c>
      <c r="P747" t="s">
        <v>6766</v>
      </c>
      <c r="Q747" t="s">
        <v>29</v>
      </c>
      <c r="R747" t="s">
        <v>6761</v>
      </c>
      <c r="S747" t="s">
        <v>6762</v>
      </c>
    </row>
    <row r="748" spans="1:19" x14ac:dyDescent="0.25">
      <c r="A748" s="1">
        <v>746</v>
      </c>
      <c r="B748" t="str">
        <f>HYPERLINK("https://www.dasschnelle.at/skazel-malermeister-gmbh-mürzzuschlag-mariazeller-straße","Website")</f>
        <v>Website</v>
      </c>
      <c r="C748" t="str">
        <f>HYPERLINK("http://www.malermeisterskazel.at","Website")</f>
        <v>Website</v>
      </c>
      <c r="D748" t="str">
        <f>HYPERLINK("http://www.google.com/maps/place/47.61632,15.66663","Location")</f>
        <v>Location</v>
      </c>
      <c r="E748" t="s">
        <v>6767</v>
      </c>
      <c r="F748" t="s">
        <v>6768</v>
      </c>
      <c r="G748" t="s">
        <v>6670</v>
      </c>
      <c r="H748" t="s">
        <v>6671</v>
      </c>
      <c r="I748" t="s">
        <v>451</v>
      </c>
      <c r="J748" t="s">
        <v>22</v>
      </c>
      <c r="K748" t="s">
        <v>6769</v>
      </c>
      <c r="L748" t="s">
        <v>6772</v>
      </c>
      <c r="M748" t="s">
        <v>6773</v>
      </c>
      <c r="N748" t="s">
        <v>6774</v>
      </c>
      <c r="O748" t="s">
        <v>25</v>
      </c>
      <c r="P748" t="s">
        <v>6775</v>
      </c>
      <c r="Q748" t="s">
        <v>29</v>
      </c>
      <c r="R748" t="s">
        <v>6770</v>
      </c>
      <c r="S748" t="s">
        <v>6771</v>
      </c>
    </row>
    <row r="749" spans="1:19" x14ac:dyDescent="0.25">
      <c r="A749" s="1">
        <v>747</v>
      </c>
      <c r="B749" t="str">
        <f>HYPERLINK("https://www.dasschnelle.at/e-technik-gletthofer-kapellen-stojen-straße","Website")</f>
        <v>Website</v>
      </c>
      <c r="C749" t="str">
        <f>HYPERLINK("http://www.etechnik-gletthofer.at","Website")</f>
        <v>Website</v>
      </c>
      <c r="D749" t="str">
        <f>HYPERLINK("http://www.google.com/maps/place/47.65782,15.64593","Location")</f>
        <v>Location</v>
      </c>
      <c r="E749" t="s">
        <v>6776</v>
      </c>
      <c r="F749" t="s">
        <v>6777</v>
      </c>
      <c r="G749" t="s">
        <v>6779</v>
      </c>
      <c r="H749" t="s">
        <v>6780</v>
      </c>
      <c r="I749" t="s">
        <v>451</v>
      </c>
      <c r="J749" t="s">
        <v>22</v>
      </c>
      <c r="K749" t="s">
        <v>6778</v>
      </c>
      <c r="L749" t="s">
        <v>6783</v>
      </c>
      <c r="M749" t="s">
        <v>25</v>
      </c>
      <c r="N749" t="s">
        <v>6784</v>
      </c>
      <c r="O749" t="s">
        <v>25</v>
      </c>
      <c r="P749" t="s">
        <v>6785</v>
      </c>
      <c r="Q749" t="s">
        <v>29</v>
      </c>
      <c r="R749" t="s">
        <v>6781</v>
      </c>
      <c r="S749" t="s">
        <v>6782</v>
      </c>
    </row>
    <row r="750" spans="1:19" x14ac:dyDescent="0.25">
      <c r="A750" s="1">
        <v>748</v>
      </c>
      <c r="B750" t="str">
        <f>HYPERLINK("https://www.dasschnelle.at/almer-siegfried-kindberg-hauptstraße","Website")</f>
        <v>Website</v>
      </c>
      <c r="C750" t="str">
        <f>HYPERLINK("http://www.sigis-taxi.at","Website")</f>
        <v>Website</v>
      </c>
      <c r="D750" t="str">
        <f>HYPERLINK("http://www.google.com/maps/place/47.50544,15.44942","Location")</f>
        <v>Location</v>
      </c>
      <c r="E750" t="s">
        <v>6786</v>
      </c>
      <c r="F750" t="s">
        <v>6787</v>
      </c>
      <c r="G750" t="s">
        <v>6633</v>
      </c>
      <c r="H750" t="s">
        <v>6634</v>
      </c>
      <c r="I750" t="s">
        <v>451</v>
      </c>
      <c r="J750" t="s">
        <v>22</v>
      </c>
      <c r="K750" t="s">
        <v>6788</v>
      </c>
      <c r="L750" t="s">
        <v>6791</v>
      </c>
      <c r="M750" t="s">
        <v>25</v>
      </c>
      <c r="N750" t="s">
        <v>6792</v>
      </c>
      <c r="O750" t="s">
        <v>25</v>
      </c>
      <c r="P750" t="s">
        <v>6793</v>
      </c>
      <c r="Q750" t="s">
        <v>29</v>
      </c>
      <c r="R750" t="s">
        <v>6789</v>
      </c>
      <c r="S750" t="s">
        <v>6790</v>
      </c>
    </row>
    <row r="751" spans="1:19" x14ac:dyDescent="0.25">
      <c r="A751" s="1">
        <v>749</v>
      </c>
      <c r="B751" t="str">
        <f>HYPERLINK("https://www.dasschnelle.at/nageltante-vanessa-mürzzuschlag-grazer-straße","Website")</f>
        <v>Website</v>
      </c>
      <c r="C751" t="str">
        <f>HYPERLINK("https://www.dasschnelle.at/nageltante-vanessa-m%C3%BCrzzuschlag-grazer-stra%C3%9Fe","Website")</f>
        <v>Website</v>
      </c>
      <c r="D751" t="str">
        <f>HYPERLINK("http://www.google.com/maps/place/47.6052400,15.6699900","Location")</f>
        <v>Location</v>
      </c>
      <c r="E751" t="s">
        <v>6794</v>
      </c>
      <c r="F751" t="s">
        <v>6795</v>
      </c>
      <c r="G751" t="s">
        <v>6670</v>
      </c>
      <c r="H751" t="s">
        <v>6671</v>
      </c>
      <c r="I751" t="s">
        <v>451</v>
      </c>
      <c r="J751" t="s">
        <v>22</v>
      </c>
      <c r="K751" t="s">
        <v>6752</v>
      </c>
      <c r="L751" t="s">
        <v>6798</v>
      </c>
      <c r="M751" t="s">
        <v>25</v>
      </c>
      <c r="N751" t="s">
        <v>6799</v>
      </c>
      <c r="O751" t="s">
        <v>6800</v>
      </c>
      <c r="P751" t="s">
        <v>6801</v>
      </c>
      <c r="Q751" t="s">
        <v>29</v>
      </c>
      <c r="R751" t="s">
        <v>6796</v>
      </c>
      <c r="S751" t="s">
        <v>6797</v>
      </c>
    </row>
    <row r="752" spans="1:19" x14ac:dyDescent="0.25">
      <c r="A752" s="1">
        <v>750</v>
      </c>
      <c r="B752" t="str">
        <f>HYPERLINK("https://www.dasschnelle.at/fischer-gudrun-mürzhofen-grazer-straße","Website")</f>
        <v>Website</v>
      </c>
      <c r="C752" t="str">
        <f>HYPERLINK("http://www.friseur-fischer.at","Website")</f>
        <v>Website</v>
      </c>
      <c r="D752" t="str">
        <f>HYPERLINK("http://www.google.com/maps/place/47.48415,15.39558","Location")</f>
        <v>Location</v>
      </c>
      <c r="E752" t="s">
        <v>6802</v>
      </c>
      <c r="F752" t="s">
        <v>6803</v>
      </c>
      <c r="G752" t="s">
        <v>6805</v>
      </c>
      <c r="H752" t="s">
        <v>6806</v>
      </c>
      <c r="I752" t="s">
        <v>451</v>
      </c>
      <c r="J752" t="s">
        <v>22</v>
      </c>
      <c r="K752" t="s">
        <v>6804</v>
      </c>
      <c r="L752" t="s">
        <v>6809</v>
      </c>
      <c r="M752" t="s">
        <v>25</v>
      </c>
      <c r="N752" t="s">
        <v>6810</v>
      </c>
      <c r="O752" t="s">
        <v>25</v>
      </c>
      <c r="P752" t="s">
        <v>6811</v>
      </c>
      <c r="Q752" t="s">
        <v>29</v>
      </c>
      <c r="R752" t="s">
        <v>6807</v>
      </c>
      <c r="S752" t="s">
        <v>6808</v>
      </c>
    </row>
    <row r="753" spans="1:19" x14ac:dyDescent="0.25">
      <c r="A753" s="1">
        <v>751</v>
      </c>
      <c r="B753" t="str">
        <f>HYPERLINK("https://www.dasschnelle.at/wolf-alexander-elbigenalp-dorf","Website")</f>
        <v>Website</v>
      </c>
      <c r="C753" t="str">
        <f>HYPERLINK("https://www.dasschnelle.at/wolf-alexander-elbigenalp-dorf","Website")</f>
        <v>Website</v>
      </c>
      <c r="D753" t="str">
        <f>HYPERLINK("http://www.google.com/maps/place/47.29058,10.43737","Location")</f>
        <v>Location</v>
      </c>
      <c r="E753" t="s">
        <v>6812</v>
      </c>
      <c r="F753" t="s">
        <v>6813</v>
      </c>
      <c r="G753" t="s">
        <v>6815</v>
      </c>
      <c r="H753" t="s">
        <v>6816</v>
      </c>
      <c r="I753" t="s">
        <v>21</v>
      </c>
      <c r="J753" t="s">
        <v>22</v>
      </c>
      <c r="K753" t="s">
        <v>6814</v>
      </c>
      <c r="L753" t="s">
        <v>6819</v>
      </c>
      <c r="M753" t="s">
        <v>25</v>
      </c>
      <c r="N753" t="s">
        <v>25</v>
      </c>
      <c r="O753" t="s">
        <v>25</v>
      </c>
      <c r="P753" t="s">
        <v>697</v>
      </c>
      <c r="Q753" t="s">
        <v>29</v>
      </c>
      <c r="R753" t="s">
        <v>6817</v>
      </c>
      <c r="S753" t="s">
        <v>6818</v>
      </c>
    </row>
    <row r="754" spans="1:19" x14ac:dyDescent="0.25">
      <c r="A754" s="1">
        <v>752</v>
      </c>
      <c r="B754" t="str">
        <f>HYPERLINK("https://www.dasschnelle.at/gutmann-jochen-reutte-pfarrsweg","Website")</f>
        <v>Website</v>
      </c>
      <c r="C754" t="str">
        <f>HYPERLINK("https://www.gu-ma.at","Website")</f>
        <v>Website</v>
      </c>
      <c r="D754" t="str">
        <f>HYPERLINK("http://www.google.com/maps/place/47.49037,10.70451","Location")</f>
        <v>Location</v>
      </c>
      <c r="E754" t="s">
        <v>6820</v>
      </c>
      <c r="F754" t="s">
        <v>6821</v>
      </c>
      <c r="G754" t="s">
        <v>6823</v>
      </c>
      <c r="H754" t="s">
        <v>6824</v>
      </c>
      <c r="I754" t="s">
        <v>21</v>
      </c>
      <c r="J754" t="s">
        <v>22</v>
      </c>
      <c r="K754" t="s">
        <v>6822</v>
      </c>
      <c r="L754" t="s">
        <v>6827</v>
      </c>
      <c r="M754" t="s">
        <v>25</v>
      </c>
      <c r="N754" t="s">
        <v>25</v>
      </c>
      <c r="O754" t="s">
        <v>25</v>
      </c>
      <c r="P754" t="s">
        <v>697</v>
      </c>
      <c r="Q754" t="s">
        <v>29</v>
      </c>
      <c r="R754" t="s">
        <v>6825</v>
      </c>
      <c r="S754" t="s">
        <v>6826</v>
      </c>
    </row>
    <row r="755" spans="1:19" x14ac:dyDescent="0.25">
      <c r="A755" s="1">
        <v>753</v>
      </c>
      <c r="B755" t="str">
        <f>HYPERLINK("https://www.dasschnelle.at/tirol-ambulanz-rettungsdienst-und-krankentransport-gmbh-reutte-dr-ing-paul-schwarzkopf-straße","Website")</f>
        <v>Website</v>
      </c>
      <c r="C755" t="str">
        <f>HYPERLINK("https://www.tirol-ambulanz.at","Website")</f>
        <v>Website</v>
      </c>
      <c r="D755" t="str">
        <f>HYPERLINK("http://www.google.com/maps/place/47.4981067,10.7330184","Location")</f>
        <v>Location</v>
      </c>
      <c r="E755" t="s">
        <v>6828</v>
      </c>
      <c r="F755" t="s">
        <v>6829</v>
      </c>
      <c r="G755" t="s">
        <v>6823</v>
      </c>
      <c r="H755" t="s">
        <v>6824</v>
      </c>
      <c r="I755" t="s">
        <v>21</v>
      </c>
      <c r="J755" t="s">
        <v>22</v>
      </c>
      <c r="K755" t="s">
        <v>6830</v>
      </c>
      <c r="L755" t="s">
        <v>6833</v>
      </c>
      <c r="M755" t="s">
        <v>25</v>
      </c>
      <c r="N755" t="s">
        <v>25</v>
      </c>
      <c r="O755" t="s">
        <v>25</v>
      </c>
      <c r="P755" t="s">
        <v>697</v>
      </c>
      <c r="Q755" t="s">
        <v>29</v>
      </c>
      <c r="R755" t="s">
        <v>6831</v>
      </c>
      <c r="S755" t="s">
        <v>6832</v>
      </c>
    </row>
    <row r="756" spans="1:19" x14ac:dyDescent="0.25">
      <c r="A756" s="1">
        <v>754</v>
      </c>
      <c r="B756" t="str">
        <f>HYPERLINK("https://www.dasschnelle.at/kirchmair-jutta-charisma-reutte-mühlerstraße","Website")</f>
        <v>Website</v>
      </c>
      <c r="C756" t="str">
        <f>HYPERLINK("https://www.dasschnelle.at/kirchmair-jutta-charisma-reutte-m%C3%BChlerstra%C3%9Fe","Website")</f>
        <v>Website</v>
      </c>
      <c r="D756" t="str">
        <f>HYPERLINK("http://www.google.com/maps/place/47.4903300,10.7195700","Location")</f>
        <v>Location</v>
      </c>
      <c r="E756" t="s">
        <v>6834</v>
      </c>
      <c r="F756" t="s">
        <v>6835</v>
      </c>
      <c r="G756" t="s">
        <v>6823</v>
      </c>
      <c r="H756" t="s">
        <v>6824</v>
      </c>
      <c r="I756" t="s">
        <v>21</v>
      </c>
      <c r="J756" t="s">
        <v>22</v>
      </c>
      <c r="K756" t="s">
        <v>6836</v>
      </c>
      <c r="L756" t="s">
        <v>6839</v>
      </c>
      <c r="M756" t="s">
        <v>25</v>
      </c>
      <c r="N756" t="s">
        <v>6840</v>
      </c>
      <c r="O756" t="s">
        <v>6841</v>
      </c>
      <c r="P756" t="s">
        <v>6842</v>
      </c>
      <c r="Q756" t="s">
        <v>29</v>
      </c>
      <c r="R756" t="s">
        <v>6837</v>
      </c>
      <c r="S756" t="s">
        <v>6838</v>
      </c>
    </row>
    <row r="757" spans="1:19" x14ac:dyDescent="0.25">
      <c r="A757" s="1">
        <v>755</v>
      </c>
      <c r="B757" t="str">
        <f>HYPERLINK("https://www.dasschnelle.at/greinwald-michaela-dr-reutte-max-kerber-platz","Website")</f>
        <v>Website</v>
      </c>
      <c r="C757" t="str">
        <f>HYPERLINK("http://www.michaelagreinwald.at","Website")</f>
        <v>Website</v>
      </c>
      <c r="D757" t="str">
        <f>HYPERLINK("http://www.google.com/maps/place/47.48781,10.73235","Location")</f>
        <v>Location</v>
      </c>
      <c r="E757" t="s">
        <v>6843</v>
      </c>
      <c r="F757" t="s">
        <v>6844</v>
      </c>
      <c r="G757" t="s">
        <v>6823</v>
      </c>
      <c r="H757" t="s">
        <v>6824</v>
      </c>
      <c r="I757" t="s">
        <v>21</v>
      </c>
      <c r="J757" t="s">
        <v>22</v>
      </c>
      <c r="K757" t="s">
        <v>6845</v>
      </c>
      <c r="L757" t="s">
        <v>6848</v>
      </c>
      <c r="M757" t="s">
        <v>25</v>
      </c>
      <c r="N757" t="s">
        <v>6849</v>
      </c>
      <c r="O757" t="s">
        <v>25</v>
      </c>
      <c r="P757" t="s">
        <v>6850</v>
      </c>
      <c r="Q757" t="s">
        <v>29</v>
      </c>
      <c r="R757" t="s">
        <v>6846</v>
      </c>
      <c r="S757" t="s">
        <v>6847</v>
      </c>
    </row>
    <row r="758" spans="1:19" x14ac:dyDescent="0.25">
      <c r="A758" s="1">
        <v>756</v>
      </c>
      <c r="B758" t="str">
        <f>HYPERLINK("https://www.dasschnelle.at/kappeler-peter-höfen-gartenstraße","Website")</f>
        <v>Website</v>
      </c>
      <c r="C758" t="str">
        <f>HYPERLINK("https://www.dasschnelle.at/kappeler-peter-h%C3%B6fen-gartenstra%C3%9Fe","Website")</f>
        <v>Website</v>
      </c>
      <c r="D758" t="str">
        <f>HYPERLINK("http://www.google.com/maps/place/47.47469,10.68816","Location")</f>
        <v>Location</v>
      </c>
      <c r="E758" t="s">
        <v>6851</v>
      </c>
      <c r="F758" t="s">
        <v>6852</v>
      </c>
      <c r="G758" t="s">
        <v>6854</v>
      </c>
      <c r="H758" t="s">
        <v>6855</v>
      </c>
      <c r="I758" t="s">
        <v>21</v>
      </c>
      <c r="J758" t="s">
        <v>22</v>
      </c>
      <c r="K758" t="s">
        <v>6853</v>
      </c>
      <c r="L758" t="s">
        <v>6858</v>
      </c>
      <c r="M758" t="s">
        <v>25</v>
      </c>
      <c r="N758" t="s">
        <v>25</v>
      </c>
      <c r="O758" t="s">
        <v>25</v>
      </c>
      <c r="P758" t="s">
        <v>6859</v>
      </c>
      <c r="Q758" t="s">
        <v>29</v>
      </c>
      <c r="R758" t="s">
        <v>6856</v>
      </c>
      <c r="S758" t="s">
        <v>6857</v>
      </c>
    </row>
    <row r="759" spans="1:19" x14ac:dyDescent="0.25">
      <c r="A759" s="1">
        <v>757</v>
      </c>
      <c r="B759" t="str">
        <f>HYPERLINK("https://www.dasschnelle.at/lb-lorenz-bernhard-berwang-nr","Website")</f>
        <v>Website</v>
      </c>
      <c r="C759" t="str">
        <f>HYPERLINK("http://www.lorenz-bau.at","Website")</f>
        <v>Website</v>
      </c>
      <c r="D759" t="str">
        <f>HYPERLINK("http://www.google.com/maps/place/47.4075663,10.7498861","Location")</f>
        <v>Location</v>
      </c>
      <c r="E759" t="s">
        <v>6860</v>
      </c>
      <c r="F759" t="s">
        <v>6861</v>
      </c>
      <c r="G759" t="s">
        <v>6863</v>
      </c>
      <c r="H759" t="s">
        <v>6864</v>
      </c>
      <c r="I759" t="s">
        <v>21</v>
      </c>
      <c r="J759" t="s">
        <v>22</v>
      </c>
      <c r="K759" t="s">
        <v>6862</v>
      </c>
      <c r="L759" t="s">
        <v>6867</v>
      </c>
      <c r="M759" t="s">
        <v>25</v>
      </c>
      <c r="N759" t="s">
        <v>6868</v>
      </c>
      <c r="O759" t="s">
        <v>6869</v>
      </c>
      <c r="P759" t="s">
        <v>6870</v>
      </c>
      <c r="Q759" t="s">
        <v>29</v>
      </c>
      <c r="R759" t="s">
        <v>6865</v>
      </c>
      <c r="S759" t="s">
        <v>6866</v>
      </c>
    </row>
    <row r="760" spans="1:19" x14ac:dyDescent="0.25">
      <c r="A760" s="1">
        <v>758</v>
      </c>
      <c r="B760" t="str">
        <f>HYPERLINK("https://www.dasschnelle.at/hosp-egon-dr-techn-dipl-ing-reutte-kappl","Website")</f>
        <v>Website</v>
      </c>
      <c r="C760" t="str">
        <f>HYPERLINK("http://www.architekt-hosp.at","Website")</f>
        <v>Website</v>
      </c>
      <c r="D760" t="str">
        <f>HYPERLINK("http://www.google.com/maps/place/47.51527,10.71337","Location")</f>
        <v>Location</v>
      </c>
      <c r="E760" t="s">
        <v>6871</v>
      </c>
      <c r="F760" t="s">
        <v>6872</v>
      </c>
      <c r="G760" t="s">
        <v>6823</v>
      </c>
      <c r="H760" t="s">
        <v>6824</v>
      </c>
      <c r="I760" t="s">
        <v>21</v>
      </c>
      <c r="J760" t="s">
        <v>22</v>
      </c>
      <c r="K760" t="s">
        <v>6873</v>
      </c>
      <c r="L760" t="s">
        <v>6876</v>
      </c>
      <c r="M760" t="s">
        <v>6877</v>
      </c>
      <c r="N760" t="s">
        <v>6878</v>
      </c>
      <c r="O760" t="s">
        <v>25</v>
      </c>
      <c r="P760" t="s">
        <v>6879</v>
      </c>
      <c r="Q760" t="s">
        <v>29</v>
      </c>
      <c r="R760" t="s">
        <v>6874</v>
      </c>
      <c r="S760" t="s">
        <v>6875</v>
      </c>
    </row>
    <row r="761" spans="1:19" x14ac:dyDescent="0.25">
      <c r="A761" s="1">
        <v>759</v>
      </c>
      <c r="B761" t="str">
        <f>HYPERLINK("https://www.dasschnelle.at/tscharnig-christian-reutte-obermarkt","Website")</f>
        <v>Website</v>
      </c>
      <c r="C761" t="str">
        <f>HYPERLINK("https://www.dasschnelle.at/tscharnig-christian-reutte-obermarkt","Website")</f>
        <v>Website</v>
      </c>
      <c r="D761" t="str">
        <f>HYPERLINK("http://www.google.com/maps/place/47.48603,10.7204","Location")</f>
        <v>Location</v>
      </c>
      <c r="E761" t="s">
        <v>6880</v>
      </c>
      <c r="F761" t="s">
        <v>6881</v>
      </c>
      <c r="G761" t="s">
        <v>6823</v>
      </c>
      <c r="H761" t="s">
        <v>6824</v>
      </c>
      <c r="I761" t="s">
        <v>21</v>
      </c>
      <c r="J761" t="s">
        <v>22</v>
      </c>
      <c r="K761" t="s">
        <v>6882</v>
      </c>
      <c r="L761" t="s">
        <v>6885</v>
      </c>
      <c r="M761" t="s">
        <v>25</v>
      </c>
      <c r="N761" t="s">
        <v>6886</v>
      </c>
      <c r="O761" t="s">
        <v>25</v>
      </c>
      <c r="P761" t="s">
        <v>6887</v>
      </c>
      <c r="Q761" t="s">
        <v>29</v>
      </c>
      <c r="R761" t="s">
        <v>6883</v>
      </c>
      <c r="S761" t="s">
        <v>6884</v>
      </c>
    </row>
    <row r="762" spans="1:19" x14ac:dyDescent="0.25">
      <c r="A762" s="1">
        <v>760</v>
      </c>
      <c r="B762" t="str">
        <f>HYPERLINK("https://www.dasschnelle.at/freudi-s-fliesen-stube-freistadt-waaggasse","Website")</f>
        <v>Website</v>
      </c>
      <c r="C762" t="str">
        <f>HYPERLINK("http://www.freudisfliesenstube.at","Website")</f>
        <v>Website</v>
      </c>
      <c r="D762" t="str">
        <f>HYPERLINK("http://www.google.com/maps/place/48.51129,14.50393","Location")</f>
        <v>Location</v>
      </c>
      <c r="E762" t="s">
        <v>6888</v>
      </c>
      <c r="F762" t="s">
        <v>6889</v>
      </c>
      <c r="G762" t="s">
        <v>6891</v>
      </c>
      <c r="H762" t="s">
        <v>6892</v>
      </c>
      <c r="I762" t="s">
        <v>85</v>
      </c>
      <c r="J762" t="s">
        <v>22</v>
      </c>
      <c r="K762" t="s">
        <v>6890</v>
      </c>
      <c r="L762" t="s">
        <v>6895</v>
      </c>
      <c r="M762" t="s">
        <v>25</v>
      </c>
      <c r="N762" t="s">
        <v>6896</v>
      </c>
      <c r="O762" t="s">
        <v>25</v>
      </c>
      <c r="P762" t="s">
        <v>6897</v>
      </c>
      <c r="Q762" t="s">
        <v>29</v>
      </c>
      <c r="R762" t="s">
        <v>6893</v>
      </c>
      <c r="S762" t="s">
        <v>6894</v>
      </c>
    </row>
    <row r="763" spans="1:19" x14ac:dyDescent="0.25">
      <c r="A763" s="1">
        <v>761</v>
      </c>
      <c r="B763" t="str">
        <f>HYPERLINK("https://www.dasschnelle.at/dolsky-michael-freistadt-waaggasse","Website")</f>
        <v>Website</v>
      </c>
      <c r="C763" t="str">
        <f>HYPERLINK("http://www.dolsky.at","Website")</f>
        <v>Website</v>
      </c>
      <c r="D763" t="str">
        <f>HYPERLINK("http://www.google.com/maps/place/48.5124,14.50432","Location")</f>
        <v>Location</v>
      </c>
      <c r="E763" t="s">
        <v>6898</v>
      </c>
      <c r="F763" t="s">
        <v>6899</v>
      </c>
      <c r="G763" t="s">
        <v>6891</v>
      </c>
      <c r="H763" t="s">
        <v>6892</v>
      </c>
      <c r="I763" t="s">
        <v>85</v>
      </c>
      <c r="J763" t="s">
        <v>22</v>
      </c>
      <c r="K763" t="s">
        <v>6900</v>
      </c>
      <c r="L763" t="s">
        <v>6903</v>
      </c>
      <c r="M763" t="s">
        <v>6904</v>
      </c>
      <c r="N763" t="s">
        <v>6905</v>
      </c>
      <c r="O763" t="s">
        <v>25</v>
      </c>
      <c r="P763" t="s">
        <v>6906</v>
      </c>
      <c r="Q763" t="s">
        <v>29</v>
      </c>
      <c r="R763" t="s">
        <v>6901</v>
      </c>
      <c r="S763" t="s">
        <v>6902</v>
      </c>
    </row>
    <row r="764" spans="1:19" x14ac:dyDescent="0.25">
      <c r="A764" s="1">
        <v>762</v>
      </c>
      <c r="B764" t="str">
        <f>HYPERLINK("https://www.dasschnelle.at/glas-karl-gmbh-neumarkt-im-mühlkreis-götschka","Website")</f>
        <v>Website</v>
      </c>
      <c r="C764" t="str">
        <f>HYPERLINK("http://www.glaskarl.at","Website")</f>
        <v>Website</v>
      </c>
      <c r="D764" t="str">
        <f>HYPERLINK("http://www.google.com/maps/place/48.3969221,14.4881141","Location")</f>
        <v>Location</v>
      </c>
      <c r="E764" t="s">
        <v>6907</v>
      </c>
      <c r="F764" t="s">
        <v>6908</v>
      </c>
      <c r="G764" t="s">
        <v>6910</v>
      </c>
      <c r="H764" t="s">
        <v>6911</v>
      </c>
      <c r="I764" t="s">
        <v>85</v>
      </c>
      <c r="J764" t="s">
        <v>22</v>
      </c>
      <c r="K764" t="s">
        <v>6909</v>
      </c>
      <c r="L764" t="s">
        <v>6914</v>
      </c>
      <c r="M764" t="s">
        <v>25</v>
      </c>
      <c r="N764" t="s">
        <v>6915</v>
      </c>
      <c r="O764" t="s">
        <v>6916</v>
      </c>
      <c r="P764" t="s">
        <v>6917</v>
      </c>
      <c r="Q764" t="s">
        <v>29</v>
      </c>
      <c r="R764" t="s">
        <v>6912</v>
      </c>
      <c r="S764" t="s">
        <v>6913</v>
      </c>
    </row>
    <row r="765" spans="1:19" x14ac:dyDescent="0.25">
      <c r="A765" s="1">
        <v>763</v>
      </c>
      <c r="B765" t="str">
        <f>HYPERLINK("https://www.dasschnelle.at/autoteile-kralik-gmbh-freistadt-linzer-straße","Website")</f>
        <v>Website</v>
      </c>
      <c r="C765" t="str">
        <f>HYPERLINK("http://www.autoteile-kralik.at","Website")</f>
        <v>Website</v>
      </c>
      <c r="D765" t="str">
        <f>HYPERLINK("http://www.google.com/maps/place/48.50715,14.50243","Location")</f>
        <v>Location</v>
      </c>
      <c r="E765" t="s">
        <v>6918</v>
      </c>
      <c r="F765" t="s">
        <v>6919</v>
      </c>
      <c r="G765" t="s">
        <v>6891</v>
      </c>
      <c r="H765" t="s">
        <v>6892</v>
      </c>
      <c r="I765" t="s">
        <v>85</v>
      </c>
      <c r="J765" t="s">
        <v>22</v>
      </c>
      <c r="K765" t="s">
        <v>6920</v>
      </c>
      <c r="L765" t="s">
        <v>6923</v>
      </c>
      <c r="M765" t="s">
        <v>25</v>
      </c>
      <c r="N765" t="s">
        <v>6924</v>
      </c>
      <c r="O765" t="s">
        <v>6925</v>
      </c>
      <c r="P765" t="s">
        <v>6926</v>
      </c>
      <c r="Q765" t="s">
        <v>29</v>
      </c>
      <c r="R765" t="s">
        <v>6921</v>
      </c>
      <c r="S765" t="s">
        <v>6922</v>
      </c>
    </row>
    <row r="766" spans="1:19" x14ac:dyDescent="0.25">
      <c r="A766" s="1">
        <v>764</v>
      </c>
      <c r="B766" t="str">
        <f>HYPERLINK("https://www.dasschnelle.at/ambros-automobile-gmbh-bad-zell-gutauer-straße","Website")</f>
        <v>Website</v>
      </c>
      <c r="C766" t="str">
        <f>HYPERLINK("http://www.ambros-automobile.at","Website")</f>
        <v>Website</v>
      </c>
      <c r="D766" t="str">
        <f>HYPERLINK("http://www.google.com/maps/place/48.3527,14.66358","Location")</f>
        <v>Location</v>
      </c>
      <c r="E766" t="s">
        <v>6927</v>
      </c>
      <c r="F766" t="s">
        <v>6928</v>
      </c>
      <c r="G766" t="s">
        <v>6930</v>
      </c>
      <c r="H766" t="s">
        <v>6931</v>
      </c>
      <c r="I766" t="s">
        <v>85</v>
      </c>
      <c r="J766" t="s">
        <v>22</v>
      </c>
      <c r="K766" t="s">
        <v>6929</v>
      </c>
      <c r="L766" t="s">
        <v>6934</v>
      </c>
      <c r="M766" t="s">
        <v>25</v>
      </c>
      <c r="N766" t="s">
        <v>6935</v>
      </c>
      <c r="O766" t="s">
        <v>6936</v>
      </c>
      <c r="P766" t="s">
        <v>6937</v>
      </c>
      <c r="Q766" t="s">
        <v>29</v>
      </c>
      <c r="R766" t="s">
        <v>6932</v>
      </c>
      <c r="S766" t="s">
        <v>6933</v>
      </c>
    </row>
    <row r="767" spans="1:19" x14ac:dyDescent="0.25">
      <c r="A767" s="1">
        <v>765</v>
      </c>
      <c r="B767" t="str">
        <f>HYPERLINK("https://www.dasschnelle.at/t-dach-gmbh-kleinreith-kleinreith-gewerbepark","Website")</f>
        <v>Website</v>
      </c>
      <c r="C767" t="str">
        <f>HYPERLINK("http://www.tdach.at","Website")</f>
        <v>Website</v>
      </c>
      <c r="D767" t="str">
        <f>HYPERLINK("http://www.google.com/maps/place/47.94043,13.79005","Location")</f>
        <v>Location</v>
      </c>
      <c r="E767" t="s">
        <v>6938</v>
      </c>
      <c r="F767" t="s">
        <v>6939</v>
      </c>
      <c r="G767" t="s">
        <v>6941</v>
      </c>
      <c r="H767" t="s">
        <v>6942</v>
      </c>
      <c r="I767" t="s">
        <v>85</v>
      </c>
      <c r="J767" t="s">
        <v>22</v>
      </c>
      <c r="K767" t="s">
        <v>6940</v>
      </c>
      <c r="L767" t="s">
        <v>6945</v>
      </c>
      <c r="M767" t="s">
        <v>25</v>
      </c>
      <c r="N767" t="s">
        <v>6946</v>
      </c>
      <c r="O767" t="s">
        <v>25</v>
      </c>
      <c r="P767" t="s">
        <v>6947</v>
      </c>
      <c r="Q767" t="s">
        <v>29</v>
      </c>
      <c r="R767" t="s">
        <v>6943</v>
      </c>
      <c r="S767" t="s">
        <v>6944</v>
      </c>
    </row>
    <row r="768" spans="1:19" x14ac:dyDescent="0.25">
      <c r="A768" s="1">
        <v>766</v>
      </c>
      <c r="B768" t="str">
        <f>HYPERLINK("https://www.dasschnelle.at/zissler-werner-dr-gmunden-cumberlandstraße","Website")</f>
        <v>Website</v>
      </c>
      <c r="C768" t="str">
        <f>HYPERLINK("http://www.kinderarzt-salzkammergut.jimdofree.com","Website")</f>
        <v>Website</v>
      </c>
      <c r="D768" t="str">
        <f>HYPERLINK("http://www.google.com/maps/place/47.92446,13.80737","Location")</f>
        <v>Location</v>
      </c>
      <c r="E768" t="s">
        <v>6948</v>
      </c>
      <c r="F768" t="s">
        <v>6949</v>
      </c>
      <c r="G768" t="s">
        <v>6951</v>
      </c>
      <c r="H768" t="s">
        <v>6952</v>
      </c>
      <c r="I768" t="s">
        <v>85</v>
      </c>
      <c r="J768" t="s">
        <v>22</v>
      </c>
      <c r="K768" t="s">
        <v>6950</v>
      </c>
      <c r="L768" t="s">
        <v>6955</v>
      </c>
      <c r="M768" t="s">
        <v>25</v>
      </c>
      <c r="N768" t="s">
        <v>25</v>
      </c>
      <c r="O768" t="s">
        <v>25</v>
      </c>
      <c r="P768" t="s">
        <v>6956</v>
      </c>
      <c r="Q768" t="s">
        <v>29</v>
      </c>
      <c r="R768" t="s">
        <v>6953</v>
      </c>
      <c r="S768" t="s">
        <v>6954</v>
      </c>
    </row>
    <row r="769" spans="1:19" x14ac:dyDescent="0.25">
      <c r="A769" s="1">
        <v>767</v>
      </c>
      <c r="B769" t="str">
        <f>HYPERLINK("https://www.dasschnelle.at/tierambulanz-vorchdorf-sontas-und-sontas-og-vorchdorf-neue-landstraße","Website")</f>
        <v>Website</v>
      </c>
      <c r="C769" t="str">
        <f>HYPERLINK("http://www.tierambulanz-vorchdorf.at","Website")</f>
        <v>Website</v>
      </c>
      <c r="D769" t="str">
        <f>HYPERLINK("http://www.google.com/maps/place/48.00088,13.92528","Location")</f>
        <v>Location</v>
      </c>
      <c r="E769" t="s">
        <v>6957</v>
      </c>
      <c r="F769" t="s">
        <v>6958</v>
      </c>
      <c r="G769" t="s">
        <v>6960</v>
      </c>
      <c r="H769" t="s">
        <v>6961</v>
      </c>
      <c r="I769" t="s">
        <v>85</v>
      </c>
      <c r="J769" t="s">
        <v>22</v>
      </c>
      <c r="K769" t="s">
        <v>6959</v>
      </c>
      <c r="L769" t="s">
        <v>6964</v>
      </c>
      <c r="M769" t="s">
        <v>25</v>
      </c>
      <c r="N769" t="s">
        <v>6965</v>
      </c>
      <c r="O769" t="s">
        <v>25</v>
      </c>
      <c r="P769" t="s">
        <v>6966</v>
      </c>
      <c r="Q769" t="s">
        <v>29</v>
      </c>
      <c r="R769" t="s">
        <v>6962</v>
      </c>
      <c r="S769" t="s">
        <v>6963</v>
      </c>
    </row>
    <row r="770" spans="1:19" x14ac:dyDescent="0.25">
      <c r="A770" s="1">
        <v>768</v>
      </c>
      <c r="B770" t="str">
        <f>HYPERLINK("https://www.dasschnelle.at/fbinstallationen-gmbh-kirchham-sonnenweg","Website")</f>
        <v>Website</v>
      </c>
      <c r="C770" t="str">
        <f>HYPERLINK("http://www.fbinstallationen.at","Website")</f>
        <v>Website</v>
      </c>
      <c r="D770" t="str">
        <f>HYPERLINK("http://www.google.com/maps/place/47.97338,13.89325","Location")</f>
        <v>Location</v>
      </c>
      <c r="E770" t="s">
        <v>6967</v>
      </c>
      <c r="F770" t="s">
        <v>6968</v>
      </c>
      <c r="G770" t="s">
        <v>6970</v>
      </c>
      <c r="H770" t="s">
        <v>6971</v>
      </c>
      <c r="I770" t="s">
        <v>85</v>
      </c>
      <c r="J770" t="s">
        <v>22</v>
      </c>
      <c r="K770" t="s">
        <v>6969</v>
      </c>
      <c r="L770" t="s">
        <v>6974</v>
      </c>
      <c r="M770" t="s">
        <v>25</v>
      </c>
      <c r="N770" t="s">
        <v>6975</v>
      </c>
      <c r="O770" t="s">
        <v>6976</v>
      </c>
      <c r="P770" t="s">
        <v>6977</v>
      </c>
      <c r="Q770" t="s">
        <v>29</v>
      </c>
      <c r="R770" t="s">
        <v>6972</v>
      </c>
      <c r="S770" t="s">
        <v>6973</v>
      </c>
    </row>
    <row r="771" spans="1:19" x14ac:dyDescent="0.25">
      <c r="A771" s="1">
        <v>769</v>
      </c>
      <c r="B771" t="str">
        <f>HYPERLINK("https://www.dasschnelle.at/prochazka-c-dr-pinsdorf-vöcklabrucker-straße","Website")</f>
        <v>Website</v>
      </c>
      <c r="C771" t="str">
        <f>HYPERLINK("http://www.zahnarzt-pinsdorf.at","Website")</f>
        <v>Website</v>
      </c>
      <c r="D771" t="str">
        <f>HYPERLINK("http://www.google.com/maps/place/47.93182,13.76779","Location")</f>
        <v>Location</v>
      </c>
      <c r="E771" t="s">
        <v>6978</v>
      </c>
      <c r="F771" t="s">
        <v>6979</v>
      </c>
      <c r="G771" t="s">
        <v>6981</v>
      </c>
      <c r="H771" t="s">
        <v>6982</v>
      </c>
      <c r="I771" t="s">
        <v>85</v>
      </c>
      <c r="J771" t="s">
        <v>22</v>
      </c>
      <c r="K771" t="s">
        <v>6980</v>
      </c>
      <c r="L771" t="s">
        <v>6985</v>
      </c>
      <c r="M771" t="s">
        <v>25</v>
      </c>
      <c r="N771" t="s">
        <v>25</v>
      </c>
      <c r="O771" t="s">
        <v>25</v>
      </c>
      <c r="P771" t="s">
        <v>6986</v>
      </c>
      <c r="Q771" t="s">
        <v>29</v>
      </c>
      <c r="R771" t="s">
        <v>6983</v>
      </c>
      <c r="S771" t="s">
        <v>6984</v>
      </c>
    </row>
    <row r="772" spans="1:19" x14ac:dyDescent="0.25">
      <c r="A772" s="1">
        <v>770</v>
      </c>
      <c r="B772" t="str">
        <f>HYPERLINK("https://www.dasschnelle.at/kreuzer-gmbh-laakirchen-melkusstraße","Website")</f>
        <v>Website</v>
      </c>
      <c r="C772" t="str">
        <f>HYPERLINK("http://www.kreuzer-kachelofen.at","Website")</f>
        <v>Website</v>
      </c>
      <c r="D772" t="str">
        <f>HYPERLINK("http://www.google.com/maps/place/47.95907,13.81662","Location")</f>
        <v>Location</v>
      </c>
      <c r="E772" t="s">
        <v>6987</v>
      </c>
      <c r="F772" t="s">
        <v>6988</v>
      </c>
      <c r="G772" t="s">
        <v>6990</v>
      </c>
      <c r="H772" t="s">
        <v>6991</v>
      </c>
      <c r="I772" t="s">
        <v>85</v>
      </c>
      <c r="J772" t="s">
        <v>22</v>
      </c>
      <c r="K772" t="s">
        <v>6989</v>
      </c>
      <c r="L772" t="s">
        <v>6994</v>
      </c>
      <c r="M772" t="s">
        <v>25</v>
      </c>
      <c r="N772" t="s">
        <v>6995</v>
      </c>
      <c r="O772" t="s">
        <v>25</v>
      </c>
      <c r="P772" t="s">
        <v>6996</v>
      </c>
      <c r="Q772" t="s">
        <v>29</v>
      </c>
      <c r="R772" t="s">
        <v>6992</v>
      </c>
      <c r="S772" t="s">
        <v>6993</v>
      </c>
    </row>
    <row r="773" spans="1:19" x14ac:dyDescent="0.25">
      <c r="A773" s="1">
        <v>771</v>
      </c>
      <c r="B773" t="str">
        <f>HYPERLINK("https://www.dasschnelle.at/ahammer-karl-altmünster-maria-theresia-straße","Website")</f>
        <v>Website</v>
      </c>
      <c r="C773" t="str">
        <f>HYPERLINK("https://www.dasschnelle.at/ahammer-karl-altm%C3%BCnster-maria-theresia-stra%C3%9Fe","Website")</f>
        <v>Website</v>
      </c>
      <c r="D773" t="str">
        <f>HYPERLINK("http://www.google.com/maps/place/47.89732,13.75971","Location")</f>
        <v>Location</v>
      </c>
      <c r="E773" t="s">
        <v>6997</v>
      </c>
      <c r="F773" t="s">
        <v>6998</v>
      </c>
      <c r="G773" t="s">
        <v>7000</v>
      </c>
      <c r="H773" t="s">
        <v>7001</v>
      </c>
      <c r="I773" t="s">
        <v>85</v>
      </c>
      <c r="J773" t="s">
        <v>22</v>
      </c>
      <c r="K773" t="s">
        <v>6999</v>
      </c>
      <c r="L773" t="s">
        <v>7004</v>
      </c>
      <c r="M773" t="s">
        <v>25</v>
      </c>
      <c r="N773" t="s">
        <v>7005</v>
      </c>
      <c r="O773" t="s">
        <v>25</v>
      </c>
      <c r="P773" t="s">
        <v>7006</v>
      </c>
      <c r="Q773" t="s">
        <v>29</v>
      </c>
      <c r="R773" t="s">
        <v>7002</v>
      </c>
      <c r="S773" t="s">
        <v>7003</v>
      </c>
    </row>
    <row r="774" spans="1:19" x14ac:dyDescent="0.25">
      <c r="A774" s="1">
        <v>772</v>
      </c>
      <c r="B774" t="str">
        <f>HYPERLINK("https://www.dasschnelle.at/inkassodienst-hillinger-gmbh-gmunden-an-der-marienbrücke","Website")</f>
        <v>Website</v>
      </c>
      <c r="C774" t="str">
        <f>HYPERLINK("http://www.idh.at","Website")</f>
        <v>Website</v>
      </c>
      <c r="D774" t="str">
        <f>HYPERLINK("http://www.google.com/maps/place/47.93213,13.79736","Location")</f>
        <v>Location</v>
      </c>
      <c r="E774" t="s">
        <v>7007</v>
      </c>
      <c r="F774" t="s">
        <v>7008</v>
      </c>
      <c r="G774" t="s">
        <v>6951</v>
      </c>
      <c r="H774" t="s">
        <v>6952</v>
      </c>
      <c r="I774" t="s">
        <v>85</v>
      </c>
      <c r="J774" t="s">
        <v>22</v>
      </c>
      <c r="K774" t="s">
        <v>7009</v>
      </c>
      <c r="L774" t="s">
        <v>7012</v>
      </c>
      <c r="M774" t="s">
        <v>25</v>
      </c>
      <c r="N774" t="s">
        <v>7013</v>
      </c>
      <c r="O774" t="s">
        <v>25</v>
      </c>
      <c r="P774" t="s">
        <v>7014</v>
      </c>
      <c r="Q774" t="s">
        <v>29</v>
      </c>
      <c r="R774" t="s">
        <v>7010</v>
      </c>
      <c r="S774" t="s">
        <v>7011</v>
      </c>
    </row>
    <row r="775" spans="1:19" x14ac:dyDescent="0.25">
      <c r="A775" s="1">
        <v>773</v>
      </c>
      <c r="B775" t="str">
        <f>HYPERLINK("https://www.dasschnelle.at/reifenteam-montage-und-service-gmbh-gmunden-neuhofenstraße","Website")</f>
        <v>Website</v>
      </c>
      <c r="C775" t="str">
        <f>HYPERLINK("http://www.reifenteam-gmunden.at","Website")</f>
        <v>Website</v>
      </c>
      <c r="D775" t="str">
        <f>HYPERLINK("http://www.google.com/maps/place/47.9319500,13.7809300","Location")</f>
        <v>Location</v>
      </c>
      <c r="E775" t="s">
        <v>7015</v>
      </c>
      <c r="F775" t="s">
        <v>7016</v>
      </c>
      <c r="G775" t="s">
        <v>6951</v>
      </c>
      <c r="H775" t="s">
        <v>6952</v>
      </c>
      <c r="I775" t="s">
        <v>85</v>
      </c>
      <c r="J775" t="s">
        <v>22</v>
      </c>
      <c r="K775" t="s">
        <v>7017</v>
      </c>
      <c r="L775" t="s">
        <v>7020</v>
      </c>
      <c r="M775" t="s">
        <v>25</v>
      </c>
      <c r="N775" t="s">
        <v>7021</v>
      </c>
      <c r="O775" t="s">
        <v>25</v>
      </c>
      <c r="P775" t="s">
        <v>697</v>
      </c>
      <c r="Q775" t="s">
        <v>29</v>
      </c>
      <c r="R775" t="s">
        <v>7018</v>
      </c>
      <c r="S775" t="s">
        <v>7019</v>
      </c>
    </row>
    <row r="776" spans="1:19" x14ac:dyDescent="0.25">
      <c r="A776" s="1">
        <v>774</v>
      </c>
      <c r="B776" t="str">
        <f>HYPERLINK("https://www.dasschnelle.at/hrk-montagen-laakirchen-hitzenbergerweg","Website")</f>
        <v>Website</v>
      </c>
      <c r="C776" t="str">
        <f>HYPERLINK("https://www.dasschnelle.at/hrk-montagen-laakirchen-hitzenbergerweg","Website")</f>
        <v>Website</v>
      </c>
      <c r="D776" t="str">
        <f>HYPERLINK("http://www.google.com/maps/place/47.9836900,13.8251900","Location")</f>
        <v>Location</v>
      </c>
      <c r="E776" t="s">
        <v>7022</v>
      </c>
      <c r="F776" t="s">
        <v>7023</v>
      </c>
      <c r="G776" t="s">
        <v>7025</v>
      </c>
      <c r="H776" t="s">
        <v>6991</v>
      </c>
      <c r="I776" t="s">
        <v>85</v>
      </c>
      <c r="J776" t="s">
        <v>22</v>
      </c>
      <c r="K776" t="s">
        <v>7024</v>
      </c>
      <c r="L776" t="s">
        <v>7028</v>
      </c>
      <c r="M776" t="s">
        <v>25</v>
      </c>
      <c r="N776" t="s">
        <v>7029</v>
      </c>
      <c r="O776" t="s">
        <v>7030</v>
      </c>
      <c r="P776" t="s">
        <v>7031</v>
      </c>
      <c r="Q776" t="s">
        <v>29</v>
      </c>
      <c r="R776" t="s">
        <v>7026</v>
      </c>
      <c r="S776" t="s">
        <v>7027</v>
      </c>
    </row>
    <row r="777" spans="1:19" x14ac:dyDescent="0.25">
      <c r="A777" s="1">
        <v>775</v>
      </c>
      <c r="B777" t="str">
        <f>HYPERLINK("https://www.dasschnelle.at/drack-maler-und-bodenleger-gmbh-grünau-im-almtal-landstraße","Website")</f>
        <v>Website</v>
      </c>
      <c r="C777" t="str">
        <f>HYPERLINK("http://www.drack.at","Website")</f>
        <v>Website</v>
      </c>
      <c r="D777" t="str">
        <f>HYPERLINK("http://www.google.com/maps/place/47.8619,13.94828","Location")</f>
        <v>Location</v>
      </c>
      <c r="E777" t="s">
        <v>7032</v>
      </c>
      <c r="F777" t="s">
        <v>7033</v>
      </c>
      <c r="G777" t="s">
        <v>7035</v>
      </c>
      <c r="H777" t="s">
        <v>7036</v>
      </c>
      <c r="I777" t="s">
        <v>85</v>
      </c>
      <c r="J777" t="s">
        <v>22</v>
      </c>
      <c r="K777" t="s">
        <v>7034</v>
      </c>
      <c r="L777" t="s">
        <v>7039</v>
      </c>
      <c r="M777" t="s">
        <v>25</v>
      </c>
      <c r="N777" t="s">
        <v>7040</v>
      </c>
      <c r="O777" t="s">
        <v>25</v>
      </c>
      <c r="P777" t="s">
        <v>7041</v>
      </c>
      <c r="Q777" t="s">
        <v>29</v>
      </c>
      <c r="R777" t="s">
        <v>7037</v>
      </c>
      <c r="S777" t="s">
        <v>7038</v>
      </c>
    </row>
    <row r="778" spans="1:19" x14ac:dyDescent="0.25">
      <c r="A778" s="1">
        <v>776</v>
      </c>
      <c r="B778" t="str">
        <f>HYPERLINK("https://www.dasschnelle.at/ramsimmer-verena-hair-2b-roitham-am-traunfall-gemeindeplatz","Website")</f>
        <v>Website</v>
      </c>
      <c r="C778" t="str">
        <f>HYPERLINK("http://www.hair2b.at","Website")</f>
        <v>Website</v>
      </c>
      <c r="D778" t="str">
        <f>HYPERLINK("http://www.google.com/maps/place/48.0241762,13.8212897","Location")</f>
        <v>Location</v>
      </c>
      <c r="E778" t="s">
        <v>7042</v>
      </c>
      <c r="F778" t="s">
        <v>7043</v>
      </c>
      <c r="G778" t="s">
        <v>7045</v>
      </c>
      <c r="H778" t="s">
        <v>7046</v>
      </c>
      <c r="I778" t="s">
        <v>85</v>
      </c>
      <c r="J778" t="s">
        <v>22</v>
      </c>
      <c r="K778" t="s">
        <v>7044</v>
      </c>
      <c r="L778" t="s">
        <v>7049</v>
      </c>
      <c r="M778" t="s">
        <v>25</v>
      </c>
      <c r="N778" t="s">
        <v>7050</v>
      </c>
      <c r="O778" t="s">
        <v>25</v>
      </c>
      <c r="P778" t="s">
        <v>7051</v>
      </c>
      <c r="Q778" t="s">
        <v>29</v>
      </c>
      <c r="R778" t="s">
        <v>7047</v>
      </c>
      <c r="S778" t="s">
        <v>7048</v>
      </c>
    </row>
    <row r="779" spans="1:19" x14ac:dyDescent="0.25">
      <c r="A779" s="1">
        <v>777</v>
      </c>
      <c r="B779" t="str">
        <f>HYPERLINK("https://www.dasschnelle.at/ornella-hairstyling-gmunden-klosterplatz","Website")</f>
        <v>Website</v>
      </c>
      <c r="C779" t="str">
        <f>HYPERLINK("https://www.dasschnelle.at/ornella-hairstyling-gmunden-klosterplatz","Website")</f>
        <v>Website</v>
      </c>
      <c r="D779" t="str">
        <f>HYPERLINK("http://www.google.com/maps/place/47.91751,13.80418","Location")</f>
        <v>Location</v>
      </c>
      <c r="E779" t="s">
        <v>7052</v>
      </c>
      <c r="F779" t="s">
        <v>7053</v>
      </c>
      <c r="G779" t="s">
        <v>6951</v>
      </c>
      <c r="H779" t="s">
        <v>6952</v>
      </c>
      <c r="I779" t="s">
        <v>85</v>
      </c>
      <c r="J779" t="s">
        <v>22</v>
      </c>
      <c r="K779" t="s">
        <v>7054</v>
      </c>
      <c r="L779" t="s">
        <v>7057</v>
      </c>
      <c r="M779" t="s">
        <v>25</v>
      </c>
      <c r="N779" t="s">
        <v>7058</v>
      </c>
      <c r="O779" t="s">
        <v>7059</v>
      </c>
      <c r="P779" t="s">
        <v>7060</v>
      </c>
      <c r="Q779" t="s">
        <v>29</v>
      </c>
      <c r="R779" t="s">
        <v>7055</v>
      </c>
      <c r="S779" t="s">
        <v>7056</v>
      </c>
    </row>
    <row r="780" spans="1:19" x14ac:dyDescent="0.25">
      <c r="A780" s="1">
        <v>778</v>
      </c>
      <c r="B780" t="str">
        <f>HYPERLINK("https://www.dasschnelle.at/baumann-silvia-pinsdorf-steinbichlstraße","Website")</f>
        <v>Website</v>
      </c>
      <c r="C780" t="str">
        <f>HYPERLINK("http://www.bestattung-baumann.at","Website")</f>
        <v>Website</v>
      </c>
      <c r="D780" t="str">
        <f>HYPERLINK("http://www.google.com/maps/place/47.92543,13.7737","Location")</f>
        <v>Location</v>
      </c>
      <c r="E780" t="s">
        <v>7061</v>
      </c>
      <c r="F780" t="s">
        <v>7062</v>
      </c>
      <c r="G780" t="s">
        <v>6981</v>
      </c>
      <c r="H780" t="s">
        <v>6982</v>
      </c>
      <c r="I780" t="s">
        <v>85</v>
      </c>
      <c r="J780" t="s">
        <v>22</v>
      </c>
      <c r="K780" t="s">
        <v>7063</v>
      </c>
      <c r="L780" t="s">
        <v>7066</v>
      </c>
      <c r="M780" t="s">
        <v>25</v>
      </c>
      <c r="N780" t="s">
        <v>7067</v>
      </c>
      <c r="O780" t="s">
        <v>25</v>
      </c>
      <c r="P780" t="s">
        <v>7068</v>
      </c>
      <c r="Q780" t="s">
        <v>29</v>
      </c>
      <c r="R780" t="s">
        <v>7064</v>
      </c>
      <c r="S780" t="s">
        <v>7065</v>
      </c>
    </row>
    <row r="781" spans="1:19" x14ac:dyDescent="0.25">
      <c r="A781" s="1">
        <v>779</v>
      </c>
      <c r="B781" t="str">
        <f>HYPERLINK("https://www.dasschnelle.at/schreiner-christine-traunkirchen-schöffbenkerstraße","Website")</f>
        <v>Website</v>
      </c>
      <c r="C781" t="str">
        <f>HYPERLINK("http://www.massage-traunkirchen.at","Website")</f>
        <v>Website</v>
      </c>
      <c r="D781" t="str">
        <f>HYPERLINK("http://www.google.com/maps/place/47.8538900,13.7658500","Location")</f>
        <v>Location</v>
      </c>
      <c r="E781" t="s">
        <v>7069</v>
      </c>
      <c r="F781" t="s">
        <v>7070</v>
      </c>
      <c r="G781" t="s">
        <v>7072</v>
      </c>
      <c r="H781" t="s">
        <v>7073</v>
      </c>
      <c r="I781" t="s">
        <v>85</v>
      </c>
      <c r="J781" t="s">
        <v>22</v>
      </c>
      <c r="K781" t="s">
        <v>7071</v>
      </c>
      <c r="L781" t="s">
        <v>7076</v>
      </c>
      <c r="M781" t="s">
        <v>25</v>
      </c>
      <c r="N781" t="s">
        <v>7077</v>
      </c>
      <c r="O781" t="s">
        <v>25</v>
      </c>
      <c r="P781" t="s">
        <v>7078</v>
      </c>
      <c r="Q781" t="s">
        <v>29</v>
      </c>
      <c r="R781" t="s">
        <v>7074</v>
      </c>
      <c r="S781" t="s">
        <v>7075</v>
      </c>
    </row>
    <row r="782" spans="1:19" x14ac:dyDescent="0.25">
      <c r="A782" s="1">
        <v>780</v>
      </c>
      <c r="B782" t="str">
        <f>HYPERLINK("https://www.dasschnelle.at/siller-prenner-nicole-groß-leonhard-physiopark-ebensee-langbathstraße","Website")</f>
        <v>Website</v>
      </c>
      <c r="C782" t="str">
        <f>HYPERLINK("http://www.physiopark.at","Website")</f>
        <v>Website</v>
      </c>
      <c r="D782" t="str">
        <f>HYPERLINK("http://www.google.com/maps/place/47.81293,13.77122","Location")</f>
        <v>Location</v>
      </c>
      <c r="E782" t="s">
        <v>7079</v>
      </c>
      <c r="F782" t="s">
        <v>7080</v>
      </c>
      <c r="G782" t="s">
        <v>7082</v>
      </c>
      <c r="H782" t="s">
        <v>7083</v>
      </c>
      <c r="I782" t="s">
        <v>85</v>
      </c>
      <c r="J782" t="s">
        <v>22</v>
      </c>
      <c r="K782" t="s">
        <v>7081</v>
      </c>
      <c r="L782" t="s">
        <v>7086</v>
      </c>
      <c r="M782" t="s">
        <v>25</v>
      </c>
      <c r="N782" t="s">
        <v>7087</v>
      </c>
      <c r="O782" t="s">
        <v>7088</v>
      </c>
      <c r="P782" t="s">
        <v>7089</v>
      </c>
      <c r="Q782" t="s">
        <v>29</v>
      </c>
      <c r="R782" t="s">
        <v>7084</v>
      </c>
      <c r="S782" t="s">
        <v>7085</v>
      </c>
    </row>
    <row r="783" spans="1:19" x14ac:dyDescent="0.25">
      <c r="A783" s="1">
        <v>781</v>
      </c>
      <c r="B783" t="str">
        <f>HYPERLINK("https://www.dasschnelle.at/lions-deligths-altmünster-maria-theresia-straße","Website")</f>
        <v>Website</v>
      </c>
      <c r="C783" t="str">
        <f>HYPERLINK("https://www.dasschnelle.at/lions-deligths-altm%C3%BCnster-maria-theresia-stra%C3%9Fe","Website")</f>
        <v>Website</v>
      </c>
      <c r="D783" t="str">
        <f>HYPERLINK("http://www.google.com/maps/place/47.89715,13.76084","Location")</f>
        <v>Location</v>
      </c>
      <c r="E783" t="s">
        <v>7090</v>
      </c>
      <c r="F783" t="s">
        <v>7091</v>
      </c>
      <c r="G783" t="s">
        <v>7000</v>
      </c>
      <c r="H783" t="s">
        <v>7001</v>
      </c>
      <c r="I783" t="s">
        <v>85</v>
      </c>
      <c r="J783" t="s">
        <v>22</v>
      </c>
      <c r="K783" t="s">
        <v>7092</v>
      </c>
      <c r="L783" t="s">
        <v>7095</v>
      </c>
      <c r="M783" t="s">
        <v>25</v>
      </c>
      <c r="N783" t="s">
        <v>7096</v>
      </c>
      <c r="O783" t="s">
        <v>25</v>
      </c>
      <c r="P783" t="s">
        <v>7097</v>
      </c>
      <c r="Q783" t="s">
        <v>29</v>
      </c>
      <c r="R783" t="s">
        <v>7093</v>
      </c>
      <c r="S783" t="s">
        <v>7094</v>
      </c>
    </row>
    <row r="784" spans="1:19" x14ac:dyDescent="0.25">
      <c r="A784" s="1">
        <v>782</v>
      </c>
      <c r="B784" t="str">
        <f>HYPERLINK("https://www.dasschnelle.at/schober-b-dr-gmunden-franz-reisenbichler-straße","Website")</f>
        <v>Website</v>
      </c>
      <c r="C784" t="str">
        <f>HYPERLINK("http://www.schober-dermatologie.at","Website")</f>
        <v>Website</v>
      </c>
      <c r="D784" t="str">
        <f>HYPERLINK("http://www.google.com/maps/place/47.9147624,13.7866108","Location")</f>
        <v>Location</v>
      </c>
      <c r="E784" t="s">
        <v>7098</v>
      </c>
      <c r="F784" t="s">
        <v>7099</v>
      </c>
      <c r="G784" t="s">
        <v>6951</v>
      </c>
      <c r="H784" t="s">
        <v>6952</v>
      </c>
      <c r="I784" t="s">
        <v>85</v>
      </c>
      <c r="J784" t="s">
        <v>22</v>
      </c>
      <c r="K784" t="s">
        <v>7100</v>
      </c>
      <c r="L784" t="s">
        <v>7103</v>
      </c>
      <c r="M784" t="s">
        <v>25</v>
      </c>
      <c r="N784" t="s">
        <v>7104</v>
      </c>
      <c r="O784" t="s">
        <v>7105</v>
      </c>
      <c r="P784" t="s">
        <v>7106</v>
      </c>
      <c r="Q784" t="s">
        <v>29</v>
      </c>
      <c r="R784" t="s">
        <v>7101</v>
      </c>
      <c r="S784" t="s">
        <v>7102</v>
      </c>
    </row>
    <row r="785" spans="1:19" x14ac:dyDescent="0.25">
      <c r="A785" s="1">
        <v>783</v>
      </c>
      <c r="B785" t="str">
        <f>HYPERLINK("https://www.dasschnelle.at/putz-holding-gesmbh-und-co-kg-gmunden-neuhofenstraße","Website")</f>
        <v>Website</v>
      </c>
      <c r="C785" t="str">
        <f>HYPERLINK("https://www.dasschnelle.at/putz-holding-gesmbh-und-co-kg-gmunden-neuhofenstra%C3%9Fe","Website")</f>
        <v>Website</v>
      </c>
      <c r="D785" t="str">
        <f>HYPERLINK("http://www.google.com/maps/place/47.93187,13.78155","Location")</f>
        <v>Location</v>
      </c>
      <c r="E785" t="s">
        <v>7107</v>
      </c>
      <c r="F785" t="s">
        <v>7108</v>
      </c>
      <c r="G785" t="s">
        <v>6951</v>
      </c>
      <c r="H785" t="s">
        <v>6952</v>
      </c>
      <c r="I785" t="s">
        <v>85</v>
      </c>
      <c r="J785" t="s">
        <v>22</v>
      </c>
      <c r="K785" t="s">
        <v>7109</v>
      </c>
      <c r="L785" t="s">
        <v>7112</v>
      </c>
      <c r="M785" t="s">
        <v>25</v>
      </c>
      <c r="N785" t="s">
        <v>7113</v>
      </c>
      <c r="O785" t="s">
        <v>25</v>
      </c>
      <c r="P785" t="s">
        <v>7114</v>
      </c>
      <c r="Q785" t="s">
        <v>29</v>
      </c>
      <c r="R785" t="s">
        <v>7110</v>
      </c>
      <c r="S785" t="s">
        <v>7111</v>
      </c>
    </row>
    <row r="786" spans="1:19" x14ac:dyDescent="0.25">
      <c r="A786" s="1">
        <v>784</v>
      </c>
      <c r="B786" t="str">
        <f>HYPERLINK("https://www.dasschnelle.at/stadlhuber-dietmar-altmünster-buchbergstraße","Website")</f>
        <v>Website</v>
      </c>
      <c r="C786" t="str">
        <f>HYPERLINK("http://www.malerei-stadlhuber.at","Website")</f>
        <v>Website</v>
      </c>
      <c r="D786" t="str">
        <f>HYPERLINK("http://www.google.com/maps/place/47.86414,13.74747","Location")</f>
        <v>Location</v>
      </c>
      <c r="E786" t="s">
        <v>7115</v>
      </c>
      <c r="F786" t="s">
        <v>7116</v>
      </c>
      <c r="G786" t="s">
        <v>7000</v>
      </c>
      <c r="H786" t="s">
        <v>7001</v>
      </c>
      <c r="I786" t="s">
        <v>85</v>
      </c>
      <c r="J786" t="s">
        <v>22</v>
      </c>
      <c r="K786" t="s">
        <v>7117</v>
      </c>
      <c r="L786" t="s">
        <v>7120</v>
      </c>
      <c r="M786" t="s">
        <v>25</v>
      </c>
      <c r="N786" t="s">
        <v>7121</v>
      </c>
      <c r="O786" t="s">
        <v>7122</v>
      </c>
      <c r="P786" t="s">
        <v>7123</v>
      </c>
      <c r="Q786" t="s">
        <v>29</v>
      </c>
      <c r="R786" t="s">
        <v>7118</v>
      </c>
      <c r="S786" t="s">
        <v>7119</v>
      </c>
    </row>
    <row r="787" spans="1:19" x14ac:dyDescent="0.25">
      <c r="A787" s="1">
        <v>785</v>
      </c>
      <c r="B787" t="str">
        <f>HYPERLINK("https://www.dasschnelle.at/mag-gerlinde-stropek-gmunden-hofgarten","Website")</f>
        <v>Website</v>
      </c>
      <c r="C787" t="str">
        <f>HYPERLINK("http://www.kunst-leben.at","Website")</f>
        <v>Website</v>
      </c>
      <c r="D787" t="str">
        <f>HYPERLINK("http://www.google.com/maps/place/47.9267732,13.8094495","Location")</f>
        <v>Location</v>
      </c>
      <c r="E787" t="s">
        <v>7124</v>
      </c>
      <c r="F787" t="s">
        <v>7125</v>
      </c>
      <c r="G787" t="s">
        <v>6951</v>
      </c>
      <c r="H787" t="s">
        <v>6952</v>
      </c>
      <c r="I787" t="s">
        <v>85</v>
      </c>
      <c r="J787" t="s">
        <v>22</v>
      </c>
      <c r="K787" t="s">
        <v>7126</v>
      </c>
      <c r="L787" t="s">
        <v>7129</v>
      </c>
      <c r="M787" t="s">
        <v>25</v>
      </c>
      <c r="N787" t="s">
        <v>7130</v>
      </c>
      <c r="O787" t="s">
        <v>7131</v>
      </c>
      <c r="P787" t="s">
        <v>7132</v>
      </c>
      <c r="Q787" t="s">
        <v>29</v>
      </c>
      <c r="R787" t="s">
        <v>7127</v>
      </c>
      <c r="S787" t="s">
        <v>7128</v>
      </c>
    </row>
    <row r="788" spans="1:19" x14ac:dyDescent="0.25">
      <c r="A788" s="1">
        <v>786</v>
      </c>
      <c r="B788" t="str">
        <f>HYPERLINK("https://www.dasschnelle.at/jahn-alexander-dr-laakirchen-pfarrhofgasse","Website")</f>
        <v>Website</v>
      </c>
      <c r="C788" t="str">
        <f>HYPERLINK("https://www.dasschnelle.at/jahn-alexander-dr-laakirchen-pfarrhofgasse","Website")</f>
        <v>Website</v>
      </c>
      <c r="D788" t="str">
        <f>HYPERLINK("http://www.google.com/maps/place/47.98268,13.82312","Location")</f>
        <v>Location</v>
      </c>
      <c r="E788" t="s">
        <v>7133</v>
      </c>
      <c r="F788" t="s">
        <v>7134</v>
      </c>
      <c r="G788" t="s">
        <v>7025</v>
      </c>
      <c r="H788" t="s">
        <v>6991</v>
      </c>
      <c r="I788" t="s">
        <v>85</v>
      </c>
      <c r="J788" t="s">
        <v>22</v>
      </c>
      <c r="K788" t="s">
        <v>7135</v>
      </c>
      <c r="L788" t="s">
        <v>7138</v>
      </c>
      <c r="M788" t="s">
        <v>25</v>
      </c>
      <c r="N788" t="s">
        <v>7139</v>
      </c>
      <c r="O788" t="s">
        <v>25</v>
      </c>
      <c r="P788" t="s">
        <v>7140</v>
      </c>
      <c r="Q788" t="s">
        <v>29</v>
      </c>
      <c r="R788" t="s">
        <v>7136</v>
      </c>
      <c r="S788" t="s">
        <v>7137</v>
      </c>
    </row>
    <row r="789" spans="1:19" x14ac:dyDescent="0.25">
      <c r="A789" s="1">
        <v>787</v>
      </c>
      <c r="B789" t="str">
        <f>HYPERLINK("https://www.dasschnelle.at/barlian-gmbh-gschwandt-baumgarten","Website")</f>
        <v>Website</v>
      </c>
      <c r="C789" t="str">
        <f>HYPERLINK("http://www.barlian.at","Website")</f>
        <v>Website</v>
      </c>
      <c r="D789" t="str">
        <f>HYPERLINK("http://www.google.com/maps/place/47.92848,13.82672","Location")</f>
        <v>Location</v>
      </c>
      <c r="E789" t="s">
        <v>7141</v>
      </c>
      <c r="F789" t="s">
        <v>7142</v>
      </c>
      <c r="G789" t="s">
        <v>7144</v>
      </c>
      <c r="H789" t="s">
        <v>7145</v>
      </c>
      <c r="I789" t="s">
        <v>85</v>
      </c>
      <c r="J789" t="s">
        <v>22</v>
      </c>
      <c r="K789" t="s">
        <v>7143</v>
      </c>
      <c r="L789" t="s">
        <v>7148</v>
      </c>
      <c r="M789" t="s">
        <v>25</v>
      </c>
      <c r="N789" t="s">
        <v>7149</v>
      </c>
      <c r="O789" t="s">
        <v>7150</v>
      </c>
      <c r="P789" t="s">
        <v>7151</v>
      </c>
      <c r="Q789" t="s">
        <v>29</v>
      </c>
      <c r="R789" t="s">
        <v>7146</v>
      </c>
      <c r="S789" t="s">
        <v>7147</v>
      </c>
    </row>
    <row r="790" spans="1:19" x14ac:dyDescent="0.25">
      <c r="A790" s="1">
        <v>788</v>
      </c>
      <c r="B790" t="str">
        <f>HYPERLINK("https://www.dasschnelle.at/berger-willibald-mag-marchtrenk-linzer-straße","Website")</f>
        <v>Website</v>
      </c>
      <c r="C790" t="str">
        <f>HYPERLINK("http://www.rae.co.at","Website")</f>
        <v>Website</v>
      </c>
      <c r="D790" t="str">
        <f>HYPERLINK("http://www.google.com/maps/place/48.19052,14.11312","Location")</f>
        <v>Location</v>
      </c>
      <c r="E790" t="s">
        <v>7152</v>
      </c>
      <c r="F790" t="s">
        <v>7153</v>
      </c>
      <c r="G790" t="s">
        <v>4902</v>
      </c>
      <c r="H790" t="s">
        <v>7155</v>
      </c>
      <c r="I790" t="s">
        <v>85</v>
      </c>
      <c r="J790" t="s">
        <v>22</v>
      </c>
      <c r="K790" t="s">
        <v>7154</v>
      </c>
      <c r="L790" t="s">
        <v>7158</v>
      </c>
      <c r="M790" t="s">
        <v>25</v>
      </c>
      <c r="N790" t="s">
        <v>7159</v>
      </c>
      <c r="O790" t="s">
        <v>7160</v>
      </c>
      <c r="P790" t="s">
        <v>7161</v>
      </c>
      <c r="Q790" t="s">
        <v>29</v>
      </c>
      <c r="R790" t="s">
        <v>7156</v>
      </c>
      <c r="S790" t="s">
        <v>7157</v>
      </c>
    </row>
    <row r="791" spans="1:19" x14ac:dyDescent="0.25">
      <c r="A791" s="1">
        <v>789</v>
      </c>
      <c r="B791" t="str">
        <f>HYPERLINK("https://www.dasschnelle.at/ausseerland-immobilien-gmbh-bad-aussee-ischler-straße","Website")</f>
        <v>Website</v>
      </c>
      <c r="C791" t="str">
        <f>HYPERLINK("http://www.salzkammergut-immobilien.at","Website")</f>
        <v>Website</v>
      </c>
      <c r="D791" t="str">
        <f>HYPERLINK("http://www.google.com/maps/place/47.60973,13.78073","Location")</f>
        <v>Location</v>
      </c>
      <c r="E791" t="s">
        <v>7162</v>
      </c>
      <c r="F791" t="s">
        <v>7163</v>
      </c>
      <c r="G791" t="s">
        <v>1195</v>
      </c>
      <c r="H791" t="s">
        <v>1196</v>
      </c>
      <c r="I791" t="s">
        <v>451</v>
      </c>
      <c r="J791" t="s">
        <v>22</v>
      </c>
      <c r="K791" t="s">
        <v>7164</v>
      </c>
      <c r="L791" t="s">
        <v>7167</v>
      </c>
      <c r="M791" t="s">
        <v>25</v>
      </c>
      <c r="N791" t="s">
        <v>7168</v>
      </c>
      <c r="O791" t="s">
        <v>25</v>
      </c>
      <c r="P791" t="s">
        <v>7169</v>
      </c>
      <c r="Q791" t="s">
        <v>29</v>
      </c>
      <c r="R791" t="s">
        <v>7165</v>
      </c>
      <c r="S791" t="s">
        <v>7166</v>
      </c>
    </row>
    <row r="792" spans="1:19" x14ac:dyDescent="0.25">
      <c r="A792" s="1">
        <v>790</v>
      </c>
      <c r="B792" t="str">
        <f>HYPERLINK("https://www.dasschnelle.at/marcik-gmbh-waidhofen-weyrerstraße","Website")</f>
        <v>Website</v>
      </c>
      <c r="C792" t="str">
        <f>HYPERLINK("http://www.marcik.at","Website")</f>
        <v>Website</v>
      </c>
      <c r="D792" t="str">
        <f>HYPERLINK("http://www.google.com/maps/place/47.9580788,14.7727694","Location")</f>
        <v>Location</v>
      </c>
      <c r="E792" t="s">
        <v>7170</v>
      </c>
      <c r="F792" t="s">
        <v>7171</v>
      </c>
      <c r="G792" t="s">
        <v>1504</v>
      </c>
      <c r="H792" t="s">
        <v>1505</v>
      </c>
      <c r="I792" t="s">
        <v>177</v>
      </c>
      <c r="J792" t="s">
        <v>22</v>
      </c>
      <c r="K792" t="s">
        <v>7172</v>
      </c>
      <c r="L792" t="s">
        <v>7175</v>
      </c>
      <c r="M792" t="s">
        <v>7176</v>
      </c>
      <c r="N792" t="s">
        <v>7177</v>
      </c>
      <c r="O792" t="s">
        <v>25</v>
      </c>
      <c r="P792" t="s">
        <v>7178</v>
      </c>
      <c r="Q792" t="s">
        <v>29</v>
      </c>
      <c r="R792" t="s">
        <v>7173</v>
      </c>
      <c r="S792" t="s">
        <v>7174</v>
      </c>
    </row>
    <row r="793" spans="1:19" x14ac:dyDescent="0.25">
      <c r="A793" s="1">
        <v>791</v>
      </c>
      <c r="B793" t="str">
        <f>HYPERLINK("https://www.dasschnelle.at/roth-eva-e-u-bad-goisern-wirerstubenstraße","Website")</f>
        <v>Website</v>
      </c>
      <c r="C793" t="str">
        <f>HYPERLINK("http://www.harmoniederfarben.at","Website")</f>
        <v>Website</v>
      </c>
      <c r="D793" t="str">
        <f>HYPERLINK("http://www.google.com/maps/place/47.7097600,13.6182900","Location")</f>
        <v>Location</v>
      </c>
      <c r="E793" t="s">
        <v>7179</v>
      </c>
      <c r="F793" t="s">
        <v>7180</v>
      </c>
      <c r="G793" t="s">
        <v>2335</v>
      </c>
      <c r="H793" t="s">
        <v>2356</v>
      </c>
      <c r="I793" t="s">
        <v>85</v>
      </c>
      <c r="J793" t="s">
        <v>22</v>
      </c>
      <c r="K793" t="s">
        <v>7181</v>
      </c>
      <c r="L793" t="s">
        <v>7184</v>
      </c>
      <c r="M793" t="s">
        <v>25</v>
      </c>
      <c r="N793" t="s">
        <v>7185</v>
      </c>
      <c r="O793" t="s">
        <v>7186</v>
      </c>
      <c r="P793" t="s">
        <v>7187</v>
      </c>
      <c r="Q793" t="s">
        <v>29</v>
      </c>
      <c r="R793" t="s">
        <v>7182</v>
      </c>
      <c r="S793" t="s">
        <v>7183</v>
      </c>
    </row>
    <row r="794" spans="1:19" x14ac:dyDescent="0.25">
      <c r="A794" s="1">
        <v>792</v>
      </c>
      <c r="B794" t="str">
        <f>HYPERLINK("https://www.dasschnelle.at/neureiter-martin-gesmbh-und-co-kg-bad-ischl-sattelaustraße","Website")</f>
        <v>Website</v>
      </c>
      <c r="C794" t="str">
        <f>HYPERLINK("http://www.neureiter.co.at","Website")</f>
        <v>Website</v>
      </c>
      <c r="D794" t="str">
        <f>HYPERLINK("http://www.google.com/maps/place/47.72977,13.65828","Location")</f>
        <v>Location</v>
      </c>
      <c r="E794" t="s">
        <v>7188</v>
      </c>
      <c r="F794" t="s">
        <v>7189</v>
      </c>
      <c r="G794" t="s">
        <v>2377</v>
      </c>
      <c r="H794" t="s">
        <v>2378</v>
      </c>
      <c r="I794" t="s">
        <v>85</v>
      </c>
      <c r="J794" t="s">
        <v>22</v>
      </c>
      <c r="K794" t="s">
        <v>7190</v>
      </c>
      <c r="L794" t="s">
        <v>7193</v>
      </c>
      <c r="M794" t="s">
        <v>25</v>
      </c>
      <c r="N794" t="s">
        <v>7194</v>
      </c>
      <c r="O794" t="s">
        <v>7195</v>
      </c>
      <c r="P794" t="s">
        <v>7196</v>
      </c>
      <c r="Q794" t="s">
        <v>29</v>
      </c>
      <c r="R794" t="s">
        <v>7191</v>
      </c>
      <c r="S794" t="s">
        <v>7192</v>
      </c>
    </row>
    <row r="795" spans="1:19" x14ac:dyDescent="0.25">
      <c r="A795" s="1">
        <v>793</v>
      </c>
      <c r="B795" t="str">
        <f>HYPERLINK("https://www.dasschnelle.at/weiss-autohaus-gmbh-schrems-horner-straße","Website")</f>
        <v>Website</v>
      </c>
      <c r="C795" t="str">
        <f>HYPERLINK("http://www.weiss-schrems.at","Website")</f>
        <v>Website</v>
      </c>
      <c r="D795" t="str">
        <f>HYPERLINK("http://www.google.com/maps/place/48.7916500,15.0781400","Location")</f>
        <v>Location</v>
      </c>
      <c r="E795" t="s">
        <v>7197</v>
      </c>
      <c r="F795" t="s">
        <v>7198</v>
      </c>
      <c r="G795" t="s">
        <v>7200</v>
      </c>
      <c r="H795" t="s">
        <v>7201</v>
      </c>
      <c r="I795" t="s">
        <v>177</v>
      </c>
      <c r="J795" t="s">
        <v>22</v>
      </c>
      <c r="K795" t="s">
        <v>7199</v>
      </c>
      <c r="L795" t="s">
        <v>7204</v>
      </c>
      <c r="M795" t="s">
        <v>25</v>
      </c>
      <c r="N795" t="s">
        <v>7205</v>
      </c>
      <c r="O795" t="s">
        <v>25</v>
      </c>
      <c r="P795" t="s">
        <v>7206</v>
      </c>
      <c r="Q795" t="s">
        <v>29</v>
      </c>
      <c r="R795" t="s">
        <v>7202</v>
      </c>
      <c r="S795" t="s">
        <v>7203</v>
      </c>
    </row>
    <row r="796" spans="1:19" x14ac:dyDescent="0.25">
      <c r="A796" s="1">
        <v>794</v>
      </c>
      <c r="B796" t="str">
        <f>HYPERLINK("https://www.dasschnelle.at/kaufmann-litschau-stadtplatz","Website")</f>
        <v>Website</v>
      </c>
      <c r="C796" t="str">
        <f>HYPERLINK("http://www.gasthof-kaufmann.at","Website")</f>
        <v>Website</v>
      </c>
      <c r="D796" t="str">
        <f>HYPERLINK("http://www.google.com/maps/place/48.94472,15.04329","Location")</f>
        <v>Location</v>
      </c>
      <c r="E796" t="s">
        <v>7207</v>
      </c>
      <c r="F796" t="s">
        <v>7208</v>
      </c>
      <c r="G796" t="s">
        <v>7210</v>
      </c>
      <c r="H796" t="s">
        <v>7211</v>
      </c>
      <c r="I796" t="s">
        <v>177</v>
      </c>
      <c r="J796" t="s">
        <v>22</v>
      </c>
      <c r="K796" t="s">
        <v>7209</v>
      </c>
      <c r="L796" t="s">
        <v>7214</v>
      </c>
      <c r="M796" t="s">
        <v>25</v>
      </c>
      <c r="N796" t="s">
        <v>7215</v>
      </c>
      <c r="O796" t="s">
        <v>25</v>
      </c>
      <c r="P796" t="s">
        <v>7216</v>
      </c>
      <c r="Q796" t="s">
        <v>29</v>
      </c>
      <c r="R796" t="s">
        <v>7212</v>
      </c>
      <c r="S796" t="s">
        <v>7213</v>
      </c>
    </row>
    <row r="797" spans="1:19" x14ac:dyDescent="0.25">
      <c r="A797" s="1">
        <v>795</v>
      </c>
      <c r="B797" t="str">
        <f>HYPERLINK("https://www.dasschnelle.at/aydar-senol-neumarkt-im-hausruckkreis-schulstraße","Website")</f>
        <v>Website</v>
      </c>
      <c r="C797" t="str">
        <f>HYPERLINK("https://www.dasschnelle.at/aydar-senol-neumarkt-im-hausruckkreis-schulstra%C3%9Fe","Website")</f>
        <v>Website</v>
      </c>
      <c r="D797" t="str">
        <f>HYPERLINK("http://www.google.com/maps/place/48.27324,13.72715","Location")</f>
        <v>Location</v>
      </c>
      <c r="E797" t="s">
        <v>7217</v>
      </c>
      <c r="F797" t="s">
        <v>7218</v>
      </c>
      <c r="G797" t="s">
        <v>7220</v>
      </c>
      <c r="H797" t="s">
        <v>7221</v>
      </c>
      <c r="I797" t="s">
        <v>85</v>
      </c>
      <c r="J797" t="s">
        <v>22</v>
      </c>
      <c r="K797" t="s">
        <v>7219</v>
      </c>
      <c r="L797" t="s">
        <v>7224</v>
      </c>
      <c r="M797" t="s">
        <v>25</v>
      </c>
      <c r="N797" t="s">
        <v>7225</v>
      </c>
      <c r="O797" t="s">
        <v>25</v>
      </c>
      <c r="P797" t="s">
        <v>7226</v>
      </c>
      <c r="Q797" t="s">
        <v>29</v>
      </c>
      <c r="R797" t="s">
        <v>7222</v>
      </c>
      <c r="S797" t="s">
        <v>7223</v>
      </c>
    </row>
    <row r="798" spans="1:19" x14ac:dyDescent="0.25">
      <c r="A798" s="1">
        <v>796</v>
      </c>
      <c r="B798" t="str">
        <f>HYPERLINK("https://www.dasschnelle.at/frauscher-christian-lackierbetrieb-frauscher-neumarkt-im-hausruckkreis-vormarkt","Website")</f>
        <v>Website</v>
      </c>
      <c r="C798" t="str">
        <f>HYPERLINK("https://www.dasschnelle.at/frauscher-christian-lackierbetrieb-frauscher-neumarkt-im-hausruckkreis-vormarkt","Website")</f>
        <v>Website</v>
      </c>
      <c r="D798" t="str">
        <f>HYPERLINK("http://www.google.com/maps/place/48.2762,13.7223","Location")</f>
        <v>Location</v>
      </c>
      <c r="E798" t="s">
        <v>7227</v>
      </c>
      <c r="F798" t="s">
        <v>7228</v>
      </c>
      <c r="G798" t="s">
        <v>7220</v>
      </c>
      <c r="H798" t="s">
        <v>7221</v>
      </c>
      <c r="I798" t="s">
        <v>85</v>
      </c>
      <c r="J798" t="s">
        <v>22</v>
      </c>
      <c r="K798" t="s">
        <v>7229</v>
      </c>
      <c r="L798" t="s">
        <v>7232</v>
      </c>
      <c r="M798" t="s">
        <v>25</v>
      </c>
      <c r="N798" t="s">
        <v>7233</v>
      </c>
      <c r="O798" t="s">
        <v>7234</v>
      </c>
      <c r="P798" t="s">
        <v>7235</v>
      </c>
      <c r="Q798" t="s">
        <v>29</v>
      </c>
      <c r="R798" t="s">
        <v>7230</v>
      </c>
      <c r="S798" t="s">
        <v>7231</v>
      </c>
    </row>
    <row r="799" spans="1:19" x14ac:dyDescent="0.25">
      <c r="A799" s="1">
        <v>797</v>
      </c>
      <c r="B799" t="str">
        <f>HYPERLINK("https://www.dasschnelle.at/strasser-sandra-waizenkirchen-kienzlstraße","Website")</f>
        <v>Website</v>
      </c>
      <c r="C799" t="str">
        <f>HYPERLINK("http://www.haarmoden-strasser.at","Website")</f>
        <v>Website</v>
      </c>
      <c r="D799" t="str">
        <f>HYPERLINK("http://www.google.com/maps/place/48.33084,13.85604","Location")</f>
        <v>Location</v>
      </c>
      <c r="E799" t="s">
        <v>7236</v>
      </c>
      <c r="F799" t="s">
        <v>7237</v>
      </c>
      <c r="G799" t="s">
        <v>7239</v>
      </c>
      <c r="H799" t="s">
        <v>7240</v>
      </c>
      <c r="I799" t="s">
        <v>85</v>
      </c>
      <c r="J799" t="s">
        <v>22</v>
      </c>
      <c r="K799" t="s">
        <v>7238</v>
      </c>
      <c r="L799" t="s">
        <v>7243</v>
      </c>
      <c r="M799" t="s">
        <v>25</v>
      </c>
      <c r="N799" t="s">
        <v>7244</v>
      </c>
      <c r="O799" t="s">
        <v>25</v>
      </c>
      <c r="P799" t="s">
        <v>7245</v>
      </c>
      <c r="Q799" t="s">
        <v>29</v>
      </c>
      <c r="R799" t="s">
        <v>7241</v>
      </c>
      <c r="S799" t="s">
        <v>7242</v>
      </c>
    </row>
    <row r="800" spans="1:19" x14ac:dyDescent="0.25">
      <c r="A800" s="1">
        <v>798</v>
      </c>
      <c r="B800" t="str">
        <f>HYPERLINK("https://www.dasschnelle.at/aichinger-optik-gesmbh-grieskirchen-roßmarkt","Website")</f>
        <v>Website</v>
      </c>
      <c r="C800" t="str">
        <f>HYPERLINK("https://www.dasschnelle.at/aichinger-optik-gesmbh-grieskirchen-ro%C3%9Fmarkt","Website")</f>
        <v>Website</v>
      </c>
      <c r="D800" t="str">
        <f>HYPERLINK("http://www.google.com/maps/place/48.23408,13.83206","Location")</f>
        <v>Location</v>
      </c>
      <c r="E800" t="s">
        <v>7246</v>
      </c>
      <c r="F800" t="s">
        <v>7247</v>
      </c>
      <c r="G800" t="s">
        <v>4826</v>
      </c>
      <c r="H800" t="s">
        <v>4827</v>
      </c>
      <c r="I800" t="s">
        <v>85</v>
      </c>
      <c r="J800" t="s">
        <v>22</v>
      </c>
      <c r="K800" t="s">
        <v>7248</v>
      </c>
      <c r="L800" t="s">
        <v>7251</v>
      </c>
      <c r="M800" t="s">
        <v>7252</v>
      </c>
      <c r="N800" t="s">
        <v>7253</v>
      </c>
      <c r="O800" t="s">
        <v>25</v>
      </c>
      <c r="P800" t="s">
        <v>7254</v>
      </c>
      <c r="Q800" t="s">
        <v>29</v>
      </c>
      <c r="R800" t="s">
        <v>7249</v>
      </c>
      <c r="S800" t="s">
        <v>7250</v>
      </c>
    </row>
    <row r="801" spans="1:19" x14ac:dyDescent="0.25">
      <c r="A801" s="1">
        <v>799</v>
      </c>
      <c r="B801" t="str">
        <f>HYPERLINK("https://www.dasschnelle.at/zauner-johann-gmbh-grieskirchen-wengerstraße","Website")</f>
        <v>Website</v>
      </c>
      <c r="C801" t="str">
        <f>HYPERLINK("http://www.peugeot-zauner.at","Website")</f>
        <v>Website</v>
      </c>
      <c r="D801" t="str">
        <f>HYPERLINK("http://www.google.com/maps/place/48.23251,13.82345","Location")</f>
        <v>Location</v>
      </c>
      <c r="E801" t="s">
        <v>7255</v>
      </c>
      <c r="F801" t="s">
        <v>7256</v>
      </c>
      <c r="G801" t="s">
        <v>4826</v>
      </c>
      <c r="H801" t="s">
        <v>4827</v>
      </c>
      <c r="I801" t="s">
        <v>85</v>
      </c>
      <c r="J801" t="s">
        <v>22</v>
      </c>
      <c r="K801" t="s">
        <v>7257</v>
      </c>
      <c r="L801" t="s">
        <v>7260</v>
      </c>
      <c r="M801" t="s">
        <v>25</v>
      </c>
      <c r="N801" t="s">
        <v>7261</v>
      </c>
      <c r="O801" t="s">
        <v>25</v>
      </c>
      <c r="P801" t="s">
        <v>7262</v>
      </c>
      <c r="Q801" t="s">
        <v>29</v>
      </c>
      <c r="R801" t="s">
        <v>7258</v>
      </c>
      <c r="S801" t="s">
        <v>7259</v>
      </c>
    </row>
    <row r="802" spans="1:19" x14ac:dyDescent="0.25">
      <c r="A802" s="1">
        <v>800</v>
      </c>
      <c r="B802" t="str">
        <f>HYPERLINK("https://www.dasschnelle.at/bind-dallinger-dagmar-mag-med-vet-haag-am-hausruck-dorf","Website")</f>
        <v>Website</v>
      </c>
      <c r="C802" t="str">
        <f>HYPERLINK("https://www.dasschnelle.at/bind-dallinger-dagmar-mag-med-vet-haag-am-hausruck-dorf","Website")</f>
        <v>Website</v>
      </c>
      <c r="D802" t="str">
        <f>HYPERLINK("http://www.google.com/maps/place/48.1961892,13.6515966","Location")</f>
        <v>Location</v>
      </c>
      <c r="E802" t="s">
        <v>7263</v>
      </c>
      <c r="F802" t="s">
        <v>7264</v>
      </c>
      <c r="G802" t="s">
        <v>7266</v>
      </c>
      <c r="H802" t="s">
        <v>7267</v>
      </c>
      <c r="I802" t="s">
        <v>85</v>
      </c>
      <c r="J802" t="s">
        <v>22</v>
      </c>
      <c r="K802" t="s">
        <v>7265</v>
      </c>
      <c r="L802" t="s">
        <v>7270</v>
      </c>
      <c r="M802" t="s">
        <v>25</v>
      </c>
      <c r="N802" t="s">
        <v>25</v>
      </c>
      <c r="O802" t="s">
        <v>25</v>
      </c>
      <c r="P802" t="s">
        <v>7271</v>
      </c>
      <c r="Q802" t="s">
        <v>29</v>
      </c>
      <c r="R802" t="s">
        <v>7268</v>
      </c>
      <c r="S802" t="s">
        <v>7269</v>
      </c>
    </row>
    <row r="803" spans="1:19" x14ac:dyDescent="0.25">
      <c r="A803" s="1">
        <v>801</v>
      </c>
      <c r="B803" t="str">
        <f>HYPERLINK("https://www.dasschnelle.at/schatzl-michaela-grieskirchen-stadtplatz","Website")</f>
        <v>Website</v>
      </c>
      <c r="C803" t="str">
        <f>HYPERLINK("https://www.dasschnelle.at/schatzl-michaela-grieskirchen-stadtplatz","Website")</f>
        <v>Website</v>
      </c>
      <c r="D803" t="str">
        <f>HYPERLINK("http://www.google.com/maps/place/48.23485,13.83132","Location")</f>
        <v>Location</v>
      </c>
      <c r="E803" t="s">
        <v>7272</v>
      </c>
      <c r="F803" t="s">
        <v>7273</v>
      </c>
      <c r="G803" t="s">
        <v>4826</v>
      </c>
      <c r="H803" t="s">
        <v>4827</v>
      </c>
      <c r="I803" t="s">
        <v>85</v>
      </c>
      <c r="J803" t="s">
        <v>22</v>
      </c>
      <c r="K803" t="s">
        <v>7274</v>
      </c>
      <c r="L803" t="s">
        <v>7277</v>
      </c>
      <c r="M803" t="s">
        <v>25</v>
      </c>
      <c r="N803" t="s">
        <v>7278</v>
      </c>
      <c r="O803" t="s">
        <v>25</v>
      </c>
      <c r="P803" t="s">
        <v>7279</v>
      </c>
      <c r="Q803" t="s">
        <v>29</v>
      </c>
      <c r="R803" t="s">
        <v>7275</v>
      </c>
      <c r="S803" t="s">
        <v>7276</v>
      </c>
    </row>
    <row r="804" spans="1:19" x14ac:dyDescent="0.25">
      <c r="A804" s="1">
        <v>802</v>
      </c>
      <c r="B804" t="str">
        <f>HYPERLINK("https://www.dasschnelle.at/redoit-metallbau-gmbh-natternbach-moosbachweg","Website")</f>
        <v>Website</v>
      </c>
      <c r="C804" t="str">
        <f>HYPERLINK("http://www.redoit.at","Website")</f>
        <v>Website</v>
      </c>
      <c r="D804" t="str">
        <f>HYPERLINK("http://www.google.com/maps/place/48.38571,13.75009","Location")</f>
        <v>Location</v>
      </c>
      <c r="E804" t="s">
        <v>7280</v>
      </c>
      <c r="F804" t="s">
        <v>7281</v>
      </c>
      <c r="G804" t="s">
        <v>7283</v>
      </c>
      <c r="H804" t="s">
        <v>7284</v>
      </c>
      <c r="I804" t="s">
        <v>85</v>
      </c>
      <c r="J804" t="s">
        <v>22</v>
      </c>
      <c r="K804" t="s">
        <v>7282</v>
      </c>
      <c r="L804" t="s">
        <v>7287</v>
      </c>
      <c r="M804" t="s">
        <v>25</v>
      </c>
      <c r="N804" t="s">
        <v>7288</v>
      </c>
      <c r="O804" t="s">
        <v>25</v>
      </c>
      <c r="P804" t="s">
        <v>7289</v>
      </c>
      <c r="Q804" t="s">
        <v>29</v>
      </c>
      <c r="R804" t="s">
        <v>7285</v>
      </c>
      <c r="S804" t="s">
        <v>7286</v>
      </c>
    </row>
    <row r="805" spans="1:19" x14ac:dyDescent="0.25">
      <c r="A805" s="1">
        <v>803</v>
      </c>
      <c r="B805" t="str">
        <f>HYPERLINK("https://www.dasschnelle.at/manigatterer-carina-neukirchen-am-walde-marktplatz","Website")</f>
        <v>Website</v>
      </c>
      <c r="C805" t="str">
        <f>HYPERLINK("http://www.haarvision.at","Website")</f>
        <v>Website</v>
      </c>
      <c r="D805" t="str">
        <f>HYPERLINK("http://www.google.com/maps/place/48.40486,13.78104","Location")</f>
        <v>Location</v>
      </c>
      <c r="E805" t="s">
        <v>7290</v>
      </c>
      <c r="F805" t="s">
        <v>7291</v>
      </c>
      <c r="G805" t="s">
        <v>7293</v>
      </c>
      <c r="H805" t="s">
        <v>7294</v>
      </c>
      <c r="I805" t="s">
        <v>85</v>
      </c>
      <c r="J805" t="s">
        <v>22</v>
      </c>
      <c r="K805" t="s">
        <v>7292</v>
      </c>
      <c r="L805" t="s">
        <v>7297</v>
      </c>
      <c r="M805" t="s">
        <v>25</v>
      </c>
      <c r="N805" t="s">
        <v>7298</v>
      </c>
      <c r="O805" t="s">
        <v>25</v>
      </c>
      <c r="P805" t="s">
        <v>7299</v>
      </c>
      <c r="Q805" t="s">
        <v>29</v>
      </c>
      <c r="R805" t="s">
        <v>7295</v>
      </c>
      <c r="S805" t="s">
        <v>7296</v>
      </c>
    </row>
    <row r="806" spans="1:19" x14ac:dyDescent="0.25">
      <c r="A806" s="1">
        <v>804</v>
      </c>
      <c r="B806" t="str">
        <f>HYPERLINK("https://www.dasschnelle.at/kreuzwieser-susanne-peuerbach-graben","Website")</f>
        <v>Website</v>
      </c>
      <c r="C806" t="str">
        <f>HYPERLINK("http://www.haarprofil.at","Website")</f>
        <v>Website</v>
      </c>
      <c r="D806" t="str">
        <f>HYPERLINK("http://www.google.com/maps/place/48.34542,13.77111","Location")</f>
        <v>Location</v>
      </c>
      <c r="E806" t="s">
        <v>7300</v>
      </c>
      <c r="F806" t="s">
        <v>7301</v>
      </c>
      <c r="G806" t="s">
        <v>7303</v>
      </c>
      <c r="H806" t="s">
        <v>7304</v>
      </c>
      <c r="I806" t="s">
        <v>85</v>
      </c>
      <c r="J806" t="s">
        <v>22</v>
      </c>
      <c r="K806" t="s">
        <v>7302</v>
      </c>
      <c r="L806" t="s">
        <v>7307</v>
      </c>
      <c r="M806" t="s">
        <v>25</v>
      </c>
      <c r="N806" t="s">
        <v>7308</v>
      </c>
      <c r="O806" t="s">
        <v>25</v>
      </c>
      <c r="P806" t="s">
        <v>7309</v>
      </c>
      <c r="Q806" t="s">
        <v>29</v>
      </c>
      <c r="R806" t="s">
        <v>7305</v>
      </c>
      <c r="S806" t="s">
        <v>7306</v>
      </c>
    </row>
    <row r="807" spans="1:19" x14ac:dyDescent="0.25">
      <c r="A807" s="1">
        <v>805</v>
      </c>
      <c r="B807" t="str">
        <f>HYPERLINK("https://www.dasschnelle.at/barth-gmbh-und-co-kg-neukirchen-am-walde-hauserstraße","Website")</f>
        <v>Website</v>
      </c>
      <c r="C807" t="str">
        <f>HYPERLINK("http://www.barth-handel-trans.at","Website")</f>
        <v>Website</v>
      </c>
      <c r="D807" t="str">
        <f>HYPERLINK("http://www.google.com/maps/place/48.40588,13.77912","Location")</f>
        <v>Location</v>
      </c>
      <c r="E807" t="s">
        <v>7310</v>
      </c>
      <c r="F807" t="s">
        <v>7311</v>
      </c>
      <c r="G807" t="s">
        <v>7293</v>
      </c>
      <c r="H807" t="s">
        <v>7294</v>
      </c>
      <c r="I807" t="s">
        <v>85</v>
      </c>
      <c r="J807" t="s">
        <v>22</v>
      </c>
      <c r="K807" t="s">
        <v>7312</v>
      </c>
      <c r="L807" t="s">
        <v>7315</v>
      </c>
      <c r="M807" t="s">
        <v>25</v>
      </c>
      <c r="N807" t="s">
        <v>7316</v>
      </c>
      <c r="O807" t="s">
        <v>25</v>
      </c>
      <c r="P807" t="s">
        <v>7317</v>
      </c>
      <c r="Q807" t="s">
        <v>29</v>
      </c>
      <c r="R807" t="s">
        <v>7313</v>
      </c>
      <c r="S807" t="s">
        <v>7314</v>
      </c>
    </row>
    <row r="808" spans="1:19" x14ac:dyDescent="0.25">
      <c r="A808" s="1">
        <v>806</v>
      </c>
      <c r="B808" t="str">
        <f>HYPERLINK("https://www.dasschnelle.at/greiml-wolfgang-isolierungen-gesmbh-und-co-kg-waizenkirchen-wiesmühle","Website")</f>
        <v>Website</v>
      </c>
      <c r="C808" t="str">
        <f>HYPERLINK("http://www.greiml.at","Website")</f>
        <v>Website</v>
      </c>
      <c r="D808" t="str">
        <f>HYPERLINK("http://www.google.com/maps/place/48.33449,13.85836","Location")</f>
        <v>Location</v>
      </c>
      <c r="E808" t="s">
        <v>7318</v>
      </c>
      <c r="F808" t="s">
        <v>7319</v>
      </c>
      <c r="G808" t="s">
        <v>7239</v>
      </c>
      <c r="H808" t="s">
        <v>7240</v>
      </c>
      <c r="I808" t="s">
        <v>85</v>
      </c>
      <c r="J808" t="s">
        <v>22</v>
      </c>
      <c r="K808" t="s">
        <v>7320</v>
      </c>
      <c r="L808" t="s">
        <v>7323</v>
      </c>
      <c r="M808" t="s">
        <v>7324</v>
      </c>
      <c r="N808" t="s">
        <v>7325</v>
      </c>
      <c r="O808" t="s">
        <v>7326</v>
      </c>
      <c r="P808" t="s">
        <v>7327</v>
      </c>
      <c r="Q808" t="s">
        <v>29</v>
      </c>
      <c r="R808" t="s">
        <v>7321</v>
      </c>
      <c r="S808" t="s">
        <v>7322</v>
      </c>
    </row>
    <row r="809" spans="1:19" x14ac:dyDescent="0.25">
      <c r="A809" s="1">
        <v>807</v>
      </c>
      <c r="B809" t="str">
        <f>HYPERLINK("https://www.dasschnelle.at/tschapo-kisa-e-u-waizenkirchen-marktplatz","Website")</f>
        <v>Website</v>
      </c>
      <c r="C809" t="str">
        <f>HYPERLINK("https://www.dasschnelle.at/tschapo-kisa-e-u-waizenkirchen-marktplatz","Website")</f>
        <v>Website</v>
      </c>
      <c r="D809" t="str">
        <f>HYPERLINK("http://www.google.com/maps/place/48.32937,13.85599","Location")</f>
        <v>Location</v>
      </c>
      <c r="E809" t="s">
        <v>7328</v>
      </c>
      <c r="F809" t="s">
        <v>7329</v>
      </c>
      <c r="G809" t="s">
        <v>7239</v>
      </c>
      <c r="H809" t="s">
        <v>7240</v>
      </c>
      <c r="I809" t="s">
        <v>85</v>
      </c>
      <c r="J809" t="s">
        <v>22</v>
      </c>
      <c r="K809" t="s">
        <v>7330</v>
      </c>
      <c r="L809" t="s">
        <v>7333</v>
      </c>
      <c r="M809" t="s">
        <v>25</v>
      </c>
      <c r="N809" t="s">
        <v>7334</v>
      </c>
      <c r="O809" t="s">
        <v>25</v>
      </c>
      <c r="P809" t="s">
        <v>7335</v>
      </c>
      <c r="Q809" t="s">
        <v>29</v>
      </c>
      <c r="R809" t="s">
        <v>7331</v>
      </c>
      <c r="S809" t="s">
        <v>7332</v>
      </c>
    </row>
    <row r="810" spans="1:19" x14ac:dyDescent="0.25">
      <c r="A810" s="1">
        <v>808</v>
      </c>
      <c r="B810" t="str">
        <f>HYPERLINK("https://www.dasschnelle.at/häuserer-christian-waizenkirchen-inzing","Website")</f>
        <v>Website</v>
      </c>
      <c r="C810" t="str">
        <f>HYPERLINK("http://www.haeuserer.com","Website")</f>
        <v>Website</v>
      </c>
      <c r="D810" t="str">
        <f>HYPERLINK("http://www.google.com/maps/place/48.3376519,13.8651865","Location")</f>
        <v>Location</v>
      </c>
      <c r="E810" t="s">
        <v>7336</v>
      </c>
      <c r="F810" t="s">
        <v>7337</v>
      </c>
      <c r="G810" t="s">
        <v>7239</v>
      </c>
      <c r="H810" t="s">
        <v>7240</v>
      </c>
      <c r="I810" t="s">
        <v>85</v>
      </c>
      <c r="J810" t="s">
        <v>22</v>
      </c>
      <c r="K810" t="s">
        <v>7338</v>
      </c>
      <c r="L810" t="s">
        <v>7341</v>
      </c>
      <c r="M810" t="s">
        <v>25</v>
      </c>
      <c r="N810" t="s">
        <v>7342</v>
      </c>
      <c r="O810" t="s">
        <v>25</v>
      </c>
      <c r="P810" t="s">
        <v>7343</v>
      </c>
      <c r="Q810" t="s">
        <v>29</v>
      </c>
      <c r="R810" t="s">
        <v>7339</v>
      </c>
      <c r="S810" t="s">
        <v>7340</v>
      </c>
    </row>
    <row r="811" spans="1:19" x14ac:dyDescent="0.25">
      <c r="A811" s="1">
        <v>809</v>
      </c>
      <c r="B811" t="str">
        <f>HYPERLINK("https://www.dasschnelle.at/wolfsteiner-gerhard-grieskirchen-industriestraße","Website")</f>
        <v>Website</v>
      </c>
      <c r="C811" t="str">
        <f>HYPERLINK("http://www.wolfsteiner-key.at","Website")</f>
        <v>Website</v>
      </c>
      <c r="D811" t="str">
        <f>HYPERLINK("http://www.google.com/maps/place/48.22967,13.84117","Location")</f>
        <v>Location</v>
      </c>
      <c r="E811" t="s">
        <v>7344</v>
      </c>
      <c r="F811" t="s">
        <v>7345</v>
      </c>
      <c r="G811" t="s">
        <v>4826</v>
      </c>
      <c r="H811" t="s">
        <v>4827</v>
      </c>
      <c r="I811" t="s">
        <v>85</v>
      </c>
      <c r="J811" t="s">
        <v>22</v>
      </c>
      <c r="K811" t="s">
        <v>7346</v>
      </c>
      <c r="L811" t="s">
        <v>7349</v>
      </c>
      <c r="M811" t="s">
        <v>25</v>
      </c>
      <c r="N811" t="s">
        <v>7350</v>
      </c>
      <c r="O811" t="s">
        <v>25</v>
      </c>
      <c r="P811" t="s">
        <v>7351</v>
      </c>
      <c r="Q811" t="s">
        <v>29</v>
      </c>
      <c r="R811" t="s">
        <v>7347</v>
      </c>
      <c r="S811" t="s">
        <v>7348</v>
      </c>
    </row>
    <row r="812" spans="1:19" x14ac:dyDescent="0.25">
      <c r="A812" s="1">
        <v>810</v>
      </c>
      <c r="B812" t="str">
        <f>HYPERLINK("https://www.dasschnelle.at/oberndorfer-johannes-weibern-hauptstraße","Website")</f>
        <v>Website</v>
      </c>
      <c r="C812" t="str">
        <f>HYPERLINK("http://www.handarbeit-auf-lebenszeit.at","Website")</f>
        <v>Website</v>
      </c>
      <c r="D812" t="str">
        <f>HYPERLINK("http://www.google.com/maps/place/48.18112,13.69822","Location")</f>
        <v>Location</v>
      </c>
      <c r="E812" t="s">
        <v>7352</v>
      </c>
      <c r="F812" t="s">
        <v>7353</v>
      </c>
      <c r="G812" t="s">
        <v>7355</v>
      </c>
      <c r="H812" t="s">
        <v>7356</v>
      </c>
      <c r="I812" t="s">
        <v>85</v>
      </c>
      <c r="J812" t="s">
        <v>22</v>
      </c>
      <c r="K812" t="s">
        <v>7354</v>
      </c>
      <c r="L812" t="s">
        <v>7359</v>
      </c>
      <c r="M812" t="s">
        <v>25</v>
      </c>
      <c r="N812" t="s">
        <v>7360</v>
      </c>
      <c r="O812" t="s">
        <v>25</v>
      </c>
      <c r="P812" t="s">
        <v>7361</v>
      </c>
      <c r="Q812" t="s">
        <v>29</v>
      </c>
      <c r="R812" t="s">
        <v>7357</v>
      </c>
      <c r="S812" t="s">
        <v>7358</v>
      </c>
    </row>
    <row r="813" spans="1:19" x14ac:dyDescent="0.25">
      <c r="A813" s="1">
        <v>811</v>
      </c>
      <c r="B813" t="str">
        <f>HYPERLINK("https://www.dasschnelle.at/stadlmair-franz-sen-ing-gallspach-linzerstraße","Website")</f>
        <v>Website</v>
      </c>
      <c r="C813" t="str">
        <f>HYPERLINK("http://www.stadlmair.cc","Website")</f>
        <v>Website</v>
      </c>
      <c r="D813" t="str">
        <f>HYPERLINK("http://www.google.com/maps/place/48.20868,13.81638","Location")</f>
        <v>Location</v>
      </c>
      <c r="E813" t="s">
        <v>7362</v>
      </c>
      <c r="F813" t="s">
        <v>7363</v>
      </c>
      <c r="G813" t="s">
        <v>7365</v>
      </c>
      <c r="H813" t="s">
        <v>7366</v>
      </c>
      <c r="I813" t="s">
        <v>85</v>
      </c>
      <c r="J813" t="s">
        <v>22</v>
      </c>
      <c r="K813" t="s">
        <v>7364</v>
      </c>
      <c r="L813" t="s">
        <v>7369</v>
      </c>
      <c r="M813" t="s">
        <v>7370</v>
      </c>
      <c r="N813" t="s">
        <v>7371</v>
      </c>
      <c r="O813" t="s">
        <v>25</v>
      </c>
      <c r="P813" t="s">
        <v>7372</v>
      </c>
      <c r="Q813" t="s">
        <v>29</v>
      </c>
      <c r="R813" t="s">
        <v>7367</v>
      </c>
      <c r="S813" t="s">
        <v>7368</v>
      </c>
    </row>
    <row r="814" spans="1:19" x14ac:dyDescent="0.25">
      <c r="A814" s="1">
        <v>812</v>
      </c>
      <c r="B814" t="str">
        <f>HYPERLINK("https://www.dasschnelle.at/gütlinger-alfons-kg-peuerbach-winkl","Website")</f>
        <v>Website</v>
      </c>
      <c r="C814" t="str">
        <f>HYPERLINK("http://www.auto-guetlinger.com","Website")</f>
        <v>Website</v>
      </c>
      <c r="D814" t="str">
        <f>HYPERLINK("http://www.google.com/maps/place/48.3122913,13.7748125","Location")</f>
        <v>Location</v>
      </c>
      <c r="E814" t="s">
        <v>7373</v>
      </c>
      <c r="F814" t="s">
        <v>7374</v>
      </c>
      <c r="G814" t="s">
        <v>7303</v>
      </c>
      <c r="H814" t="s">
        <v>7304</v>
      </c>
      <c r="I814" t="s">
        <v>85</v>
      </c>
      <c r="J814" t="s">
        <v>22</v>
      </c>
      <c r="K814" t="s">
        <v>7375</v>
      </c>
      <c r="L814" t="s">
        <v>7378</v>
      </c>
      <c r="M814" t="s">
        <v>25</v>
      </c>
      <c r="N814" t="s">
        <v>7379</v>
      </c>
      <c r="O814" t="s">
        <v>25</v>
      </c>
      <c r="P814" t="s">
        <v>7380</v>
      </c>
      <c r="Q814" t="s">
        <v>29</v>
      </c>
      <c r="R814" t="s">
        <v>7376</v>
      </c>
      <c r="S814" t="s">
        <v>7377</v>
      </c>
    </row>
    <row r="815" spans="1:19" x14ac:dyDescent="0.25">
      <c r="A815" s="1">
        <v>813</v>
      </c>
      <c r="B815" t="str">
        <f>HYPERLINK("https://www.dasschnelle.at/zimmerei-speckbacher-gallspach-pfarrgraben","Website")</f>
        <v>Website</v>
      </c>
      <c r="C815" t="str">
        <f>HYPERLINK("http://www.zimmerei-speckbacher.com","Website")</f>
        <v>Website</v>
      </c>
      <c r="D815" t="str">
        <f>HYPERLINK("http://www.google.com/maps/place/48.20621,13.81764","Location")</f>
        <v>Location</v>
      </c>
      <c r="E815" t="s">
        <v>7381</v>
      </c>
      <c r="F815" t="s">
        <v>7382</v>
      </c>
      <c r="G815" t="s">
        <v>7365</v>
      </c>
      <c r="H815" t="s">
        <v>7366</v>
      </c>
      <c r="I815" t="s">
        <v>85</v>
      </c>
      <c r="J815" t="s">
        <v>22</v>
      </c>
      <c r="K815" t="s">
        <v>7383</v>
      </c>
      <c r="L815" t="s">
        <v>7386</v>
      </c>
      <c r="M815" t="s">
        <v>25</v>
      </c>
      <c r="N815" t="s">
        <v>7387</v>
      </c>
      <c r="O815" t="s">
        <v>7388</v>
      </c>
      <c r="P815" t="s">
        <v>7389</v>
      </c>
      <c r="Q815" t="s">
        <v>29</v>
      </c>
      <c r="R815" t="s">
        <v>7384</v>
      </c>
      <c r="S815" t="s">
        <v>7385</v>
      </c>
    </row>
    <row r="816" spans="1:19" x14ac:dyDescent="0.25">
      <c r="A816" s="1">
        <v>814</v>
      </c>
      <c r="B816" t="str">
        <f>HYPERLINK("https://www.dasschnelle.at/krausgruber-franz-rottenbach-frei","Website")</f>
        <v>Website</v>
      </c>
      <c r="C816" t="str">
        <f>HYPERLINK("http://www.krausgruber.at","Website")</f>
        <v>Website</v>
      </c>
      <c r="D816" t="str">
        <f>HYPERLINK("http://www.google.com/maps/place/48.2044667,13.6813485","Location")</f>
        <v>Location</v>
      </c>
      <c r="E816" t="s">
        <v>7390</v>
      </c>
      <c r="F816" t="s">
        <v>7391</v>
      </c>
      <c r="G816" t="s">
        <v>7393</v>
      </c>
      <c r="H816" t="s">
        <v>7394</v>
      </c>
      <c r="I816" t="s">
        <v>85</v>
      </c>
      <c r="J816" t="s">
        <v>22</v>
      </c>
      <c r="K816" t="s">
        <v>7392</v>
      </c>
      <c r="L816" t="s">
        <v>7397</v>
      </c>
      <c r="M816" t="s">
        <v>25</v>
      </c>
      <c r="N816" t="s">
        <v>7398</v>
      </c>
      <c r="O816" t="s">
        <v>7399</v>
      </c>
      <c r="P816" t="s">
        <v>7400</v>
      </c>
      <c r="Q816" t="s">
        <v>29</v>
      </c>
      <c r="R816" t="s">
        <v>7395</v>
      </c>
      <c r="S816" t="s">
        <v>7396</v>
      </c>
    </row>
    <row r="817" spans="1:19" x14ac:dyDescent="0.25">
      <c r="A817" s="1">
        <v>815</v>
      </c>
      <c r="B817" t="str">
        <f>HYPERLINK("https://www.dasschnelle.at/lang-dieter-toyota-vertragshändler-gallspach-stifterstraße","Website")</f>
        <v>Website</v>
      </c>
      <c r="C817" t="str">
        <f>HYPERLINK("http://www.toyota-lang.at","Website")</f>
        <v>Website</v>
      </c>
      <c r="D817" t="str">
        <f>HYPERLINK("http://www.google.com/maps/place/48.20954,13.81297","Location")</f>
        <v>Location</v>
      </c>
      <c r="E817" t="s">
        <v>7401</v>
      </c>
      <c r="F817" t="s">
        <v>7402</v>
      </c>
      <c r="G817" t="s">
        <v>7365</v>
      </c>
      <c r="H817" t="s">
        <v>7366</v>
      </c>
      <c r="I817" t="s">
        <v>85</v>
      </c>
      <c r="J817" t="s">
        <v>22</v>
      </c>
      <c r="K817" t="s">
        <v>7403</v>
      </c>
      <c r="L817" t="s">
        <v>7406</v>
      </c>
      <c r="M817" t="s">
        <v>25</v>
      </c>
      <c r="N817" t="s">
        <v>7407</v>
      </c>
      <c r="O817" t="s">
        <v>25</v>
      </c>
      <c r="P817" t="s">
        <v>7408</v>
      </c>
      <c r="Q817" t="s">
        <v>29</v>
      </c>
      <c r="R817" t="s">
        <v>7404</v>
      </c>
      <c r="S817" t="s">
        <v>7405</v>
      </c>
    </row>
    <row r="818" spans="1:19" x14ac:dyDescent="0.25">
      <c r="A818" s="1">
        <v>816</v>
      </c>
      <c r="B818" t="str">
        <f>HYPERLINK("https://www.dasschnelle.at/bauernfeind-gmbh-waizenkirchen-gewerbepark","Website")</f>
        <v>Website</v>
      </c>
      <c r="C818" t="str">
        <f>HYPERLINK("http://www.bauernfeind.at","Website")</f>
        <v>Website</v>
      </c>
      <c r="D818" t="str">
        <f>HYPERLINK("http://www.google.com/maps/place/48.3211428,13.8396201","Location")</f>
        <v>Location</v>
      </c>
      <c r="E818" t="s">
        <v>7409</v>
      </c>
      <c r="F818" t="s">
        <v>7410</v>
      </c>
      <c r="G818" t="s">
        <v>7239</v>
      </c>
      <c r="H818" t="s">
        <v>7240</v>
      </c>
      <c r="I818" t="s">
        <v>85</v>
      </c>
      <c r="J818" t="s">
        <v>22</v>
      </c>
      <c r="K818" t="s">
        <v>3971</v>
      </c>
      <c r="L818" t="s">
        <v>7413</v>
      </c>
      <c r="M818" t="s">
        <v>7414</v>
      </c>
      <c r="N818" t="s">
        <v>7415</v>
      </c>
      <c r="O818" t="s">
        <v>25</v>
      </c>
      <c r="P818" t="s">
        <v>7416</v>
      </c>
      <c r="Q818" t="s">
        <v>29</v>
      </c>
      <c r="R818" t="s">
        <v>7411</v>
      </c>
      <c r="S818" t="s">
        <v>7412</v>
      </c>
    </row>
    <row r="819" spans="1:19" x14ac:dyDescent="0.25">
      <c r="A819" s="1">
        <v>817</v>
      </c>
      <c r="B819" t="str">
        <f>HYPERLINK("https://www.dasschnelle.at/reha-service-gmbh-altenhof-am-hausruck-hueb","Website")</f>
        <v>Website</v>
      </c>
      <c r="C819" t="str">
        <f>HYPERLINK("http://www.rehaservice.at","Website")</f>
        <v>Website</v>
      </c>
      <c r="D819" t="str">
        <f>HYPERLINK("http://www.google.com/maps/place/48.1316950,13.6833312","Location")</f>
        <v>Location</v>
      </c>
      <c r="E819" t="s">
        <v>7417</v>
      </c>
      <c r="F819" t="s">
        <v>7418</v>
      </c>
      <c r="G819" t="s">
        <v>7420</v>
      </c>
      <c r="H819" t="s">
        <v>7421</v>
      </c>
      <c r="I819" t="s">
        <v>85</v>
      </c>
      <c r="J819" t="s">
        <v>22</v>
      </c>
      <c r="K819" t="s">
        <v>7419</v>
      </c>
      <c r="L819" t="s">
        <v>7424</v>
      </c>
      <c r="M819" t="s">
        <v>25</v>
      </c>
      <c r="N819" t="s">
        <v>7425</v>
      </c>
      <c r="O819" t="s">
        <v>25</v>
      </c>
      <c r="P819" t="s">
        <v>7426</v>
      </c>
      <c r="Q819" t="s">
        <v>29</v>
      </c>
      <c r="R819" t="s">
        <v>7422</v>
      </c>
      <c r="S819" t="s">
        <v>7423</v>
      </c>
    </row>
    <row r="820" spans="1:19" x14ac:dyDescent="0.25">
      <c r="A820" s="1">
        <v>818</v>
      </c>
      <c r="B820" t="str">
        <f>HYPERLINK("https://www.dasschnelle.at/reif-malerei-gmbh-hofkirchen-an-der-trattnach-wengerstraße","Website")</f>
        <v>Website</v>
      </c>
      <c r="C820" t="str">
        <f>HYPERLINK("http://www.maler-reif.at","Website")</f>
        <v>Website</v>
      </c>
      <c r="D820" t="str">
        <f>HYPERLINK("http://www.google.com/maps/place/48.22333,13.74209","Location")</f>
        <v>Location</v>
      </c>
      <c r="E820" t="s">
        <v>7427</v>
      </c>
      <c r="F820" t="s">
        <v>7428</v>
      </c>
      <c r="G820" t="s">
        <v>7430</v>
      </c>
      <c r="H820" t="s">
        <v>7431</v>
      </c>
      <c r="I820" t="s">
        <v>85</v>
      </c>
      <c r="J820" t="s">
        <v>22</v>
      </c>
      <c r="K820" t="s">
        <v>7429</v>
      </c>
      <c r="L820" t="s">
        <v>7434</v>
      </c>
      <c r="M820" t="s">
        <v>25</v>
      </c>
      <c r="N820" t="s">
        <v>7435</v>
      </c>
      <c r="O820" t="s">
        <v>7436</v>
      </c>
      <c r="P820" t="s">
        <v>7437</v>
      </c>
      <c r="Q820" t="s">
        <v>29</v>
      </c>
      <c r="R820" t="s">
        <v>7432</v>
      </c>
      <c r="S820" t="s">
        <v>7433</v>
      </c>
    </row>
    <row r="821" spans="1:19" x14ac:dyDescent="0.25">
      <c r="A821" s="1">
        <v>819</v>
      </c>
      <c r="B821" t="str">
        <f>HYPERLINK("https://www.dasschnelle.at/pöttinger-installations-gmbh-grieskirchen-roßmarkt","Website")</f>
        <v>Website</v>
      </c>
      <c r="C821" t="str">
        <f>HYPERLINK("http://www.poettinger-installation.at","Website")</f>
        <v>Website</v>
      </c>
      <c r="D821" t="str">
        <f>HYPERLINK("http://www.google.com/maps/place/48.23402,13.83021","Location")</f>
        <v>Location</v>
      </c>
      <c r="E821" t="s">
        <v>7438</v>
      </c>
      <c r="F821" t="s">
        <v>7439</v>
      </c>
      <c r="G821" t="s">
        <v>4826</v>
      </c>
      <c r="H821" t="s">
        <v>4827</v>
      </c>
      <c r="I821" t="s">
        <v>85</v>
      </c>
      <c r="J821" t="s">
        <v>22</v>
      </c>
      <c r="K821" t="s">
        <v>7440</v>
      </c>
      <c r="L821" t="s">
        <v>7443</v>
      </c>
      <c r="M821" t="s">
        <v>25</v>
      </c>
      <c r="N821" t="s">
        <v>7444</v>
      </c>
      <c r="O821" t="s">
        <v>7445</v>
      </c>
      <c r="P821" t="s">
        <v>7446</v>
      </c>
      <c r="Q821" t="s">
        <v>29</v>
      </c>
      <c r="R821" t="s">
        <v>7441</v>
      </c>
      <c r="S821" t="s">
        <v>7442</v>
      </c>
    </row>
    <row r="822" spans="1:19" x14ac:dyDescent="0.25">
      <c r="A822" s="1">
        <v>820</v>
      </c>
      <c r="B822" t="str">
        <f>HYPERLINK("https://www.dasschnelle.at/autohaus-stöbich-schlüßlberg-unternberg","Website")</f>
        <v>Website</v>
      </c>
      <c r="C822" t="str">
        <f>HYPERLINK("http://www.stoebich.at","Website")</f>
        <v>Website</v>
      </c>
      <c r="D822" t="str">
        <f>HYPERLINK("http://www.google.com/maps/place/48.2234353,13.8504788","Location")</f>
        <v>Location</v>
      </c>
      <c r="E822" t="s">
        <v>7447</v>
      </c>
      <c r="F822" t="s">
        <v>7448</v>
      </c>
      <c r="G822" t="s">
        <v>7450</v>
      </c>
      <c r="H822" t="s">
        <v>7451</v>
      </c>
      <c r="I822" t="s">
        <v>85</v>
      </c>
      <c r="J822" t="s">
        <v>22</v>
      </c>
      <c r="K822" t="s">
        <v>7449</v>
      </c>
      <c r="L822" t="s">
        <v>7454</v>
      </c>
      <c r="M822" t="s">
        <v>25</v>
      </c>
      <c r="N822" t="s">
        <v>7455</v>
      </c>
      <c r="O822" t="s">
        <v>7456</v>
      </c>
      <c r="P822" t="s">
        <v>7457</v>
      </c>
      <c r="Q822" t="s">
        <v>29</v>
      </c>
      <c r="R822" t="s">
        <v>7452</v>
      </c>
      <c r="S822" t="s">
        <v>7453</v>
      </c>
    </row>
    <row r="823" spans="1:19" x14ac:dyDescent="0.25">
      <c r="A823" s="1">
        <v>821</v>
      </c>
      <c r="B823" t="str">
        <f>HYPERLINK("https://www.dasschnelle.at/dobetsberger-anlagenbau-u-metallverarbeitung-gmbh-michaelnbach-schölmlahn","Website")</f>
        <v>Website</v>
      </c>
      <c r="C823" t="str">
        <f>HYPERLINK("http://www.dobetsberger.at","Website")</f>
        <v>Website</v>
      </c>
      <c r="D823" t="str">
        <f>HYPERLINK("http://www.google.com/maps/place/48.3014363,13.8096117","Location")</f>
        <v>Location</v>
      </c>
      <c r="E823" t="s">
        <v>7458</v>
      </c>
      <c r="F823" t="s">
        <v>7459</v>
      </c>
      <c r="G823" t="s">
        <v>7461</v>
      </c>
      <c r="H823" t="s">
        <v>7462</v>
      </c>
      <c r="I823" t="s">
        <v>85</v>
      </c>
      <c r="J823" t="s">
        <v>22</v>
      </c>
      <c r="K823" t="s">
        <v>7460</v>
      </c>
      <c r="L823" t="s">
        <v>7465</v>
      </c>
      <c r="M823" t="s">
        <v>25</v>
      </c>
      <c r="N823" t="s">
        <v>7466</v>
      </c>
      <c r="O823" t="s">
        <v>25</v>
      </c>
      <c r="P823" t="s">
        <v>7467</v>
      </c>
      <c r="Q823" t="s">
        <v>29</v>
      </c>
      <c r="R823" t="s">
        <v>7463</v>
      </c>
      <c r="S823" t="s">
        <v>7464</v>
      </c>
    </row>
    <row r="824" spans="1:19" x14ac:dyDescent="0.25">
      <c r="A824" s="1">
        <v>822</v>
      </c>
      <c r="B824" t="str">
        <f>HYPERLINK("https://www.dasschnelle.at/hofmanninger-barbara-gaspoltshofen-jeding","Website")</f>
        <v>Website</v>
      </c>
      <c r="C824" t="str">
        <f>HYPERLINK("http://www.haardesign.cc","Website")</f>
        <v>Website</v>
      </c>
      <c r="D824" t="str">
        <f>HYPERLINK("http://www.google.com/maps/place/48.13913,13.73299","Location")</f>
        <v>Location</v>
      </c>
      <c r="E824" t="s">
        <v>7468</v>
      </c>
      <c r="F824" t="s">
        <v>7469</v>
      </c>
      <c r="G824" t="s">
        <v>7471</v>
      </c>
      <c r="H824" t="s">
        <v>7472</v>
      </c>
      <c r="I824" t="s">
        <v>85</v>
      </c>
      <c r="J824" t="s">
        <v>22</v>
      </c>
      <c r="K824" t="s">
        <v>7470</v>
      </c>
      <c r="L824" t="s">
        <v>7475</v>
      </c>
      <c r="M824" t="s">
        <v>25</v>
      </c>
      <c r="N824" t="s">
        <v>7476</v>
      </c>
      <c r="O824" t="s">
        <v>25</v>
      </c>
      <c r="P824" t="s">
        <v>7477</v>
      </c>
      <c r="Q824" t="s">
        <v>29</v>
      </c>
      <c r="R824" t="s">
        <v>7473</v>
      </c>
      <c r="S824" t="s">
        <v>7474</v>
      </c>
    </row>
    <row r="825" spans="1:19" x14ac:dyDescent="0.25">
      <c r="A825" s="1">
        <v>823</v>
      </c>
      <c r="B825" t="str">
        <f>HYPERLINK("https://www.dasschnelle.at/gas-wasser-heizung-sanitär-installationen-höftberger-gesmbh-und-co-kg-aistersheim-aistersheim","Website")</f>
        <v>Website</v>
      </c>
      <c r="C825" t="str">
        <f>HYPERLINK("http://www.hoeftberger.at","Website")</f>
        <v>Website</v>
      </c>
      <c r="D825" t="str">
        <f>HYPERLINK("http://www.google.com/maps/place/48.1866589,13.7460657","Location")</f>
        <v>Location</v>
      </c>
      <c r="E825" t="s">
        <v>7478</v>
      </c>
      <c r="F825" t="s">
        <v>7479</v>
      </c>
      <c r="G825" t="s">
        <v>7481</v>
      </c>
      <c r="H825" t="s">
        <v>7482</v>
      </c>
      <c r="I825" t="s">
        <v>85</v>
      </c>
      <c r="J825" t="s">
        <v>22</v>
      </c>
      <c r="K825" t="s">
        <v>7480</v>
      </c>
      <c r="L825" t="s">
        <v>7485</v>
      </c>
      <c r="M825" t="s">
        <v>25</v>
      </c>
      <c r="N825" t="s">
        <v>7486</v>
      </c>
      <c r="O825" t="s">
        <v>25</v>
      </c>
      <c r="P825" t="s">
        <v>7487</v>
      </c>
      <c r="Q825" t="s">
        <v>29</v>
      </c>
      <c r="R825" t="s">
        <v>7483</v>
      </c>
      <c r="S825" t="s">
        <v>7484</v>
      </c>
    </row>
    <row r="826" spans="1:19" x14ac:dyDescent="0.25">
      <c r="A826" s="1">
        <v>824</v>
      </c>
      <c r="B826" t="str">
        <f>HYPERLINK("https://www.dasschnelle.at/eizenberger-franz-peuerbach-stelzhamerstraße","Website")</f>
        <v>Website</v>
      </c>
      <c r="C826" t="str">
        <f>HYPERLINK("http://www.holzbau-eizenberger.at","Website")</f>
        <v>Website</v>
      </c>
      <c r="D826" t="str">
        <f>HYPERLINK("http://www.google.com/maps/place/48.33528,13.77262","Location")</f>
        <v>Location</v>
      </c>
      <c r="E826" t="s">
        <v>7488</v>
      </c>
      <c r="F826" t="s">
        <v>7489</v>
      </c>
      <c r="G826" t="s">
        <v>7303</v>
      </c>
      <c r="H826" t="s">
        <v>7304</v>
      </c>
      <c r="I826" t="s">
        <v>85</v>
      </c>
      <c r="J826" t="s">
        <v>22</v>
      </c>
      <c r="K826" t="s">
        <v>7490</v>
      </c>
      <c r="L826" t="s">
        <v>7493</v>
      </c>
      <c r="M826" t="s">
        <v>25</v>
      </c>
      <c r="N826" t="s">
        <v>7494</v>
      </c>
      <c r="O826" t="s">
        <v>7495</v>
      </c>
      <c r="P826" t="s">
        <v>7496</v>
      </c>
      <c r="Q826" t="s">
        <v>29</v>
      </c>
      <c r="R826" t="s">
        <v>7491</v>
      </c>
      <c r="S826" t="s">
        <v>7492</v>
      </c>
    </row>
    <row r="827" spans="1:19" x14ac:dyDescent="0.25">
      <c r="A827" s="1">
        <v>825</v>
      </c>
      <c r="B827" t="str">
        <f>HYPERLINK("https://www.dasschnelle.at/beyer-brigitte-peuerbach-roßanger","Website")</f>
        <v>Website</v>
      </c>
      <c r="C827" t="str">
        <f>HYPERLINK("http://bestattung-beyer.at","Website")</f>
        <v>Website</v>
      </c>
      <c r="D827" t="str">
        <f>HYPERLINK("http://www.google.com/maps/place/48.3456,13.77383","Location")</f>
        <v>Location</v>
      </c>
      <c r="E827" t="s">
        <v>7497</v>
      </c>
      <c r="F827" t="s">
        <v>7498</v>
      </c>
      <c r="G827" t="s">
        <v>7303</v>
      </c>
      <c r="H827" t="s">
        <v>7304</v>
      </c>
      <c r="I827" t="s">
        <v>85</v>
      </c>
      <c r="J827" t="s">
        <v>22</v>
      </c>
      <c r="K827" t="s">
        <v>7499</v>
      </c>
      <c r="L827" t="s">
        <v>7502</v>
      </c>
      <c r="M827" t="s">
        <v>25</v>
      </c>
      <c r="N827" t="s">
        <v>7503</v>
      </c>
      <c r="O827" t="s">
        <v>25</v>
      </c>
      <c r="P827" t="s">
        <v>7504</v>
      </c>
      <c r="Q827" t="s">
        <v>29</v>
      </c>
      <c r="R827" t="s">
        <v>7500</v>
      </c>
      <c r="S827" t="s">
        <v>7501</v>
      </c>
    </row>
    <row r="828" spans="1:19" x14ac:dyDescent="0.25">
      <c r="A828" s="1">
        <v>826</v>
      </c>
      <c r="B828" t="str">
        <f>HYPERLINK("https://www.dasschnelle.at/sageder-fenster-u-türenwerk-gmbh-gaisbuchen","Website")</f>
        <v>Website</v>
      </c>
      <c r="C828" t="str">
        <f>HYPERLINK("http://www.sageder.at","Website")</f>
        <v>Website</v>
      </c>
      <c r="D828" t="str">
        <f>HYPERLINK("http://www.google.com/maps/place/48.4152038,13.7000552","Location")</f>
        <v>Location</v>
      </c>
      <c r="E828" t="s">
        <v>7505</v>
      </c>
      <c r="F828" t="s">
        <v>7506</v>
      </c>
      <c r="G828" t="s">
        <v>7283</v>
      </c>
      <c r="H828" t="s">
        <v>7507</v>
      </c>
      <c r="I828" t="s">
        <v>85</v>
      </c>
      <c r="J828" t="s">
        <v>22</v>
      </c>
      <c r="K828" t="s">
        <v>25</v>
      </c>
      <c r="L828" t="s">
        <v>7510</v>
      </c>
      <c r="M828" t="s">
        <v>7511</v>
      </c>
      <c r="N828" t="s">
        <v>7512</v>
      </c>
      <c r="O828" t="s">
        <v>7513</v>
      </c>
      <c r="P828" t="s">
        <v>7514</v>
      </c>
      <c r="Q828" t="s">
        <v>29</v>
      </c>
      <c r="R828" t="s">
        <v>7508</v>
      </c>
      <c r="S828" t="s">
        <v>7509</v>
      </c>
    </row>
    <row r="829" spans="1:19" x14ac:dyDescent="0.25">
      <c r="A829" s="1">
        <v>827</v>
      </c>
      <c r="B829" t="str">
        <f>HYPERLINK("https://www.dasschnelle.at/salon-erika-grieskirchen-mühlbachgasse","Website")</f>
        <v>Website</v>
      </c>
      <c r="C829" t="str">
        <f>HYPERLINK("https://www.dasschnelle.at/salon-erika-grieskirchen-m%C3%BChlbachgasse","Website")</f>
        <v>Website</v>
      </c>
      <c r="D829" t="str">
        <f>HYPERLINK("http://www.google.com/maps/place/48.23517,13.82721","Location")</f>
        <v>Location</v>
      </c>
      <c r="E829" t="s">
        <v>7515</v>
      </c>
      <c r="F829" t="s">
        <v>7516</v>
      </c>
      <c r="G829" t="s">
        <v>4826</v>
      </c>
      <c r="H829" t="s">
        <v>4827</v>
      </c>
      <c r="I829" t="s">
        <v>85</v>
      </c>
      <c r="J829" t="s">
        <v>22</v>
      </c>
      <c r="K829" t="s">
        <v>7517</v>
      </c>
      <c r="L829" t="s">
        <v>7520</v>
      </c>
      <c r="M829" t="s">
        <v>25</v>
      </c>
      <c r="N829" t="s">
        <v>25</v>
      </c>
      <c r="O829" t="s">
        <v>25</v>
      </c>
      <c r="P829" t="s">
        <v>7521</v>
      </c>
      <c r="Q829" t="s">
        <v>29</v>
      </c>
      <c r="R829" t="s">
        <v>7518</v>
      </c>
      <c r="S829" t="s">
        <v>7519</v>
      </c>
    </row>
    <row r="830" spans="1:19" x14ac:dyDescent="0.25">
      <c r="A830" s="1">
        <v>828</v>
      </c>
      <c r="B830" t="str">
        <f>HYPERLINK("https://www.dasschnelle.at/ecklmair-baggerungen-bohrtechnik-gmbh-peuerbach-steegenstraße","Website")</f>
        <v>Website</v>
      </c>
      <c r="C830" t="str">
        <f>HYPERLINK("http://www.ecklmair-erdbau.at","Website")</f>
        <v>Website</v>
      </c>
      <c r="D830" t="str">
        <f>HYPERLINK("http://www.google.com/maps/place/48.34067,13.76613","Location")</f>
        <v>Location</v>
      </c>
      <c r="E830" t="s">
        <v>7522</v>
      </c>
      <c r="F830" t="s">
        <v>7523</v>
      </c>
      <c r="G830" t="s">
        <v>7303</v>
      </c>
      <c r="H830" t="s">
        <v>7304</v>
      </c>
      <c r="I830" t="s">
        <v>85</v>
      </c>
      <c r="J830" t="s">
        <v>22</v>
      </c>
      <c r="K830" t="s">
        <v>7524</v>
      </c>
      <c r="L830" t="s">
        <v>7527</v>
      </c>
      <c r="M830" t="s">
        <v>25</v>
      </c>
      <c r="N830" t="s">
        <v>7528</v>
      </c>
      <c r="O830" t="s">
        <v>25</v>
      </c>
      <c r="P830" t="s">
        <v>7529</v>
      </c>
      <c r="Q830" t="s">
        <v>29</v>
      </c>
      <c r="R830" t="s">
        <v>7525</v>
      </c>
      <c r="S830" t="s">
        <v>7526</v>
      </c>
    </row>
    <row r="831" spans="1:19" x14ac:dyDescent="0.25">
      <c r="A831" s="1">
        <v>829</v>
      </c>
      <c r="B831" t="str">
        <f>HYPERLINK("https://www.dasschnelle.at/schönleitner-josef-weibern-schwarzgrub","Website")</f>
        <v>Website</v>
      </c>
      <c r="C831" t="str">
        <f>HYPERLINK("https://www.dasschnelle.at/sch%C3%B6nleitner-josef-weibern-schwarzgrub","Website")</f>
        <v>Website</v>
      </c>
      <c r="D831" t="str">
        <f>HYPERLINK("http://www.google.com/maps/place/48.1721600,13.6854501","Location")</f>
        <v>Location</v>
      </c>
      <c r="E831" t="s">
        <v>7530</v>
      </c>
      <c r="F831" t="s">
        <v>7531</v>
      </c>
      <c r="G831" t="s">
        <v>7355</v>
      </c>
      <c r="H831" t="s">
        <v>7356</v>
      </c>
      <c r="I831" t="s">
        <v>85</v>
      </c>
      <c r="J831" t="s">
        <v>22</v>
      </c>
      <c r="K831" t="s">
        <v>7532</v>
      </c>
      <c r="L831" t="s">
        <v>7535</v>
      </c>
      <c r="M831" t="s">
        <v>25</v>
      </c>
      <c r="N831" t="s">
        <v>7536</v>
      </c>
      <c r="O831" t="s">
        <v>25</v>
      </c>
      <c r="P831" t="s">
        <v>7537</v>
      </c>
      <c r="Q831" t="s">
        <v>29</v>
      </c>
      <c r="R831" t="s">
        <v>7533</v>
      </c>
      <c r="S831" t="s">
        <v>7534</v>
      </c>
    </row>
    <row r="832" spans="1:19" x14ac:dyDescent="0.25">
      <c r="A832" s="1">
        <v>830</v>
      </c>
      <c r="B832" t="str">
        <f>HYPERLINK("https://www.dasschnelle.at/grausgruber-kfz-reparatur-und-service-gmbh-haag-am-hausruck-starhemberg","Website")</f>
        <v>Website</v>
      </c>
      <c r="C832" t="str">
        <f>HYPERLINK("http://www.grausgruber-kfz.at","Website")</f>
        <v>Website</v>
      </c>
      <c r="D832" t="str">
        <f>HYPERLINK("http://www.google.com/maps/place/48.1885395,13.6428131","Location")</f>
        <v>Location</v>
      </c>
      <c r="E832" t="s">
        <v>7538</v>
      </c>
      <c r="F832" t="s">
        <v>7539</v>
      </c>
      <c r="G832" t="s">
        <v>7266</v>
      </c>
      <c r="H832" t="s">
        <v>7267</v>
      </c>
      <c r="I832" t="s">
        <v>85</v>
      </c>
      <c r="J832" t="s">
        <v>22</v>
      </c>
      <c r="K832" t="s">
        <v>7540</v>
      </c>
      <c r="L832" t="s">
        <v>7543</v>
      </c>
      <c r="M832" t="s">
        <v>25</v>
      </c>
      <c r="N832" t="s">
        <v>7544</v>
      </c>
      <c r="O832" t="s">
        <v>25</v>
      </c>
      <c r="P832" t="s">
        <v>7545</v>
      </c>
      <c r="Q832" t="s">
        <v>29</v>
      </c>
      <c r="R832" t="s">
        <v>7541</v>
      </c>
      <c r="S832" t="s">
        <v>7542</v>
      </c>
    </row>
    <row r="833" spans="1:19" x14ac:dyDescent="0.25">
      <c r="A833" s="1">
        <v>831</v>
      </c>
      <c r="B833" t="str">
        <f>HYPERLINK("https://www.dasschnelle.at/schoberl-pflasterungen-gaspoltshofen-hauptstraße","Website")</f>
        <v>Website</v>
      </c>
      <c r="C833" t="str">
        <f>HYPERLINK("http://www.schoberl-pflasterungen.at","Website")</f>
        <v>Website</v>
      </c>
      <c r="D833" t="str">
        <f>HYPERLINK("http://www.google.com/maps/place/48.14183,13.73637","Location")</f>
        <v>Location</v>
      </c>
      <c r="E833" t="s">
        <v>7546</v>
      </c>
      <c r="F833" t="s">
        <v>7547</v>
      </c>
      <c r="G833" t="s">
        <v>7471</v>
      </c>
      <c r="H833" t="s">
        <v>7472</v>
      </c>
      <c r="I833" t="s">
        <v>85</v>
      </c>
      <c r="J833" t="s">
        <v>22</v>
      </c>
      <c r="K833" t="s">
        <v>7548</v>
      </c>
      <c r="L833" t="s">
        <v>7551</v>
      </c>
      <c r="M833" t="s">
        <v>25</v>
      </c>
      <c r="N833" t="s">
        <v>7552</v>
      </c>
      <c r="O833" t="s">
        <v>7553</v>
      </c>
      <c r="P833" t="s">
        <v>7554</v>
      </c>
      <c r="Q833" t="s">
        <v>29</v>
      </c>
      <c r="R833" t="s">
        <v>7549</v>
      </c>
      <c r="S833" t="s">
        <v>7550</v>
      </c>
    </row>
    <row r="834" spans="1:19" x14ac:dyDescent="0.25">
      <c r="A834" s="1">
        <v>832</v>
      </c>
      <c r="B834" t="str">
        <f>HYPERLINK("https://www.dasschnelle.at/scheuringer-teana-grieskirchen-friedhofgasse","Website")</f>
        <v>Website</v>
      </c>
      <c r="C834" t="str">
        <f>HYPERLINK("http://www.3haarwunder.at","Website")</f>
        <v>Website</v>
      </c>
      <c r="D834" t="str">
        <f>HYPERLINK("http://www.google.com/maps/place/48.23353,13.83208","Location")</f>
        <v>Location</v>
      </c>
      <c r="E834" t="s">
        <v>7555</v>
      </c>
      <c r="F834" t="s">
        <v>7556</v>
      </c>
      <c r="G834" t="s">
        <v>4826</v>
      </c>
      <c r="H834" t="s">
        <v>4827</v>
      </c>
      <c r="I834" t="s">
        <v>85</v>
      </c>
      <c r="J834" t="s">
        <v>22</v>
      </c>
      <c r="K834" t="s">
        <v>7557</v>
      </c>
      <c r="L834" t="s">
        <v>7560</v>
      </c>
      <c r="M834" t="s">
        <v>25</v>
      </c>
      <c r="N834" t="s">
        <v>7561</v>
      </c>
      <c r="O834" t="s">
        <v>25</v>
      </c>
      <c r="P834" t="s">
        <v>7562</v>
      </c>
      <c r="Q834" t="s">
        <v>29</v>
      </c>
      <c r="R834" t="s">
        <v>7558</v>
      </c>
      <c r="S834" t="s">
        <v>7559</v>
      </c>
    </row>
    <row r="835" spans="1:19" x14ac:dyDescent="0.25">
      <c r="A835" s="1">
        <v>833</v>
      </c>
      <c r="B835" t="str">
        <f>HYPERLINK("https://www.dasschnelle.at/benetseder-gmbh-haag-am-hausruck-manichgattern","Website")</f>
        <v>Website</v>
      </c>
      <c r="C835" t="str">
        <f>HYPERLINK("http://www.benetseder.at","Website")</f>
        <v>Website</v>
      </c>
      <c r="D835" t="str">
        <f>HYPERLINK("http://www.google.com/maps/place/48.1799850,13.6427354","Location")</f>
        <v>Location</v>
      </c>
      <c r="E835" t="s">
        <v>7563</v>
      </c>
      <c r="F835" t="s">
        <v>7564</v>
      </c>
      <c r="G835" t="s">
        <v>7266</v>
      </c>
      <c r="H835" t="s">
        <v>7267</v>
      </c>
      <c r="I835" t="s">
        <v>85</v>
      </c>
      <c r="J835" t="s">
        <v>22</v>
      </c>
      <c r="K835" t="s">
        <v>7565</v>
      </c>
      <c r="L835" t="s">
        <v>7568</v>
      </c>
      <c r="M835" t="s">
        <v>7569</v>
      </c>
      <c r="N835" t="s">
        <v>7570</v>
      </c>
      <c r="O835" t="s">
        <v>7571</v>
      </c>
      <c r="P835" t="s">
        <v>7572</v>
      </c>
      <c r="Q835" t="s">
        <v>29</v>
      </c>
      <c r="R835" t="s">
        <v>7566</v>
      </c>
      <c r="S835" t="s">
        <v>7567</v>
      </c>
    </row>
    <row r="836" spans="1:19" x14ac:dyDescent="0.25">
      <c r="A836" s="1">
        <v>834</v>
      </c>
      <c r="B836" t="str">
        <f>HYPERLINK("https://www.dasschnelle.at/resch-metall-design-gmbh-natternbach-hauserstraße","Website")</f>
        <v>Website</v>
      </c>
      <c r="C836" t="str">
        <f>HYPERLINK("http://www.reschmetall.at","Website")</f>
        <v>Website</v>
      </c>
      <c r="D836" t="str">
        <f>HYPERLINK("http://www.google.com/maps/place/48.39172,13.75278","Location")</f>
        <v>Location</v>
      </c>
      <c r="E836" t="s">
        <v>7573</v>
      </c>
      <c r="F836" t="s">
        <v>7574</v>
      </c>
      <c r="G836" t="s">
        <v>7283</v>
      </c>
      <c r="H836" t="s">
        <v>7284</v>
      </c>
      <c r="I836" t="s">
        <v>85</v>
      </c>
      <c r="J836" t="s">
        <v>22</v>
      </c>
      <c r="K836" t="s">
        <v>7575</v>
      </c>
      <c r="L836" t="s">
        <v>7578</v>
      </c>
      <c r="M836" t="s">
        <v>25</v>
      </c>
      <c r="N836" t="s">
        <v>7579</v>
      </c>
      <c r="O836" t="s">
        <v>25</v>
      </c>
      <c r="P836" t="s">
        <v>7580</v>
      </c>
      <c r="Q836" t="s">
        <v>29</v>
      </c>
      <c r="R836" t="s">
        <v>7576</v>
      </c>
      <c r="S836" t="s">
        <v>7577</v>
      </c>
    </row>
    <row r="837" spans="1:19" x14ac:dyDescent="0.25">
      <c r="A837" s="1">
        <v>835</v>
      </c>
      <c r="B837" t="str">
        <f>HYPERLINK("https://www.dasschnelle.at/hinterhofer-anita-hallein-salzburger-schützenweg","Website")</f>
        <v>Website</v>
      </c>
      <c r="C837" t="str">
        <f>HYPERLINK("http://www.friseur-hallein.at","Website")</f>
        <v>Website</v>
      </c>
      <c r="D837" t="str">
        <f>HYPERLINK("http://www.google.com/maps/place/47.69508,13.08735","Location")</f>
        <v>Location</v>
      </c>
      <c r="E837" t="s">
        <v>7581</v>
      </c>
      <c r="F837" t="s">
        <v>7582</v>
      </c>
      <c r="G837" t="s">
        <v>7584</v>
      </c>
      <c r="H837" t="s">
        <v>7585</v>
      </c>
      <c r="I837" t="s">
        <v>2239</v>
      </c>
      <c r="J837" t="s">
        <v>22</v>
      </c>
      <c r="K837" t="s">
        <v>7583</v>
      </c>
      <c r="L837" t="s">
        <v>7588</v>
      </c>
      <c r="M837" t="s">
        <v>25</v>
      </c>
      <c r="N837" t="s">
        <v>7589</v>
      </c>
      <c r="O837" t="s">
        <v>7590</v>
      </c>
      <c r="P837" t="s">
        <v>7591</v>
      </c>
      <c r="Q837" t="s">
        <v>29</v>
      </c>
      <c r="R837" t="s">
        <v>7586</v>
      </c>
      <c r="S837" t="s">
        <v>7587</v>
      </c>
    </row>
    <row r="838" spans="1:19" x14ac:dyDescent="0.25">
      <c r="A838" s="1">
        <v>836</v>
      </c>
      <c r="B838" t="str">
        <f>HYPERLINK("https://www.dasschnelle.at/steinmetz-fallwickl-gesmbh-hallein-davisstraße","Website")</f>
        <v>Website</v>
      </c>
      <c r="C838" t="str">
        <f>HYPERLINK("http://www.fallwickl.com","Website")</f>
        <v>Website</v>
      </c>
      <c r="D838" t="str">
        <f>HYPERLINK("http://www.google.com/maps/place/47.67992,13.09924","Location")</f>
        <v>Location</v>
      </c>
      <c r="E838" t="s">
        <v>7592</v>
      </c>
      <c r="F838" t="s">
        <v>7593</v>
      </c>
      <c r="G838" t="s">
        <v>7584</v>
      </c>
      <c r="H838" t="s">
        <v>7585</v>
      </c>
      <c r="I838" t="s">
        <v>2239</v>
      </c>
      <c r="J838" t="s">
        <v>22</v>
      </c>
      <c r="K838" t="s">
        <v>7594</v>
      </c>
      <c r="L838" t="s">
        <v>7597</v>
      </c>
      <c r="M838" t="s">
        <v>7598</v>
      </c>
      <c r="N838" t="s">
        <v>7599</v>
      </c>
      <c r="O838" t="s">
        <v>25</v>
      </c>
      <c r="P838" t="s">
        <v>7600</v>
      </c>
      <c r="Q838" t="s">
        <v>29</v>
      </c>
      <c r="R838" t="s">
        <v>7595</v>
      </c>
      <c r="S838" t="s">
        <v>7596</v>
      </c>
    </row>
    <row r="839" spans="1:19" x14ac:dyDescent="0.25">
      <c r="A839" s="1">
        <v>837</v>
      </c>
      <c r="B839" t="str">
        <f>HYPERLINK("https://www.dasschnelle.at/rettenbacher-michael-adnet-waidach","Website")</f>
        <v>Website</v>
      </c>
      <c r="C839" t="str">
        <f>HYPERLINK("http://www.rettmich.at","Website")</f>
        <v>Website</v>
      </c>
      <c r="D839" t="str">
        <f>HYPERLINK("http://www.google.com/maps/place/47.6893838,13.1374106","Location")</f>
        <v>Location</v>
      </c>
      <c r="E839" t="s">
        <v>7601</v>
      </c>
      <c r="F839" t="s">
        <v>7602</v>
      </c>
      <c r="G839" t="s">
        <v>7604</v>
      </c>
      <c r="H839" t="s">
        <v>7605</v>
      </c>
      <c r="I839" t="s">
        <v>2239</v>
      </c>
      <c r="J839" t="s">
        <v>22</v>
      </c>
      <c r="K839" t="s">
        <v>7603</v>
      </c>
      <c r="L839" t="s">
        <v>7608</v>
      </c>
      <c r="M839" t="s">
        <v>25</v>
      </c>
      <c r="N839" t="s">
        <v>7609</v>
      </c>
      <c r="O839" t="s">
        <v>25</v>
      </c>
      <c r="P839" t="s">
        <v>7610</v>
      </c>
      <c r="Q839" t="s">
        <v>29</v>
      </c>
      <c r="R839" t="s">
        <v>7606</v>
      </c>
      <c r="S839" t="s">
        <v>7607</v>
      </c>
    </row>
    <row r="840" spans="1:19" x14ac:dyDescent="0.25">
      <c r="A840" s="1">
        <v>838</v>
      </c>
      <c r="B840" t="str">
        <f>HYPERLINK("https://www.dasschnelle.at/auer-peter-abtenau-au","Website")</f>
        <v>Website</v>
      </c>
      <c r="C840" t="str">
        <f>HYPERLINK("http://www.holzbau-peterauer.at","Website")</f>
        <v>Website</v>
      </c>
      <c r="D840" t="str">
        <f>HYPERLINK("http://www.google.com/maps/place/47.5586534,13.3538528","Location")</f>
        <v>Location</v>
      </c>
      <c r="E840" t="s">
        <v>7611</v>
      </c>
      <c r="F840" t="s">
        <v>7612</v>
      </c>
      <c r="G840" t="s">
        <v>7614</v>
      </c>
      <c r="H840" t="s">
        <v>7615</v>
      </c>
      <c r="I840" t="s">
        <v>2239</v>
      </c>
      <c r="J840" t="s">
        <v>22</v>
      </c>
      <c r="K840" t="s">
        <v>7613</v>
      </c>
      <c r="L840" t="s">
        <v>7618</v>
      </c>
      <c r="M840" t="s">
        <v>25</v>
      </c>
      <c r="N840" t="s">
        <v>7619</v>
      </c>
      <c r="O840" t="s">
        <v>7620</v>
      </c>
      <c r="P840" t="s">
        <v>7621</v>
      </c>
      <c r="Q840" t="s">
        <v>29</v>
      </c>
      <c r="R840" t="s">
        <v>7616</v>
      </c>
      <c r="S840" t="s">
        <v>7617</v>
      </c>
    </row>
    <row r="841" spans="1:19" x14ac:dyDescent="0.25">
      <c r="A841" s="1">
        <v>839</v>
      </c>
      <c r="B841" t="str">
        <f>HYPERLINK("https://www.dasschnelle.at/haigermoser-maria-annaberg-lungötz-neubach","Website")</f>
        <v>Website</v>
      </c>
      <c r="C841" t="str">
        <f>HYPERLINK("https://www.dasschnelle.at/haigermoser-maria-annaberg-lung%C3%B6tz-neubach","Website")</f>
        <v>Website</v>
      </c>
      <c r="D841" t="str">
        <f>HYPERLINK("http://www.google.com/maps/place/47.4871554,13.4479732","Location")</f>
        <v>Location</v>
      </c>
      <c r="E841" t="s">
        <v>7622</v>
      </c>
      <c r="F841" t="s">
        <v>7623</v>
      </c>
      <c r="G841" t="s">
        <v>7625</v>
      </c>
      <c r="H841" t="s">
        <v>7626</v>
      </c>
      <c r="I841" t="s">
        <v>2239</v>
      </c>
      <c r="J841" t="s">
        <v>22</v>
      </c>
      <c r="K841" t="s">
        <v>7624</v>
      </c>
      <c r="L841" t="s">
        <v>7629</v>
      </c>
      <c r="M841" t="s">
        <v>25</v>
      </c>
      <c r="N841" t="s">
        <v>7630</v>
      </c>
      <c r="O841" t="s">
        <v>25</v>
      </c>
      <c r="P841" t="s">
        <v>7631</v>
      </c>
      <c r="Q841" t="s">
        <v>29</v>
      </c>
      <c r="R841" t="s">
        <v>7627</v>
      </c>
      <c r="S841" t="s">
        <v>7628</v>
      </c>
    </row>
    <row r="842" spans="1:19" x14ac:dyDescent="0.25">
      <c r="A842" s="1">
        <v>840</v>
      </c>
      <c r="B842" t="str">
        <f>HYPERLINK("https://www.dasschnelle.at/weissenbacher-installationen-puch-bei-hallein-staudenführerweg","Website")</f>
        <v>Website</v>
      </c>
      <c r="C842" t="str">
        <f>HYPERLINK("http://www.weissenbacher-installationen.at","Website")</f>
        <v>Website</v>
      </c>
      <c r="D842" t="str">
        <f>HYPERLINK("http://www.google.com/maps/place/47.73439,13.08938","Location")</f>
        <v>Location</v>
      </c>
      <c r="E842" t="s">
        <v>7632</v>
      </c>
      <c r="F842" t="s">
        <v>7633</v>
      </c>
      <c r="G842" t="s">
        <v>7635</v>
      </c>
      <c r="H842" t="s">
        <v>7636</v>
      </c>
      <c r="I842" t="s">
        <v>2239</v>
      </c>
      <c r="J842" t="s">
        <v>22</v>
      </c>
      <c r="K842" t="s">
        <v>7634</v>
      </c>
      <c r="L842" t="s">
        <v>7639</v>
      </c>
      <c r="M842" t="s">
        <v>25</v>
      </c>
      <c r="N842" t="s">
        <v>7640</v>
      </c>
      <c r="O842" t="s">
        <v>25</v>
      </c>
      <c r="P842" t="s">
        <v>7641</v>
      </c>
      <c r="Q842" t="s">
        <v>29</v>
      </c>
      <c r="R842" t="s">
        <v>7637</v>
      </c>
      <c r="S842" t="s">
        <v>7638</v>
      </c>
    </row>
    <row r="843" spans="1:19" x14ac:dyDescent="0.25">
      <c r="A843" s="1">
        <v>841</v>
      </c>
      <c r="B843" t="str">
        <f>HYPERLINK("https://www.dasschnelle.at/schaber-anton-paul-hallein-salzachtalstraße","Website")</f>
        <v>Website</v>
      </c>
      <c r="C843" t="str">
        <f>HYPERLINK("http://www.schaber-installationen.at","Website")</f>
        <v>Website</v>
      </c>
      <c r="D843" t="str">
        <f>HYPERLINK("http://www.google.com/maps/place/47.68067,13.10342","Location")</f>
        <v>Location</v>
      </c>
      <c r="E843" t="s">
        <v>7642</v>
      </c>
      <c r="F843" t="s">
        <v>7643</v>
      </c>
      <c r="G843" t="s">
        <v>7584</v>
      </c>
      <c r="H843" t="s">
        <v>7585</v>
      </c>
      <c r="I843" t="s">
        <v>2239</v>
      </c>
      <c r="J843" t="s">
        <v>22</v>
      </c>
      <c r="K843" t="s">
        <v>7644</v>
      </c>
      <c r="L843" t="s">
        <v>7647</v>
      </c>
      <c r="M843" t="s">
        <v>25</v>
      </c>
      <c r="N843" t="s">
        <v>7648</v>
      </c>
      <c r="O843" t="s">
        <v>25</v>
      </c>
      <c r="P843" t="s">
        <v>7649</v>
      </c>
      <c r="Q843" t="s">
        <v>29</v>
      </c>
      <c r="R843" t="s">
        <v>7645</v>
      </c>
      <c r="S843" t="s">
        <v>7646</v>
      </c>
    </row>
    <row r="844" spans="1:19" x14ac:dyDescent="0.25">
      <c r="A844" s="1">
        <v>842</v>
      </c>
      <c r="B844" t="str">
        <f>HYPERLINK("https://www.dasschnelle.at/karosseriebau-essl-gmbh-golling-an-der-salzach-bluntaustraße","Website")</f>
        <v>Website</v>
      </c>
      <c r="C844" t="str">
        <f>HYPERLINK("https://www.dasschnelle.at/karosseriebau-essl-gmbh-golling-an-der-salzach-bluntaustra%C3%9Fe","Website")</f>
        <v>Website</v>
      </c>
      <c r="D844" t="str">
        <f>HYPERLINK("http://www.google.com/maps/place/47.59612,13.16334","Location")</f>
        <v>Location</v>
      </c>
      <c r="E844" t="s">
        <v>7650</v>
      </c>
      <c r="F844" t="s">
        <v>7651</v>
      </c>
      <c r="G844" t="s">
        <v>7653</v>
      </c>
      <c r="H844" t="s">
        <v>7654</v>
      </c>
      <c r="I844" t="s">
        <v>2239</v>
      </c>
      <c r="J844" t="s">
        <v>22</v>
      </c>
      <c r="K844" t="s">
        <v>7652</v>
      </c>
      <c r="L844" t="s">
        <v>7657</v>
      </c>
      <c r="M844" t="s">
        <v>25</v>
      </c>
      <c r="N844" t="s">
        <v>7658</v>
      </c>
      <c r="O844" t="s">
        <v>25</v>
      </c>
      <c r="P844" t="s">
        <v>7659</v>
      </c>
      <c r="Q844" t="s">
        <v>29</v>
      </c>
      <c r="R844" t="s">
        <v>7655</v>
      </c>
      <c r="S844" t="s">
        <v>7656</v>
      </c>
    </row>
    <row r="845" spans="1:19" x14ac:dyDescent="0.25">
      <c r="A845" s="1">
        <v>843</v>
      </c>
      <c r="B845" t="str">
        <f>HYPERLINK("https://www.dasschnelle.at/gasthof-krisplwirt-krispl-krispl","Website")</f>
        <v>Website</v>
      </c>
      <c r="C845" t="str">
        <f>HYPERLINK("http://www.krisplwirt.at","Website")</f>
        <v>Website</v>
      </c>
      <c r="D845" t="str">
        <f>HYPERLINK("http://www.google.com/maps/place/47.7161397,13.1800071","Location")</f>
        <v>Location</v>
      </c>
      <c r="E845" t="s">
        <v>7660</v>
      </c>
      <c r="F845" t="s">
        <v>7661</v>
      </c>
      <c r="G845" t="s">
        <v>7663</v>
      </c>
      <c r="H845" t="s">
        <v>7664</v>
      </c>
      <c r="I845" t="s">
        <v>2239</v>
      </c>
      <c r="J845" t="s">
        <v>22</v>
      </c>
      <c r="K845" t="s">
        <v>7662</v>
      </c>
      <c r="L845" t="s">
        <v>7667</v>
      </c>
      <c r="M845" t="s">
        <v>25</v>
      </c>
      <c r="N845" t="s">
        <v>7668</v>
      </c>
      <c r="O845" t="s">
        <v>25</v>
      </c>
      <c r="P845" t="s">
        <v>7669</v>
      </c>
      <c r="Q845" t="s">
        <v>29</v>
      </c>
      <c r="R845" t="s">
        <v>7665</v>
      </c>
      <c r="S845" t="s">
        <v>7666</v>
      </c>
    </row>
    <row r="846" spans="1:19" x14ac:dyDescent="0.25">
      <c r="A846" s="1">
        <v>844</v>
      </c>
      <c r="B846" t="str">
        <f>HYPERLINK("https://www.dasschnelle.at/ratzer-karin-dr-med-univ-hallein-kuffergasse","Website")</f>
        <v>Website</v>
      </c>
      <c r="C846" t="str">
        <f>HYPERLINK("http://www.karinratzer.at","Website")</f>
        <v>Website</v>
      </c>
      <c r="D846" t="str">
        <f>HYPERLINK("http://www.google.com/maps/place/47.68293,13.09413","Location")</f>
        <v>Location</v>
      </c>
      <c r="E846" t="s">
        <v>7670</v>
      </c>
      <c r="F846" t="s">
        <v>7671</v>
      </c>
      <c r="G846" t="s">
        <v>7584</v>
      </c>
      <c r="H846" t="s">
        <v>7585</v>
      </c>
      <c r="I846" t="s">
        <v>2239</v>
      </c>
      <c r="J846" t="s">
        <v>22</v>
      </c>
      <c r="K846" t="s">
        <v>7672</v>
      </c>
      <c r="L846" t="s">
        <v>7675</v>
      </c>
      <c r="M846" t="s">
        <v>25</v>
      </c>
      <c r="N846" t="s">
        <v>7676</v>
      </c>
      <c r="O846" t="s">
        <v>25</v>
      </c>
      <c r="P846" t="s">
        <v>7677</v>
      </c>
      <c r="Q846" t="s">
        <v>29</v>
      </c>
      <c r="R846" t="s">
        <v>7673</v>
      </c>
      <c r="S846" t="s">
        <v>7674</v>
      </c>
    </row>
    <row r="847" spans="1:19" x14ac:dyDescent="0.25">
      <c r="A847" s="1">
        <v>845</v>
      </c>
      <c r="B847" t="str">
        <f>HYPERLINK("https://www.dasschnelle.at/schöberl-christian-hallein-burglehenweg","Website")</f>
        <v>Website</v>
      </c>
      <c r="C847" t="str">
        <f>HYPERLINK("https://www.dasschnelle.at/sch%C3%B6berl-christian-hallein-burglehenweg","Website")</f>
        <v>Website</v>
      </c>
      <c r="D847" t="str">
        <f>HYPERLINK("http://www.google.com/maps/place/47.70753,13.06709","Location")</f>
        <v>Location</v>
      </c>
      <c r="E847" t="s">
        <v>7678</v>
      </c>
      <c r="F847" t="s">
        <v>7679</v>
      </c>
      <c r="G847" t="s">
        <v>7584</v>
      </c>
      <c r="H847" t="s">
        <v>7585</v>
      </c>
      <c r="I847" t="s">
        <v>2239</v>
      </c>
      <c r="J847" t="s">
        <v>22</v>
      </c>
      <c r="K847" t="s">
        <v>7680</v>
      </c>
      <c r="L847" t="s">
        <v>7683</v>
      </c>
      <c r="M847" t="s">
        <v>25</v>
      </c>
      <c r="N847" t="s">
        <v>7684</v>
      </c>
      <c r="O847" t="s">
        <v>25</v>
      </c>
      <c r="P847" t="s">
        <v>7685</v>
      </c>
      <c r="Q847" t="s">
        <v>29</v>
      </c>
      <c r="R847" t="s">
        <v>7681</v>
      </c>
      <c r="S847" t="s">
        <v>7682</v>
      </c>
    </row>
    <row r="848" spans="1:19" x14ac:dyDescent="0.25">
      <c r="A848" s="1">
        <v>846</v>
      </c>
      <c r="B848" t="str">
        <f>HYPERLINK("https://www.dasschnelle.at/gasthaus-alpenblick-krispl-krispl-krispl","Website")</f>
        <v>Website</v>
      </c>
      <c r="C848" t="str">
        <f>HYPERLINK("http://www.alpenblick-krispl.at","Website")</f>
        <v>Website</v>
      </c>
      <c r="D848" t="str">
        <f>HYPERLINK("http://www.google.com/maps/place/47.7149147,13.1771179","Location")</f>
        <v>Location</v>
      </c>
      <c r="E848" t="s">
        <v>7686</v>
      </c>
      <c r="F848" t="s">
        <v>7687</v>
      </c>
      <c r="G848" t="s">
        <v>7663</v>
      </c>
      <c r="H848" t="s">
        <v>7664</v>
      </c>
      <c r="I848" t="s">
        <v>2239</v>
      </c>
      <c r="J848" t="s">
        <v>22</v>
      </c>
      <c r="K848" t="s">
        <v>7688</v>
      </c>
      <c r="L848" t="s">
        <v>7691</v>
      </c>
      <c r="M848" t="s">
        <v>25</v>
      </c>
      <c r="N848" t="s">
        <v>7692</v>
      </c>
      <c r="O848" t="s">
        <v>25</v>
      </c>
      <c r="P848" t="s">
        <v>7693</v>
      </c>
      <c r="Q848" t="s">
        <v>29</v>
      </c>
      <c r="R848" t="s">
        <v>7689</v>
      </c>
      <c r="S848" t="s">
        <v>7690</v>
      </c>
    </row>
    <row r="849" spans="1:19" x14ac:dyDescent="0.25">
      <c r="A849" s="1">
        <v>847</v>
      </c>
      <c r="B849" t="str">
        <f>HYPERLINK("https://www.dasschnelle.at/schorn-theresia-kuchl-garnei","Website")</f>
        <v>Website</v>
      </c>
      <c r="C849" t="str">
        <f>HYPERLINK("http://www.pt-schorn.at","Website")</f>
        <v>Website</v>
      </c>
      <c r="D849" t="str">
        <f>HYPERLINK("http://www.google.com/maps/place/47.6474980,13.1344771","Location")</f>
        <v>Location</v>
      </c>
      <c r="E849" t="s">
        <v>7694</v>
      </c>
      <c r="F849" t="s">
        <v>7695</v>
      </c>
      <c r="G849" t="s">
        <v>7697</v>
      </c>
      <c r="H849" t="s">
        <v>7698</v>
      </c>
      <c r="I849" t="s">
        <v>2239</v>
      </c>
      <c r="J849" t="s">
        <v>22</v>
      </c>
      <c r="K849" t="s">
        <v>7696</v>
      </c>
      <c r="L849" t="s">
        <v>7701</v>
      </c>
      <c r="M849" t="s">
        <v>25</v>
      </c>
      <c r="N849" t="s">
        <v>7702</v>
      </c>
      <c r="O849" t="s">
        <v>25</v>
      </c>
      <c r="P849" t="s">
        <v>7703</v>
      </c>
      <c r="Q849" t="s">
        <v>29</v>
      </c>
      <c r="R849" t="s">
        <v>7699</v>
      </c>
      <c r="S849" t="s">
        <v>7700</v>
      </c>
    </row>
    <row r="850" spans="1:19" x14ac:dyDescent="0.25">
      <c r="A850" s="1">
        <v>848</v>
      </c>
      <c r="B850" t="str">
        <f>HYPERLINK("https://www.dasschnelle.at/physiotherapie-und-osteopathie-reiter-golling-an-der-salzach-rabensteinweg","Website")</f>
        <v>Website</v>
      </c>
      <c r="C850" t="str">
        <f>HYPERLINK("http://www.physio-am-rabenstein.at","Website")</f>
        <v>Website</v>
      </c>
      <c r="D850" t="str">
        <f>HYPERLINK("http://www.google.com/maps/place/47.60041,13.17233","Location")</f>
        <v>Location</v>
      </c>
      <c r="E850" t="s">
        <v>7704</v>
      </c>
      <c r="F850" t="s">
        <v>7705</v>
      </c>
      <c r="G850" t="s">
        <v>7653</v>
      </c>
      <c r="H850" t="s">
        <v>7654</v>
      </c>
      <c r="I850" t="s">
        <v>2239</v>
      </c>
      <c r="J850" t="s">
        <v>22</v>
      </c>
      <c r="K850" t="s">
        <v>7706</v>
      </c>
      <c r="L850" t="s">
        <v>7709</v>
      </c>
      <c r="M850" t="s">
        <v>25</v>
      </c>
      <c r="N850" t="s">
        <v>7710</v>
      </c>
      <c r="O850" t="s">
        <v>25</v>
      </c>
      <c r="P850" t="s">
        <v>7711</v>
      </c>
      <c r="Q850" t="s">
        <v>29</v>
      </c>
      <c r="R850" t="s">
        <v>7707</v>
      </c>
      <c r="S850" t="s">
        <v>7708</v>
      </c>
    </row>
    <row r="851" spans="1:19" x14ac:dyDescent="0.25">
      <c r="A851" s="1">
        <v>849</v>
      </c>
      <c r="B851" t="str">
        <f>HYPERLINK("https://www.dasschnelle.at/wittner-gudrun-kuchl-markt","Website")</f>
        <v>Website</v>
      </c>
      <c r="C851" t="str">
        <f>HYPERLINK("http://www.blumenniebauer.at","Website")</f>
        <v>Website</v>
      </c>
      <c r="D851" t="str">
        <f>HYPERLINK("http://www.google.com/maps/place/47.62632,13.1449","Location")</f>
        <v>Location</v>
      </c>
      <c r="E851" t="s">
        <v>7712</v>
      </c>
      <c r="F851" t="s">
        <v>7713</v>
      </c>
      <c r="G851" t="s">
        <v>7697</v>
      </c>
      <c r="H851" t="s">
        <v>7698</v>
      </c>
      <c r="I851" t="s">
        <v>2239</v>
      </c>
      <c r="J851" t="s">
        <v>22</v>
      </c>
      <c r="K851" t="s">
        <v>7714</v>
      </c>
      <c r="L851" t="s">
        <v>7717</v>
      </c>
      <c r="M851" t="s">
        <v>25</v>
      </c>
      <c r="N851" t="s">
        <v>7718</v>
      </c>
      <c r="O851" t="s">
        <v>25</v>
      </c>
      <c r="P851" t="s">
        <v>7719</v>
      </c>
      <c r="Q851" t="s">
        <v>29</v>
      </c>
      <c r="R851" t="s">
        <v>7715</v>
      </c>
      <c r="S851" t="s">
        <v>7716</v>
      </c>
    </row>
    <row r="852" spans="1:19" x14ac:dyDescent="0.25">
      <c r="A852" s="1">
        <v>850</v>
      </c>
      <c r="B852" t="str">
        <f>HYPERLINK("https://www.dasschnelle.at/wenger-josef-adnet-adnet","Website")</f>
        <v>Website</v>
      </c>
      <c r="C852" t="str">
        <f>HYPERLINK("http://www.elektro-wenger.at","Website")</f>
        <v>Website</v>
      </c>
      <c r="D852" t="str">
        <f>HYPERLINK("http://www.google.com/maps/place/47.6972981,13.1259124","Location")</f>
        <v>Location</v>
      </c>
      <c r="E852" t="s">
        <v>7720</v>
      </c>
      <c r="F852" t="s">
        <v>7721</v>
      </c>
      <c r="G852" t="s">
        <v>7604</v>
      </c>
      <c r="H852" t="s">
        <v>7605</v>
      </c>
      <c r="I852" t="s">
        <v>2239</v>
      </c>
      <c r="J852" t="s">
        <v>22</v>
      </c>
      <c r="K852" t="s">
        <v>7722</v>
      </c>
      <c r="L852" t="s">
        <v>7725</v>
      </c>
      <c r="M852" t="s">
        <v>7726</v>
      </c>
      <c r="N852" t="s">
        <v>7727</v>
      </c>
      <c r="O852" t="s">
        <v>25</v>
      </c>
      <c r="P852" t="s">
        <v>7728</v>
      </c>
      <c r="Q852" t="s">
        <v>29</v>
      </c>
      <c r="R852" t="s">
        <v>7723</v>
      </c>
      <c r="S852" t="s">
        <v>7724</v>
      </c>
    </row>
    <row r="853" spans="1:19" x14ac:dyDescent="0.25">
      <c r="A853" s="1">
        <v>851</v>
      </c>
      <c r="B853" t="str">
        <f>HYPERLINK("https://www.dasschnelle.at/falch-gerald-optik-stöckl-hallein-bahnhofstraße","Website")</f>
        <v>Website</v>
      </c>
      <c r="C853" t="str">
        <f>HYPERLINK("http://www.a-u-e.net","Website")</f>
        <v>Website</v>
      </c>
      <c r="D853" t="str">
        <f>HYPERLINK("http://www.google.com/maps/place/47.6836600,13.0979200","Location")</f>
        <v>Location</v>
      </c>
      <c r="E853" t="s">
        <v>7729</v>
      </c>
      <c r="F853" t="s">
        <v>7730</v>
      </c>
      <c r="G853" t="s">
        <v>7584</v>
      </c>
      <c r="H853" t="s">
        <v>7585</v>
      </c>
      <c r="I853" t="s">
        <v>2239</v>
      </c>
      <c r="J853" t="s">
        <v>22</v>
      </c>
      <c r="K853" t="s">
        <v>4581</v>
      </c>
      <c r="L853" t="s">
        <v>7733</v>
      </c>
      <c r="M853" t="s">
        <v>7734</v>
      </c>
      <c r="N853" t="s">
        <v>7735</v>
      </c>
      <c r="O853" t="s">
        <v>25</v>
      </c>
      <c r="P853" t="s">
        <v>7736</v>
      </c>
      <c r="Q853" t="s">
        <v>29</v>
      </c>
      <c r="R853" t="s">
        <v>7731</v>
      </c>
      <c r="S853" t="s">
        <v>7732</v>
      </c>
    </row>
    <row r="854" spans="1:19" x14ac:dyDescent="0.25">
      <c r="A854" s="1">
        <v>852</v>
      </c>
      <c r="B854" t="str">
        <f>HYPERLINK("https://www.dasschnelle.at/hötzenauer-gerald-annaberg-im-lammertal-annaberg-im-lammertal","Website")</f>
        <v>Website</v>
      </c>
      <c r="C854" t="str">
        <f>HYPERLINK("http://www.hoetzenauer.at","Website")</f>
        <v>Website</v>
      </c>
      <c r="D854" t="str">
        <f>HYPERLINK("http://www.google.com/maps/place/47.5143061,13.4521201","Location")</f>
        <v>Location</v>
      </c>
      <c r="E854" t="s">
        <v>7737</v>
      </c>
      <c r="F854" t="s">
        <v>7738</v>
      </c>
      <c r="G854" t="s">
        <v>7740</v>
      </c>
      <c r="H854" t="s">
        <v>7741</v>
      </c>
      <c r="I854" t="s">
        <v>2239</v>
      </c>
      <c r="J854" t="s">
        <v>22</v>
      </c>
      <c r="K854" t="s">
        <v>7739</v>
      </c>
      <c r="L854" t="s">
        <v>7744</v>
      </c>
      <c r="M854" t="s">
        <v>25</v>
      </c>
      <c r="N854" t="s">
        <v>7745</v>
      </c>
      <c r="O854" t="s">
        <v>25</v>
      </c>
      <c r="P854" t="s">
        <v>7746</v>
      </c>
      <c r="Q854" t="s">
        <v>29</v>
      </c>
      <c r="R854" t="s">
        <v>7742</v>
      </c>
      <c r="S854" t="s">
        <v>7743</v>
      </c>
    </row>
    <row r="855" spans="1:19" x14ac:dyDescent="0.25">
      <c r="A855" s="1">
        <v>853</v>
      </c>
      <c r="B855" t="str">
        <f>HYPERLINK("https://www.dasschnelle.at/friedrich-und-simonutti-og-steuerberatungsgesellschaft-hallein-glaneckerweg","Website")</f>
        <v>Website</v>
      </c>
      <c r="C855" t="str">
        <f>HYPERLINK("http://www.steuermanager.at","Website")</f>
        <v>Website</v>
      </c>
      <c r="D855" t="str">
        <f>HYPERLINK("http://www.google.com/maps/place/47.70277,13.07201","Location")</f>
        <v>Location</v>
      </c>
      <c r="E855" t="s">
        <v>7747</v>
      </c>
      <c r="F855" t="s">
        <v>7748</v>
      </c>
      <c r="G855" t="s">
        <v>7584</v>
      </c>
      <c r="H855" t="s">
        <v>7585</v>
      </c>
      <c r="I855" t="s">
        <v>2239</v>
      </c>
      <c r="J855" t="s">
        <v>22</v>
      </c>
      <c r="K855" t="s">
        <v>7749</v>
      </c>
      <c r="L855" t="s">
        <v>7752</v>
      </c>
      <c r="M855" t="s">
        <v>25</v>
      </c>
      <c r="N855" t="s">
        <v>7753</v>
      </c>
      <c r="O855" t="s">
        <v>25</v>
      </c>
      <c r="P855" t="s">
        <v>7754</v>
      </c>
      <c r="Q855" t="s">
        <v>29</v>
      </c>
      <c r="R855" t="s">
        <v>7750</v>
      </c>
      <c r="S855" t="s">
        <v>7751</v>
      </c>
    </row>
    <row r="856" spans="1:19" x14ac:dyDescent="0.25">
      <c r="A856" s="1">
        <v>854</v>
      </c>
      <c r="B856" t="str">
        <f>HYPERLINK("https://www.dasschnelle.at/steindl-mayr-ohg-mercedes-benz-vertragswerkstätte-kuchl-garnei","Website")</f>
        <v>Website</v>
      </c>
      <c r="C856" t="str">
        <f>HYPERLINK("http://www.steindl-mayr.at","Website")</f>
        <v>Website</v>
      </c>
      <c r="D856" t="str">
        <f>HYPERLINK("http://www.google.com/maps/place/47.6489220,13.1324112","Location")</f>
        <v>Location</v>
      </c>
      <c r="E856" t="s">
        <v>7755</v>
      </c>
      <c r="F856" t="s">
        <v>7756</v>
      </c>
      <c r="G856" t="s">
        <v>7697</v>
      </c>
      <c r="H856" t="s">
        <v>7698</v>
      </c>
      <c r="I856" t="s">
        <v>2239</v>
      </c>
      <c r="J856" t="s">
        <v>22</v>
      </c>
      <c r="K856" t="s">
        <v>7757</v>
      </c>
      <c r="L856" t="s">
        <v>7760</v>
      </c>
      <c r="M856" t="s">
        <v>25</v>
      </c>
      <c r="N856" t="s">
        <v>7761</v>
      </c>
      <c r="O856" t="s">
        <v>7762</v>
      </c>
      <c r="P856" t="s">
        <v>7763</v>
      </c>
      <c r="Q856" t="s">
        <v>29</v>
      </c>
      <c r="R856" t="s">
        <v>7758</v>
      </c>
      <c r="S856" t="s">
        <v>7759</v>
      </c>
    </row>
    <row r="857" spans="1:19" x14ac:dyDescent="0.25">
      <c r="A857" s="1">
        <v>855</v>
      </c>
      <c r="B857" t="str">
        <f>HYPERLINK("https://www.dasschnelle.at/zuckerstätter-anton-ing-oberalm-wiestalstraße","Website")</f>
        <v>Website</v>
      </c>
      <c r="C857" t="str">
        <f>HYPERLINK("https://www.dasschnelle.at/zuckerst%C3%A4tter-anton-ing-oberalm-wiestalstra%C3%9Fe","Website")</f>
        <v>Website</v>
      </c>
      <c r="D857" t="str">
        <f>HYPERLINK("http://www.google.com/maps/place/47.71396,13.12367","Location")</f>
        <v>Location</v>
      </c>
      <c r="E857" t="s">
        <v>7764</v>
      </c>
      <c r="F857" t="s">
        <v>7765</v>
      </c>
      <c r="G857" t="s">
        <v>7767</v>
      </c>
      <c r="H857" t="s">
        <v>7768</v>
      </c>
      <c r="I857" t="s">
        <v>2239</v>
      </c>
      <c r="J857" t="s">
        <v>22</v>
      </c>
      <c r="K857" t="s">
        <v>7766</v>
      </c>
      <c r="L857" t="s">
        <v>7771</v>
      </c>
      <c r="M857" t="s">
        <v>25</v>
      </c>
      <c r="N857" t="s">
        <v>7772</v>
      </c>
      <c r="O857" t="s">
        <v>25</v>
      </c>
      <c r="P857" t="s">
        <v>7773</v>
      </c>
      <c r="Q857" t="s">
        <v>29</v>
      </c>
      <c r="R857" t="s">
        <v>7769</v>
      </c>
      <c r="S857" t="s">
        <v>7770</v>
      </c>
    </row>
    <row r="858" spans="1:19" x14ac:dyDescent="0.25">
      <c r="A858" s="1">
        <v>856</v>
      </c>
      <c r="B858" t="str">
        <f>HYPERLINK("https://www.dasschnelle.at/w-brandl-gesmbh-vigaun-langgasse","Website")</f>
        <v>Website</v>
      </c>
      <c r="C858" t="str">
        <f>HYPERLINK("http://www.elektrobrandl.com","Website")</f>
        <v>Website</v>
      </c>
      <c r="D858" t="str">
        <f>HYPERLINK("http://www.google.com/maps/place/47.66447,13.13792","Location")</f>
        <v>Location</v>
      </c>
      <c r="E858" t="s">
        <v>7774</v>
      </c>
      <c r="F858" t="s">
        <v>7775</v>
      </c>
      <c r="G858" t="s">
        <v>7777</v>
      </c>
      <c r="H858" t="s">
        <v>7778</v>
      </c>
      <c r="I858" t="s">
        <v>2239</v>
      </c>
      <c r="J858" t="s">
        <v>22</v>
      </c>
      <c r="K858" t="s">
        <v>7776</v>
      </c>
      <c r="L858" t="s">
        <v>7781</v>
      </c>
      <c r="M858" t="s">
        <v>25</v>
      </c>
      <c r="N858" t="s">
        <v>7782</v>
      </c>
      <c r="O858" t="s">
        <v>25</v>
      </c>
      <c r="P858" t="s">
        <v>7783</v>
      </c>
      <c r="Q858" t="s">
        <v>29</v>
      </c>
      <c r="R858" t="s">
        <v>7779</v>
      </c>
      <c r="S858" t="s">
        <v>7780</v>
      </c>
    </row>
    <row r="859" spans="1:19" x14ac:dyDescent="0.25">
      <c r="A859" s="1">
        <v>857</v>
      </c>
      <c r="B859" t="str">
        <f>HYPERLINK("https://www.dasschnelle.at/oberhuber-helge-dr-golling-an-der-salzach-markt","Website")</f>
        <v>Website</v>
      </c>
      <c r="C859" t="str">
        <f>HYPERLINK("http://www.notar-oberhuber.at","Website")</f>
        <v>Website</v>
      </c>
      <c r="D859" t="str">
        <f>HYPERLINK("http://www.google.com/maps/place/47.59674,13.1678","Location")</f>
        <v>Location</v>
      </c>
      <c r="E859" t="s">
        <v>7784</v>
      </c>
      <c r="F859" t="s">
        <v>7785</v>
      </c>
      <c r="G859" t="s">
        <v>7653</v>
      </c>
      <c r="H859" t="s">
        <v>7654</v>
      </c>
      <c r="I859" t="s">
        <v>2239</v>
      </c>
      <c r="J859" t="s">
        <v>22</v>
      </c>
      <c r="K859" t="s">
        <v>7786</v>
      </c>
      <c r="L859" t="s">
        <v>7789</v>
      </c>
      <c r="M859" t="s">
        <v>7790</v>
      </c>
      <c r="N859" t="s">
        <v>7791</v>
      </c>
      <c r="O859" t="s">
        <v>25</v>
      </c>
      <c r="P859" t="s">
        <v>7792</v>
      </c>
      <c r="Q859" t="s">
        <v>29</v>
      </c>
      <c r="R859" t="s">
        <v>7787</v>
      </c>
      <c r="S859" t="s">
        <v>7788</v>
      </c>
    </row>
    <row r="860" spans="1:19" x14ac:dyDescent="0.25">
      <c r="A860" s="1">
        <v>858</v>
      </c>
      <c r="B860" t="str">
        <f>HYPERLINK("https://www.dasschnelle.at/hornhütte-inh-blasius-wallinger-rußbach-am-pass-schattau","Website")</f>
        <v>Website</v>
      </c>
      <c r="C860" t="str">
        <f>HYPERLINK("http://www.hornhuette.at","Website")</f>
        <v>Website</v>
      </c>
      <c r="D860" t="str">
        <f>HYPERLINK("http://www.google.com/maps/place/47.6159308,13.1421770","Location")</f>
        <v>Location</v>
      </c>
      <c r="E860" t="s">
        <v>7793</v>
      </c>
      <c r="F860" t="s">
        <v>7794</v>
      </c>
      <c r="G860" t="s">
        <v>2710</v>
      </c>
      <c r="H860" t="s">
        <v>7796</v>
      </c>
      <c r="I860" t="s">
        <v>2239</v>
      </c>
      <c r="J860" t="s">
        <v>22</v>
      </c>
      <c r="K860" t="s">
        <v>7795</v>
      </c>
      <c r="L860" t="s">
        <v>7799</v>
      </c>
      <c r="M860" t="s">
        <v>25</v>
      </c>
      <c r="N860" t="s">
        <v>7800</v>
      </c>
      <c r="O860" t="s">
        <v>25</v>
      </c>
      <c r="P860" t="s">
        <v>7801</v>
      </c>
      <c r="Q860" t="s">
        <v>29</v>
      </c>
      <c r="R860" t="s">
        <v>7797</v>
      </c>
      <c r="S860" t="s">
        <v>7798</v>
      </c>
    </row>
    <row r="861" spans="1:19" x14ac:dyDescent="0.25">
      <c r="A861" s="1">
        <v>859</v>
      </c>
      <c r="B861" t="str">
        <f>HYPERLINK("https://www.dasschnelle.at/lienbacher-christina-katharina-golling-an-der-salzach-bründlweg","Website")</f>
        <v>Website</v>
      </c>
      <c r="C861" t="str">
        <f>HYPERLINK("https://www.dasschnelle.at/lienbacher-christina-katharina-golling-an-der-salzach-br%C3%BCndlweg","Website")</f>
        <v>Website</v>
      </c>
      <c r="D861" t="str">
        <f>HYPERLINK("http://www.google.com/maps/place/47.59626,13.17736","Location")</f>
        <v>Location</v>
      </c>
      <c r="E861" t="s">
        <v>7802</v>
      </c>
      <c r="F861" t="s">
        <v>7803</v>
      </c>
      <c r="G861" t="s">
        <v>7653</v>
      </c>
      <c r="H861" t="s">
        <v>7654</v>
      </c>
      <c r="I861" t="s">
        <v>2239</v>
      </c>
      <c r="J861" t="s">
        <v>22</v>
      </c>
      <c r="K861" t="s">
        <v>7804</v>
      </c>
      <c r="L861" t="s">
        <v>7807</v>
      </c>
      <c r="M861" t="s">
        <v>25</v>
      </c>
      <c r="N861" t="s">
        <v>7808</v>
      </c>
      <c r="O861" t="s">
        <v>25</v>
      </c>
      <c r="P861" t="s">
        <v>7809</v>
      </c>
      <c r="Q861" t="s">
        <v>29</v>
      </c>
      <c r="R861" t="s">
        <v>7805</v>
      </c>
      <c r="S861" t="s">
        <v>7806</v>
      </c>
    </row>
    <row r="862" spans="1:19" x14ac:dyDescent="0.25">
      <c r="A862" s="1">
        <v>860</v>
      </c>
      <c r="B862" t="str">
        <f>HYPERLINK("https://www.dasschnelle.at/ritter-anita-dr-hallein-griesplatz","Website")</f>
        <v>Website</v>
      </c>
      <c r="C862" t="str">
        <f>HYPERLINK("https://www.dasschnelle.at/ritter-anita-dr-hallein-griesplatz","Website")</f>
        <v>Website</v>
      </c>
      <c r="D862" t="str">
        <f>HYPERLINK("http://www.google.com/maps/place/47.68131,13.0964","Location")</f>
        <v>Location</v>
      </c>
      <c r="E862" t="s">
        <v>7810</v>
      </c>
      <c r="F862" t="s">
        <v>7811</v>
      </c>
      <c r="G862" t="s">
        <v>7584</v>
      </c>
      <c r="H862" t="s">
        <v>7585</v>
      </c>
      <c r="I862" t="s">
        <v>2239</v>
      </c>
      <c r="J862" t="s">
        <v>22</v>
      </c>
      <c r="K862" t="s">
        <v>7812</v>
      </c>
      <c r="L862" t="s">
        <v>7815</v>
      </c>
      <c r="M862" t="s">
        <v>25</v>
      </c>
      <c r="N862" t="s">
        <v>7816</v>
      </c>
      <c r="O862" t="s">
        <v>25</v>
      </c>
      <c r="P862" t="s">
        <v>7817</v>
      </c>
      <c r="Q862" t="s">
        <v>29</v>
      </c>
      <c r="R862" t="s">
        <v>7813</v>
      </c>
      <c r="S862" t="s">
        <v>7814</v>
      </c>
    </row>
    <row r="863" spans="1:19" x14ac:dyDescent="0.25">
      <c r="A863" s="1">
        <v>861</v>
      </c>
      <c r="B863" t="str">
        <f>HYPERLINK("https://www.dasschnelle.at/hölzl-karin-kuchl-markt","Website")</f>
        <v>Website</v>
      </c>
      <c r="C863" t="str">
        <f>HYPERLINK("http://www.hairzstueck.at","Website")</f>
        <v>Website</v>
      </c>
      <c r="D863" t="str">
        <f>HYPERLINK("http://www.google.com/maps/place/47.62522,13.1446","Location")</f>
        <v>Location</v>
      </c>
      <c r="E863" t="s">
        <v>7818</v>
      </c>
      <c r="F863" t="s">
        <v>7819</v>
      </c>
      <c r="G863" t="s">
        <v>7697</v>
      </c>
      <c r="H863" t="s">
        <v>7698</v>
      </c>
      <c r="I863" t="s">
        <v>2239</v>
      </c>
      <c r="J863" t="s">
        <v>22</v>
      </c>
      <c r="K863" t="s">
        <v>7820</v>
      </c>
      <c r="L863" t="s">
        <v>7823</v>
      </c>
      <c r="M863" t="s">
        <v>25</v>
      </c>
      <c r="N863" t="s">
        <v>7824</v>
      </c>
      <c r="O863" t="s">
        <v>25</v>
      </c>
      <c r="P863" t="s">
        <v>7825</v>
      </c>
      <c r="Q863" t="s">
        <v>29</v>
      </c>
      <c r="R863" t="s">
        <v>7821</v>
      </c>
      <c r="S863" t="s">
        <v>7822</v>
      </c>
    </row>
    <row r="864" spans="1:19" x14ac:dyDescent="0.25">
      <c r="A864" s="1">
        <v>862</v>
      </c>
      <c r="B864" t="str">
        <f>HYPERLINK("https://www.dasschnelle.at/aqua-salza-wellness-und-bad-golling-gmbh-golling-an-der-salzach-möslstraße","Website")</f>
        <v>Website</v>
      </c>
      <c r="C864" t="str">
        <f>HYPERLINK("http://www.aqua-salza.at","Website")</f>
        <v>Website</v>
      </c>
      <c r="D864" t="str">
        <f>HYPERLINK("http://www.google.com/maps/place/47.59606,13.1748","Location")</f>
        <v>Location</v>
      </c>
      <c r="E864" t="s">
        <v>7826</v>
      </c>
      <c r="F864" t="s">
        <v>7827</v>
      </c>
      <c r="G864" t="s">
        <v>7653</v>
      </c>
      <c r="H864" t="s">
        <v>7654</v>
      </c>
      <c r="I864" t="s">
        <v>2239</v>
      </c>
      <c r="J864" t="s">
        <v>22</v>
      </c>
      <c r="K864" t="s">
        <v>7828</v>
      </c>
      <c r="L864" t="s">
        <v>7831</v>
      </c>
      <c r="M864" t="s">
        <v>25</v>
      </c>
      <c r="N864" t="s">
        <v>7832</v>
      </c>
      <c r="O864" t="s">
        <v>25</v>
      </c>
      <c r="P864" t="s">
        <v>7833</v>
      </c>
      <c r="Q864" t="s">
        <v>29</v>
      </c>
      <c r="R864" t="s">
        <v>7829</v>
      </c>
      <c r="S864" t="s">
        <v>7830</v>
      </c>
    </row>
    <row r="865" spans="1:19" x14ac:dyDescent="0.25">
      <c r="A865" s="1">
        <v>863</v>
      </c>
      <c r="B865" t="str">
        <f>HYPERLINK("https://www.dasschnelle.at/cafe-salitri-sollereder-christopher-hallein-raitenaustraße","Website")</f>
        <v>Website</v>
      </c>
      <c r="C865" t="str">
        <f>HYPERLINK("http://www.cafesalitri.at","Website")</f>
        <v>Website</v>
      </c>
      <c r="D865" t="str">
        <f>HYPERLINK("http://www.google.com/maps/place/47.68169,13.09488","Location")</f>
        <v>Location</v>
      </c>
      <c r="E865" t="s">
        <v>7834</v>
      </c>
      <c r="F865" t="s">
        <v>7835</v>
      </c>
      <c r="G865" t="s">
        <v>7584</v>
      </c>
      <c r="H865" t="s">
        <v>7585</v>
      </c>
      <c r="I865" t="s">
        <v>2239</v>
      </c>
      <c r="J865" t="s">
        <v>22</v>
      </c>
      <c r="K865" t="s">
        <v>7836</v>
      </c>
      <c r="L865" t="s">
        <v>7839</v>
      </c>
      <c r="M865" t="s">
        <v>25</v>
      </c>
      <c r="N865" t="s">
        <v>7840</v>
      </c>
      <c r="O865" t="s">
        <v>25</v>
      </c>
      <c r="P865" t="s">
        <v>697</v>
      </c>
      <c r="Q865" t="s">
        <v>29</v>
      </c>
      <c r="R865" t="s">
        <v>7837</v>
      </c>
      <c r="S865" t="s">
        <v>7838</v>
      </c>
    </row>
    <row r="866" spans="1:19" x14ac:dyDescent="0.25">
      <c r="A866" s="1">
        <v>864</v>
      </c>
      <c r="B866" t="str">
        <f>HYPERLINK("https://www.dasschnelle.at/gasthaus-fürndörfler-hitzendorf-hitzendorf","Website")</f>
        <v>Website</v>
      </c>
      <c r="C866" t="str">
        <f>HYPERLINK("http://www.gasthaus-fuerndoerfler.businesscard.at","Website")</f>
        <v>Website</v>
      </c>
      <c r="D866" t="str">
        <f>HYPERLINK("http://www.google.com/maps/place/47.0319664,15.3057121","Location")</f>
        <v>Location</v>
      </c>
      <c r="E866" t="s">
        <v>7841</v>
      </c>
      <c r="F866" t="s">
        <v>7842</v>
      </c>
      <c r="G866" t="s">
        <v>7844</v>
      </c>
      <c r="H866" t="s">
        <v>7845</v>
      </c>
      <c r="I866" t="s">
        <v>451</v>
      </c>
      <c r="J866" t="s">
        <v>22</v>
      </c>
      <c r="K866" t="s">
        <v>7843</v>
      </c>
      <c r="L866" t="s">
        <v>7848</v>
      </c>
      <c r="M866" t="s">
        <v>25</v>
      </c>
      <c r="N866" t="s">
        <v>7849</v>
      </c>
      <c r="O866" t="s">
        <v>25</v>
      </c>
      <c r="P866" t="s">
        <v>7850</v>
      </c>
      <c r="Q866" t="s">
        <v>29</v>
      </c>
      <c r="R866" t="s">
        <v>7846</v>
      </c>
      <c r="S866" t="s">
        <v>7847</v>
      </c>
    </row>
    <row r="867" spans="1:19" x14ac:dyDescent="0.25">
      <c r="A867" s="1">
        <v>865</v>
      </c>
      <c r="B867" t="str">
        <f>HYPERLINK("https://www.dasschnelle.at/gollinger-gratwein-strassengel-schulstraße","Website")</f>
        <v>Website</v>
      </c>
      <c r="C867" t="str">
        <f>HYPERLINK("http://www.gollinger.info","Website")</f>
        <v>Website</v>
      </c>
      <c r="D867" t="str">
        <f>HYPERLINK("http://www.google.com/maps/place/47.11325,15.33641","Location")</f>
        <v>Location</v>
      </c>
      <c r="E867" t="s">
        <v>7851</v>
      </c>
      <c r="F867" t="s">
        <v>7852</v>
      </c>
      <c r="G867" t="s">
        <v>7854</v>
      </c>
      <c r="H867" t="s">
        <v>7855</v>
      </c>
      <c r="I867" t="s">
        <v>451</v>
      </c>
      <c r="J867" t="s">
        <v>22</v>
      </c>
      <c r="K867" t="s">
        <v>7853</v>
      </c>
      <c r="L867" t="s">
        <v>7858</v>
      </c>
      <c r="M867" t="s">
        <v>25</v>
      </c>
      <c r="N867" t="s">
        <v>7859</v>
      </c>
      <c r="O867" t="s">
        <v>25</v>
      </c>
      <c r="P867" t="s">
        <v>7860</v>
      </c>
      <c r="Q867" t="s">
        <v>29</v>
      </c>
      <c r="R867" t="s">
        <v>7856</v>
      </c>
      <c r="S867" t="s">
        <v>7857</v>
      </c>
    </row>
    <row r="868" spans="1:19" x14ac:dyDescent="0.25">
      <c r="A868" s="1">
        <v>866</v>
      </c>
      <c r="B868" t="str">
        <f>HYPERLINK("https://www.dasschnelle.at/fahrschule-gratwein-kg-gratwein-murfeldstraße","Website")</f>
        <v>Website</v>
      </c>
      <c r="C868" t="str">
        <f>HYPERLINK("http://www.fahrschule-gratwein.at","Website")</f>
        <v>Website</v>
      </c>
      <c r="D868" t="str">
        <f>HYPERLINK("http://www.google.com/maps/place/47.13348,15.32188","Location")</f>
        <v>Location</v>
      </c>
      <c r="E868" t="s">
        <v>7861</v>
      </c>
      <c r="F868" t="s">
        <v>7862</v>
      </c>
      <c r="G868" t="s">
        <v>7864</v>
      </c>
      <c r="H868" t="s">
        <v>7865</v>
      </c>
      <c r="I868" t="s">
        <v>451</v>
      </c>
      <c r="J868" t="s">
        <v>22</v>
      </c>
      <c r="K868" t="s">
        <v>7863</v>
      </c>
      <c r="L868" t="s">
        <v>7868</v>
      </c>
      <c r="M868" t="s">
        <v>25</v>
      </c>
      <c r="N868" t="s">
        <v>7869</v>
      </c>
      <c r="O868" t="s">
        <v>25</v>
      </c>
      <c r="P868" t="s">
        <v>7870</v>
      </c>
      <c r="Q868" t="s">
        <v>29</v>
      </c>
      <c r="R868" t="s">
        <v>7866</v>
      </c>
      <c r="S868" t="s">
        <v>7867</v>
      </c>
    </row>
    <row r="869" spans="1:19" x14ac:dyDescent="0.25">
      <c r="A869" s="1">
        <v>867</v>
      </c>
      <c r="B869" t="str">
        <f>HYPERLINK("https://www.dasschnelle.at/jp-etechnik-e-u-frohnleiten-adriach-rabenstein","Website")</f>
        <v>Website</v>
      </c>
      <c r="C869" t="str">
        <f>HYPERLINK("https://www.dasschnelle.at/jp-etechnik-e-u-frohnleiten-adriach-rabenstein","Website")</f>
        <v>Website</v>
      </c>
      <c r="D869" t="str">
        <f>HYPERLINK("http://www.google.com/maps/place/47.2292954,15.3211897","Location")</f>
        <v>Location</v>
      </c>
      <c r="E869" t="s">
        <v>7871</v>
      </c>
      <c r="F869" t="s">
        <v>7872</v>
      </c>
      <c r="G869" t="s">
        <v>7874</v>
      </c>
      <c r="H869" t="s">
        <v>7875</v>
      </c>
      <c r="I869" t="s">
        <v>451</v>
      </c>
      <c r="J869" t="s">
        <v>22</v>
      </c>
      <c r="K869" t="s">
        <v>7873</v>
      </c>
      <c r="L869" t="s">
        <v>7878</v>
      </c>
      <c r="M869" t="s">
        <v>25</v>
      </c>
      <c r="N869" t="s">
        <v>7879</v>
      </c>
      <c r="O869" t="s">
        <v>25</v>
      </c>
      <c r="P869" t="s">
        <v>7880</v>
      </c>
      <c r="Q869" t="s">
        <v>29</v>
      </c>
      <c r="R869" t="s">
        <v>7876</v>
      </c>
      <c r="S869" t="s">
        <v>7877</v>
      </c>
    </row>
    <row r="870" spans="1:19" x14ac:dyDescent="0.25">
      <c r="A870" s="1">
        <v>868</v>
      </c>
      <c r="B870" t="str">
        <f>HYPERLINK("https://www.dasschnelle.at/schönheitsgefühl-sabine-raninger-sankt-oswald-bei-plankenwarth-sankt-oswald-bei-plankenwarth","Website")</f>
        <v>Website</v>
      </c>
      <c r="C870" t="str">
        <f>HYPERLINK("http://www.schu00f6nheitsgefu00fchl.at","Website")</f>
        <v>Website</v>
      </c>
      <c r="D870" t="str">
        <f>HYPERLINK("http://www.google.com/maps/place/47.0867750,15.2909106","Location")</f>
        <v>Location</v>
      </c>
      <c r="E870" t="s">
        <v>7881</v>
      </c>
      <c r="F870" t="s">
        <v>7882</v>
      </c>
      <c r="G870" t="s">
        <v>7884</v>
      </c>
      <c r="H870" t="s">
        <v>7885</v>
      </c>
      <c r="I870" t="s">
        <v>451</v>
      </c>
      <c r="J870" t="s">
        <v>22</v>
      </c>
      <c r="K870" t="s">
        <v>7883</v>
      </c>
      <c r="L870" t="s">
        <v>7888</v>
      </c>
      <c r="M870" t="s">
        <v>25</v>
      </c>
      <c r="N870" t="s">
        <v>7889</v>
      </c>
      <c r="O870" t="s">
        <v>25</v>
      </c>
      <c r="P870" t="s">
        <v>7890</v>
      </c>
      <c r="Q870" t="s">
        <v>29</v>
      </c>
      <c r="R870" t="s">
        <v>7886</v>
      </c>
      <c r="S870" t="s">
        <v>7887</v>
      </c>
    </row>
    <row r="871" spans="1:19" x14ac:dyDescent="0.25">
      <c r="A871" s="1">
        <v>869</v>
      </c>
      <c r="B871" t="str">
        <f>HYPERLINK("https://www.dasschnelle.at/kfz-technik-amir-crnkic-frohnleiten-brucker-straße","Website")</f>
        <v>Website</v>
      </c>
      <c r="C871" t="str">
        <f>HYPERLINK("https://www.dasschnelle.at/kfz-technik-amir-crnkic-frohnleiten-brucker-stra%C3%9Fe","Website")</f>
        <v>Website</v>
      </c>
      <c r="D871" t="str">
        <f>HYPERLINK("http://www.google.com/maps/place/47.2758839,15.3269896","Location")</f>
        <v>Location</v>
      </c>
      <c r="E871" t="s">
        <v>7891</v>
      </c>
      <c r="F871" t="s">
        <v>7892</v>
      </c>
      <c r="G871" t="s">
        <v>7874</v>
      </c>
      <c r="H871" t="s">
        <v>7875</v>
      </c>
      <c r="I871" t="s">
        <v>451</v>
      </c>
      <c r="J871" t="s">
        <v>22</v>
      </c>
      <c r="K871" t="s">
        <v>7893</v>
      </c>
      <c r="L871" t="s">
        <v>7896</v>
      </c>
      <c r="M871" t="s">
        <v>25</v>
      </c>
      <c r="N871" t="s">
        <v>7897</v>
      </c>
      <c r="O871" t="s">
        <v>25</v>
      </c>
      <c r="P871" t="s">
        <v>7898</v>
      </c>
      <c r="Q871" t="s">
        <v>29</v>
      </c>
      <c r="R871" t="s">
        <v>7894</v>
      </c>
      <c r="S871" t="s">
        <v>7895</v>
      </c>
    </row>
    <row r="872" spans="1:19" x14ac:dyDescent="0.25">
      <c r="A872" s="1">
        <v>870</v>
      </c>
      <c r="B872" t="str">
        <f>HYPERLINK("https://www.dasschnelle.at/lesky-jürgen-sankt-bartholomä-jaritzberg","Website")</f>
        <v>Website</v>
      </c>
      <c r="C872" t="str">
        <f>HYPERLINK("https://www.dasschnelle.at/lesky-j%C3%BCrgen-sankt-bartholom%C3%A4-jaritzberg","Website")</f>
        <v>Website</v>
      </c>
      <c r="D872" t="str">
        <f>HYPERLINK("http://www.google.com/maps/place/47.0754821,15.2657455","Location")</f>
        <v>Location</v>
      </c>
      <c r="E872" t="s">
        <v>7899</v>
      </c>
      <c r="F872" t="s">
        <v>7900</v>
      </c>
      <c r="G872" t="s">
        <v>7884</v>
      </c>
      <c r="H872" t="s">
        <v>7902</v>
      </c>
      <c r="I872" t="s">
        <v>451</v>
      </c>
      <c r="J872" t="s">
        <v>22</v>
      </c>
      <c r="K872" t="s">
        <v>7901</v>
      </c>
      <c r="L872" t="s">
        <v>7905</v>
      </c>
      <c r="M872" t="s">
        <v>25</v>
      </c>
      <c r="N872" t="s">
        <v>7906</v>
      </c>
      <c r="O872" t="s">
        <v>7907</v>
      </c>
      <c r="P872" t="s">
        <v>7908</v>
      </c>
      <c r="Q872" t="s">
        <v>29</v>
      </c>
      <c r="R872" t="s">
        <v>7903</v>
      </c>
      <c r="S872" t="s">
        <v>7904</v>
      </c>
    </row>
    <row r="873" spans="1:19" x14ac:dyDescent="0.25">
      <c r="A873" s="1">
        <v>871</v>
      </c>
      <c r="B873" t="str">
        <f>HYPERLINK("https://www.dasschnelle.at/heiningers-schlemmerei-frohnleiten-brucker-straße","Website")</f>
        <v>Website</v>
      </c>
      <c r="C873" t="str">
        <f>HYPERLINK("http://www.heiningers-schlemmerei.at","Website")</f>
        <v>Website</v>
      </c>
      <c r="D873" t="str">
        <f>HYPERLINK("http://www.google.com/maps/place/47.26925,15.32676","Location")</f>
        <v>Location</v>
      </c>
      <c r="E873" t="s">
        <v>7909</v>
      </c>
      <c r="F873" t="s">
        <v>7910</v>
      </c>
      <c r="G873" t="s">
        <v>7874</v>
      </c>
      <c r="H873" t="s">
        <v>7875</v>
      </c>
      <c r="I873" t="s">
        <v>451</v>
      </c>
      <c r="J873" t="s">
        <v>22</v>
      </c>
      <c r="K873" t="s">
        <v>7911</v>
      </c>
      <c r="L873" t="s">
        <v>7914</v>
      </c>
      <c r="M873" t="s">
        <v>25</v>
      </c>
      <c r="N873" t="s">
        <v>7915</v>
      </c>
      <c r="O873" t="s">
        <v>25</v>
      </c>
      <c r="P873" t="s">
        <v>7916</v>
      </c>
      <c r="Q873" t="s">
        <v>29</v>
      </c>
      <c r="R873" t="s">
        <v>7912</v>
      </c>
      <c r="S873" t="s">
        <v>7913</v>
      </c>
    </row>
    <row r="874" spans="1:19" x14ac:dyDescent="0.25">
      <c r="A874" s="1">
        <v>872</v>
      </c>
      <c r="B874" t="str">
        <f>HYPERLINK("https://www.dasschnelle.at/pabst-johann-thoneben-vorderer-weißeck","Website")</f>
        <v>Website</v>
      </c>
      <c r="C874" t="str">
        <f>HYPERLINK("http://www.tischlerei-pabst.at","Website")</f>
        <v>Website</v>
      </c>
      <c r="D874" t="str">
        <f>HYPERLINK("http://www.google.com/maps/place/47.218917,15.4432748","Location")</f>
        <v>Location</v>
      </c>
      <c r="E874" t="s">
        <v>7917</v>
      </c>
      <c r="F874" t="s">
        <v>7918</v>
      </c>
      <c r="G874" t="s">
        <v>7920</v>
      </c>
      <c r="H874" t="s">
        <v>7921</v>
      </c>
      <c r="I874" t="s">
        <v>451</v>
      </c>
      <c r="J874" t="s">
        <v>22</v>
      </c>
      <c r="K874" t="s">
        <v>7919</v>
      </c>
      <c r="L874" t="s">
        <v>7924</v>
      </c>
      <c r="M874" t="s">
        <v>25</v>
      </c>
      <c r="N874" t="s">
        <v>7925</v>
      </c>
      <c r="O874" t="s">
        <v>25</v>
      </c>
      <c r="P874" t="s">
        <v>7926</v>
      </c>
      <c r="Q874" t="s">
        <v>29</v>
      </c>
      <c r="R874" t="s">
        <v>7922</v>
      </c>
      <c r="S874" t="s">
        <v>7923</v>
      </c>
    </row>
    <row r="875" spans="1:19" x14ac:dyDescent="0.25">
      <c r="A875" s="1">
        <v>873</v>
      </c>
      <c r="B875" t="str">
        <f>HYPERLINK("https://www.dasschnelle.at/leitner-ernst-peggau-übelbacher-straße","Website")</f>
        <v>Website</v>
      </c>
      <c r="C875" t="str">
        <f>HYPERLINK("http://www.maler-leitner.at","Website")</f>
        <v>Website</v>
      </c>
      <c r="D875" t="str">
        <f>HYPERLINK("http://www.google.com/maps/place/47.20313,15.34243","Location")</f>
        <v>Location</v>
      </c>
      <c r="E875" t="s">
        <v>7927</v>
      </c>
      <c r="F875" t="s">
        <v>7928</v>
      </c>
      <c r="G875" t="s">
        <v>7930</v>
      </c>
      <c r="H875" t="s">
        <v>7931</v>
      </c>
      <c r="I875" t="s">
        <v>451</v>
      </c>
      <c r="J875" t="s">
        <v>22</v>
      </c>
      <c r="K875" t="s">
        <v>7929</v>
      </c>
      <c r="L875" t="s">
        <v>7934</v>
      </c>
      <c r="M875" t="s">
        <v>25</v>
      </c>
      <c r="N875" t="s">
        <v>7935</v>
      </c>
      <c r="O875" t="s">
        <v>25</v>
      </c>
      <c r="P875" t="s">
        <v>7936</v>
      </c>
      <c r="Q875" t="s">
        <v>29</v>
      </c>
      <c r="R875" t="s">
        <v>7932</v>
      </c>
      <c r="S875" t="s">
        <v>7933</v>
      </c>
    </row>
    <row r="876" spans="1:19" x14ac:dyDescent="0.25">
      <c r="A876" s="1">
        <v>874</v>
      </c>
      <c r="B876" t="str">
        <f>HYPERLINK("https://www.dasschnelle.at/redstone-og-röthelstein-röthelstein","Website")</f>
        <v>Website</v>
      </c>
      <c r="C876" t="str">
        <f>HYPERLINK("http://www.tischlerei-redstone.at","Website")</f>
        <v>Website</v>
      </c>
      <c r="D876" t="str">
        <f>HYPERLINK("http://www.google.com/maps/place/47.3073289,15.3655143","Location")</f>
        <v>Location</v>
      </c>
      <c r="E876" t="s">
        <v>7937</v>
      </c>
      <c r="F876" t="s">
        <v>7938</v>
      </c>
      <c r="G876" t="s">
        <v>7940</v>
      </c>
      <c r="H876" t="s">
        <v>7941</v>
      </c>
      <c r="I876" t="s">
        <v>451</v>
      </c>
      <c r="J876" t="s">
        <v>22</v>
      </c>
      <c r="K876" t="s">
        <v>7939</v>
      </c>
      <c r="L876" t="s">
        <v>7944</v>
      </c>
      <c r="M876" t="s">
        <v>25</v>
      </c>
      <c r="N876" t="s">
        <v>7945</v>
      </c>
      <c r="O876" t="s">
        <v>25</v>
      </c>
      <c r="P876" t="s">
        <v>7946</v>
      </c>
      <c r="Q876" t="s">
        <v>29</v>
      </c>
      <c r="R876" t="s">
        <v>7942</v>
      </c>
      <c r="S876" t="s">
        <v>7943</v>
      </c>
    </row>
    <row r="877" spans="1:19" x14ac:dyDescent="0.25">
      <c r="A877" s="1">
        <v>875</v>
      </c>
      <c r="B877" t="str">
        <f>HYPERLINK("https://www.dasschnelle.at/haustechnik-baumann-sankt-oswald-bei-plankenwarth-sankt-oswald-bei-plankenwarth","Website")</f>
        <v>Website</v>
      </c>
      <c r="C877" t="str">
        <f>HYPERLINK("https://www.dasschnelle.at/haustechnik-baumann-sankt-oswald-bei-plankenwarth-sankt-oswald-bei-plankenwarth","Website")</f>
        <v>Website</v>
      </c>
      <c r="D877" t="str">
        <f>HYPERLINK("http://www.google.com/maps/place/47.0912128,15.3024703","Location")</f>
        <v>Location</v>
      </c>
      <c r="E877" t="s">
        <v>7947</v>
      </c>
      <c r="F877" t="s">
        <v>7948</v>
      </c>
      <c r="G877" t="s">
        <v>7884</v>
      </c>
      <c r="H877" t="s">
        <v>7885</v>
      </c>
      <c r="I877" t="s">
        <v>451</v>
      </c>
      <c r="J877" t="s">
        <v>22</v>
      </c>
      <c r="K877" t="s">
        <v>7949</v>
      </c>
      <c r="L877" t="s">
        <v>7952</v>
      </c>
      <c r="M877" t="s">
        <v>25</v>
      </c>
      <c r="N877" t="s">
        <v>7953</v>
      </c>
      <c r="O877" t="s">
        <v>25</v>
      </c>
      <c r="P877" t="s">
        <v>7954</v>
      </c>
      <c r="Q877" t="s">
        <v>29</v>
      </c>
      <c r="R877" t="s">
        <v>7950</v>
      </c>
      <c r="S877" t="s">
        <v>7951</v>
      </c>
    </row>
    <row r="878" spans="1:19" x14ac:dyDescent="0.25">
      <c r="A878" s="1">
        <v>876</v>
      </c>
      <c r="B878" t="str">
        <f>HYPERLINK("https://www.dasschnelle.at/grimm-elisabeth-gratkorn-grazer-straße","Website")</f>
        <v>Website</v>
      </c>
      <c r="C878" t="str">
        <f>HYPERLINK("http://www.primabella.at","Website")</f>
        <v>Website</v>
      </c>
      <c r="D878" t="str">
        <f>HYPERLINK("http://www.google.com/maps/place/47.1319300,15.3396300","Location")</f>
        <v>Location</v>
      </c>
      <c r="E878" t="s">
        <v>7955</v>
      </c>
      <c r="F878" t="s">
        <v>7956</v>
      </c>
      <c r="G878" t="s">
        <v>7958</v>
      </c>
      <c r="H878" t="s">
        <v>7959</v>
      </c>
      <c r="I878" t="s">
        <v>451</v>
      </c>
      <c r="J878" t="s">
        <v>22</v>
      </c>
      <c r="K878" t="s">
        <v>7957</v>
      </c>
      <c r="L878" t="s">
        <v>7962</v>
      </c>
      <c r="M878" t="s">
        <v>25</v>
      </c>
      <c r="N878" t="s">
        <v>7963</v>
      </c>
      <c r="O878" t="s">
        <v>25</v>
      </c>
      <c r="P878" t="s">
        <v>7964</v>
      </c>
      <c r="Q878" t="s">
        <v>29</v>
      </c>
      <c r="R878" t="s">
        <v>7960</v>
      </c>
      <c r="S878" t="s">
        <v>7961</v>
      </c>
    </row>
    <row r="879" spans="1:19" x14ac:dyDescent="0.25">
      <c r="A879" s="1">
        <v>877</v>
      </c>
      <c r="B879" t="str">
        <f>HYPERLINK("https://www.dasschnelle.at/praxmarer-peter-umhausen-dorf","Website")</f>
        <v>Website</v>
      </c>
      <c r="C879" t="str">
        <f>HYPERLINK("http://www.die-kunstschmiede.at","Website")</f>
        <v>Website</v>
      </c>
      <c r="D879" t="str">
        <f>HYPERLINK("http://www.google.com/maps/place/47.14046,10.92542","Location")</f>
        <v>Location</v>
      </c>
      <c r="E879" t="s">
        <v>7965</v>
      </c>
      <c r="F879" t="s">
        <v>7966</v>
      </c>
      <c r="G879" t="s">
        <v>7968</v>
      </c>
      <c r="H879" t="s">
        <v>7969</v>
      </c>
      <c r="I879" t="s">
        <v>21</v>
      </c>
      <c r="J879" t="s">
        <v>22</v>
      </c>
      <c r="K879" t="s">
        <v>7967</v>
      </c>
      <c r="L879" t="s">
        <v>7972</v>
      </c>
      <c r="M879" t="s">
        <v>25</v>
      </c>
      <c r="N879" t="s">
        <v>7973</v>
      </c>
      <c r="O879" t="s">
        <v>25</v>
      </c>
      <c r="P879" t="s">
        <v>7974</v>
      </c>
      <c r="Q879" t="s">
        <v>29</v>
      </c>
      <c r="R879" t="s">
        <v>7970</v>
      </c>
      <c r="S879" t="s">
        <v>7971</v>
      </c>
    </row>
    <row r="880" spans="1:19" x14ac:dyDescent="0.25">
      <c r="A880" s="1">
        <v>878</v>
      </c>
      <c r="B880" t="str">
        <f>HYPERLINK("https://www.dasschnelle.at/holzknecht-dominik-umhausen-hintere-gasse","Website")</f>
        <v>Website</v>
      </c>
      <c r="C880" t="str">
        <f>HYPERLINK("https://www.dasschnelle.at/holzknecht-dominik-umhausen-hintere-gasse","Website")</f>
        <v>Website</v>
      </c>
      <c r="D880" t="str">
        <f>HYPERLINK("http://www.google.com/maps/place/47.13771,10.92759","Location")</f>
        <v>Location</v>
      </c>
      <c r="E880" t="s">
        <v>7975</v>
      </c>
      <c r="F880" t="s">
        <v>7976</v>
      </c>
      <c r="G880" t="s">
        <v>7968</v>
      </c>
      <c r="H880" t="s">
        <v>7969</v>
      </c>
      <c r="I880" t="s">
        <v>21</v>
      </c>
      <c r="J880" t="s">
        <v>22</v>
      </c>
      <c r="K880" t="s">
        <v>7977</v>
      </c>
      <c r="L880" t="s">
        <v>7980</v>
      </c>
      <c r="M880" t="s">
        <v>25</v>
      </c>
      <c r="N880" t="s">
        <v>7981</v>
      </c>
      <c r="O880" t="s">
        <v>25</v>
      </c>
      <c r="P880" t="s">
        <v>7982</v>
      </c>
      <c r="Q880" t="s">
        <v>29</v>
      </c>
      <c r="R880" t="s">
        <v>7978</v>
      </c>
      <c r="S880" t="s">
        <v>7979</v>
      </c>
    </row>
    <row r="881" spans="1:19" x14ac:dyDescent="0.25">
      <c r="A881" s="1">
        <v>879</v>
      </c>
      <c r="B881" t="str">
        <f>HYPERLINK("https://www.dasschnelle.at/schiregion-hochoetz-erschließungs-gmbh-und-co-kg-oetz-angerweg","Website")</f>
        <v>Website</v>
      </c>
      <c r="C881" t="str">
        <f>HYPERLINK("http://www.hochoetz.at","Website")</f>
        <v>Website</v>
      </c>
      <c r="D881" t="str">
        <f>HYPERLINK("http://www.google.com/maps/place/47.19999,10.90316","Location")</f>
        <v>Location</v>
      </c>
      <c r="E881" t="s">
        <v>7983</v>
      </c>
      <c r="F881" t="s">
        <v>7984</v>
      </c>
      <c r="G881" t="s">
        <v>7986</v>
      </c>
      <c r="H881" t="s">
        <v>7987</v>
      </c>
      <c r="I881" t="s">
        <v>21</v>
      </c>
      <c r="J881" t="s">
        <v>22</v>
      </c>
      <c r="K881" t="s">
        <v>7985</v>
      </c>
      <c r="L881" t="s">
        <v>7990</v>
      </c>
      <c r="M881" t="s">
        <v>7991</v>
      </c>
      <c r="N881" t="s">
        <v>7992</v>
      </c>
      <c r="O881" t="s">
        <v>25</v>
      </c>
      <c r="P881" t="s">
        <v>7993</v>
      </c>
      <c r="Q881" t="s">
        <v>29</v>
      </c>
      <c r="R881" t="s">
        <v>7988</v>
      </c>
      <c r="S881" t="s">
        <v>7989</v>
      </c>
    </row>
    <row r="882" spans="1:19" x14ac:dyDescent="0.25">
      <c r="A882" s="1">
        <v>880</v>
      </c>
      <c r="B882" t="str">
        <f>HYPERLINK("https://www.dasschnelle.at/master-cut-imst-hermann-gmeiner-straße","Website")</f>
        <v>Website</v>
      </c>
      <c r="C882" t="str">
        <f>HYPERLINK("https://www.dasschnelle.at/master-cut-imst-hermann-gmeiner-stra%C3%9Fe","Website")</f>
        <v>Website</v>
      </c>
      <c r="D882" t="str">
        <f>HYPERLINK("http://www.google.com/maps/place/47.2293,10.72699","Location")</f>
        <v>Location</v>
      </c>
      <c r="E882" t="s">
        <v>7994</v>
      </c>
      <c r="F882" t="s">
        <v>7995</v>
      </c>
      <c r="G882" t="s">
        <v>7997</v>
      </c>
      <c r="H882" t="s">
        <v>7998</v>
      </c>
      <c r="I882" t="s">
        <v>21</v>
      </c>
      <c r="J882" t="s">
        <v>22</v>
      </c>
      <c r="K882" t="s">
        <v>7996</v>
      </c>
      <c r="L882" t="s">
        <v>8001</v>
      </c>
      <c r="M882" t="s">
        <v>25</v>
      </c>
      <c r="N882" t="s">
        <v>25</v>
      </c>
      <c r="O882" t="s">
        <v>25</v>
      </c>
      <c r="P882" t="s">
        <v>8002</v>
      </c>
      <c r="Q882" t="s">
        <v>29</v>
      </c>
      <c r="R882" t="s">
        <v>7999</v>
      </c>
      <c r="S882" t="s">
        <v>8000</v>
      </c>
    </row>
    <row r="883" spans="1:19" x14ac:dyDescent="0.25">
      <c r="A883" s="1">
        <v>881</v>
      </c>
      <c r="B883" t="str">
        <f>HYPERLINK("https://www.dasschnelle.at/flir-wolfgang-e-u-arzl-im-pitztal-dorfstraße","Website")</f>
        <v>Website</v>
      </c>
      <c r="C883" t="str">
        <f>HYPERLINK("https://www.dasschnelle.at/flir-wolfgang-e-u-arzl-im-pitztal-dorfstra%C3%9Fe","Website")</f>
        <v>Website</v>
      </c>
      <c r="D883" t="str">
        <f>HYPERLINK("http://www.google.com/maps/place/47.20553,10.76086","Location")</f>
        <v>Location</v>
      </c>
      <c r="E883" t="s">
        <v>8003</v>
      </c>
      <c r="F883" t="s">
        <v>8004</v>
      </c>
      <c r="G883" t="s">
        <v>8006</v>
      </c>
      <c r="H883" t="s">
        <v>8007</v>
      </c>
      <c r="I883" t="s">
        <v>21</v>
      </c>
      <c r="J883" t="s">
        <v>22</v>
      </c>
      <c r="K883" t="s">
        <v>8005</v>
      </c>
      <c r="L883" t="s">
        <v>8010</v>
      </c>
      <c r="M883" t="s">
        <v>25</v>
      </c>
      <c r="N883" t="s">
        <v>8011</v>
      </c>
      <c r="O883" t="s">
        <v>25</v>
      </c>
      <c r="P883" t="s">
        <v>8012</v>
      </c>
      <c r="Q883" t="s">
        <v>29</v>
      </c>
      <c r="R883" t="s">
        <v>8008</v>
      </c>
      <c r="S883" t="s">
        <v>8009</v>
      </c>
    </row>
    <row r="884" spans="1:19" x14ac:dyDescent="0.25">
      <c r="A884" s="1">
        <v>882</v>
      </c>
      <c r="B884" t="str">
        <f>HYPERLINK("https://www.dasschnelle.at/gstrein-gotthard-sölden-ötztalstraße","Website")</f>
        <v>Website</v>
      </c>
      <c r="C884" t="str">
        <f>HYPERLINK("http://www.kfz-gstrein.at","Website")</f>
        <v>Website</v>
      </c>
      <c r="D884" t="str">
        <f>HYPERLINK("http://www.google.com/maps/place/46.94841,11.01488","Location")</f>
        <v>Location</v>
      </c>
      <c r="E884" t="s">
        <v>8013</v>
      </c>
      <c r="F884" t="s">
        <v>8014</v>
      </c>
      <c r="G884" t="s">
        <v>8016</v>
      </c>
      <c r="H884" t="s">
        <v>8017</v>
      </c>
      <c r="I884" t="s">
        <v>21</v>
      </c>
      <c r="J884" t="s">
        <v>22</v>
      </c>
      <c r="K884" t="s">
        <v>8015</v>
      </c>
      <c r="L884" t="s">
        <v>8020</v>
      </c>
      <c r="M884" t="s">
        <v>8021</v>
      </c>
      <c r="N884" t="s">
        <v>8022</v>
      </c>
      <c r="O884" t="s">
        <v>25</v>
      </c>
      <c r="P884" t="s">
        <v>8023</v>
      </c>
      <c r="Q884" t="s">
        <v>29</v>
      </c>
      <c r="R884" t="s">
        <v>8018</v>
      </c>
      <c r="S884" t="s">
        <v>8019</v>
      </c>
    </row>
    <row r="885" spans="1:19" x14ac:dyDescent="0.25">
      <c r="A885" s="1">
        <v>883</v>
      </c>
      <c r="B885" t="str">
        <f>HYPERLINK("https://www.dasschnelle.at/fiegl-harald-sölden-dorfstraße","Website")</f>
        <v>Website</v>
      </c>
      <c r="C885" t="str">
        <f>HYPERLINK("http://www.friseur-fiegl.at","Website")</f>
        <v>Website</v>
      </c>
      <c r="D885" t="str">
        <f>HYPERLINK("http://www.google.com/maps/place/46.96594,11.00705","Location")</f>
        <v>Location</v>
      </c>
      <c r="E885" t="s">
        <v>8024</v>
      </c>
      <c r="F885" t="s">
        <v>8025</v>
      </c>
      <c r="G885" t="s">
        <v>8016</v>
      </c>
      <c r="H885" t="s">
        <v>8017</v>
      </c>
      <c r="I885" t="s">
        <v>21</v>
      </c>
      <c r="J885" t="s">
        <v>22</v>
      </c>
      <c r="K885" t="s">
        <v>8026</v>
      </c>
      <c r="L885" t="s">
        <v>8029</v>
      </c>
      <c r="M885" t="s">
        <v>25</v>
      </c>
      <c r="N885" t="s">
        <v>8030</v>
      </c>
      <c r="O885" t="s">
        <v>25</v>
      </c>
      <c r="P885" t="s">
        <v>8031</v>
      </c>
      <c r="Q885" t="s">
        <v>29</v>
      </c>
      <c r="R885" t="s">
        <v>8027</v>
      </c>
      <c r="S885" t="s">
        <v>8028</v>
      </c>
    </row>
    <row r="886" spans="1:19" x14ac:dyDescent="0.25">
      <c r="A886" s="1">
        <v>884</v>
      </c>
      <c r="B886" t="str">
        <f>HYPERLINK("https://www.dasschnelle.at/malerei-müller-gmbh-oetz-dorfstraße","Website")</f>
        <v>Website</v>
      </c>
      <c r="C886" t="str">
        <f>HYPERLINK("http://www.malerei-mueller.at/kontakt/","Website")</f>
        <v>Website</v>
      </c>
      <c r="D886" t="str">
        <f>HYPERLINK("http://www.google.com/maps/place/47.20475,10.89535","Location")</f>
        <v>Location</v>
      </c>
      <c r="E886" t="s">
        <v>8032</v>
      </c>
      <c r="F886" t="s">
        <v>8033</v>
      </c>
      <c r="G886" t="s">
        <v>7986</v>
      </c>
      <c r="H886" t="s">
        <v>7987</v>
      </c>
      <c r="I886" t="s">
        <v>21</v>
      </c>
      <c r="J886" t="s">
        <v>22</v>
      </c>
      <c r="K886" t="s">
        <v>8034</v>
      </c>
      <c r="L886" t="s">
        <v>8037</v>
      </c>
      <c r="M886" t="s">
        <v>25</v>
      </c>
      <c r="N886" t="s">
        <v>8038</v>
      </c>
      <c r="O886" t="s">
        <v>25</v>
      </c>
      <c r="P886" t="s">
        <v>8039</v>
      </c>
      <c r="Q886" t="s">
        <v>29</v>
      </c>
      <c r="R886" t="s">
        <v>8035</v>
      </c>
      <c r="S886" t="s">
        <v>8036</v>
      </c>
    </row>
    <row r="887" spans="1:19" x14ac:dyDescent="0.25">
      <c r="A887" s="1">
        <v>885</v>
      </c>
      <c r="B887" t="str">
        <f>HYPERLINK("https://www.dasschnelle.at/schöpf-gmbh-u-co-kg-längenfeld-au","Website")</f>
        <v>Website</v>
      </c>
      <c r="C887" t="str">
        <f>HYPERLINK("http://www.metalltechnik-schoepf.at","Website")</f>
        <v>Website</v>
      </c>
      <c r="D887" t="str">
        <f>HYPERLINK("http://www.google.com/maps/place/47.10137,10.95239","Location")</f>
        <v>Location</v>
      </c>
      <c r="E887" t="s">
        <v>8040</v>
      </c>
      <c r="F887" t="s">
        <v>8041</v>
      </c>
      <c r="G887" t="s">
        <v>8043</v>
      </c>
      <c r="H887" t="s">
        <v>8044</v>
      </c>
      <c r="I887" t="s">
        <v>21</v>
      </c>
      <c r="J887" t="s">
        <v>22</v>
      </c>
      <c r="K887" t="s">
        <v>8042</v>
      </c>
      <c r="L887" t="s">
        <v>8047</v>
      </c>
      <c r="M887" t="s">
        <v>25</v>
      </c>
      <c r="N887" t="s">
        <v>8048</v>
      </c>
      <c r="O887" t="s">
        <v>25</v>
      </c>
      <c r="P887" t="s">
        <v>8049</v>
      </c>
      <c r="Q887" t="s">
        <v>29</v>
      </c>
      <c r="R887" t="s">
        <v>8045</v>
      </c>
      <c r="S887" t="s">
        <v>8046</v>
      </c>
    </row>
    <row r="888" spans="1:19" x14ac:dyDescent="0.25">
      <c r="A888" s="1">
        <v>886</v>
      </c>
      <c r="B888" t="str">
        <f>HYPERLINK("https://www.dasschnelle.at/spenglerei-auer-bruno-gmbh-oetz-schrofen","Website")</f>
        <v>Website</v>
      </c>
      <c r="C888" t="str">
        <f>HYPERLINK("http://www.spenglerei-auer.at","Website")</f>
        <v>Website</v>
      </c>
      <c r="D888" t="str">
        <f>HYPERLINK("http://www.google.com/maps/place/47.20648,10.9002","Location")</f>
        <v>Location</v>
      </c>
      <c r="E888" t="s">
        <v>8050</v>
      </c>
      <c r="F888" t="s">
        <v>8051</v>
      </c>
      <c r="G888" t="s">
        <v>7986</v>
      </c>
      <c r="H888" t="s">
        <v>7987</v>
      </c>
      <c r="I888" t="s">
        <v>21</v>
      </c>
      <c r="J888" t="s">
        <v>22</v>
      </c>
      <c r="K888" t="s">
        <v>8052</v>
      </c>
      <c r="L888" t="s">
        <v>8055</v>
      </c>
      <c r="M888" t="s">
        <v>25</v>
      </c>
      <c r="N888" t="s">
        <v>8056</v>
      </c>
      <c r="O888" t="s">
        <v>25</v>
      </c>
      <c r="P888" t="s">
        <v>8057</v>
      </c>
      <c r="Q888" t="s">
        <v>29</v>
      </c>
      <c r="R888" t="s">
        <v>8053</v>
      </c>
      <c r="S888" t="s">
        <v>8054</v>
      </c>
    </row>
    <row r="889" spans="1:19" x14ac:dyDescent="0.25">
      <c r="A889" s="1">
        <v>887</v>
      </c>
      <c r="B889" t="str">
        <f>HYPERLINK("https://www.dasschnelle.at/steck-klaus-physiotherapie-west-imst-dr-carl-pfeiffenberger-straße","Website")</f>
        <v>Website</v>
      </c>
      <c r="C889" t="str">
        <f>HYPERLINK("http://www.physiotherapie-west.at","Website")</f>
        <v>Website</v>
      </c>
      <c r="D889" t="str">
        <f>HYPERLINK("http://www.google.com/maps/place/47.2370143,10.7388583","Location")</f>
        <v>Location</v>
      </c>
      <c r="E889" t="s">
        <v>8058</v>
      </c>
      <c r="F889" t="s">
        <v>8059</v>
      </c>
      <c r="G889" t="s">
        <v>7997</v>
      </c>
      <c r="H889" t="s">
        <v>7998</v>
      </c>
      <c r="I889" t="s">
        <v>21</v>
      </c>
      <c r="J889" t="s">
        <v>22</v>
      </c>
      <c r="K889" t="s">
        <v>8060</v>
      </c>
      <c r="L889" t="s">
        <v>8063</v>
      </c>
      <c r="M889" t="s">
        <v>25</v>
      </c>
      <c r="N889" t="s">
        <v>8064</v>
      </c>
      <c r="O889" t="s">
        <v>25</v>
      </c>
      <c r="P889" t="s">
        <v>8065</v>
      </c>
      <c r="Q889" t="s">
        <v>29</v>
      </c>
      <c r="R889" t="s">
        <v>8061</v>
      </c>
      <c r="S889" t="s">
        <v>8062</v>
      </c>
    </row>
    <row r="890" spans="1:19" x14ac:dyDescent="0.25">
      <c r="A890" s="1">
        <v>888</v>
      </c>
      <c r="B890" t="str">
        <f>HYPERLINK("https://www.dasschnelle.at/föger-matthias-silz-franz-xaver-renn-weg","Website")</f>
        <v>Website</v>
      </c>
      <c r="C890" t="str">
        <f>HYPERLINK("http://www.trockenbaufoeger.at","Website")</f>
        <v>Website</v>
      </c>
      <c r="D890" t="str">
        <f>HYPERLINK("http://www.google.com/maps/place/47.27132,10.94311","Location")</f>
        <v>Location</v>
      </c>
      <c r="E890" t="s">
        <v>8066</v>
      </c>
      <c r="F890" t="s">
        <v>8067</v>
      </c>
      <c r="G890" t="s">
        <v>8069</v>
      </c>
      <c r="H890" t="s">
        <v>8070</v>
      </c>
      <c r="I890" t="s">
        <v>21</v>
      </c>
      <c r="J890" t="s">
        <v>22</v>
      </c>
      <c r="K890" t="s">
        <v>8068</v>
      </c>
      <c r="L890" t="s">
        <v>8073</v>
      </c>
      <c r="M890" t="s">
        <v>25</v>
      </c>
      <c r="N890" t="s">
        <v>8074</v>
      </c>
      <c r="O890" t="s">
        <v>8075</v>
      </c>
      <c r="P890" t="s">
        <v>8076</v>
      </c>
      <c r="Q890" t="s">
        <v>29</v>
      </c>
      <c r="R890" t="s">
        <v>8071</v>
      </c>
      <c r="S890" t="s">
        <v>8072</v>
      </c>
    </row>
    <row r="891" spans="1:19" x14ac:dyDescent="0.25">
      <c r="A891" s="1">
        <v>889</v>
      </c>
      <c r="B891" t="str">
        <f>HYPERLINK("https://www.dasschnelle.at/schöpf-bau-putz-gmbh-umhausen-dreschgasse","Website")</f>
        <v>Website</v>
      </c>
      <c r="C891" t="str">
        <f>HYPERLINK("https://www.dasschnelle.at/sch%C3%B6pf-bau-putz-gmbh-umhausen-dreschgasse","Website")</f>
        <v>Website</v>
      </c>
      <c r="D891" t="str">
        <f>HYPERLINK("http://www.google.com/maps/place/47.13924,10.92223","Location")</f>
        <v>Location</v>
      </c>
      <c r="E891" t="s">
        <v>8077</v>
      </c>
      <c r="F891" t="s">
        <v>8078</v>
      </c>
      <c r="G891" t="s">
        <v>7968</v>
      </c>
      <c r="H891" t="s">
        <v>7969</v>
      </c>
      <c r="I891" t="s">
        <v>21</v>
      </c>
      <c r="J891" t="s">
        <v>22</v>
      </c>
      <c r="K891" t="s">
        <v>8079</v>
      </c>
      <c r="L891" t="s">
        <v>8082</v>
      </c>
      <c r="M891" t="s">
        <v>25</v>
      </c>
      <c r="N891" t="s">
        <v>8083</v>
      </c>
      <c r="O891" t="s">
        <v>25</v>
      </c>
      <c r="P891" t="s">
        <v>8084</v>
      </c>
      <c r="Q891" t="s">
        <v>29</v>
      </c>
      <c r="R891" t="s">
        <v>8080</v>
      </c>
      <c r="S891" t="s">
        <v>8081</v>
      </c>
    </row>
    <row r="892" spans="1:19" x14ac:dyDescent="0.25">
      <c r="A892" s="1">
        <v>890</v>
      </c>
      <c r="B892" t="str">
        <f>HYPERLINK("https://www.dasschnelle.at/leiner-birgit-e-u-ötztal-bahnhof-turmstraße","Website")</f>
        <v>Website</v>
      </c>
      <c r="C892" t="str">
        <f>HYPERLINK("https://www.dasschnelle.at/leiner-birgit-e-u-%C3%B6tztal-bahnhof-turmstra%C3%9Fe","Website")</f>
        <v>Website</v>
      </c>
      <c r="D892" t="str">
        <f>HYPERLINK("http://www.google.com/maps/place/47.23585,10.85376","Location")</f>
        <v>Location</v>
      </c>
      <c r="E892" t="s">
        <v>8085</v>
      </c>
      <c r="F892" t="s">
        <v>8086</v>
      </c>
      <c r="G892" t="s">
        <v>8088</v>
      </c>
      <c r="H892" t="s">
        <v>8089</v>
      </c>
      <c r="I892" t="s">
        <v>21</v>
      </c>
      <c r="J892" t="s">
        <v>22</v>
      </c>
      <c r="K892" t="s">
        <v>8087</v>
      </c>
      <c r="L892" t="s">
        <v>8092</v>
      </c>
      <c r="M892" t="s">
        <v>25</v>
      </c>
      <c r="N892" t="s">
        <v>8093</v>
      </c>
      <c r="O892" t="s">
        <v>25</v>
      </c>
      <c r="P892" t="s">
        <v>8094</v>
      </c>
      <c r="Q892" t="s">
        <v>29</v>
      </c>
      <c r="R892" t="s">
        <v>8090</v>
      </c>
      <c r="S892" t="s">
        <v>8091</v>
      </c>
    </row>
    <row r="893" spans="1:19" x14ac:dyDescent="0.25">
      <c r="A893" s="1">
        <v>891</v>
      </c>
      <c r="B893" t="str">
        <f>HYPERLINK("https://www.dasschnelle.at/förg-eduard-gmbh-und-co-kg-silz-johann-georg-oegg-straße","Website")</f>
        <v>Website</v>
      </c>
      <c r="C893" t="str">
        <f>HYPERLINK("http://www.foerg-silz.at","Website")</f>
        <v>Website</v>
      </c>
      <c r="D893" t="str">
        <f>HYPERLINK("http://www.google.com/maps/place/47.26781,10.9316","Location")</f>
        <v>Location</v>
      </c>
      <c r="E893" t="s">
        <v>8095</v>
      </c>
      <c r="F893" t="s">
        <v>8096</v>
      </c>
      <c r="G893" t="s">
        <v>8069</v>
      </c>
      <c r="H893" t="s">
        <v>8070</v>
      </c>
      <c r="I893" t="s">
        <v>21</v>
      </c>
      <c r="J893" t="s">
        <v>22</v>
      </c>
      <c r="K893" t="s">
        <v>8097</v>
      </c>
      <c r="L893" t="s">
        <v>8100</v>
      </c>
      <c r="M893" t="s">
        <v>25</v>
      </c>
      <c r="N893" t="s">
        <v>8101</v>
      </c>
      <c r="O893" t="s">
        <v>25</v>
      </c>
      <c r="P893" t="s">
        <v>8102</v>
      </c>
      <c r="Q893" t="s">
        <v>29</v>
      </c>
      <c r="R893" t="s">
        <v>8098</v>
      </c>
      <c r="S893" t="s">
        <v>8099</v>
      </c>
    </row>
    <row r="894" spans="1:19" x14ac:dyDescent="0.25">
      <c r="A894" s="1">
        <v>892</v>
      </c>
      <c r="B894" t="str">
        <f>HYPERLINK("https://www.dasschnelle.at/georg-s-haus-und-gartenservice-imst-lehngasse","Website")</f>
        <v>Website</v>
      </c>
      <c r="C894" t="str">
        <f>HYPERLINK("https://www.dasschnelle.at/georg-s-haus-und-gartenservice-imst-lehngasse","Website")</f>
        <v>Website</v>
      </c>
      <c r="D894" t="str">
        <f>HYPERLINK("http://www.google.com/maps/place/47.24999,10.74089","Location")</f>
        <v>Location</v>
      </c>
      <c r="E894" t="s">
        <v>8103</v>
      </c>
      <c r="F894" t="s">
        <v>8104</v>
      </c>
      <c r="G894" t="s">
        <v>7997</v>
      </c>
      <c r="H894" t="s">
        <v>7998</v>
      </c>
      <c r="I894" t="s">
        <v>21</v>
      </c>
      <c r="J894" t="s">
        <v>22</v>
      </c>
      <c r="K894" t="s">
        <v>8105</v>
      </c>
      <c r="L894" t="s">
        <v>8108</v>
      </c>
      <c r="M894" t="s">
        <v>25</v>
      </c>
      <c r="N894" t="s">
        <v>8109</v>
      </c>
      <c r="O894" t="s">
        <v>25</v>
      </c>
      <c r="P894" t="s">
        <v>8110</v>
      </c>
      <c r="Q894" t="s">
        <v>29</v>
      </c>
      <c r="R894" t="s">
        <v>8106</v>
      </c>
      <c r="S894" t="s">
        <v>8107</v>
      </c>
    </row>
    <row r="895" spans="1:19" x14ac:dyDescent="0.25">
      <c r="A895" s="1">
        <v>893</v>
      </c>
      <c r="B895" t="str">
        <f>HYPERLINK("https://www.dasschnelle.at/ötztaler-schafwollzentrum-regensburger-gmbh-umhausen-lehnpuit","Website")</f>
        <v>Website</v>
      </c>
      <c r="C895" t="str">
        <f>HYPERLINK("http://www.schafwolle.com","Website")</f>
        <v>Website</v>
      </c>
      <c r="D895" t="str">
        <f>HYPERLINK("http://www.google.com/maps/place/47.1414,10.92237","Location")</f>
        <v>Location</v>
      </c>
      <c r="E895" t="s">
        <v>8111</v>
      </c>
      <c r="F895" t="s">
        <v>8112</v>
      </c>
      <c r="G895" t="s">
        <v>7968</v>
      </c>
      <c r="H895" t="s">
        <v>7969</v>
      </c>
      <c r="I895" t="s">
        <v>21</v>
      </c>
      <c r="J895" t="s">
        <v>22</v>
      </c>
      <c r="K895" t="s">
        <v>8113</v>
      </c>
      <c r="L895" t="s">
        <v>8116</v>
      </c>
      <c r="M895" t="s">
        <v>25</v>
      </c>
      <c r="N895" t="s">
        <v>8117</v>
      </c>
      <c r="O895" t="s">
        <v>25</v>
      </c>
      <c r="P895" t="s">
        <v>8118</v>
      </c>
      <c r="Q895" t="s">
        <v>29</v>
      </c>
      <c r="R895" t="s">
        <v>8114</v>
      </c>
      <c r="S895" t="s">
        <v>8115</v>
      </c>
    </row>
    <row r="896" spans="1:19" x14ac:dyDescent="0.25">
      <c r="A896" s="1">
        <v>894</v>
      </c>
      <c r="B896" t="str">
        <f>HYPERLINK("https://www.dasschnelle.at/heizung-sanitär-schöpf-gmbh-längenfeld-au","Website")</f>
        <v>Website</v>
      </c>
      <c r="C896" t="str">
        <f>HYPERLINK("http://www.heizung-sanitaer-schoepf.at","Website")</f>
        <v>Website</v>
      </c>
      <c r="D896" t="str">
        <f>HYPERLINK("http://www.google.com/maps/place/47.10041,10.95249","Location")</f>
        <v>Location</v>
      </c>
      <c r="E896" t="s">
        <v>8119</v>
      </c>
      <c r="F896" t="s">
        <v>8120</v>
      </c>
      <c r="G896" t="s">
        <v>8043</v>
      </c>
      <c r="H896" t="s">
        <v>8044</v>
      </c>
      <c r="I896" t="s">
        <v>21</v>
      </c>
      <c r="J896" t="s">
        <v>22</v>
      </c>
      <c r="K896" t="s">
        <v>8121</v>
      </c>
      <c r="L896" t="s">
        <v>8124</v>
      </c>
      <c r="M896" t="s">
        <v>25</v>
      </c>
      <c r="N896" t="s">
        <v>8125</v>
      </c>
      <c r="O896" t="s">
        <v>8126</v>
      </c>
      <c r="P896" t="s">
        <v>8127</v>
      </c>
      <c r="Q896" t="s">
        <v>29</v>
      </c>
      <c r="R896" t="s">
        <v>8122</v>
      </c>
      <c r="S896" t="s">
        <v>8123</v>
      </c>
    </row>
    <row r="897" spans="1:19" x14ac:dyDescent="0.25">
      <c r="A897" s="1">
        <v>895</v>
      </c>
      <c r="B897" t="str">
        <f>HYPERLINK("https://www.dasschnelle.at/olina-küchen-imst-imst-thomas-walch-straße","Website")</f>
        <v>Website</v>
      </c>
      <c r="C897" t="str">
        <f>HYPERLINK("http://www.olina.com","Website")</f>
        <v>Website</v>
      </c>
      <c r="D897" t="str">
        <f>HYPERLINK("http://www.google.com/maps/place/47.2483435,10.7435618","Location")</f>
        <v>Location</v>
      </c>
      <c r="E897" t="s">
        <v>8128</v>
      </c>
      <c r="F897" t="s">
        <v>8129</v>
      </c>
      <c r="G897" t="s">
        <v>7997</v>
      </c>
      <c r="H897" t="s">
        <v>7998</v>
      </c>
      <c r="I897" t="s">
        <v>21</v>
      </c>
      <c r="J897" t="s">
        <v>22</v>
      </c>
      <c r="K897" t="s">
        <v>8130</v>
      </c>
      <c r="L897" t="s">
        <v>8133</v>
      </c>
      <c r="M897" t="s">
        <v>25</v>
      </c>
      <c r="N897" t="s">
        <v>8134</v>
      </c>
      <c r="O897" t="s">
        <v>8135</v>
      </c>
      <c r="P897" t="s">
        <v>8136</v>
      </c>
      <c r="Q897" t="s">
        <v>29</v>
      </c>
      <c r="R897" t="s">
        <v>8131</v>
      </c>
      <c r="S897" t="s">
        <v>8132</v>
      </c>
    </row>
    <row r="898" spans="1:19" x14ac:dyDescent="0.25">
      <c r="A898" s="1">
        <v>896</v>
      </c>
      <c r="B898" t="str">
        <f>HYPERLINK("https://www.dasschnelle.at/schmid-franz-umhausen-niederthai","Website")</f>
        <v>Website</v>
      </c>
      <c r="C898" t="str">
        <f>HYPERLINK("https://www.dasschnelle.at/schmid-franz-umhausen-niederthai","Website")</f>
        <v>Website</v>
      </c>
      <c r="D898" t="str">
        <f>HYPERLINK("http://www.google.com/maps/place/47.1248578,10.9613589","Location")</f>
        <v>Location</v>
      </c>
      <c r="E898" t="s">
        <v>8137</v>
      </c>
      <c r="F898" t="s">
        <v>8138</v>
      </c>
      <c r="G898" t="s">
        <v>7968</v>
      </c>
      <c r="H898" t="s">
        <v>7969</v>
      </c>
      <c r="I898" t="s">
        <v>21</v>
      </c>
      <c r="J898" t="s">
        <v>22</v>
      </c>
      <c r="K898" t="s">
        <v>8139</v>
      </c>
      <c r="L898" t="s">
        <v>8142</v>
      </c>
      <c r="M898" t="s">
        <v>25</v>
      </c>
      <c r="N898" t="s">
        <v>8143</v>
      </c>
      <c r="O898" t="s">
        <v>8144</v>
      </c>
      <c r="P898" t="s">
        <v>8145</v>
      </c>
      <c r="Q898" t="s">
        <v>29</v>
      </c>
      <c r="R898" t="s">
        <v>8140</v>
      </c>
      <c r="S898" t="s">
        <v>8141</v>
      </c>
    </row>
    <row r="899" spans="1:19" x14ac:dyDescent="0.25">
      <c r="A899" s="1">
        <v>897</v>
      </c>
      <c r="B899" t="str">
        <f>HYPERLINK("https://www.dasschnelle.at/schreier-günter-karres-bundesstraße","Website")</f>
        <v>Website</v>
      </c>
      <c r="C899" t="str">
        <f>HYPERLINK("http://www.guenters-schlosserei.at","Website")</f>
        <v>Website</v>
      </c>
      <c r="D899" t="str">
        <f>HYPERLINK("http://www.google.com/maps/place/47.2148076,10.7824653","Location")</f>
        <v>Location</v>
      </c>
      <c r="E899" t="s">
        <v>8146</v>
      </c>
      <c r="F899" t="s">
        <v>8147</v>
      </c>
      <c r="G899" t="s">
        <v>8149</v>
      </c>
      <c r="H899" t="s">
        <v>8150</v>
      </c>
      <c r="I899" t="s">
        <v>21</v>
      </c>
      <c r="J899" t="s">
        <v>22</v>
      </c>
      <c r="K899" t="s">
        <v>8148</v>
      </c>
      <c r="L899" t="s">
        <v>8153</v>
      </c>
      <c r="M899" t="s">
        <v>25</v>
      </c>
      <c r="N899" t="s">
        <v>8154</v>
      </c>
      <c r="O899" t="s">
        <v>8155</v>
      </c>
      <c r="P899" t="s">
        <v>8156</v>
      </c>
      <c r="Q899" t="s">
        <v>29</v>
      </c>
      <c r="R899" t="s">
        <v>8151</v>
      </c>
      <c r="S899" t="s">
        <v>8152</v>
      </c>
    </row>
    <row r="900" spans="1:19" x14ac:dyDescent="0.25">
      <c r="A900" s="1">
        <v>898</v>
      </c>
      <c r="B900" t="str">
        <f>HYPERLINK("https://www.dasschnelle.at/reca-fliesen-und-steine-gmbh-imst-fabrikstraße","Website")</f>
        <v>Website</v>
      </c>
      <c r="C900" t="str">
        <f>HYPERLINK("http://www.reca.at","Website")</f>
        <v>Website</v>
      </c>
      <c r="D900" t="str">
        <f>HYPERLINK("http://www.google.com/maps/place/47.23538,10.75136","Location")</f>
        <v>Location</v>
      </c>
      <c r="E900" t="s">
        <v>8157</v>
      </c>
      <c r="F900" t="s">
        <v>8158</v>
      </c>
      <c r="G900" t="s">
        <v>7997</v>
      </c>
      <c r="H900" t="s">
        <v>7998</v>
      </c>
      <c r="I900" t="s">
        <v>21</v>
      </c>
      <c r="J900" t="s">
        <v>22</v>
      </c>
      <c r="K900" t="s">
        <v>8159</v>
      </c>
      <c r="L900" t="s">
        <v>8162</v>
      </c>
      <c r="M900" t="s">
        <v>8163</v>
      </c>
      <c r="N900" t="s">
        <v>8164</v>
      </c>
      <c r="O900" t="s">
        <v>8165</v>
      </c>
      <c r="P900" t="s">
        <v>8166</v>
      </c>
      <c r="Q900" t="s">
        <v>29</v>
      </c>
      <c r="R900" t="s">
        <v>8160</v>
      </c>
      <c r="S900" t="s">
        <v>8161</v>
      </c>
    </row>
    <row r="901" spans="1:19" x14ac:dyDescent="0.25">
      <c r="A901" s="1">
        <v>899</v>
      </c>
      <c r="B901" t="str">
        <f>HYPERLINK("https://www.dasschnelle.at/gabl-elmar-arzl-im-pitztal-mairhof","Website")</f>
        <v>Website</v>
      </c>
      <c r="C901" t="str">
        <f>HYPERLINK("http://www.anders-hofladen.at","Website")</f>
        <v>Website</v>
      </c>
      <c r="D901" t="str">
        <f>HYPERLINK("http://www.google.com/maps/place/47.20399,10.77481","Location")</f>
        <v>Location</v>
      </c>
      <c r="E901" t="s">
        <v>8167</v>
      </c>
      <c r="F901" t="s">
        <v>8168</v>
      </c>
      <c r="G901" t="s">
        <v>8006</v>
      </c>
      <c r="H901" t="s">
        <v>8007</v>
      </c>
      <c r="I901" t="s">
        <v>21</v>
      </c>
      <c r="J901" t="s">
        <v>22</v>
      </c>
      <c r="K901" t="s">
        <v>8169</v>
      </c>
      <c r="L901" t="s">
        <v>8172</v>
      </c>
      <c r="M901" t="s">
        <v>25</v>
      </c>
      <c r="N901" t="s">
        <v>8173</v>
      </c>
      <c r="O901" t="s">
        <v>25</v>
      </c>
      <c r="P901" t="s">
        <v>8174</v>
      </c>
      <c r="Q901" t="s">
        <v>29</v>
      </c>
      <c r="R901" t="s">
        <v>8170</v>
      </c>
      <c r="S901" t="s">
        <v>8171</v>
      </c>
    </row>
    <row r="902" spans="1:19" x14ac:dyDescent="0.25">
      <c r="A902" s="1">
        <v>900</v>
      </c>
      <c r="B902" t="str">
        <f>HYPERLINK("https://www.dasschnelle.at/steintec-gmbh-und-co-kg-umhausen-gewerbegebiet-vorderes-ötztal","Website")</f>
        <v>Website</v>
      </c>
      <c r="C902" t="str">
        <f>HYPERLINK("http://www.steintec.at","Website")</f>
        <v>Website</v>
      </c>
      <c r="D902" t="str">
        <f>HYPERLINK("http://www.google.com/maps/place/47.16557,10.90901","Location")</f>
        <v>Location</v>
      </c>
      <c r="E902" t="s">
        <v>8175</v>
      </c>
      <c r="F902" t="s">
        <v>8176</v>
      </c>
      <c r="G902" t="s">
        <v>7968</v>
      </c>
      <c r="H902" t="s">
        <v>7969</v>
      </c>
      <c r="I902" t="s">
        <v>21</v>
      </c>
      <c r="J902" t="s">
        <v>22</v>
      </c>
      <c r="K902" t="s">
        <v>8177</v>
      </c>
      <c r="L902" t="s">
        <v>8180</v>
      </c>
      <c r="M902" t="s">
        <v>8181</v>
      </c>
      <c r="N902" t="s">
        <v>8182</v>
      </c>
      <c r="O902" t="s">
        <v>8183</v>
      </c>
      <c r="P902" t="s">
        <v>8184</v>
      </c>
      <c r="Q902" t="s">
        <v>29</v>
      </c>
      <c r="R902" t="s">
        <v>8178</v>
      </c>
      <c r="S902" t="s">
        <v>8179</v>
      </c>
    </row>
    <row r="903" spans="1:19" x14ac:dyDescent="0.25">
      <c r="A903" s="1">
        <v>901</v>
      </c>
      <c r="B903" t="str">
        <f>HYPERLINK("https://www.dasschnelle.at/köll-raumausstattung-kg-sautens-dorfstraße","Website")</f>
        <v>Website</v>
      </c>
      <c r="C903" t="str">
        <f>HYPERLINK("https://www.dasschnelle.at/k%C3%B6ll-raumausstattung-kg-sautens-dorfstra%C3%9Fe","Website")</f>
        <v>Website</v>
      </c>
      <c r="D903" t="str">
        <f>HYPERLINK("http://www.google.com/maps/place/47.21005,10.86076","Location")</f>
        <v>Location</v>
      </c>
      <c r="E903" t="s">
        <v>8185</v>
      </c>
      <c r="F903" t="s">
        <v>8186</v>
      </c>
      <c r="G903" t="s">
        <v>8188</v>
      </c>
      <c r="H903" t="s">
        <v>8189</v>
      </c>
      <c r="I903" t="s">
        <v>21</v>
      </c>
      <c r="J903" t="s">
        <v>22</v>
      </c>
      <c r="K903" t="s">
        <v>8187</v>
      </c>
      <c r="L903" t="s">
        <v>8192</v>
      </c>
      <c r="M903" t="s">
        <v>8193</v>
      </c>
      <c r="N903" t="s">
        <v>8194</v>
      </c>
      <c r="O903" t="s">
        <v>25</v>
      </c>
      <c r="P903" t="s">
        <v>8195</v>
      </c>
      <c r="Q903" t="s">
        <v>29</v>
      </c>
      <c r="R903" t="s">
        <v>8190</v>
      </c>
      <c r="S903" t="s">
        <v>8191</v>
      </c>
    </row>
    <row r="904" spans="1:19" x14ac:dyDescent="0.25">
      <c r="A904" s="1">
        <v>902</v>
      </c>
      <c r="B904" t="str">
        <f>HYPERLINK("https://www.dasschnelle.at/müller-ludwig-gmbh-imst-gewerbepark","Website")</f>
        <v>Website</v>
      </c>
      <c r="C904" t="str">
        <f>HYPERLINK("http://www.kaercher-center-mueller.at","Website")</f>
        <v>Website</v>
      </c>
      <c r="D904" t="str">
        <f>HYPERLINK("http://www.google.com/maps/place/47.21808,10.74672","Location")</f>
        <v>Location</v>
      </c>
      <c r="E904" t="s">
        <v>8196</v>
      </c>
      <c r="F904" t="s">
        <v>8197</v>
      </c>
      <c r="G904" t="s">
        <v>7997</v>
      </c>
      <c r="H904" t="s">
        <v>7998</v>
      </c>
      <c r="I904" t="s">
        <v>21</v>
      </c>
      <c r="J904" t="s">
        <v>22</v>
      </c>
      <c r="K904" t="s">
        <v>8198</v>
      </c>
      <c r="L904" t="s">
        <v>8201</v>
      </c>
      <c r="M904" t="s">
        <v>25</v>
      </c>
      <c r="N904" t="s">
        <v>8202</v>
      </c>
      <c r="O904" t="s">
        <v>25</v>
      </c>
      <c r="P904" t="s">
        <v>8203</v>
      </c>
      <c r="Q904" t="s">
        <v>29</v>
      </c>
      <c r="R904" t="s">
        <v>8199</v>
      </c>
      <c r="S904" t="s">
        <v>8200</v>
      </c>
    </row>
    <row r="905" spans="1:19" x14ac:dyDescent="0.25">
      <c r="A905" s="1">
        <v>903</v>
      </c>
      <c r="B905" t="str">
        <f>HYPERLINK("https://www.dasschnelle.at/grüner-gudrun-längenfeld-gries","Website")</f>
        <v>Website</v>
      </c>
      <c r="C905" t="str">
        <f>HYPERLINK("http://www.hotel-schoepf.com","Website")</f>
        <v>Website</v>
      </c>
      <c r="D905" t="str">
        <f>HYPERLINK("http://www.google.com/maps/place/47.07131,11.02056","Location")</f>
        <v>Location</v>
      </c>
      <c r="E905" t="s">
        <v>8204</v>
      </c>
      <c r="F905" t="s">
        <v>8205</v>
      </c>
      <c r="G905" t="s">
        <v>8043</v>
      </c>
      <c r="H905" t="s">
        <v>8044</v>
      </c>
      <c r="I905" t="s">
        <v>21</v>
      </c>
      <c r="J905" t="s">
        <v>22</v>
      </c>
      <c r="K905" t="s">
        <v>8206</v>
      </c>
      <c r="L905" t="s">
        <v>8209</v>
      </c>
      <c r="M905" t="s">
        <v>25</v>
      </c>
      <c r="N905" t="s">
        <v>8210</v>
      </c>
      <c r="O905" t="s">
        <v>25</v>
      </c>
      <c r="P905" t="s">
        <v>8211</v>
      </c>
      <c r="Q905" t="s">
        <v>29</v>
      </c>
      <c r="R905" t="s">
        <v>8207</v>
      </c>
      <c r="S905" t="s">
        <v>8208</v>
      </c>
    </row>
    <row r="906" spans="1:19" x14ac:dyDescent="0.25">
      <c r="A906" s="1">
        <v>904</v>
      </c>
      <c r="B906" t="str">
        <f>HYPERLINK("https://www.dasschnelle.at/meier-jörg-dr-med-univ-imst-stadtplatz","Website")</f>
        <v>Website</v>
      </c>
      <c r="C906" t="str">
        <f>HYPERLINK("https://www.dasschnelle.at/meier-j%C3%B6rg-dr-med-univ-imst-stadtplatz","Website")</f>
        <v>Website</v>
      </c>
      <c r="D906" t="str">
        <f>HYPERLINK("http://www.google.com/maps/place/47.23836,10.74245","Location")</f>
        <v>Location</v>
      </c>
      <c r="E906" t="s">
        <v>8212</v>
      </c>
      <c r="F906" t="s">
        <v>8213</v>
      </c>
      <c r="G906" t="s">
        <v>7997</v>
      </c>
      <c r="H906" t="s">
        <v>7998</v>
      </c>
      <c r="I906" t="s">
        <v>21</v>
      </c>
      <c r="J906" t="s">
        <v>22</v>
      </c>
      <c r="K906" t="s">
        <v>8214</v>
      </c>
      <c r="L906" t="s">
        <v>8217</v>
      </c>
      <c r="M906" t="s">
        <v>25</v>
      </c>
      <c r="N906" t="s">
        <v>8218</v>
      </c>
      <c r="O906" t="s">
        <v>25</v>
      </c>
      <c r="P906" t="s">
        <v>8219</v>
      </c>
      <c r="Q906" t="s">
        <v>29</v>
      </c>
      <c r="R906" t="s">
        <v>8215</v>
      </c>
      <c r="S906" t="s">
        <v>8216</v>
      </c>
    </row>
    <row r="907" spans="1:19" x14ac:dyDescent="0.25">
      <c r="A907" s="1">
        <v>905</v>
      </c>
      <c r="B907" t="str">
        <f>HYPERLINK("https://www.dasschnelle.at/gegs-energie-und-gebäudetechnik-gmbh-oetz-ebene","Website")</f>
        <v>Website</v>
      </c>
      <c r="C907" t="str">
        <f>HYPERLINK("http://www.gegs.tirol","Website")</f>
        <v>Website</v>
      </c>
      <c r="D907" t="str">
        <f>HYPERLINK("http://www.google.com/maps/place/47.21371,10.86971","Location")</f>
        <v>Location</v>
      </c>
      <c r="E907" t="s">
        <v>8220</v>
      </c>
      <c r="F907" t="s">
        <v>8221</v>
      </c>
      <c r="G907" t="s">
        <v>7986</v>
      </c>
      <c r="H907" t="s">
        <v>7987</v>
      </c>
      <c r="I907" t="s">
        <v>21</v>
      </c>
      <c r="J907" t="s">
        <v>22</v>
      </c>
      <c r="K907" t="s">
        <v>8222</v>
      </c>
      <c r="L907" t="s">
        <v>8225</v>
      </c>
      <c r="M907" t="s">
        <v>25</v>
      </c>
      <c r="N907" t="s">
        <v>8226</v>
      </c>
      <c r="O907" t="s">
        <v>25</v>
      </c>
      <c r="P907" t="s">
        <v>8227</v>
      </c>
      <c r="Q907" t="s">
        <v>29</v>
      </c>
      <c r="R907" t="s">
        <v>8223</v>
      </c>
      <c r="S907" t="s">
        <v>8224</v>
      </c>
    </row>
    <row r="908" spans="1:19" x14ac:dyDescent="0.25">
      <c r="A908" s="1">
        <v>906</v>
      </c>
      <c r="B908" t="str">
        <f>HYPERLINK("https://www.dasschnelle.at/heizung-sanitär-solar-hartwig-gstrein-gmbh-wenns-unterdorf","Website")</f>
        <v>Website</v>
      </c>
      <c r="C908" t="str">
        <f>HYPERLINK("http://www.gstre.in","Website")</f>
        <v>Website</v>
      </c>
      <c r="D908" t="str">
        <f>HYPERLINK("http://www.google.com/maps/place/47.1697500,10.7320700","Location")</f>
        <v>Location</v>
      </c>
      <c r="E908" t="s">
        <v>8228</v>
      </c>
      <c r="F908" t="s">
        <v>8229</v>
      </c>
      <c r="G908" t="s">
        <v>8231</v>
      </c>
      <c r="H908" t="s">
        <v>8232</v>
      </c>
      <c r="I908" t="s">
        <v>21</v>
      </c>
      <c r="J908" t="s">
        <v>22</v>
      </c>
      <c r="K908" t="s">
        <v>8230</v>
      </c>
      <c r="L908" t="s">
        <v>8235</v>
      </c>
      <c r="M908" t="s">
        <v>25</v>
      </c>
      <c r="N908" t="s">
        <v>8236</v>
      </c>
      <c r="O908" t="s">
        <v>25</v>
      </c>
      <c r="P908" t="s">
        <v>8237</v>
      </c>
      <c r="Q908" t="s">
        <v>29</v>
      </c>
      <c r="R908" t="s">
        <v>8233</v>
      </c>
      <c r="S908" t="s">
        <v>8234</v>
      </c>
    </row>
    <row r="909" spans="1:19" x14ac:dyDescent="0.25">
      <c r="A909" s="1">
        <v>907</v>
      </c>
      <c r="B909" t="str">
        <f>HYPERLINK("https://www.dasschnelle.at/pro-keramik-gmbh-imst-thomas-walch-straße","Website")</f>
        <v>Website</v>
      </c>
      <c r="C909" t="str">
        <f>HYPERLINK("http://www.prokeramik.com","Website")</f>
        <v>Website</v>
      </c>
      <c r="D909" t="str">
        <f>HYPERLINK("http://www.google.com/maps/place/47.24842,10.74363","Location")</f>
        <v>Location</v>
      </c>
      <c r="E909" t="s">
        <v>8238</v>
      </c>
      <c r="F909" t="s">
        <v>8239</v>
      </c>
      <c r="G909" t="s">
        <v>7997</v>
      </c>
      <c r="H909" t="s">
        <v>7998</v>
      </c>
      <c r="I909" t="s">
        <v>21</v>
      </c>
      <c r="J909" t="s">
        <v>22</v>
      </c>
      <c r="K909" t="s">
        <v>8240</v>
      </c>
      <c r="L909" t="s">
        <v>8243</v>
      </c>
      <c r="M909" t="s">
        <v>25</v>
      </c>
      <c r="N909" t="s">
        <v>8244</v>
      </c>
      <c r="O909" t="s">
        <v>25</v>
      </c>
      <c r="P909" t="s">
        <v>8245</v>
      </c>
      <c r="Q909" t="s">
        <v>29</v>
      </c>
      <c r="R909" t="s">
        <v>8241</v>
      </c>
      <c r="S909" t="s">
        <v>8242</v>
      </c>
    </row>
    <row r="910" spans="1:19" x14ac:dyDescent="0.25">
      <c r="A910" s="1">
        <v>908</v>
      </c>
      <c r="B910" t="str">
        <f>HYPERLINK("https://www.dasschnelle.at/gartenwelt-oppl-gmbh-imst-industriezone","Website")</f>
        <v>Website</v>
      </c>
      <c r="C910" t="str">
        <f>HYPERLINK("http://www.oppl.at","Website")</f>
        <v>Website</v>
      </c>
      <c r="D910" t="str">
        <f>HYPERLINK("http://www.google.com/maps/place/47.21897,10.73516","Location")</f>
        <v>Location</v>
      </c>
      <c r="E910" t="s">
        <v>8246</v>
      </c>
      <c r="F910" t="s">
        <v>8247</v>
      </c>
      <c r="G910" t="s">
        <v>7997</v>
      </c>
      <c r="H910" t="s">
        <v>7998</v>
      </c>
      <c r="I910" t="s">
        <v>21</v>
      </c>
      <c r="J910" t="s">
        <v>22</v>
      </c>
      <c r="K910" t="s">
        <v>8248</v>
      </c>
      <c r="L910" t="s">
        <v>8251</v>
      </c>
      <c r="M910" t="s">
        <v>8252</v>
      </c>
      <c r="N910" t="s">
        <v>8253</v>
      </c>
      <c r="O910" t="s">
        <v>25</v>
      </c>
      <c r="P910" t="s">
        <v>8254</v>
      </c>
      <c r="Q910" t="s">
        <v>29</v>
      </c>
      <c r="R910" t="s">
        <v>8249</v>
      </c>
      <c r="S910" t="s">
        <v>8250</v>
      </c>
    </row>
    <row r="911" spans="1:19" x14ac:dyDescent="0.25">
      <c r="A911" s="1">
        <v>909</v>
      </c>
      <c r="B911" t="str">
        <f>HYPERLINK("https://www.dasschnelle.at/benny-s-fliesenwelt-längenfeld-längenfeld","Website")</f>
        <v>Website</v>
      </c>
      <c r="C911" t="str">
        <f>HYPERLINK("http://www.bennys-fliesenwelt.at","Website")</f>
        <v>Website</v>
      </c>
      <c r="D911" t="str">
        <f>HYPERLINK("http://www.google.com/maps/place/47.0685837,10.9696443","Location")</f>
        <v>Location</v>
      </c>
      <c r="E911" t="s">
        <v>8255</v>
      </c>
      <c r="F911" t="s">
        <v>8256</v>
      </c>
      <c r="G911" t="s">
        <v>8043</v>
      </c>
      <c r="H911" t="s">
        <v>8044</v>
      </c>
      <c r="I911" t="s">
        <v>21</v>
      </c>
      <c r="J911" t="s">
        <v>22</v>
      </c>
      <c r="K911" t="s">
        <v>8257</v>
      </c>
      <c r="L911" t="s">
        <v>8260</v>
      </c>
      <c r="M911" t="s">
        <v>25</v>
      </c>
      <c r="N911" t="s">
        <v>8261</v>
      </c>
      <c r="O911" t="s">
        <v>25</v>
      </c>
      <c r="P911" t="s">
        <v>8262</v>
      </c>
      <c r="Q911" t="s">
        <v>29</v>
      </c>
      <c r="R911" t="s">
        <v>8258</v>
      </c>
      <c r="S911" t="s">
        <v>8259</v>
      </c>
    </row>
    <row r="912" spans="1:19" x14ac:dyDescent="0.25">
      <c r="A912" s="1">
        <v>910</v>
      </c>
      <c r="B912" t="str">
        <f>HYPERLINK("https://www.dasschnelle.at/bacher-dachbau-gmbh-längenfeld-oberlängenfeld","Website")</f>
        <v>Website</v>
      </c>
      <c r="C912" t="str">
        <f>HYPERLINK("http://bacher-dachbau.com","Website")</f>
        <v>Website</v>
      </c>
      <c r="D912" t="str">
        <f>HYPERLINK("http://www.google.com/maps/place/47.0669,10.96938","Location")</f>
        <v>Location</v>
      </c>
      <c r="E912" t="s">
        <v>8263</v>
      </c>
      <c r="F912" t="s">
        <v>8264</v>
      </c>
      <c r="G912" t="s">
        <v>8043</v>
      </c>
      <c r="H912" t="s">
        <v>8044</v>
      </c>
      <c r="I912" t="s">
        <v>21</v>
      </c>
      <c r="J912" t="s">
        <v>22</v>
      </c>
      <c r="K912" t="s">
        <v>8265</v>
      </c>
      <c r="L912" t="s">
        <v>8268</v>
      </c>
      <c r="M912" t="s">
        <v>25</v>
      </c>
      <c r="N912" t="s">
        <v>8269</v>
      </c>
      <c r="O912" t="s">
        <v>25</v>
      </c>
      <c r="P912" t="s">
        <v>8270</v>
      </c>
      <c r="Q912" t="s">
        <v>29</v>
      </c>
      <c r="R912" t="s">
        <v>8266</v>
      </c>
      <c r="S912" t="s">
        <v>8267</v>
      </c>
    </row>
    <row r="913" spans="1:19" x14ac:dyDescent="0.25">
      <c r="A913" s="1">
        <v>911</v>
      </c>
      <c r="B913" t="str">
        <f>HYPERLINK("https://www.dasschnelle.at/schober-glas-gmbh-ötztal-bahnhof-bahnhofstraße","Website")</f>
        <v>Website</v>
      </c>
      <c r="C913" t="str">
        <f>HYPERLINK("http://www.glasschober.at","Website")</f>
        <v>Website</v>
      </c>
      <c r="D913" t="str">
        <f>HYPERLINK("http://www.google.com/maps/place/47.23636,10.86055","Location")</f>
        <v>Location</v>
      </c>
      <c r="E913" t="s">
        <v>8271</v>
      </c>
      <c r="F913" t="s">
        <v>8272</v>
      </c>
      <c r="G913" t="s">
        <v>8088</v>
      </c>
      <c r="H913" t="s">
        <v>8089</v>
      </c>
      <c r="I913" t="s">
        <v>21</v>
      </c>
      <c r="J913" t="s">
        <v>22</v>
      </c>
      <c r="K913" t="s">
        <v>8273</v>
      </c>
      <c r="L913" t="s">
        <v>8276</v>
      </c>
      <c r="M913" t="s">
        <v>8277</v>
      </c>
      <c r="N913" t="s">
        <v>8278</v>
      </c>
      <c r="O913" t="s">
        <v>8279</v>
      </c>
      <c r="P913" t="s">
        <v>8280</v>
      </c>
      <c r="Q913" t="s">
        <v>29</v>
      </c>
      <c r="R913" t="s">
        <v>8274</v>
      </c>
      <c r="S913" t="s">
        <v>8275</v>
      </c>
    </row>
    <row r="914" spans="1:19" x14ac:dyDescent="0.25">
      <c r="A914" s="1">
        <v>912</v>
      </c>
      <c r="B914" t="str">
        <f>HYPERLINK("https://www.dasschnelle.at/autohaus-josef-schöpf-gmbh-imst-industriezone","Website")</f>
        <v>Website</v>
      </c>
      <c r="C914" t="str">
        <f>HYPERLINK("http://www.autohaus-schoepf.at","Website")</f>
        <v>Website</v>
      </c>
      <c r="D914" t="str">
        <f>HYPERLINK("http://www.google.com/maps/place/47.21852,10.72734","Location")</f>
        <v>Location</v>
      </c>
      <c r="E914" t="s">
        <v>8281</v>
      </c>
      <c r="F914" t="s">
        <v>8282</v>
      </c>
      <c r="G914" t="s">
        <v>7997</v>
      </c>
      <c r="H914" t="s">
        <v>7998</v>
      </c>
      <c r="I914" t="s">
        <v>21</v>
      </c>
      <c r="J914" t="s">
        <v>22</v>
      </c>
      <c r="K914" t="s">
        <v>8283</v>
      </c>
      <c r="L914" t="s">
        <v>8285</v>
      </c>
      <c r="M914" t="s">
        <v>25</v>
      </c>
      <c r="N914" t="s">
        <v>8286</v>
      </c>
      <c r="O914" t="s">
        <v>25</v>
      </c>
      <c r="P914" t="s">
        <v>8287</v>
      </c>
      <c r="Q914" t="s">
        <v>29</v>
      </c>
      <c r="R914" t="s">
        <v>3581</v>
      </c>
      <c r="S914" t="s">
        <v>8284</v>
      </c>
    </row>
    <row r="915" spans="1:19" x14ac:dyDescent="0.25">
      <c r="A915" s="1">
        <v>913</v>
      </c>
      <c r="B915" t="str">
        <f>HYPERLINK("https://www.dasschnelle.at/holzknecht-roland-längenfeld-lehn","Website")</f>
        <v>Website</v>
      </c>
      <c r="C915" t="str">
        <f>HYPERLINK("https://www.dasschnelle.at/holzknecht-roland-l%C3%A4ngenfeld-lehn","Website")</f>
        <v>Website</v>
      </c>
      <c r="D915" t="str">
        <f>HYPERLINK("http://www.google.com/maps/place/47.08443,10.94516","Location")</f>
        <v>Location</v>
      </c>
      <c r="E915" t="s">
        <v>8288</v>
      </c>
      <c r="F915" t="s">
        <v>8289</v>
      </c>
      <c r="G915" t="s">
        <v>8043</v>
      </c>
      <c r="H915" t="s">
        <v>8044</v>
      </c>
      <c r="I915" t="s">
        <v>21</v>
      </c>
      <c r="J915" t="s">
        <v>22</v>
      </c>
      <c r="K915" t="s">
        <v>8290</v>
      </c>
      <c r="L915" t="s">
        <v>8293</v>
      </c>
      <c r="M915" t="s">
        <v>25</v>
      </c>
      <c r="N915" t="s">
        <v>8294</v>
      </c>
      <c r="O915" t="s">
        <v>25</v>
      </c>
      <c r="P915" t="s">
        <v>8295</v>
      </c>
      <c r="Q915" t="s">
        <v>29</v>
      </c>
      <c r="R915" t="s">
        <v>8291</v>
      </c>
      <c r="S915" t="s">
        <v>8292</v>
      </c>
    </row>
    <row r="916" spans="1:19" x14ac:dyDescent="0.25">
      <c r="A916" s="1">
        <v>914</v>
      </c>
      <c r="B916" t="str">
        <f>HYPERLINK("https://www.dasschnelle.at/pixner-og-malerei-umhausen-östen","Website")</f>
        <v>Website</v>
      </c>
      <c r="C916" t="str">
        <f>HYPERLINK("http://www.malerei-pixner.at","Website")</f>
        <v>Website</v>
      </c>
      <c r="D916" t="str">
        <f>HYPERLINK("http://www.google.com/maps/place/47.1483055,10.9155035","Location")</f>
        <v>Location</v>
      </c>
      <c r="E916" t="s">
        <v>8296</v>
      </c>
      <c r="F916" t="s">
        <v>8297</v>
      </c>
      <c r="G916" t="s">
        <v>7968</v>
      </c>
      <c r="H916" t="s">
        <v>7969</v>
      </c>
      <c r="I916" t="s">
        <v>21</v>
      </c>
      <c r="J916" t="s">
        <v>22</v>
      </c>
      <c r="K916" t="s">
        <v>8298</v>
      </c>
      <c r="L916" t="s">
        <v>8301</v>
      </c>
      <c r="M916" t="s">
        <v>25</v>
      </c>
      <c r="N916" t="s">
        <v>8302</v>
      </c>
      <c r="O916" t="s">
        <v>8303</v>
      </c>
      <c r="P916" t="s">
        <v>8304</v>
      </c>
      <c r="Q916" t="s">
        <v>29</v>
      </c>
      <c r="R916" t="s">
        <v>8299</v>
      </c>
      <c r="S916" t="s">
        <v>8300</v>
      </c>
    </row>
    <row r="917" spans="1:19" x14ac:dyDescent="0.25">
      <c r="A917" s="1">
        <v>915</v>
      </c>
      <c r="B917" t="str">
        <f>HYPERLINK("https://www.dasschnelle.at/neuner-kurt-imst-auf-arzill","Website")</f>
        <v>Website</v>
      </c>
      <c r="C917" t="str">
        <f>HYPERLINK("http://www.malerei-neuner.at","Website")</f>
        <v>Website</v>
      </c>
      <c r="D917" t="str">
        <f>HYPERLINK("http://www.google.com/maps/place/47.23791,10.74375","Location")</f>
        <v>Location</v>
      </c>
      <c r="E917" t="s">
        <v>8305</v>
      </c>
      <c r="F917" t="s">
        <v>8306</v>
      </c>
      <c r="G917" t="s">
        <v>7997</v>
      </c>
      <c r="H917" t="s">
        <v>7998</v>
      </c>
      <c r="I917" t="s">
        <v>21</v>
      </c>
      <c r="J917" t="s">
        <v>22</v>
      </c>
      <c r="K917" t="s">
        <v>8307</v>
      </c>
      <c r="L917" t="s">
        <v>8310</v>
      </c>
      <c r="M917" t="s">
        <v>25</v>
      </c>
      <c r="N917" t="s">
        <v>8311</v>
      </c>
      <c r="O917" t="s">
        <v>25</v>
      </c>
      <c r="P917" t="s">
        <v>8312</v>
      </c>
      <c r="Q917" t="s">
        <v>29</v>
      </c>
      <c r="R917" t="s">
        <v>8308</v>
      </c>
      <c r="S917" t="s">
        <v>8309</v>
      </c>
    </row>
    <row r="918" spans="1:19" x14ac:dyDescent="0.25">
      <c r="A918" s="1">
        <v>916</v>
      </c>
      <c r="B918" t="str">
        <f>HYPERLINK("https://www.dasschnelle.at/schöpf-roland-oetz-gewerbegebiet","Website")</f>
        <v>Website</v>
      </c>
      <c r="C918" t="str">
        <f>HYPERLINK("http://rs-kaminbau.at","Website")</f>
        <v>Website</v>
      </c>
      <c r="D918" t="str">
        <f>HYPERLINK("http://www.google.com/maps/place/47.18567,10.90686","Location")</f>
        <v>Location</v>
      </c>
      <c r="E918" t="s">
        <v>8313</v>
      </c>
      <c r="F918" t="s">
        <v>8314</v>
      </c>
      <c r="G918" t="s">
        <v>7986</v>
      </c>
      <c r="H918" t="s">
        <v>7987</v>
      </c>
      <c r="I918" t="s">
        <v>21</v>
      </c>
      <c r="J918" t="s">
        <v>22</v>
      </c>
      <c r="K918" t="s">
        <v>8315</v>
      </c>
      <c r="L918" t="s">
        <v>8318</v>
      </c>
      <c r="M918" t="s">
        <v>25</v>
      </c>
      <c r="N918" t="s">
        <v>8319</v>
      </c>
      <c r="O918" t="s">
        <v>25</v>
      </c>
      <c r="P918" t="s">
        <v>8320</v>
      </c>
      <c r="Q918" t="s">
        <v>29</v>
      </c>
      <c r="R918" t="s">
        <v>8316</v>
      </c>
      <c r="S918" t="s">
        <v>8317</v>
      </c>
    </row>
    <row r="919" spans="1:19" x14ac:dyDescent="0.25">
      <c r="A919" s="1">
        <v>917</v>
      </c>
      <c r="B919" t="str">
        <f>HYPERLINK("https://www.dasschnelle.at/ida-s-fliesenstudio-gesmbh-arzl-im-pitztal-gewerbepark-pitztal","Website")</f>
        <v>Website</v>
      </c>
      <c r="C919" t="str">
        <f>HYPERLINK("http://www.fliesenstudio.at","Website")</f>
        <v>Website</v>
      </c>
      <c r="D919" t="str">
        <f>HYPERLINK("http://www.google.com/maps/place/47.21569,10.75515","Location")</f>
        <v>Location</v>
      </c>
      <c r="E919" t="s">
        <v>8321</v>
      </c>
      <c r="F919" t="s">
        <v>8322</v>
      </c>
      <c r="G919" t="s">
        <v>8006</v>
      </c>
      <c r="H919" t="s">
        <v>8007</v>
      </c>
      <c r="I919" t="s">
        <v>21</v>
      </c>
      <c r="J919" t="s">
        <v>22</v>
      </c>
      <c r="K919" t="s">
        <v>8323</v>
      </c>
      <c r="L919" t="s">
        <v>8326</v>
      </c>
      <c r="M919" t="s">
        <v>8327</v>
      </c>
      <c r="N919" t="s">
        <v>8328</v>
      </c>
      <c r="O919" t="s">
        <v>8329</v>
      </c>
      <c r="P919" t="s">
        <v>8330</v>
      </c>
      <c r="Q919" t="s">
        <v>29</v>
      </c>
      <c r="R919" t="s">
        <v>8324</v>
      </c>
      <c r="S919" t="s">
        <v>8325</v>
      </c>
    </row>
    <row r="920" spans="1:19" x14ac:dyDescent="0.25">
      <c r="A920" s="1">
        <v>918</v>
      </c>
      <c r="B920" t="str">
        <f>HYPERLINK("https://www.dasschnelle.at/stengg-simon-obsteig-oberer-mooswaldweg","Website")</f>
        <v>Website</v>
      </c>
      <c r="C920" t="str">
        <f>HYPERLINK("http://www.simonstengg.at","Website")</f>
        <v>Website</v>
      </c>
      <c r="D920" t="str">
        <f>HYPERLINK("http://www.google.com/maps/place/47.30188,10.91244","Location")</f>
        <v>Location</v>
      </c>
      <c r="E920" t="s">
        <v>8331</v>
      </c>
      <c r="F920" t="s">
        <v>8332</v>
      </c>
      <c r="G920" t="s">
        <v>8334</v>
      </c>
      <c r="H920" t="s">
        <v>8335</v>
      </c>
      <c r="I920" t="s">
        <v>21</v>
      </c>
      <c r="J920" t="s">
        <v>22</v>
      </c>
      <c r="K920" t="s">
        <v>8333</v>
      </c>
      <c r="L920" t="s">
        <v>8338</v>
      </c>
      <c r="M920" t="s">
        <v>25</v>
      </c>
      <c r="N920" t="s">
        <v>8339</v>
      </c>
      <c r="O920" t="s">
        <v>25</v>
      </c>
      <c r="P920" t="s">
        <v>8340</v>
      </c>
      <c r="Q920" t="s">
        <v>29</v>
      </c>
      <c r="R920" t="s">
        <v>8336</v>
      </c>
      <c r="S920" t="s">
        <v>8337</v>
      </c>
    </row>
    <row r="921" spans="1:19" x14ac:dyDescent="0.25">
      <c r="A921" s="1">
        <v>919</v>
      </c>
      <c r="B921" t="str">
        <f>HYPERLINK("https://www.dasschnelle.at/schatz-christian-imst-stadtplatz","Website")</f>
        <v>Website</v>
      </c>
      <c r="C921" t="str">
        <f>HYPERLINK("http://www.raumausstatter-schatz-imst.at","Website")</f>
        <v>Website</v>
      </c>
      <c r="D921" t="str">
        <f>HYPERLINK("http://www.google.com/maps/place/47.2388,10.74202","Location")</f>
        <v>Location</v>
      </c>
      <c r="E921" t="s">
        <v>8341</v>
      </c>
      <c r="F921" t="s">
        <v>8342</v>
      </c>
      <c r="G921" t="s">
        <v>7997</v>
      </c>
      <c r="H921" t="s">
        <v>7998</v>
      </c>
      <c r="I921" t="s">
        <v>21</v>
      </c>
      <c r="J921" t="s">
        <v>22</v>
      </c>
      <c r="K921" t="s">
        <v>8343</v>
      </c>
      <c r="L921" t="s">
        <v>8346</v>
      </c>
      <c r="M921" t="s">
        <v>25</v>
      </c>
      <c r="N921" t="s">
        <v>8347</v>
      </c>
      <c r="O921" t="s">
        <v>8348</v>
      </c>
      <c r="P921" t="s">
        <v>8349</v>
      </c>
      <c r="Q921" t="s">
        <v>29</v>
      </c>
      <c r="R921" t="s">
        <v>8344</v>
      </c>
      <c r="S921" t="s">
        <v>8345</v>
      </c>
    </row>
    <row r="922" spans="1:19" x14ac:dyDescent="0.25">
      <c r="A922" s="1">
        <v>920</v>
      </c>
      <c r="B922" t="str">
        <f>HYPERLINK("https://www.dasschnelle.at/prantl-gottfried-längenfeld-unterried","Website")</f>
        <v>Website</v>
      </c>
      <c r="C922" t="str">
        <f>HYPERLINK("https://www.dasschnelle.at/prantl-gottfried-l%C3%A4ngenfeld-unterried","Website")</f>
        <v>Website</v>
      </c>
      <c r="D922" t="str">
        <f>HYPERLINK("http://www.google.com/maps/place/47.08656,10.9439","Location")</f>
        <v>Location</v>
      </c>
      <c r="E922" t="s">
        <v>8350</v>
      </c>
      <c r="F922" t="s">
        <v>8351</v>
      </c>
      <c r="G922" t="s">
        <v>8043</v>
      </c>
      <c r="H922" t="s">
        <v>8044</v>
      </c>
      <c r="I922" t="s">
        <v>21</v>
      </c>
      <c r="J922" t="s">
        <v>22</v>
      </c>
      <c r="K922" t="s">
        <v>8352</v>
      </c>
      <c r="L922" t="s">
        <v>8355</v>
      </c>
      <c r="M922" t="s">
        <v>25</v>
      </c>
      <c r="N922" t="s">
        <v>8356</v>
      </c>
      <c r="O922" t="s">
        <v>25</v>
      </c>
      <c r="P922" t="s">
        <v>8357</v>
      </c>
      <c r="Q922" t="s">
        <v>29</v>
      </c>
      <c r="R922" t="s">
        <v>8353</v>
      </c>
      <c r="S922" t="s">
        <v>8354</v>
      </c>
    </row>
    <row r="923" spans="1:19" x14ac:dyDescent="0.25">
      <c r="A923" s="1">
        <v>921</v>
      </c>
      <c r="B923" t="str">
        <f>HYPERLINK("https://www.dasschnelle.at/huber-peter-gmbh-steigwerk-imst-gschnallenhöfe","Website")</f>
        <v>Website</v>
      </c>
      <c r="C923" t="str">
        <f>HYPERLINK("http://www.tischlerei-huber-peter.at","Website")</f>
        <v>Website</v>
      </c>
      <c r="D923" t="str">
        <f>HYPERLINK("http://www.google.com/maps/place/47.21796,10.71931","Location")</f>
        <v>Location</v>
      </c>
      <c r="E923" t="s">
        <v>8358</v>
      </c>
      <c r="F923" t="s">
        <v>8359</v>
      </c>
      <c r="G923" t="s">
        <v>7997</v>
      </c>
      <c r="H923" t="s">
        <v>7998</v>
      </c>
      <c r="I923" t="s">
        <v>21</v>
      </c>
      <c r="J923" t="s">
        <v>22</v>
      </c>
      <c r="K923" t="s">
        <v>8360</v>
      </c>
      <c r="L923" t="s">
        <v>8363</v>
      </c>
      <c r="M923" t="s">
        <v>25</v>
      </c>
      <c r="N923" t="s">
        <v>8364</v>
      </c>
      <c r="O923" t="s">
        <v>8365</v>
      </c>
      <c r="P923" t="s">
        <v>8366</v>
      </c>
      <c r="Q923" t="s">
        <v>29</v>
      </c>
      <c r="R923" t="s">
        <v>8361</v>
      </c>
      <c r="S923" t="s">
        <v>8362</v>
      </c>
    </row>
    <row r="924" spans="1:19" x14ac:dyDescent="0.25">
      <c r="A924" s="1">
        <v>922</v>
      </c>
      <c r="B924" t="str">
        <f>HYPERLINK("https://www.dasschnelle.at/alic-sanela-hollabrunn-lothringerplatz","Website")</f>
        <v>Website</v>
      </c>
      <c r="C924" t="str">
        <f>HYPERLINK("http://www.grill-sanela.at","Website")</f>
        <v>Website</v>
      </c>
      <c r="D924" t="str">
        <f>HYPERLINK("http://www.google.com/maps/place/48.56605,16.07931","Location")</f>
        <v>Location</v>
      </c>
      <c r="E924" t="s">
        <v>8367</v>
      </c>
      <c r="F924" t="s">
        <v>8368</v>
      </c>
      <c r="G924" t="s">
        <v>8370</v>
      </c>
      <c r="H924" t="s">
        <v>8371</v>
      </c>
      <c r="I924" t="s">
        <v>177</v>
      </c>
      <c r="J924" t="s">
        <v>22</v>
      </c>
      <c r="K924" t="s">
        <v>8369</v>
      </c>
      <c r="L924" t="s">
        <v>8374</v>
      </c>
      <c r="M924" t="s">
        <v>25</v>
      </c>
      <c r="N924" t="s">
        <v>8375</v>
      </c>
      <c r="O924" t="s">
        <v>25</v>
      </c>
      <c r="P924" t="s">
        <v>8376</v>
      </c>
      <c r="Q924" t="s">
        <v>29</v>
      </c>
      <c r="R924" t="s">
        <v>8372</v>
      </c>
      <c r="S924" t="s">
        <v>8373</v>
      </c>
    </row>
    <row r="925" spans="1:19" x14ac:dyDescent="0.25">
      <c r="A925" s="1">
        <v>923</v>
      </c>
      <c r="B925" t="str">
        <f>HYPERLINK("https://www.dasschnelle.at/immobilien-mag-waitz-gmbh-u-mokesch-og-hollabrunn-mühlgasse","Website")</f>
        <v>Website</v>
      </c>
      <c r="C925" t="str">
        <f>HYPERLINK("http://www.immobilien-weinviertel.at","Website")</f>
        <v>Website</v>
      </c>
      <c r="D925" t="str">
        <f>HYPERLINK("http://www.google.com/maps/place/48.56654,16.08035","Location")</f>
        <v>Location</v>
      </c>
      <c r="E925" t="s">
        <v>8377</v>
      </c>
      <c r="F925" t="s">
        <v>8378</v>
      </c>
      <c r="G925" t="s">
        <v>8370</v>
      </c>
      <c r="H925" t="s">
        <v>8371</v>
      </c>
      <c r="I925" t="s">
        <v>177</v>
      </c>
      <c r="J925" t="s">
        <v>22</v>
      </c>
      <c r="K925" t="s">
        <v>8379</v>
      </c>
      <c r="L925" t="s">
        <v>8382</v>
      </c>
      <c r="M925" t="s">
        <v>25</v>
      </c>
      <c r="N925" t="s">
        <v>8383</v>
      </c>
      <c r="O925" t="s">
        <v>25</v>
      </c>
      <c r="P925" t="s">
        <v>8384</v>
      </c>
      <c r="Q925" t="s">
        <v>29</v>
      </c>
      <c r="R925" t="s">
        <v>8380</v>
      </c>
      <c r="S925" t="s">
        <v>8381</v>
      </c>
    </row>
    <row r="926" spans="1:19" x14ac:dyDescent="0.25">
      <c r="A926" s="1">
        <v>924</v>
      </c>
      <c r="B926" t="str">
        <f>HYPERLINK("https://www.dasschnelle.at/seewald-rainer-e-u-hollabrunn-znaimerstraße","Website")</f>
        <v>Website</v>
      </c>
      <c r="C926" t="str">
        <f>HYPERLINK("http://spenglerei-seewald.at/","Website")</f>
        <v>Website</v>
      </c>
      <c r="D926" t="str">
        <f>HYPERLINK("http://www.google.com/maps/place/48.5676335,16.078765","Location")</f>
        <v>Location</v>
      </c>
      <c r="E926" t="s">
        <v>8385</v>
      </c>
      <c r="F926" t="s">
        <v>8386</v>
      </c>
      <c r="G926" t="s">
        <v>8370</v>
      </c>
      <c r="H926" t="s">
        <v>8371</v>
      </c>
      <c r="I926" t="s">
        <v>177</v>
      </c>
      <c r="J926" t="s">
        <v>22</v>
      </c>
      <c r="K926" t="s">
        <v>8387</v>
      </c>
      <c r="L926" t="s">
        <v>8390</v>
      </c>
      <c r="M926" t="s">
        <v>25</v>
      </c>
      <c r="N926" t="s">
        <v>8391</v>
      </c>
      <c r="O926" t="s">
        <v>25</v>
      </c>
      <c r="P926" t="s">
        <v>8392</v>
      </c>
      <c r="Q926" t="s">
        <v>29</v>
      </c>
      <c r="R926" t="s">
        <v>8388</v>
      </c>
      <c r="S926" t="s">
        <v>8389</v>
      </c>
    </row>
    <row r="927" spans="1:19" x14ac:dyDescent="0.25">
      <c r="A927" s="1">
        <v>925</v>
      </c>
      <c r="B927" t="str">
        <f>HYPERLINK("https://www.dasschnelle.at/brandl-gerda-mag-retz-waldstraße","Website")</f>
        <v>Website</v>
      </c>
      <c r="C927" t="str">
        <f>HYPERLINK("http://www.psychotherapie-retz.at","Website")</f>
        <v>Website</v>
      </c>
      <c r="D927" t="str">
        <f>HYPERLINK("http://www.google.com/maps/place/48.78299,15.97067","Location")</f>
        <v>Location</v>
      </c>
      <c r="E927" t="s">
        <v>8393</v>
      </c>
      <c r="F927" t="s">
        <v>8394</v>
      </c>
      <c r="G927" t="s">
        <v>8396</v>
      </c>
      <c r="H927" t="s">
        <v>8397</v>
      </c>
      <c r="I927" t="s">
        <v>177</v>
      </c>
      <c r="J927" t="s">
        <v>22</v>
      </c>
      <c r="K927" t="s">
        <v>8395</v>
      </c>
      <c r="L927" t="s">
        <v>8400</v>
      </c>
      <c r="M927" t="s">
        <v>25</v>
      </c>
      <c r="N927" t="s">
        <v>25</v>
      </c>
      <c r="O927" t="s">
        <v>8401</v>
      </c>
      <c r="P927" t="s">
        <v>8402</v>
      </c>
      <c r="Q927" t="s">
        <v>29</v>
      </c>
      <c r="R927" t="s">
        <v>8398</v>
      </c>
      <c r="S927" t="s">
        <v>8399</v>
      </c>
    </row>
    <row r="928" spans="1:19" x14ac:dyDescent="0.25">
      <c r="A928" s="1">
        <v>926</v>
      </c>
      <c r="B928" t="str">
        <f>HYPERLINK("https://www.dasschnelle.at/remax-hollabrunn-anton-ehrenfriedstrasse","Website")</f>
        <v>Website</v>
      </c>
      <c r="C928" t="str">
        <f>HYPERLINK("http://www.remax-gold.at","Website")</f>
        <v>Website</v>
      </c>
      <c r="D928" t="str">
        <f>HYPERLINK("http://www.google.com/maps/place/48.5596500,16.0697900","Location")</f>
        <v>Location</v>
      </c>
      <c r="E928" t="s">
        <v>8403</v>
      </c>
      <c r="F928" t="s">
        <v>8404</v>
      </c>
      <c r="G928" t="s">
        <v>8370</v>
      </c>
      <c r="H928" t="s">
        <v>8371</v>
      </c>
      <c r="I928" t="s">
        <v>177</v>
      </c>
      <c r="J928" t="s">
        <v>22</v>
      </c>
      <c r="K928" t="s">
        <v>8405</v>
      </c>
      <c r="L928" t="s">
        <v>8408</v>
      </c>
      <c r="M928" t="s">
        <v>25</v>
      </c>
      <c r="N928" t="s">
        <v>8409</v>
      </c>
      <c r="O928" t="s">
        <v>8410</v>
      </c>
      <c r="P928" t="s">
        <v>8411</v>
      </c>
      <c r="Q928" t="s">
        <v>29</v>
      </c>
      <c r="R928" t="s">
        <v>8406</v>
      </c>
      <c r="S928" t="s">
        <v>8407</v>
      </c>
    </row>
    <row r="929" spans="1:19" x14ac:dyDescent="0.25">
      <c r="A929" s="1">
        <v>927</v>
      </c>
      <c r="B929" t="str">
        <f>HYPERLINK("https://www.dasschnelle.at/hofer-agnes-dr-med-hollabrunn-sparkassegasse","Website")</f>
        <v>Website</v>
      </c>
      <c r="C929" t="str">
        <f>HYPERLINK("http://www.frau-und-kind.at","Website")</f>
        <v>Website</v>
      </c>
      <c r="D929" t="str">
        <f>HYPERLINK("http://www.google.com/maps/place/48.56586,16.07997","Location")</f>
        <v>Location</v>
      </c>
      <c r="E929" t="s">
        <v>8412</v>
      </c>
      <c r="F929" t="s">
        <v>8413</v>
      </c>
      <c r="G929" t="s">
        <v>8370</v>
      </c>
      <c r="H929" t="s">
        <v>8371</v>
      </c>
      <c r="I929" t="s">
        <v>177</v>
      </c>
      <c r="J929" t="s">
        <v>22</v>
      </c>
      <c r="K929" t="s">
        <v>8414</v>
      </c>
      <c r="L929" t="s">
        <v>8417</v>
      </c>
      <c r="M929" t="s">
        <v>25</v>
      </c>
      <c r="N929" t="s">
        <v>8418</v>
      </c>
      <c r="O929" t="s">
        <v>25</v>
      </c>
      <c r="P929" t="s">
        <v>8419</v>
      </c>
      <c r="Q929" t="s">
        <v>29</v>
      </c>
      <c r="R929" t="s">
        <v>8415</v>
      </c>
      <c r="S929" t="s">
        <v>8416</v>
      </c>
    </row>
    <row r="930" spans="1:19" x14ac:dyDescent="0.25">
      <c r="A930" s="1">
        <v>928</v>
      </c>
      <c r="B930" t="str">
        <f>HYPERLINK("https://www.dasschnelle.at/elektro-piglmaier-eu-hollabrunn-badhausgasse","Website")</f>
        <v>Website</v>
      </c>
      <c r="C930" t="str">
        <f>HYPERLINK("http://www.elektropiglmaier.at","Website")</f>
        <v>Website</v>
      </c>
      <c r="D930" t="str">
        <f>HYPERLINK("http://www.google.com/maps/place/48.56135,16.07673","Location")</f>
        <v>Location</v>
      </c>
      <c r="E930" t="s">
        <v>8420</v>
      </c>
      <c r="F930" t="s">
        <v>8421</v>
      </c>
      <c r="G930" t="s">
        <v>8370</v>
      </c>
      <c r="H930" t="s">
        <v>8371</v>
      </c>
      <c r="I930" t="s">
        <v>177</v>
      </c>
      <c r="J930" t="s">
        <v>22</v>
      </c>
      <c r="K930" t="s">
        <v>8422</v>
      </c>
      <c r="L930" t="s">
        <v>8425</v>
      </c>
      <c r="M930" t="s">
        <v>25</v>
      </c>
      <c r="N930" t="s">
        <v>8426</v>
      </c>
      <c r="O930" t="s">
        <v>25</v>
      </c>
      <c r="P930" t="s">
        <v>8427</v>
      </c>
      <c r="Q930" t="s">
        <v>29</v>
      </c>
      <c r="R930" t="s">
        <v>8423</v>
      </c>
      <c r="S930" t="s">
        <v>8424</v>
      </c>
    </row>
    <row r="931" spans="1:19" x14ac:dyDescent="0.25">
      <c r="A931" s="1">
        <v>929</v>
      </c>
      <c r="B931" t="str">
        <f>HYPERLINK("https://www.dasschnelle.at/schirrer-gmbh-ravelsbach-hauptstraße","Website")</f>
        <v>Website</v>
      </c>
      <c r="C931" t="str">
        <f>HYPERLINK("http://www.holzbau-schirrer.at","Website")</f>
        <v>Website</v>
      </c>
      <c r="D931" t="str">
        <f>HYPERLINK("http://www.google.com/maps/place/48.55038,15.84424","Location")</f>
        <v>Location</v>
      </c>
      <c r="E931" t="s">
        <v>8428</v>
      </c>
      <c r="F931" t="s">
        <v>8429</v>
      </c>
      <c r="G931" t="s">
        <v>8430</v>
      </c>
      <c r="H931" t="s">
        <v>8431</v>
      </c>
      <c r="I931" t="s">
        <v>177</v>
      </c>
      <c r="J931" t="s">
        <v>22</v>
      </c>
      <c r="K931" t="s">
        <v>6341</v>
      </c>
      <c r="L931" t="s">
        <v>8434</v>
      </c>
      <c r="M931" t="s">
        <v>25</v>
      </c>
      <c r="N931" t="s">
        <v>8435</v>
      </c>
      <c r="O931" t="s">
        <v>25</v>
      </c>
      <c r="P931" t="s">
        <v>8436</v>
      </c>
      <c r="Q931" t="s">
        <v>29</v>
      </c>
      <c r="R931" t="s">
        <v>8432</v>
      </c>
      <c r="S931" t="s">
        <v>8433</v>
      </c>
    </row>
    <row r="932" spans="1:19" x14ac:dyDescent="0.25">
      <c r="A932" s="1">
        <v>930</v>
      </c>
      <c r="B932" t="str">
        <f>HYPERLINK("https://www.dasschnelle.at/elektro-sponner-hadres","Website")</f>
        <v>Website</v>
      </c>
      <c r="C932" t="str">
        <f>HYPERLINK("http://www.elektro-sponner.at","Website")</f>
        <v>Website</v>
      </c>
      <c r="D932" t="str">
        <f>HYPERLINK("http://www.google.com/maps/place/48.7084663,16.1349713","Location")</f>
        <v>Location</v>
      </c>
      <c r="E932" t="s">
        <v>8437</v>
      </c>
      <c r="F932" t="s">
        <v>8438</v>
      </c>
      <c r="G932" t="s">
        <v>8439</v>
      </c>
      <c r="H932" t="s">
        <v>8440</v>
      </c>
      <c r="I932" t="s">
        <v>177</v>
      </c>
      <c r="J932" t="s">
        <v>22</v>
      </c>
      <c r="K932" t="s">
        <v>25</v>
      </c>
      <c r="L932" t="s">
        <v>8443</v>
      </c>
      <c r="M932" t="s">
        <v>25</v>
      </c>
      <c r="N932" t="s">
        <v>8444</v>
      </c>
      <c r="O932" t="s">
        <v>25</v>
      </c>
      <c r="P932" t="s">
        <v>8445</v>
      </c>
      <c r="Q932" t="s">
        <v>29</v>
      </c>
      <c r="R932" t="s">
        <v>8441</v>
      </c>
      <c r="S932" t="s">
        <v>8442</v>
      </c>
    </row>
    <row r="933" spans="1:19" x14ac:dyDescent="0.25">
      <c r="A933" s="1">
        <v>931</v>
      </c>
      <c r="B933" t="str">
        <f>HYPERLINK("https://www.dasschnelle.at/bradac-günther-hollabrunn-lothringerplatz","Website")</f>
        <v>Website</v>
      </c>
      <c r="C933" t="str">
        <f>HYPERLINK("http://www.bradac.at","Website")</f>
        <v>Website</v>
      </c>
      <c r="D933" t="str">
        <f>HYPERLINK("http://www.google.com/maps/place/48.56604,16.08008","Location")</f>
        <v>Location</v>
      </c>
      <c r="E933" t="s">
        <v>8446</v>
      </c>
      <c r="F933" t="s">
        <v>8447</v>
      </c>
      <c r="G933" t="s">
        <v>8370</v>
      </c>
      <c r="H933" t="s">
        <v>8371</v>
      </c>
      <c r="I933" t="s">
        <v>177</v>
      </c>
      <c r="J933" t="s">
        <v>22</v>
      </c>
      <c r="K933" t="s">
        <v>8448</v>
      </c>
      <c r="L933" t="s">
        <v>8451</v>
      </c>
      <c r="M933" t="s">
        <v>25</v>
      </c>
      <c r="N933" t="s">
        <v>8452</v>
      </c>
      <c r="O933" t="s">
        <v>25</v>
      </c>
      <c r="P933" t="s">
        <v>8453</v>
      </c>
      <c r="Q933" t="s">
        <v>29</v>
      </c>
      <c r="R933" t="s">
        <v>8449</v>
      </c>
      <c r="S933" t="s">
        <v>8450</v>
      </c>
    </row>
    <row r="934" spans="1:19" x14ac:dyDescent="0.25">
      <c r="A934" s="1">
        <v>932</v>
      </c>
      <c r="B934" t="str">
        <f>HYPERLINK("https://www.dasschnelle.at/gasthaus-zum-goldenen-engel-fam-rammel-hollabrunn-lothringerplatz","Website")</f>
        <v>Website</v>
      </c>
      <c r="C934" t="str">
        <f>HYPERLINK("http://www.gasthausrammel.at","Website")</f>
        <v>Website</v>
      </c>
      <c r="D934" t="str">
        <f>HYPERLINK("http://www.google.com/maps/place/48.56628,16.08054","Location")</f>
        <v>Location</v>
      </c>
      <c r="E934" t="s">
        <v>8454</v>
      </c>
      <c r="F934" t="s">
        <v>8455</v>
      </c>
      <c r="G934" t="s">
        <v>8370</v>
      </c>
      <c r="H934" t="s">
        <v>8371</v>
      </c>
      <c r="I934" t="s">
        <v>177</v>
      </c>
      <c r="J934" t="s">
        <v>22</v>
      </c>
      <c r="K934" t="s">
        <v>8456</v>
      </c>
      <c r="L934" t="s">
        <v>8459</v>
      </c>
      <c r="M934" t="s">
        <v>25</v>
      </c>
      <c r="N934" t="s">
        <v>8460</v>
      </c>
      <c r="O934" t="s">
        <v>25</v>
      </c>
      <c r="P934" t="s">
        <v>8461</v>
      </c>
      <c r="Q934" t="s">
        <v>29</v>
      </c>
      <c r="R934" t="s">
        <v>8457</v>
      </c>
      <c r="S934" t="s">
        <v>8458</v>
      </c>
    </row>
    <row r="935" spans="1:19" x14ac:dyDescent="0.25">
      <c r="A935" s="1">
        <v>933</v>
      </c>
      <c r="B935" t="str">
        <f>HYPERLINK("https://www.dasschnelle.at/ladentrog-marcus-retz-kellergasse","Website")</f>
        <v>Website</v>
      </c>
      <c r="C935" t="str">
        <f>HYPERLINK("http://www.ladentrog.at","Website")</f>
        <v>Website</v>
      </c>
      <c r="D935" t="str">
        <f>HYPERLINK("http://www.google.com/maps/place/48.74806,15.94451","Location")</f>
        <v>Location</v>
      </c>
      <c r="E935" t="s">
        <v>8462</v>
      </c>
      <c r="F935" t="s">
        <v>8463</v>
      </c>
      <c r="G935" t="s">
        <v>8396</v>
      </c>
      <c r="H935" t="s">
        <v>8397</v>
      </c>
      <c r="I935" t="s">
        <v>177</v>
      </c>
      <c r="J935" t="s">
        <v>22</v>
      </c>
      <c r="K935" t="s">
        <v>8464</v>
      </c>
      <c r="L935" t="s">
        <v>8467</v>
      </c>
      <c r="M935" t="s">
        <v>25</v>
      </c>
      <c r="N935" t="s">
        <v>8468</v>
      </c>
      <c r="O935" t="s">
        <v>25</v>
      </c>
      <c r="P935" t="s">
        <v>8469</v>
      </c>
      <c r="Q935" t="s">
        <v>29</v>
      </c>
      <c r="R935" t="s">
        <v>8465</v>
      </c>
      <c r="S935" t="s">
        <v>8466</v>
      </c>
    </row>
    <row r="936" spans="1:19" x14ac:dyDescent="0.25">
      <c r="A936" s="1">
        <v>934</v>
      </c>
      <c r="B936" t="str">
        <f>HYPERLINK("https://www.dasschnelle.at/spenglerei-dachdeckerei-pollak-gmbh-retz-industriestraße","Website")</f>
        <v>Website</v>
      </c>
      <c r="C936" t="str">
        <f>HYPERLINK("http://www.spenglerei-pollak.at","Website")</f>
        <v>Website</v>
      </c>
      <c r="D936" t="str">
        <f>HYPERLINK("http://www.google.com/maps/place/48.75442,15.96099","Location")</f>
        <v>Location</v>
      </c>
      <c r="E936" t="s">
        <v>8470</v>
      </c>
      <c r="F936" t="s">
        <v>8471</v>
      </c>
      <c r="G936" t="s">
        <v>8396</v>
      </c>
      <c r="H936" t="s">
        <v>8397</v>
      </c>
      <c r="I936" t="s">
        <v>177</v>
      </c>
      <c r="J936" t="s">
        <v>22</v>
      </c>
      <c r="K936" t="s">
        <v>3639</v>
      </c>
      <c r="L936" t="s">
        <v>8474</v>
      </c>
      <c r="M936" t="s">
        <v>25</v>
      </c>
      <c r="N936" t="s">
        <v>8475</v>
      </c>
      <c r="O936" t="s">
        <v>25</v>
      </c>
      <c r="P936" t="s">
        <v>8476</v>
      </c>
      <c r="Q936" t="s">
        <v>29</v>
      </c>
      <c r="R936" t="s">
        <v>8472</v>
      </c>
      <c r="S936" t="s">
        <v>8473</v>
      </c>
    </row>
    <row r="937" spans="1:19" x14ac:dyDescent="0.25">
      <c r="A937" s="1">
        <v>935</v>
      </c>
      <c r="B937" t="str">
        <f>HYPERLINK("https://www.dasschnelle.at/authried-alfred-maissau-wiener-straße","Website")</f>
        <v>Website</v>
      </c>
      <c r="C937" t="str">
        <f>HYPERLINK("http://www.authried.at","Website")</f>
        <v>Website</v>
      </c>
      <c r="D937" t="str">
        <f>HYPERLINK("http://www.google.com/maps/place/48.57225,15.8308","Location")</f>
        <v>Location</v>
      </c>
      <c r="E937" t="s">
        <v>8477</v>
      </c>
      <c r="F937" t="s">
        <v>8478</v>
      </c>
      <c r="G937" t="s">
        <v>8480</v>
      </c>
      <c r="H937" t="s">
        <v>8481</v>
      </c>
      <c r="I937" t="s">
        <v>177</v>
      </c>
      <c r="J937" t="s">
        <v>22</v>
      </c>
      <c r="K937" t="s">
        <v>8479</v>
      </c>
      <c r="L937" t="s">
        <v>8484</v>
      </c>
      <c r="M937" t="s">
        <v>8485</v>
      </c>
      <c r="N937" t="s">
        <v>8486</v>
      </c>
      <c r="O937" t="s">
        <v>25</v>
      </c>
      <c r="P937" t="s">
        <v>8487</v>
      </c>
      <c r="Q937" t="s">
        <v>29</v>
      </c>
      <c r="R937" t="s">
        <v>8482</v>
      </c>
      <c r="S937" t="s">
        <v>8483</v>
      </c>
    </row>
    <row r="938" spans="1:19" x14ac:dyDescent="0.25">
      <c r="A938" s="1">
        <v>936</v>
      </c>
      <c r="B938" t="str">
        <f>HYPERLINK("https://www.dasschnelle.at/prikasky-markus-dr-med-retz-znaimer-straße","Website")</f>
        <v>Website</v>
      </c>
      <c r="C938" t="str">
        <f>HYPERLINK("https://www.dasschnelle.at/prikasky-markus-dr-med-retz-znaimer-stra%C3%9Fe","Website")</f>
        <v>Website</v>
      </c>
      <c r="D938" t="str">
        <f>HYPERLINK("http://www.google.com/maps/place/48.7601308,15.9527390","Location")</f>
        <v>Location</v>
      </c>
      <c r="E938" t="s">
        <v>8488</v>
      </c>
      <c r="F938" t="s">
        <v>8489</v>
      </c>
      <c r="G938" t="s">
        <v>8396</v>
      </c>
      <c r="H938" t="s">
        <v>8397</v>
      </c>
      <c r="I938" t="s">
        <v>177</v>
      </c>
      <c r="J938" t="s">
        <v>22</v>
      </c>
      <c r="K938" t="s">
        <v>8490</v>
      </c>
      <c r="L938" t="s">
        <v>8493</v>
      </c>
      <c r="M938" t="s">
        <v>25</v>
      </c>
      <c r="N938" t="s">
        <v>25</v>
      </c>
      <c r="O938" t="s">
        <v>25</v>
      </c>
      <c r="P938" t="s">
        <v>8494</v>
      </c>
      <c r="Q938" t="s">
        <v>29</v>
      </c>
      <c r="R938" t="s">
        <v>8491</v>
      </c>
      <c r="S938" t="s">
        <v>8492</v>
      </c>
    </row>
    <row r="939" spans="1:19" x14ac:dyDescent="0.25">
      <c r="A939" s="1">
        <v>937</v>
      </c>
      <c r="B939" t="str">
        <f>HYPERLINK("https://www.dasschnelle.at/installationstechnik-gailer-feldkirchen-in-kärnten-st-veiterstraße","Website")</f>
        <v>Website</v>
      </c>
      <c r="C939" t="str">
        <f>HYPERLINK("http://www.installationen-gailer.at","Website")</f>
        <v>Website</v>
      </c>
      <c r="D939" t="str">
        <f>HYPERLINK("http://www.google.com/maps/place/46.7199945,14.1095462","Location")</f>
        <v>Location</v>
      </c>
      <c r="E939" t="s">
        <v>8495</v>
      </c>
      <c r="F939" t="s">
        <v>8496</v>
      </c>
      <c r="G939" t="s">
        <v>8498</v>
      </c>
      <c r="H939" t="s">
        <v>8499</v>
      </c>
      <c r="I939" t="s">
        <v>4130</v>
      </c>
      <c r="J939" t="s">
        <v>22</v>
      </c>
      <c r="K939" t="s">
        <v>8497</v>
      </c>
      <c r="L939" t="s">
        <v>8502</v>
      </c>
      <c r="M939" t="s">
        <v>25</v>
      </c>
      <c r="N939" t="s">
        <v>8503</v>
      </c>
      <c r="O939" t="s">
        <v>8504</v>
      </c>
      <c r="P939" t="s">
        <v>8505</v>
      </c>
      <c r="Q939" t="s">
        <v>29</v>
      </c>
      <c r="R939" t="s">
        <v>8500</v>
      </c>
      <c r="S939" t="s">
        <v>8501</v>
      </c>
    </row>
    <row r="940" spans="1:19" x14ac:dyDescent="0.25">
      <c r="A940" s="1">
        <v>938</v>
      </c>
      <c r="B940" t="str">
        <f>HYPERLINK("https://www.dasschnelle.at/bau-möbeltischlerei-pirker-gnesau-gnesau","Website")</f>
        <v>Website</v>
      </c>
      <c r="C940" t="str">
        <f>HYPERLINK("http://www.tischlerei-pirker.at","Website")</f>
        <v>Website</v>
      </c>
      <c r="D940" t="str">
        <f>HYPERLINK("http://www.google.com/maps/place/46.7753387,13.9625772","Location")</f>
        <v>Location</v>
      </c>
      <c r="E940" t="s">
        <v>8506</v>
      </c>
      <c r="F940" t="s">
        <v>8507</v>
      </c>
      <c r="G940" t="s">
        <v>8509</v>
      </c>
      <c r="H940" t="s">
        <v>8510</v>
      </c>
      <c r="I940" t="s">
        <v>4130</v>
      </c>
      <c r="J940" t="s">
        <v>22</v>
      </c>
      <c r="K940" t="s">
        <v>8508</v>
      </c>
      <c r="L940" t="s">
        <v>8513</v>
      </c>
      <c r="M940" t="s">
        <v>25</v>
      </c>
      <c r="N940" t="s">
        <v>8514</v>
      </c>
      <c r="O940" t="s">
        <v>8515</v>
      </c>
      <c r="P940" t="s">
        <v>8516</v>
      </c>
      <c r="Q940" t="s">
        <v>29</v>
      </c>
      <c r="R940" t="s">
        <v>8511</v>
      </c>
      <c r="S940" t="s">
        <v>8512</v>
      </c>
    </row>
    <row r="941" spans="1:19" x14ac:dyDescent="0.25">
      <c r="A941" s="1">
        <v>939</v>
      </c>
      <c r="B941" t="str">
        <f>HYPERLINK("https://www.dasschnelle.at/heizung-und-sanitärtechnik-lackner-markus-gmbh-steuerberg-unterhof","Website")</f>
        <v>Website</v>
      </c>
      <c r="C941" t="str">
        <f>HYPERLINK("http://www.heizungstechnik-lackner.at","Website")</f>
        <v>Website</v>
      </c>
      <c r="D941" t="str">
        <f>HYPERLINK("http://www.google.com/maps/place/46.7901089,14.1244081","Location")</f>
        <v>Location</v>
      </c>
      <c r="E941" t="s">
        <v>8517</v>
      </c>
      <c r="F941" t="s">
        <v>8518</v>
      </c>
      <c r="G941" t="s">
        <v>8498</v>
      </c>
      <c r="H941" t="s">
        <v>8520</v>
      </c>
      <c r="I941" t="s">
        <v>4130</v>
      </c>
      <c r="J941" t="s">
        <v>22</v>
      </c>
      <c r="K941" t="s">
        <v>8519</v>
      </c>
      <c r="L941" t="s">
        <v>8523</v>
      </c>
      <c r="M941" t="s">
        <v>25</v>
      </c>
      <c r="N941" t="s">
        <v>8524</v>
      </c>
      <c r="O941" t="s">
        <v>8525</v>
      </c>
      <c r="P941" t="s">
        <v>8526</v>
      </c>
      <c r="Q941" t="s">
        <v>29</v>
      </c>
      <c r="R941" t="s">
        <v>8521</v>
      </c>
      <c r="S941" t="s">
        <v>8522</v>
      </c>
    </row>
    <row r="942" spans="1:19" x14ac:dyDescent="0.25">
      <c r="A942" s="1">
        <v>940</v>
      </c>
      <c r="B942" t="str">
        <f>HYPERLINK("https://www.dasschnelle.at/nimo-kaufhaus-gmbh-feldkirchen-kirchgasse","Website")</f>
        <v>Website</v>
      </c>
      <c r="C942" t="str">
        <f>HYPERLINK("http://www.nimo-mode.at","Website")</f>
        <v>Website</v>
      </c>
      <c r="D942" t="str">
        <f>HYPERLINK("http://www.google.com/maps/place/46.7247643,14.0929084","Location")</f>
        <v>Location</v>
      </c>
      <c r="E942" t="s">
        <v>8527</v>
      </c>
      <c r="F942" t="s">
        <v>8528</v>
      </c>
      <c r="G942" t="s">
        <v>8498</v>
      </c>
      <c r="H942" t="s">
        <v>8530</v>
      </c>
      <c r="I942" t="s">
        <v>4130</v>
      </c>
      <c r="J942" t="s">
        <v>22</v>
      </c>
      <c r="K942" t="s">
        <v>8529</v>
      </c>
      <c r="L942" t="s">
        <v>8533</v>
      </c>
      <c r="M942" t="s">
        <v>25</v>
      </c>
      <c r="N942" t="s">
        <v>8534</v>
      </c>
      <c r="O942" t="s">
        <v>8535</v>
      </c>
      <c r="P942" t="s">
        <v>8536</v>
      </c>
      <c r="Q942" t="s">
        <v>29</v>
      </c>
      <c r="R942" t="s">
        <v>8531</v>
      </c>
      <c r="S942" t="s">
        <v>8532</v>
      </c>
    </row>
    <row r="943" spans="1:19" x14ac:dyDescent="0.25">
      <c r="A943" s="1">
        <v>941</v>
      </c>
      <c r="B943" t="str">
        <f>HYPERLINK("https://www.dasschnelle.at/glatz-christian-himmelberg-markusweg","Website")</f>
        <v>Website</v>
      </c>
      <c r="C943" t="str">
        <f>HYPERLINK("https://www.dasschnelle.at/glatz-christian-himmelberg-markusweg","Website")</f>
        <v>Website</v>
      </c>
      <c r="D943" t="str">
        <f>HYPERLINK("http://www.google.com/maps/place/46.74823,14.04193","Location")</f>
        <v>Location</v>
      </c>
      <c r="E943" t="s">
        <v>8537</v>
      </c>
      <c r="F943" t="s">
        <v>8538</v>
      </c>
      <c r="G943" t="s">
        <v>8540</v>
      </c>
      <c r="H943" t="s">
        <v>8541</v>
      </c>
      <c r="I943" t="s">
        <v>4130</v>
      </c>
      <c r="J943" t="s">
        <v>22</v>
      </c>
      <c r="K943" t="s">
        <v>8539</v>
      </c>
      <c r="L943" t="s">
        <v>8544</v>
      </c>
      <c r="M943" t="s">
        <v>25</v>
      </c>
      <c r="N943" t="s">
        <v>8545</v>
      </c>
      <c r="O943" t="s">
        <v>8546</v>
      </c>
      <c r="P943" t="s">
        <v>8547</v>
      </c>
      <c r="Q943" t="s">
        <v>29</v>
      </c>
      <c r="R943" t="s">
        <v>8542</v>
      </c>
      <c r="S943" t="s">
        <v>8543</v>
      </c>
    </row>
    <row r="944" spans="1:19" x14ac:dyDescent="0.25">
      <c r="A944" s="1">
        <v>942</v>
      </c>
      <c r="B944" t="str">
        <f>HYPERLINK("https://www.dasschnelle.at/fliesßen-gößler-e-u-neustift-im-mühlkreis-pühret","Website")</f>
        <v>Website</v>
      </c>
      <c r="C944" t="str">
        <f>HYPERLINK("http://www.fliesen-goessler.at","Website")</f>
        <v>Website</v>
      </c>
      <c r="D944" t="str">
        <f>HYPERLINK("http://www.google.com/maps/place/48.5037551,13.7556391","Location")</f>
        <v>Location</v>
      </c>
      <c r="E944" t="s">
        <v>8548</v>
      </c>
      <c r="F944" t="s">
        <v>8549</v>
      </c>
      <c r="G944" t="s">
        <v>8551</v>
      </c>
      <c r="H944" t="s">
        <v>8552</v>
      </c>
      <c r="I944" t="s">
        <v>85</v>
      </c>
      <c r="J944" t="s">
        <v>22</v>
      </c>
      <c r="K944" t="s">
        <v>8550</v>
      </c>
      <c r="L944" t="s">
        <v>8555</v>
      </c>
      <c r="M944" t="s">
        <v>25</v>
      </c>
      <c r="N944" t="s">
        <v>8556</v>
      </c>
      <c r="O944" t="s">
        <v>25</v>
      </c>
      <c r="P944" t="s">
        <v>8557</v>
      </c>
      <c r="Q944" t="s">
        <v>29</v>
      </c>
      <c r="R944" t="s">
        <v>8553</v>
      </c>
      <c r="S944" t="s">
        <v>8554</v>
      </c>
    </row>
    <row r="945" spans="1:19" x14ac:dyDescent="0.25">
      <c r="A945" s="1">
        <v>943</v>
      </c>
      <c r="B945" t="str">
        <f>HYPERLINK("https://www.dasschnelle.at/övp-landesparteileitung-politik-rohrbach-hanriederstraße","Website")</f>
        <v>Website</v>
      </c>
      <c r="C945" t="str">
        <f>HYPERLINK("http://www.rohrbach.oevp.at","Website")</f>
        <v>Website</v>
      </c>
      <c r="D945" t="str">
        <f>HYPERLINK("http://www.google.com/maps/place/48.5726445,13.9890773","Location")</f>
        <v>Location</v>
      </c>
      <c r="E945" t="s">
        <v>8558</v>
      </c>
      <c r="F945" t="s">
        <v>8559</v>
      </c>
      <c r="G945" t="s">
        <v>8561</v>
      </c>
      <c r="H945" t="s">
        <v>8562</v>
      </c>
      <c r="I945" t="s">
        <v>85</v>
      </c>
      <c r="J945" t="s">
        <v>22</v>
      </c>
      <c r="K945" t="s">
        <v>8560</v>
      </c>
      <c r="L945" t="s">
        <v>8565</v>
      </c>
      <c r="M945" t="s">
        <v>25</v>
      </c>
      <c r="N945" t="s">
        <v>8566</v>
      </c>
      <c r="O945" t="s">
        <v>25</v>
      </c>
      <c r="P945" t="s">
        <v>8567</v>
      </c>
      <c r="Q945" t="s">
        <v>29</v>
      </c>
      <c r="R945" t="s">
        <v>8563</v>
      </c>
      <c r="S945" t="s">
        <v>8564</v>
      </c>
    </row>
    <row r="946" spans="1:19" x14ac:dyDescent="0.25">
      <c r="A946" s="1">
        <v>944</v>
      </c>
      <c r="B946" t="str">
        <f>HYPERLINK("https://www.dasschnelle.at/wiesinger-versicherungsmakler-gmbh-peilstein-im-mühlviertel-marktstraße","Website")</f>
        <v>Website</v>
      </c>
      <c r="C946" t="str">
        <f>HYPERLINK("https://www.dasschnelle.at/wiesinger-versicherungsmakler-gmbh-peilstein-im-m%C3%BChlviertel-marktstra%C3%9Fe","Website")</f>
        <v>Website</v>
      </c>
      <c r="D946" t="str">
        <f>HYPERLINK("http://www.google.com/maps/place/48.61734,13.89604","Location")</f>
        <v>Location</v>
      </c>
      <c r="E946" t="s">
        <v>8568</v>
      </c>
      <c r="F946" t="s">
        <v>8569</v>
      </c>
      <c r="G946" t="s">
        <v>8571</v>
      </c>
      <c r="H946" t="s">
        <v>8572</v>
      </c>
      <c r="I946" t="s">
        <v>85</v>
      </c>
      <c r="J946" t="s">
        <v>22</v>
      </c>
      <c r="K946" t="s">
        <v>8570</v>
      </c>
      <c r="L946" t="s">
        <v>8575</v>
      </c>
      <c r="M946" t="s">
        <v>25</v>
      </c>
      <c r="N946" t="s">
        <v>8576</v>
      </c>
      <c r="O946" t="s">
        <v>25</v>
      </c>
      <c r="P946" t="s">
        <v>8577</v>
      </c>
      <c r="Q946" t="s">
        <v>29</v>
      </c>
      <c r="R946" t="s">
        <v>8573</v>
      </c>
      <c r="S946" t="s">
        <v>8574</v>
      </c>
    </row>
    <row r="947" spans="1:19" x14ac:dyDescent="0.25">
      <c r="A947" s="1">
        <v>945</v>
      </c>
      <c r="B947" t="str">
        <f>HYPERLINK("https://www.dasschnelle.at/sigl-barbara-babsi-s-styling-lounge-aigen-schlägl-grüner-weg","Website")</f>
        <v>Website</v>
      </c>
      <c r="C947" t="str">
        <f>HYPERLINK("https://www.dasschnelle.at/sigl-barbara-babsi-s-styling-lounge-aigen-schl%C3%A4gl-gr%C3%BCner-weg","Website")</f>
        <v>Website</v>
      </c>
      <c r="D947" t="str">
        <f>HYPERLINK("http://www.google.com/maps/place/48.64112,13.97147","Location")</f>
        <v>Location</v>
      </c>
      <c r="E947" t="s">
        <v>8578</v>
      </c>
      <c r="F947" t="s">
        <v>8579</v>
      </c>
      <c r="G947" t="s">
        <v>8581</v>
      </c>
      <c r="H947" t="s">
        <v>8582</v>
      </c>
      <c r="I947" t="s">
        <v>85</v>
      </c>
      <c r="J947" t="s">
        <v>22</v>
      </c>
      <c r="K947" t="s">
        <v>8580</v>
      </c>
      <c r="L947" t="s">
        <v>8585</v>
      </c>
      <c r="M947" t="s">
        <v>25</v>
      </c>
      <c r="N947" t="s">
        <v>8586</v>
      </c>
      <c r="O947" t="s">
        <v>25</v>
      </c>
      <c r="P947" t="s">
        <v>8587</v>
      </c>
      <c r="Q947" t="s">
        <v>29</v>
      </c>
      <c r="R947" t="s">
        <v>8583</v>
      </c>
      <c r="S947" t="s">
        <v>8584</v>
      </c>
    </row>
    <row r="948" spans="1:19" x14ac:dyDescent="0.25">
      <c r="A948" s="1">
        <v>946</v>
      </c>
      <c r="B948" t="str">
        <f>HYPERLINK("https://www.dasschnelle.at/enzenhofer-johann-sankt-peter-markt","Website")</f>
        <v>Website</v>
      </c>
      <c r="C948" t="str">
        <f>HYPERLINK("https://www.dasschnelle.at/enzenhofer-johann-sankt-peter-markt","Website")</f>
        <v>Website</v>
      </c>
      <c r="D948" t="str">
        <f>HYPERLINK("http://www.google.com/maps/place/48.5021262,14.0830525","Location")</f>
        <v>Location</v>
      </c>
      <c r="E948" t="s">
        <v>8588</v>
      </c>
      <c r="F948" t="s">
        <v>8589</v>
      </c>
      <c r="G948" t="s">
        <v>8591</v>
      </c>
      <c r="H948" t="s">
        <v>8592</v>
      </c>
      <c r="I948" t="s">
        <v>85</v>
      </c>
      <c r="J948" t="s">
        <v>22</v>
      </c>
      <c r="K948" t="s">
        <v>8590</v>
      </c>
      <c r="L948" t="s">
        <v>8595</v>
      </c>
      <c r="M948" t="s">
        <v>25</v>
      </c>
      <c r="N948" t="s">
        <v>8596</v>
      </c>
      <c r="O948" t="s">
        <v>25</v>
      </c>
      <c r="P948" t="s">
        <v>8597</v>
      </c>
      <c r="Q948" t="s">
        <v>29</v>
      </c>
      <c r="R948" t="s">
        <v>8593</v>
      </c>
      <c r="S948" t="s">
        <v>8594</v>
      </c>
    </row>
    <row r="949" spans="1:19" x14ac:dyDescent="0.25">
      <c r="A949" s="1">
        <v>947</v>
      </c>
      <c r="B949" t="str">
        <f>HYPERLINK("https://www.dasschnelle.at/scholl-robert-arnreit-liebenstein","Website")</f>
        <v>Website</v>
      </c>
      <c r="C949" t="str">
        <f>HYPERLINK("http://www.malerei-scholl.at","Website")</f>
        <v>Website</v>
      </c>
      <c r="D949" t="str">
        <f>HYPERLINK("http://www.google.com/maps/place/48.5167787,13.9900416","Location")</f>
        <v>Location</v>
      </c>
      <c r="E949" t="s">
        <v>8598</v>
      </c>
      <c r="F949" t="s">
        <v>8599</v>
      </c>
      <c r="G949" t="s">
        <v>8601</v>
      </c>
      <c r="H949" t="s">
        <v>8602</v>
      </c>
      <c r="I949" t="s">
        <v>85</v>
      </c>
      <c r="J949" t="s">
        <v>22</v>
      </c>
      <c r="K949" t="s">
        <v>8600</v>
      </c>
      <c r="L949" t="s">
        <v>8605</v>
      </c>
      <c r="M949" t="s">
        <v>25</v>
      </c>
      <c r="N949" t="s">
        <v>8606</v>
      </c>
      <c r="O949" t="s">
        <v>25</v>
      </c>
      <c r="P949" t="s">
        <v>8607</v>
      </c>
      <c r="Q949" t="s">
        <v>29</v>
      </c>
      <c r="R949" t="s">
        <v>8603</v>
      </c>
      <c r="S949" t="s">
        <v>8604</v>
      </c>
    </row>
    <row r="950" spans="1:19" x14ac:dyDescent="0.25">
      <c r="A950" s="1">
        <v>948</v>
      </c>
      <c r="B950" t="str">
        <f>HYPERLINK("https://www.dasschnelle.at/top-optik-gmbh-rohrbach-stadtplatz","Website")</f>
        <v>Website</v>
      </c>
      <c r="C950" t="str">
        <f>HYPERLINK("http://www.topoptik.at","Website")</f>
        <v>Website</v>
      </c>
      <c r="D950" t="str">
        <f>HYPERLINK("http://www.google.com/maps/place/48.5718398,13.9925844","Location")</f>
        <v>Location</v>
      </c>
      <c r="E950" t="s">
        <v>8608</v>
      </c>
      <c r="F950" t="s">
        <v>8609</v>
      </c>
      <c r="G950" t="s">
        <v>8561</v>
      </c>
      <c r="H950" t="s">
        <v>8562</v>
      </c>
      <c r="I950" t="s">
        <v>85</v>
      </c>
      <c r="J950" t="s">
        <v>22</v>
      </c>
      <c r="K950" t="s">
        <v>8610</v>
      </c>
      <c r="L950" t="s">
        <v>8613</v>
      </c>
      <c r="M950" t="s">
        <v>25</v>
      </c>
      <c r="N950" t="s">
        <v>8614</v>
      </c>
      <c r="O950" t="s">
        <v>25</v>
      </c>
      <c r="P950" t="s">
        <v>697</v>
      </c>
      <c r="Q950" t="s">
        <v>29</v>
      </c>
      <c r="R950" t="s">
        <v>8611</v>
      </c>
      <c r="S950" t="s">
        <v>8612</v>
      </c>
    </row>
    <row r="951" spans="1:19" x14ac:dyDescent="0.25">
      <c r="A951" s="1">
        <v>949</v>
      </c>
      <c r="B951" t="str">
        <f>HYPERLINK("https://www.dasschnelle.at/silandra-style-aigen-schlägl-schlägler-hauptstraße","Website")</f>
        <v>Website</v>
      </c>
      <c r="C951" t="str">
        <f>HYPERLINK("http://www.silandra.at","Website")</f>
        <v>Website</v>
      </c>
      <c r="D951" t="str">
        <f>HYPERLINK("http://www.google.com/maps/place/48.63573,13.96376","Location")</f>
        <v>Location</v>
      </c>
      <c r="E951" t="s">
        <v>8615</v>
      </c>
      <c r="F951" t="s">
        <v>8616</v>
      </c>
      <c r="G951" t="s">
        <v>8581</v>
      </c>
      <c r="H951" t="s">
        <v>8582</v>
      </c>
      <c r="I951" t="s">
        <v>85</v>
      </c>
      <c r="J951" t="s">
        <v>22</v>
      </c>
      <c r="K951" t="s">
        <v>8617</v>
      </c>
      <c r="L951" t="s">
        <v>8620</v>
      </c>
      <c r="M951" t="s">
        <v>25</v>
      </c>
      <c r="N951" t="s">
        <v>8621</v>
      </c>
      <c r="O951" t="s">
        <v>25</v>
      </c>
      <c r="P951" t="s">
        <v>8622</v>
      </c>
      <c r="Q951" t="s">
        <v>29</v>
      </c>
      <c r="R951" t="s">
        <v>8618</v>
      </c>
      <c r="S951" t="s">
        <v>8619</v>
      </c>
    </row>
    <row r="952" spans="1:19" x14ac:dyDescent="0.25">
      <c r="A952" s="1">
        <v>950</v>
      </c>
      <c r="B952" t="str">
        <f>HYPERLINK("https://www.dasschnelle.at/dorfner-rohrbach-stadtplatz","Website")</f>
        <v>Website</v>
      </c>
      <c r="C952" t="str">
        <f>HYPERLINK("http://www.gasthof-dorfner.at","Website")</f>
        <v>Website</v>
      </c>
      <c r="D952" t="str">
        <f>HYPERLINK("http://www.google.com/maps/place/48.5719745,13.9905273","Location")</f>
        <v>Location</v>
      </c>
      <c r="E952" t="s">
        <v>8623</v>
      </c>
      <c r="F952" t="s">
        <v>8624</v>
      </c>
      <c r="G952" t="s">
        <v>8561</v>
      </c>
      <c r="H952" t="s">
        <v>8562</v>
      </c>
      <c r="I952" t="s">
        <v>85</v>
      </c>
      <c r="J952" t="s">
        <v>22</v>
      </c>
      <c r="K952" t="s">
        <v>8625</v>
      </c>
      <c r="L952" t="s">
        <v>8628</v>
      </c>
      <c r="M952" t="s">
        <v>25</v>
      </c>
      <c r="N952" t="s">
        <v>8629</v>
      </c>
      <c r="O952" t="s">
        <v>25</v>
      </c>
      <c r="P952" t="s">
        <v>8630</v>
      </c>
      <c r="Q952" t="s">
        <v>29</v>
      </c>
      <c r="R952" t="s">
        <v>8626</v>
      </c>
      <c r="S952" t="s">
        <v>8627</v>
      </c>
    </row>
    <row r="953" spans="1:19" x14ac:dyDescent="0.25">
      <c r="A953" s="1">
        <v>951</v>
      </c>
      <c r="B953" t="str">
        <f>HYPERLINK("https://www.dasschnelle.at/teamordination-dr-stütz-rohrbach-stadtplatz","Website")</f>
        <v>Website</v>
      </c>
      <c r="C953" t="str">
        <f>HYPERLINK("http://www.mdz-rohrbach.at","Website")</f>
        <v>Website</v>
      </c>
      <c r="D953" t="str">
        <f>HYPERLINK("http://www.google.com/maps/place/48.5715425,13.9923940","Location")</f>
        <v>Location</v>
      </c>
      <c r="E953" t="s">
        <v>8631</v>
      </c>
      <c r="F953" t="s">
        <v>8632</v>
      </c>
      <c r="G953" t="s">
        <v>8561</v>
      </c>
      <c r="H953" t="s">
        <v>8562</v>
      </c>
      <c r="I953" t="s">
        <v>85</v>
      </c>
      <c r="J953" t="s">
        <v>22</v>
      </c>
      <c r="K953" t="s">
        <v>8633</v>
      </c>
      <c r="L953" t="s">
        <v>8636</v>
      </c>
      <c r="M953" t="s">
        <v>25</v>
      </c>
      <c r="N953" t="s">
        <v>8637</v>
      </c>
      <c r="O953" t="s">
        <v>25</v>
      </c>
      <c r="P953" t="s">
        <v>8638</v>
      </c>
      <c r="Q953" t="s">
        <v>29</v>
      </c>
      <c r="R953" t="s">
        <v>8634</v>
      </c>
      <c r="S953" t="s">
        <v>8635</v>
      </c>
    </row>
    <row r="954" spans="1:19" x14ac:dyDescent="0.25">
      <c r="A954" s="1">
        <v>952</v>
      </c>
      <c r="B954" t="str">
        <f>HYPERLINK("https://www.dasschnelle.at/hair-und-style-aigen-schlägl-mitterweg","Website")</f>
        <v>Website</v>
      </c>
      <c r="C954" t="str">
        <f>HYPERLINK("http://www.hair-style-judith.at","Website")</f>
        <v>Website</v>
      </c>
      <c r="D954" t="str">
        <f>HYPERLINK("http://www.google.com/maps/place/48.63758,13.96091","Location")</f>
        <v>Location</v>
      </c>
      <c r="E954" t="s">
        <v>8639</v>
      </c>
      <c r="F954" t="s">
        <v>8640</v>
      </c>
      <c r="G954" t="s">
        <v>8581</v>
      </c>
      <c r="H954" t="s">
        <v>8582</v>
      </c>
      <c r="I954" t="s">
        <v>85</v>
      </c>
      <c r="J954" t="s">
        <v>22</v>
      </c>
      <c r="K954" t="s">
        <v>8641</v>
      </c>
      <c r="L954" t="s">
        <v>8644</v>
      </c>
      <c r="M954" t="s">
        <v>25</v>
      </c>
      <c r="N954" t="s">
        <v>8645</v>
      </c>
      <c r="O954" t="s">
        <v>25</v>
      </c>
      <c r="P954" t="s">
        <v>8646</v>
      </c>
      <c r="Q954" t="s">
        <v>29</v>
      </c>
      <c r="R954" t="s">
        <v>8642</v>
      </c>
      <c r="S954" t="s">
        <v>8643</v>
      </c>
    </row>
    <row r="955" spans="1:19" x14ac:dyDescent="0.25">
      <c r="A955" s="1">
        <v>953</v>
      </c>
      <c r="B955" t="str">
        <f>HYPERLINK("https://www.dasschnelle.at/vitalhotel-lembacherhof-lembach-im-mühlkreis-falkensteinstraße","Website")</f>
        <v>Website</v>
      </c>
      <c r="C955" t="str">
        <f>HYPERLINK("http://www.lembacherhof.com","Website")</f>
        <v>Website</v>
      </c>
      <c r="D955" t="str">
        <f>HYPERLINK("http://www.google.com/maps/place/48.4953,13.89353","Location")</f>
        <v>Location</v>
      </c>
      <c r="E955" t="s">
        <v>8647</v>
      </c>
      <c r="F955" t="s">
        <v>8648</v>
      </c>
      <c r="G955" t="s">
        <v>8650</v>
      </c>
      <c r="H955" t="s">
        <v>8651</v>
      </c>
      <c r="I955" t="s">
        <v>85</v>
      </c>
      <c r="J955" t="s">
        <v>22</v>
      </c>
      <c r="K955" t="s">
        <v>8649</v>
      </c>
      <c r="L955" t="s">
        <v>8654</v>
      </c>
      <c r="M955" t="s">
        <v>25</v>
      </c>
      <c r="N955" t="s">
        <v>8655</v>
      </c>
      <c r="O955" t="s">
        <v>25</v>
      </c>
      <c r="P955" t="s">
        <v>8656</v>
      </c>
      <c r="Q955" t="s">
        <v>29</v>
      </c>
      <c r="R955" t="s">
        <v>8652</v>
      </c>
      <c r="S955" t="s">
        <v>8653</v>
      </c>
    </row>
    <row r="956" spans="1:19" x14ac:dyDescent="0.25">
      <c r="A956" s="1">
        <v>954</v>
      </c>
      <c r="B956" t="str">
        <f>HYPERLINK("https://www.dasschnelle.at/leibetseder-gastronomie-und-fleischwaren-gmbh-rohrbach-berg-stadtplatz","Website")</f>
        <v>Website</v>
      </c>
      <c r="C956" t="str">
        <f>HYPERLINK("http://www.essenvombesten.at","Website")</f>
        <v>Website</v>
      </c>
      <c r="D956" t="str">
        <f>HYPERLINK("http://www.google.com/maps/place/48.5722504,13.9902301","Location")</f>
        <v>Location</v>
      </c>
      <c r="E956" t="s">
        <v>8657</v>
      </c>
      <c r="F956" t="s">
        <v>8658</v>
      </c>
      <c r="G956" t="s">
        <v>8561</v>
      </c>
      <c r="H956" t="s">
        <v>8660</v>
      </c>
      <c r="I956" t="s">
        <v>85</v>
      </c>
      <c r="J956" t="s">
        <v>22</v>
      </c>
      <c r="K956" t="s">
        <v>8659</v>
      </c>
      <c r="L956" t="s">
        <v>8663</v>
      </c>
      <c r="M956" t="s">
        <v>25</v>
      </c>
      <c r="N956" t="s">
        <v>8664</v>
      </c>
      <c r="O956" t="s">
        <v>25</v>
      </c>
      <c r="P956" t="s">
        <v>8665</v>
      </c>
      <c r="Q956" t="s">
        <v>29</v>
      </c>
      <c r="R956" t="s">
        <v>8661</v>
      </c>
      <c r="S956" t="s">
        <v>8662</v>
      </c>
    </row>
    <row r="957" spans="1:19" x14ac:dyDescent="0.25">
      <c r="A957" s="1">
        <v>955</v>
      </c>
      <c r="B957" t="str">
        <f>HYPERLINK("https://www.dasschnelle.at/eisner-adolf-kollerschlag-sauedt","Website")</f>
        <v>Website</v>
      </c>
      <c r="C957" t="str">
        <f>HYPERLINK("http://www.baggerungen-eisner.at","Website")</f>
        <v>Website</v>
      </c>
      <c r="D957" t="str">
        <f>HYPERLINK("http://www.google.com/maps/place/48.6131850,13.8576513","Location")</f>
        <v>Location</v>
      </c>
      <c r="E957" t="s">
        <v>8666</v>
      </c>
      <c r="F957" t="s">
        <v>8667</v>
      </c>
      <c r="G957" t="s">
        <v>8669</v>
      </c>
      <c r="H957" t="s">
        <v>8670</v>
      </c>
      <c r="I957" t="s">
        <v>85</v>
      </c>
      <c r="J957" t="s">
        <v>22</v>
      </c>
      <c r="K957" t="s">
        <v>8668</v>
      </c>
      <c r="L957" t="s">
        <v>8673</v>
      </c>
      <c r="M957" t="s">
        <v>25</v>
      </c>
      <c r="N957" t="s">
        <v>8674</v>
      </c>
      <c r="O957" t="s">
        <v>8675</v>
      </c>
      <c r="P957" t="s">
        <v>8676</v>
      </c>
      <c r="Q957" t="s">
        <v>29</v>
      </c>
      <c r="R957" t="s">
        <v>8671</v>
      </c>
      <c r="S957" t="s">
        <v>8672</v>
      </c>
    </row>
    <row r="958" spans="1:19" x14ac:dyDescent="0.25">
      <c r="A958" s="1">
        <v>956</v>
      </c>
      <c r="B958" t="str">
        <f>HYPERLINK("https://www.dasschnelle.at/eisner-stefan-kollerschlag-sauedt","Website")</f>
        <v>Website</v>
      </c>
      <c r="C958" t="str">
        <f>HYPERLINK("https://www.dasschnelle.at/eisner-stefan-kollerschlag-sauedt","Website")</f>
        <v>Website</v>
      </c>
      <c r="D958" t="str">
        <f>HYPERLINK("http://www.google.com/maps/place/48.6128535,13.8590541","Location")</f>
        <v>Location</v>
      </c>
      <c r="E958" t="s">
        <v>8677</v>
      </c>
      <c r="F958" t="s">
        <v>8678</v>
      </c>
      <c r="G958" t="s">
        <v>8669</v>
      </c>
      <c r="H958" t="s">
        <v>8670</v>
      </c>
      <c r="I958" t="s">
        <v>85</v>
      </c>
      <c r="J958" t="s">
        <v>22</v>
      </c>
      <c r="K958" t="s">
        <v>8679</v>
      </c>
      <c r="L958" t="s">
        <v>8682</v>
      </c>
      <c r="M958" t="s">
        <v>25</v>
      </c>
      <c r="N958" t="s">
        <v>8683</v>
      </c>
      <c r="O958" t="s">
        <v>25</v>
      </c>
      <c r="P958" t="s">
        <v>8684</v>
      </c>
      <c r="Q958" t="s">
        <v>29</v>
      </c>
      <c r="R958" t="s">
        <v>8680</v>
      </c>
      <c r="S958" t="s">
        <v>8681</v>
      </c>
    </row>
    <row r="959" spans="1:19" x14ac:dyDescent="0.25">
      <c r="A959" s="1">
        <v>957</v>
      </c>
      <c r="B959" t="str">
        <f>HYPERLINK("https://www.dasschnelle.at/stumpner-peter-dr-rohrbach-mitterfeld","Website")</f>
        <v>Website</v>
      </c>
      <c r="C959" t="str">
        <f>HYPERLINK("http://www.aerzte-fuer-frauen.at","Website")</f>
        <v>Website</v>
      </c>
      <c r="D959" t="str">
        <f>HYPERLINK("http://www.google.com/maps/place/48.5711990,13.9838080","Location")</f>
        <v>Location</v>
      </c>
      <c r="E959" t="s">
        <v>8685</v>
      </c>
      <c r="F959" t="s">
        <v>8686</v>
      </c>
      <c r="G959" t="s">
        <v>8561</v>
      </c>
      <c r="H959" t="s">
        <v>8562</v>
      </c>
      <c r="I959" t="s">
        <v>85</v>
      </c>
      <c r="J959" t="s">
        <v>22</v>
      </c>
      <c r="K959" t="s">
        <v>8687</v>
      </c>
      <c r="L959" t="s">
        <v>8690</v>
      </c>
      <c r="M959" t="s">
        <v>25</v>
      </c>
      <c r="N959" t="s">
        <v>8691</v>
      </c>
      <c r="O959" t="s">
        <v>25</v>
      </c>
      <c r="P959" t="s">
        <v>8692</v>
      </c>
      <c r="Q959" t="s">
        <v>29</v>
      </c>
      <c r="R959" t="s">
        <v>8688</v>
      </c>
      <c r="S959" t="s">
        <v>8689</v>
      </c>
    </row>
    <row r="960" spans="1:19" x14ac:dyDescent="0.25">
      <c r="A960" s="1">
        <v>958</v>
      </c>
      <c r="B960" t="str">
        <f>HYPERLINK("https://www.dasschnelle.at/mairhofer-gerhard-hofkirchen-im-mühlkreis-waldweg","Website")</f>
        <v>Website</v>
      </c>
      <c r="C960" t="str">
        <f>HYPERLINK("http://www.kfz-mairhofer.at","Website")</f>
        <v>Website</v>
      </c>
      <c r="D960" t="str">
        <f>HYPERLINK("http://www.google.com/maps/place/48.4818572,13.8274116","Location")</f>
        <v>Location</v>
      </c>
      <c r="E960" t="s">
        <v>8693</v>
      </c>
      <c r="F960" t="s">
        <v>8694</v>
      </c>
      <c r="G960" t="s">
        <v>8696</v>
      </c>
      <c r="H960" t="s">
        <v>8697</v>
      </c>
      <c r="I960" t="s">
        <v>85</v>
      </c>
      <c r="J960" t="s">
        <v>22</v>
      </c>
      <c r="K960" t="s">
        <v>8695</v>
      </c>
      <c r="L960" t="s">
        <v>8700</v>
      </c>
      <c r="M960" t="s">
        <v>8701</v>
      </c>
      <c r="N960" t="s">
        <v>8702</v>
      </c>
      <c r="O960" t="s">
        <v>25</v>
      </c>
      <c r="P960" t="s">
        <v>8703</v>
      </c>
      <c r="Q960" t="s">
        <v>29</v>
      </c>
      <c r="R960" t="s">
        <v>8698</v>
      </c>
      <c r="S960" t="s">
        <v>8699</v>
      </c>
    </row>
    <row r="961" spans="1:19" x14ac:dyDescent="0.25">
      <c r="A961" s="1">
        <v>959</v>
      </c>
      <c r="B961" t="str">
        <f>HYPERLINK("https://www.dasschnelle.at/atzlsdorfer-carola-rohrbach-linzer-straße","Website")</f>
        <v>Website</v>
      </c>
      <c r="C961" t="str">
        <f>HYPERLINK("http://www.carola.at","Website")</f>
        <v>Website</v>
      </c>
      <c r="D961" t="str">
        <f>HYPERLINK("http://www.google.com/maps/place/48.5710507,13.9936615","Location")</f>
        <v>Location</v>
      </c>
      <c r="E961" t="s">
        <v>8704</v>
      </c>
      <c r="F961" t="s">
        <v>8705</v>
      </c>
      <c r="G961" t="s">
        <v>8561</v>
      </c>
      <c r="H961" t="s">
        <v>8562</v>
      </c>
      <c r="I961" t="s">
        <v>85</v>
      </c>
      <c r="J961" t="s">
        <v>22</v>
      </c>
      <c r="K961" t="s">
        <v>8706</v>
      </c>
      <c r="L961" t="s">
        <v>8709</v>
      </c>
      <c r="M961" t="s">
        <v>25</v>
      </c>
      <c r="N961" t="s">
        <v>8710</v>
      </c>
      <c r="O961" t="s">
        <v>25</v>
      </c>
      <c r="P961" t="s">
        <v>8711</v>
      </c>
      <c r="Q961" t="s">
        <v>29</v>
      </c>
      <c r="R961" t="s">
        <v>8707</v>
      </c>
      <c r="S961" t="s">
        <v>8708</v>
      </c>
    </row>
    <row r="962" spans="1:19" x14ac:dyDescent="0.25">
      <c r="A962" s="1">
        <v>960</v>
      </c>
      <c r="B962" t="str">
        <f>HYPERLINK("https://www.dasschnelle.at/rammerstorfer-raphaela-rohrbach-bahnhofstraße","Website")</f>
        <v>Website</v>
      </c>
      <c r="C962" t="str">
        <f>HYPERLINK("https://www.dasschnelle.at/rammerstorfer-raphaela-rohrbach-bahnhofstra%C3%9Fe","Website")</f>
        <v>Website</v>
      </c>
      <c r="D962" t="str">
        <f>HYPERLINK("http://www.google.com/maps/place/48.5741695,13.9902491","Location")</f>
        <v>Location</v>
      </c>
      <c r="E962" t="s">
        <v>8712</v>
      </c>
      <c r="F962" t="s">
        <v>8713</v>
      </c>
      <c r="G962" t="s">
        <v>8561</v>
      </c>
      <c r="H962" t="s">
        <v>8562</v>
      </c>
      <c r="I962" t="s">
        <v>85</v>
      </c>
      <c r="J962" t="s">
        <v>22</v>
      </c>
      <c r="K962" t="s">
        <v>8714</v>
      </c>
      <c r="L962" t="s">
        <v>8717</v>
      </c>
      <c r="M962" t="s">
        <v>25</v>
      </c>
      <c r="N962" t="s">
        <v>8718</v>
      </c>
      <c r="O962" t="s">
        <v>25</v>
      </c>
      <c r="P962" t="s">
        <v>8719</v>
      </c>
      <c r="Q962" t="s">
        <v>29</v>
      </c>
      <c r="R962" t="s">
        <v>8715</v>
      </c>
      <c r="S962" t="s">
        <v>8716</v>
      </c>
    </row>
    <row r="963" spans="1:19" x14ac:dyDescent="0.25">
      <c r="A963" s="1">
        <v>961</v>
      </c>
      <c r="B963" t="str">
        <f>HYPERLINK("https://www.dasschnelle.at/krauck-franz-sankt-johann-am-wimberg-wimbergstraße","Website")</f>
        <v>Website</v>
      </c>
      <c r="C963" t="str">
        <f>HYPERLINK("http://www.auto-krauck.at","Website")</f>
        <v>Website</v>
      </c>
      <c r="D963" t="str">
        <f>HYPERLINK("http://www.google.com/maps/place/48.48958,14.13053","Location")</f>
        <v>Location</v>
      </c>
      <c r="E963" t="s">
        <v>8720</v>
      </c>
      <c r="F963" t="s">
        <v>8721</v>
      </c>
      <c r="G963" t="s">
        <v>8723</v>
      </c>
      <c r="H963" t="s">
        <v>8724</v>
      </c>
      <c r="I963" t="s">
        <v>85</v>
      </c>
      <c r="J963" t="s">
        <v>22</v>
      </c>
      <c r="K963" t="s">
        <v>8722</v>
      </c>
      <c r="L963" t="s">
        <v>8727</v>
      </c>
      <c r="M963" t="s">
        <v>25</v>
      </c>
      <c r="N963" t="s">
        <v>8728</v>
      </c>
      <c r="O963" t="s">
        <v>25</v>
      </c>
      <c r="P963" t="s">
        <v>8729</v>
      </c>
      <c r="Q963" t="s">
        <v>29</v>
      </c>
      <c r="R963" t="s">
        <v>8725</v>
      </c>
      <c r="S963" t="s">
        <v>8726</v>
      </c>
    </row>
    <row r="964" spans="1:19" x14ac:dyDescent="0.25">
      <c r="A964" s="1">
        <v>962</v>
      </c>
      <c r="B964" t="str">
        <f>HYPERLINK("https://www.dasschnelle.at/altenhofer-florian-altenfelden-urzenweg","Website")</f>
        <v>Website</v>
      </c>
      <c r="C964" t="str">
        <f>HYPERLINK("http://www.florianaltenhofer.at","Website")</f>
        <v>Website</v>
      </c>
      <c r="D964" t="str">
        <f>HYPERLINK("http://www.google.com/maps/place/48.48036,13.96739","Location")</f>
        <v>Location</v>
      </c>
      <c r="E964" t="s">
        <v>8730</v>
      </c>
      <c r="F964" t="s">
        <v>8731</v>
      </c>
      <c r="G964" t="s">
        <v>8733</v>
      </c>
      <c r="H964" t="s">
        <v>8734</v>
      </c>
      <c r="I964" t="s">
        <v>85</v>
      </c>
      <c r="J964" t="s">
        <v>22</v>
      </c>
      <c r="K964" t="s">
        <v>8732</v>
      </c>
      <c r="L964" t="s">
        <v>8737</v>
      </c>
      <c r="M964" t="s">
        <v>25</v>
      </c>
      <c r="N964" t="s">
        <v>8738</v>
      </c>
      <c r="O964" t="s">
        <v>25</v>
      </c>
      <c r="P964" t="s">
        <v>8739</v>
      </c>
      <c r="Q964" t="s">
        <v>29</v>
      </c>
      <c r="R964" t="s">
        <v>8735</v>
      </c>
      <c r="S964" t="s">
        <v>8736</v>
      </c>
    </row>
    <row r="965" spans="1:19" x14ac:dyDescent="0.25">
      <c r="A965" s="1">
        <v>963</v>
      </c>
      <c r="B965" t="str">
        <f>HYPERLINK("https://www.dasschnelle.at/zalto-höglinger-kirchberg-ob-der-donau-ortsplatz","Website")</f>
        <v>Website</v>
      </c>
      <c r="C965" t="str">
        <f>HYPERLINK("http://www.zalto-hoeglinger.at","Website")</f>
        <v>Website</v>
      </c>
      <c r="D965" t="str">
        <f>HYPERLINK("http://www.google.com/maps/place/48.44467,13.93631","Location")</f>
        <v>Location</v>
      </c>
      <c r="E965" t="s">
        <v>8740</v>
      </c>
      <c r="F965" t="s">
        <v>8741</v>
      </c>
      <c r="G965" t="s">
        <v>8743</v>
      </c>
      <c r="H965" t="s">
        <v>8744</v>
      </c>
      <c r="I965" t="s">
        <v>85</v>
      </c>
      <c r="J965" t="s">
        <v>22</v>
      </c>
      <c r="K965" t="s">
        <v>8742</v>
      </c>
      <c r="L965" t="s">
        <v>8747</v>
      </c>
      <c r="M965" t="s">
        <v>25</v>
      </c>
      <c r="N965" t="s">
        <v>8748</v>
      </c>
      <c r="O965" t="s">
        <v>25</v>
      </c>
      <c r="P965" t="s">
        <v>8749</v>
      </c>
      <c r="Q965" t="s">
        <v>29</v>
      </c>
      <c r="R965" t="s">
        <v>8745</v>
      </c>
      <c r="S965" t="s">
        <v>8746</v>
      </c>
    </row>
    <row r="966" spans="1:19" x14ac:dyDescent="0.25">
      <c r="A966" s="1">
        <v>964</v>
      </c>
      <c r="B966" t="str">
        <f>HYPERLINK("https://www.dasschnelle.at/blitzschutz-hartl-arnreit-liebenstein","Website")</f>
        <v>Website</v>
      </c>
      <c r="C966" t="str">
        <f>HYPERLINK("http://www.blitzschutz-hartl.at","Website")</f>
        <v>Website</v>
      </c>
      <c r="D966" t="str">
        <f>HYPERLINK("http://www.google.com/maps/place/48.5173780,13.9899891","Location")</f>
        <v>Location</v>
      </c>
      <c r="E966" t="s">
        <v>8750</v>
      </c>
      <c r="F966" t="s">
        <v>8751</v>
      </c>
      <c r="G966" t="s">
        <v>8601</v>
      </c>
      <c r="H966" t="s">
        <v>8602</v>
      </c>
      <c r="I966" t="s">
        <v>85</v>
      </c>
      <c r="J966" t="s">
        <v>22</v>
      </c>
      <c r="K966" t="s">
        <v>8752</v>
      </c>
      <c r="L966" t="s">
        <v>8755</v>
      </c>
      <c r="M966" t="s">
        <v>25</v>
      </c>
      <c r="N966" t="s">
        <v>8756</v>
      </c>
      <c r="O966" t="s">
        <v>25</v>
      </c>
      <c r="P966" t="s">
        <v>8757</v>
      </c>
      <c r="Q966" t="s">
        <v>29</v>
      </c>
      <c r="R966" t="s">
        <v>8753</v>
      </c>
      <c r="S966" t="s">
        <v>8754</v>
      </c>
    </row>
    <row r="967" spans="1:19" x14ac:dyDescent="0.25">
      <c r="A967" s="1">
        <v>965</v>
      </c>
      <c r="B967" t="str">
        <f>HYPERLINK("https://www.dasschnelle.at/falkinger-bernhard-putzleinsdorf-hanriederstraße","Website")</f>
        <v>Website</v>
      </c>
      <c r="C967" t="str">
        <f>HYPERLINK("http://www.baumaschinen-falkinger.at","Website")</f>
        <v>Website</v>
      </c>
      <c r="D967" t="str">
        <f>HYPERLINK("http://www.google.com/maps/place/48.51405,13.87238","Location")</f>
        <v>Location</v>
      </c>
      <c r="E967" t="s">
        <v>8758</v>
      </c>
      <c r="F967" t="s">
        <v>8759</v>
      </c>
      <c r="G967" t="s">
        <v>8761</v>
      </c>
      <c r="H967" t="s">
        <v>8762</v>
      </c>
      <c r="I967" t="s">
        <v>85</v>
      </c>
      <c r="J967" t="s">
        <v>22</v>
      </c>
      <c r="K967" t="s">
        <v>8760</v>
      </c>
      <c r="L967" t="s">
        <v>8765</v>
      </c>
      <c r="M967" t="s">
        <v>25</v>
      </c>
      <c r="N967" t="s">
        <v>8766</v>
      </c>
      <c r="O967" t="s">
        <v>8767</v>
      </c>
      <c r="P967" t="s">
        <v>8768</v>
      </c>
      <c r="Q967" t="s">
        <v>29</v>
      </c>
      <c r="R967" t="s">
        <v>8763</v>
      </c>
      <c r="S967" t="s">
        <v>8764</v>
      </c>
    </row>
    <row r="968" spans="1:19" x14ac:dyDescent="0.25">
      <c r="A968" s="1">
        <v>966</v>
      </c>
      <c r="B968" t="str">
        <f>HYPERLINK("https://www.dasschnelle.at/gasthof-post-peilstein-im-mühlviertel-stifterstraße","Website")</f>
        <v>Website</v>
      </c>
      <c r="C968" t="str">
        <f>HYPERLINK("http://www.gasthofpost.eu","Website")</f>
        <v>Website</v>
      </c>
      <c r="D968" t="str">
        <f>HYPERLINK("http://www.google.com/maps/place/48.61858,13.89354","Location")</f>
        <v>Location</v>
      </c>
      <c r="E968" t="s">
        <v>8769</v>
      </c>
      <c r="F968" t="s">
        <v>8770</v>
      </c>
      <c r="G968" t="s">
        <v>8571</v>
      </c>
      <c r="H968" t="s">
        <v>8572</v>
      </c>
      <c r="I968" t="s">
        <v>85</v>
      </c>
      <c r="J968" t="s">
        <v>22</v>
      </c>
      <c r="K968" t="s">
        <v>7403</v>
      </c>
      <c r="L968" t="s">
        <v>8773</v>
      </c>
      <c r="M968" t="s">
        <v>25</v>
      </c>
      <c r="N968" t="s">
        <v>8774</v>
      </c>
      <c r="O968" t="s">
        <v>25</v>
      </c>
      <c r="P968" t="s">
        <v>8775</v>
      </c>
      <c r="Q968" t="s">
        <v>29</v>
      </c>
      <c r="R968" t="s">
        <v>8771</v>
      </c>
      <c r="S968" t="s">
        <v>8772</v>
      </c>
    </row>
    <row r="969" spans="1:19" x14ac:dyDescent="0.25">
      <c r="A969" s="1">
        <v>967</v>
      </c>
      <c r="B969" t="str">
        <f>HYPERLINK("https://www.dasschnelle.at/reini-s-autokosmetik-ulrichsberg-stollnberg","Website")</f>
        <v>Website</v>
      </c>
      <c r="C969" t="str">
        <f>HYPERLINK("https://www.dasschnelle.at/reini-s-autokosmetik-ulrichsberg-stollnberg","Website")</f>
        <v>Website</v>
      </c>
      <c r="D969" t="str">
        <f>HYPERLINK("http://www.google.com/maps/place/48.6766700,13.9233300","Location")</f>
        <v>Location</v>
      </c>
      <c r="E969" t="s">
        <v>8776</v>
      </c>
      <c r="F969" t="s">
        <v>8777</v>
      </c>
      <c r="G969" t="s">
        <v>8779</v>
      </c>
      <c r="H969" t="s">
        <v>8780</v>
      </c>
      <c r="I969" t="s">
        <v>85</v>
      </c>
      <c r="J969" t="s">
        <v>22</v>
      </c>
      <c r="K969" t="s">
        <v>8778</v>
      </c>
      <c r="L969" t="s">
        <v>8783</v>
      </c>
      <c r="M969" t="s">
        <v>25</v>
      </c>
      <c r="N969" t="s">
        <v>8784</v>
      </c>
      <c r="O969" t="s">
        <v>25</v>
      </c>
      <c r="P969" t="s">
        <v>8785</v>
      </c>
      <c r="Q969" t="s">
        <v>29</v>
      </c>
      <c r="R969" t="s">
        <v>8781</v>
      </c>
      <c r="S969" t="s">
        <v>8782</v>
      </c>
    </row>
    <row r="970" spans="1:19" x14ac:dyDescent="0.25">
      <c r="A970" s="1">
        <v>968</v>
      </c>
      <c r="B970" t="str">
        <f>HYPERLINK("https://www.dasschnelle.at/nigl-horst-rohrbach-teichwiese","Website")</f>
        <v>Website</v>
      </c>
      <c r="C970" t="str">
        <f>HYPERLINK("http://www.lml.at","Website")</f>
        <v>Website</v>
      </c>
      <c r="D970" t="str">
        <f>HYPERLINK("http://www.google.com/maps/place/48.57619,13.99323","Location")</f>
        <v>Location</v>
      </c>
      <c r="E970" t="s">
        <v>8786</v>
      </c>
      <c r="F970" t="s">
        <v>8787</v>
      </c>
      <c r="G970" t="s">
        <v>8561</v>
      </c>
      <c r="H970" t="s">
        <v>8562</v>
      </c>
      <c r="I970" t="s">
        <v>85</v>
      </c>
      <c r="J970" t="s">
        <v>22</v>
      </c>
      <c r="K970" t="s">
        <v>8788</v>
      </c>
      <c r="L970" t="s">
        <v>8791</v>
      </c>
      <c r="M970" t="s">
        <v>25</v>
      </c>
      <c r="N970" t="s">
        <v>8792</v>
      </c>
      <c r="O970" t="s">
        <v>25</v>
      </c>
      <c r="P970" t="s">
        <v>8793</v>
      </c>
      <c r="Q970" t="s">
        <v>29</v>
      </c>
      <c r="R970" t="s">
        <v>8789</v>
      </c>
      <c r="S970" t="s">
        <v>8790</v>
      </c>
    </row>
    <row r="971" spans="1:19" x14ac:dyDescent="0.25">
      <c r="A971" s="1">
        <v>969</v>
      </c>
      <c r="B971" t="str">
        <f>HYPERLINK("https://www.dasschnelle.at/kneidinger-elke-rohrbach-am-bunderhügel","Website")</f>
        <v>Website</v>
      </c>
      <c r="C971" t="str">
        <f>HYPERLINK("http://www.blumenunddeko.com","Website")</f>
        <v>Website</v>
      </c>
      <c r="D971" t="str">
        <f>HYPERLINK("http://www.google.com/maps/place/48.5680019,13.9834558","Location")</f>
        <v>Location</v>
      </c>
      <c r="E971" t="s">
        <v>8794</v>
      </c>
      <c r="F971" t="s">
        <v>8795</v>
      </c>
      <c r="G971" t="s">
        <v>8561</v>
      </c>
      <c r="H971" t="s">
        <v>8562</v>
      </c>
      <c r="I971" t="s">
        <v>85</v>
      </c>
      <c r="J971" t="s">
        <v>22</v>
      </c>
      <c r="K971" t="s">
        <v>8796</v>
      </c>
      <c r="L971" t="s">
        <v>8799</v>
      </c>
      <c r="M971" t="s">
        <v>25</v>
      </c>
      <c r="N971" t="s">
        <v>8800</v>
      </c>
      <c r="O971" t="s">
        <v>25</v>
      </c>
      <c r="P971" t="s">
        <v>8801</v>
      </c>
      <c r="Q971" t="s">
        <v>29</v>
      </c>
      <c r="R971" t="s">
        <v>8797</v>
      </c>
      <c r="S971" t="s">
        <v>8798</v>
      </c>
    </row>
    <row r="972" spans="1:19" x14ac:dyDescent="0.25">
      <c r="A972" s="1">
        <v>970</v>
      </c>
      <c r="B972" t="str">
        <f>HYPERLINK("https://www.dasschnelle.at/ploch-autopflege-gmbh-aigen-schlägl-mühlweg","Website")</f>
        <v>Website</v>
      </c>
      <c r="C972" t="str">
        <f>HYPERLINK("http://www.ploch-autopflege.at","Website")</f>
        <v>Website</v>
      </c>
      <c r="D972" t="str">
        <f>HYPERLINK("http://www.google.com/maps/place/48.6410034,13.9649918","Location")</f>
        <v>Location</v>
      </c>
      <c r="E972" t="s">
        <v>8802</v>
      </c>
      <c r="F972" t="s">
        <v>8803</v>
      </c>
      <c r="G972" t="s">
        <v>8581</v>
      </c>
      <c r="H972" t="s">
        <v>8582</v>
      </c>
      <c r="I972" t="s">
        <v>85</v>
      </c>
      <c r="J972" t="s">
        <v>22</v>
      </c>
      <c r="K972" t="s">
        <v>8804</v>
      </c>
      <c r="L972" t="s">
        <v>8807</v>
      </c>
      <c r="M972" t="s">
        <v>25</v>
      </c>
      <c r="N972" t="s">
        <v>8808</v>
      </c>
      <c r="O972" t="s">
        <v>25</v>
      </c>
      <c r="P972" t="s">
        <v>8809</v>
      </c>
      <c r="Q972" t="s">
        <v>29</v>
      </c>
      <c r="R972" t="s">
        <v>8805</v>
      </c>
      <c r="S972" t="s">
        <v>8806</v>
      </c>
    </row>
    <row r="973" spans="1:19" x14ac:dyDescent="0.25">
      <c r="A973" s="1">
        <v>971</v>
      </c>
      <c r="B973" t="str">
        <f>HYPERLINK("https://www.dasschnelle.at/villa-sinnenreich-museum-rohrbach-rohrbach-bahnhofstraße","Website")</f>
        <v>Website</v>
      </c>
      <c r="C973" t="str">
        <f>HYPERLINK("http://www.rohrbach-berg.at","Website")</f>
        <v>Website</v>
      </c>
      <c r="D973" t="str">
        <f>HYPERLINK("http://www.google.com/maps/place/48.5757828,13.9893619","Location")</f>
        <v>Location</v>
      </c>
      <c r="E973" t="s">
        <v>8810</v>
      </c>
      <c r="F973" t="s">
        <v>8811</v>
      </c>
      <c r="G973" t="s">
        <v>8561</v>
      </c>
      <c r="H973" t="s">
        <v>8562</v>
      </c>
      <c r="I973" t="s">
        <v>85</v>
      </c>
      <c r="J973" t="s">
        <v>22</v>
      </c>
      <c r="K973" t="s">
        <v>1022</v>
      </c>
      <c r="L973" t="s">
        <v>8814</v>
      </c>
      <c r="M973" t="s">
        <v>25</v>
      </c>
      <c r="N973" t="s">
        <v>8815</v>
      </c>
      <c r="O973" t="s">
        <v>25</v>
      </c>
      <c r="P973" t="s">
        <v>8816</v>
      </c>
      <c r="Q973" t="s">
        <v>29</v>
      </c>
      <c r="R973" t="s">
        <v>8812</v>
      </c>
      <c r="S973" t="s">
        <v>8813</v>
      </c>
    </row>
    <row r="974" spans="1:19" x14ac:dyDescent="0.25">
      <c r="A974" s="1">
        <v>972</v>
      </c>
      <c r="B974" t="str">
        <f>HYPERLINK("https://www.dasschnelle.at/ornetsmüller-bau-gmbh-riedau-bahnhofstraße","Website")</f>
        <v>Website</v>
      </c>
      <c r="C974" t="str">
        <f>HYPERLINK("http://www.ornetsmueller-bau.at","Website")</f>
        <v>Website</v>
      </c>
      <c r="D974" t="str">
        <f>HYPERLINK("http://www.google.com/maps/place/48.3052028,13.6280496","Location")</f>
        <v>Location</v>
      </c>
      <c r="E974" t="s">
        <v>8817</v>
      </c>
      <c r="F974" t="s">
        <v>8818</v>
      </c>
      <c r="G974" t="s">
        <v>8820</v>
      </c>
      <c r="H974" t="s">
        <v>8821</v>
      </c>
      <c r="I974" t="s">
        <v>85</v>
      </c>
      <c r="J974" t="s">
        <v>22</v>
      </c>
      <c r="K974" t="s">
        <v>8819</v>
      </c>
      <c r="L974" t="s">
        <v>8824</v>
      </c>
      <c r="M974" t="s">
        <v>25</v>
      </c>
      <c r="N974" t="s">
        <v>8825</v>
      </c>
      <c r="O974" t="s">
        <v>25</v>
      </c>
      <c r="P974" t="s">
        <v>8826</v>
      </c>
      <c r="Q974" t="s">
        <v>29</v>
      </c>
      <c r="R974" t="s">
        <v>8822</v>
      </c>
      <c r="S974" t="s">
        <v>8823</v>
      </c>
    </row>
    <row r="975" spans="1:19" x14ac:dyDescent="0.25">
      <c r="A975" s="1">
        <v>973</v>
      </c>
      <c r="B975" t="str">
        <f>HYPERLINK("https://www.dasschnelle.at/dullinger-konrad-esternberg-hauptstraße","Website")</f>
        <v>Website</v>
      </c>
      <c r="C975" t="str">
        <f>HYPERLINK("http://www.auto-dullinger.at","Website")</f>
        <v>Website</v>
      </c>
      <c r="D975" t="str">
        <f>HYPERLINK("http://www.google.com/maps/place/48.54255,13.57688","Location")</f>
        <v>Location</v>
      </c>
      <c r="E975" t="s">
        <v>8827</v>
      </c>
      <c r="F975" t="s">
        <v>8828</v>
      </c>
      <c r="G975" t="s">
        <v>8830</v>
      </c>
      <c r="H975" t="s">
        <v>8831</v>
      </c>
      <c r="I975" t="s">
        <v>85</v>
      </c>
      <c r="J975" t="s">
        <v>22</v>
      </c>
      <c r="K975" t="s">
        <v>8829</v>
      </c>
      <c r="L975" t="s">
        <v>8834</v>
      </c>
      <c r="M975" t="s">
        <v>25</v>
      </c>
      <c r="N975" t="s">
        <v>8835</v>
      </c>
      <c r="O975" t="s">
        <v>25</v>
      </c>
      <c r="P975" t="s">
        <v>8836</v>
      </c>
      <c r="Q975" t="s">
        <v>29</v>
      </c>
      <c r="R975" t="s">
        <v>8832</v>
      </c>
      <c r="S975" t="s">
        <v>8833</v>
      </c>
    </row>
    <row r="976" spans="1:19" x14ac:dyDescent="0.25">
      <c r="A976" s="1">
        <v>974</v>
      </c>
      <c r="B976" t="str">
        <f>HYPERLINK("https://www.dasschnelle.at/goldberger-markus-wernstein-am-inn-hofötzer-straße","Website")</f>
        <v>Website</v>
      </c>
      <c r="C976" t="str">
        <f>HYPERLINK("http://www.glaserei-goldberger.at","Website")</f>
        <v>Website</v>
      </c>
      <c r="D976" t="str">
        <f>HYPERLINK("http://www.google.com/maps/place/48.51102,13.46138","Location")</f>
        <v>Location</v>
      </c>
      <c r="E976" t="s">
        <v>8837</v>
      </c>
      <c r="F976" t="s">
        <v>8838</v>
      </c>
      <c r="G976" t="s">
        <v>8840</v>
      </c>
      <c r="H976" t="s">
        <v>8841</v>
      </c>
      <c r="I976" t="s">
        <v>85</v>
      </c>
      <c r="J976" t="s">
        <v>22</v>
      </c>
      <c r="K976" t="s">
        <v>8839</v>
      </c>
      <c r="L976" t="s">
        <v>8844</v>
      </c>
      <c r="M976" t="s">
        <v>25</v>
      </c>
      <c r="N976" t="s">
        <v>8845</v>
      </c>
      <c r="O976" t="s">
        <v>25</v>
      </c>
      <c r="P976" t="s">
        <v>8846</v>
      </c>
      <c r="Q976" t="s">
        <v>29</v>
      </c>
      <c r="R976" t="s">
        <v>8842</v>
      </c>
      <c r="S976" t="s">
        <v>8843</v>
      </c>
    </row>
    <row r="977" spans="1:19" x14ac:dyDescent="0.25">
      <c r="A977" s="1">
        <v>975</v>
      </c>
      <c r="B977" t="str">
        <f>HYPERLINK("https://www.dasschnelle.at/bittner-marietta-schärding-innbruckstraße","Website")</f>
        <v>Website</v>
      </c>
      <c r="C977" t="str">
        <f>HYPERLINK("https://www.dasschnelle.at/bittner-marietta-sch%C3%A4rding-innbruckstra%C3%9Fe","Website")</f>
        <v>Website</v>
      </c>
      <c r="D977" t="str">
        <f>HYPERLINK("http://www.google.com/maps/place/48.45593,13.43049","Location")</f>
        <v>Location</v>
      </c>
      <c r="E977" t="s">
        <v>8847</v>
      </c>
      <c r="F977" t="s">
        <v>8848</v>
      </c>
      <c r="G977" t="s">
        <v>8850</v>
      </c>
      <c r="H977" t="s">
        <v>8851</v>
      </c>
      <c r="I977" t="s">
        <v>85</v>
      </c>
      <c r="J977" t="s">
        <v>22</v>
      </c>
      <c r="K977" t="s">
        <v>8849</v>
      </c>
      <c r="L977" t="s">
        <v>8854</v>
      </c>
      <c r="M977" t="s">
        <v>25</v>
      </c>
      <c r="N977" t="s">
        <v>25</v>
      </c>
      <c r="O977" t="s">
        <v>25</v>
      </c>
      <c r="P977" t="s">
        <v>8855</v>
      </c>
      <c r="Q977" t="s">
        <v>29</v>
      </c>
      <c r="R977" t="s">
        <v>8852</v>
      </c>
      <c r="S977" t="s">
        <v>8853</v>
      </c>
    </row>
    <row r="978" spans="1:19" x14ac:dyDescent="0.25">
      <c r="A978" s="1">
        <v>976</v>
      </c>
      <c r="B978" t="str">
        <f>HYPERLINK("https://www.dasschnelle.at/grubeck-ernst-und-mag-christoph-dann-schärding-innere-stadt-lamprechtstraße","Website")</f>
        <v>Website</v>
      </c>
      <c r="C978" t="str">
        <f>HYPERLINK("http://www.grubeck-danner.at","Website")</f>
        <v>Website</v>
      </c>
      <c r="D978" t="str">
        <f>HYPERLINK("http://www.google.com/maps/place/48.45583,13.43071","Location")</f>
        <v>Location</v>
      </c>
      <c r="E978" t="s">
        <v>8856</v>
      </c>
      <c r="F978" t="s">
        <v>8857</v>
      </c>
      <c r="G978" t="s">
        <v>8850</v>
      </c>
      <c r="H978" t="s">
        <v>8859</v>
      </c>
      <c r="I978" t="s">
        <v>85</v>
      </c>
      <c r="J978" t="s">
        <v>22</v>
      </c>
      <c r="K978" t="s">
        <v>8858</v>
      </c>
      <c r="L978" t="s">
        <v>8862</v>
      </c>
      <c r="M978" t="s">
        <v>25</v>
      </c>
      <c r="N978" t="s">
        <v>8863</v>
      </c>
      <c r="O978" t="s">
        <v>8864</v>
      </c>
      <c r="P978" t="s">
        <v>8865</v>
      </c>
      <c r="Q978" t="s">
        <v>29</v>
      </c>
      <c r="R978" t="s">
        <v>8860</v>
      </c>
      <c r="S978" t="s">
        <v>8861</v>
      </c>
    </row>
    <row r="979" spans="1:19" x14ac:dyDescent="0.25">
      <c r="A979" s="1">
        <v>977</v>
      </c>
      <c r="B979" t="str">
        <f>HYPERLINK("https://www.dasschnelle.at/manaberger-wolfgang-raab-krennhof","Website")</f>
        <v>Website</v>
      </c>
      <c r="C979" t="str">
        <f>HYPERLINK("https://www.dasschnelle.at/manaberger-wolfgang-raab-krennhof","Website")</f>
        <v>Website</v>
      </c>
      <c r="D979" t="str">
        <f>HYPERLINK("http://www.google.com/maps/place/48.3423600,13.6440200","Location")</f>
        <v>Location</v>
      </c>
      <c r="E979" t="s">
        <v>8866</v>
      </c>
      <c r="F979" t="s">
        <v>8867</v>
      </c>
      <c r="G979" t="s">
        <v>8869</v>
      </c>
      <c r="H979" t="s">
        <v>8870</v>
      </c>
      <c r="I979" t="s">
        <v>85</v>
      </c>
      <c r="J979" t="s">
        <v>22</v>
      </c>
      <c r="K979" t="s">
        <v>8868</v>
      </c>
      <c r="L979" t="s">
        <v>8873</v>
      </c>
      <c r="M979" t="s">
        <v>25</v>
      </c>
      <c r="N979" t="s">
        <v>8874</v>
      </c>
      <c r="O979" t="s">
        <v>25</v>
      </c>
      <c r="P979" t="s">
        <v>697</v>
      </c>
      <c r="Q979" t="s">
        <v>29</v>
      </c>
      <c r="R979" t="s">
        <v>8871</v>
      </c>
      <c r="S979" t="s">
        <v>8872</v>
      </c>
    </row>
    <row r="980" spans="1:19" x14ac:dyDescent="0.25">
      <c r="A980" s="1">
        <v>978</v>
      </c>
      <c r="B980" t="str">
        <f>HYPERLINK("https://www.dasschnelle.at/egger-raumdesign-gmbh-schladming-berggasse","Website")</f>
        <v>Website</v>
      </c>
      <c r="C980" t="str">
        <f>HYPERLINK("http://www.egger-raumdesign.at","Website")</f>
        <v>Website</v>
      </c>
      <c r="D980" t="str">
        <f>HYPERLINK("http://www.google.com/maps/place/47.3904,13.69015","Location")</f>
        <v>Location</v>
      </c>
      <c r="E980" t="s">
        <v>8875</v>
      </c>
      <c r="F980" t="s">
        <v>8876</v>
      </c>
      <c r="G980" t="s">
        <v>1269</v>
      </c>
      <c r="H980" t="s">
        <v>1270</v>
      </c>
      <c r="I980" t="s">
        <v>451</v>
      </c>
      <c r="J980" t="s">
        <v>22</v>
      </c>
      <c r="K980" t="s">
        <v>8877</v>
      </c>
      <c r="L980" t="s">
        <v>8880</v>
      </c>
      <c r="M980" t="s">
        <v>25</v>
      </c>
      <c r="N980" t="s">
        <v>8881</v>
      </c>
      <c r="O980" t="s">
        <v>25</v>
      </c>
      <c r="P980" t="s">
        <v>8882</v>
      </c>
      <c r="Q980" t="s">
        <v>29</v>
      </c>
      <c r="R980" t="s">
        <v>8878</v>
      </c>
      <c r="S980" t="s">
        <v>8879</v>
      </c>
    </row>
    <row r="981" spans="1:19" x14ac:dyDescent="0.25">
      <c r="A981" s="1">
        <v>979</v>
      </c>
      <c r="B981" t="str">
        <f>HYPERLINK("https://www.dasschnelle.at/steinrisser-albert-mag-schladming-pfarrgasse","Website")</f>
        <v>Website</v>
      </c>
      <c r="C981" t="str">
        <f>HYPERLINK("http://www.steinrisser-ra.at","Website")</f>
        <v>Website</v>
      </c>
      <c r="D981" t="str">
        <f>HYPERLINK("http://www.google.com/maps/place/47.39219,13.68835","Location")</f>
        <v>Location</v>
      </c>
      <c r="E981" t="s">
        <v>8883</v>
      </c>
      <c r="F981" t="s">
        <v>8884</v>
      </c>
      <c r="G981" t="s">
        <v>1269</v>
      </c>
      <c r="H981" t="s">
        <v>1270</v>
      </c>
      <c r="I981" t="s">
        <v>451</v>
      </c>
      <c r="J981" t="s">
        <v>22</v>
      </c>
      <c r="K981" t="s">
        <v>8885</v>
      </c>
      <c r="L981" t="s">
        <v>8888</v>
      </c>
      <c r="M981" t="s">
        <v>25</v>
      </c>
      <c r="N981" t="s">
        <v>8889</v>
      </c>
      <c r="O981" t="s">
        <v>25</v>
      </c>
      <c r="P981" t="s">
        <v>8890</v>
      </c>
      <c r="Q981" t="s">
        <v>29</v>
      </c>
      <c r="R981" t="s">
        <v>8886</v>
      </c>
      <c r="S981" t="s">
        <v>8887</v>
      </c>
    </row>
    <row r="982" spans="1:19" x14ac:dyDescent="0.25">
      <c r="A982" s="1">
        <v>980</v>
      </c>
      <c r="B982" t="str">
        <f>HYPERLINK("https://www.dasschnelle.at/bechter-keg-gröbming-stoderstraße","Website")</f>
        <v>Website</v>
      </c>
      <c r="C982" t="str">
        <f>HYPERLINK("http://www.bechter-erdbewegung.stadtausstellung.at","Website")</f>
        <v>Website</v>
      </c>
      <c r="D982" t="str">
        <f>HYPERLINK("http://www.google.com/maps/place/47.44476,13.88922","Location")</f>
        <v>Location</v>
      </c>
      <c r="E982" t="s">
        <v>8891</v>
      </c>
      <c r="F982" t="s">
        <v>8892</v>
      </c>
      <c r="G982" t="s">
        <v>8894</v>
      </c>
      <c r="H982" t="s">
        <v>8895</v>
      </c>
      <c r="I982" t="s">
        <v>451</v>
      </c>
      <c r="J982" t="s">
        <v>22</v>
      </c>
      <c r="K982" t="s">
        <v>8893</v>
      </c>
      <c r="L982" t="s">
        <v>8898</v>
      </c>
      <c r="M982" t="s">
        <v>25</v>
      </c>
      <c r="N982" t="s">
        <v>8899</v>
      </c>
      <c r="O982" t="s">
        <v>25</v>
      </c>
      <c r="P982" t="s">
        <v>8900</v>
      </c>
      <c r="Q982" t="s">
        <v>29</v>
      </c>
      <c r="R982" t="s">
        <v>8896</v>
      </c>
      <c r="S982" t="s">
        <v>8897</v>
      </c>
    </row>
    <row r="983" spans="1:19" x14ac:dyDescent="0.25">
      <c r="A983" s="1">
        <v>981</v>
      </c>
      <c r="B983" t="str">
        <f>HYPERLINK("https://www.dasschnelle.at/ambient-trockenbau-mairan-miron-e-u-schladming-untere-klaus","Website")</f>
        <v>Website</v>
      </c>
      <c r="C983" t="str">
        <f>HYPERLINK("http://www.ambient-trockenbau.at","Website")</f>
        <v>Website</v>
      </c>
      <c r="D983" t="str">
        <f>HYPERLINK("http://www.google.com/maps/place/47.4011000,13.7015200","Location")</f>
        <v>Location</v>
      </c>
      <c r="E983" t="s">
        <v>8901</v>
      </c>
      <c r="F983" t="s">
        <v>8902</v>
      </c>
      <c r="G983" t="s">
        <v>1269</v>
      </c>
      <c r="H983" t="s">
        <v>1270</v>
      </c>
      <c r="I983" t="s">
        <v>451</v>
      </c>
      <c r="J983" t="s">
        <v>22</v>
      </c>
      <c r="K983" t="s">
        <v>8903</v>
      </c>
      <c r="L983" t="s">
        <v>8906</v>
      </c>
      <c r="M983" t="s">
        <v>25</v>
      </c>
      <c r="N983" t="s">
        <v>8907</v>
      </c>
      <c r="O983" t="s">
        <v>8908</v>
      </c>
      <c r="P983" t="s">
        <v>8909</v>
      </c>
      <c r="Q983" t="s">
        <v>29</v>
      </c>
      <c r="R983" t="s">
        <v>8904</v>
      </c>
      <c r="S983" t="s">
        <v>8905</v>
      </c>
    </row>
    <row r="984" spans="1:19" x14ac:dyDescent="0.25">
      <c r="A984" s="1">
        <v>982</v>
      </c>
      <c r="B984" t="str">
        <f>HYPERLINK("https://www.dasschnelle.at/is-immo-service-gmbh-schladming-martin-luther-straße","Website")</f>
        <v>Website</v>
      </c>
      <c r="C984" t="str">
        <f>HYPERLINK("http://www.immo-service.at","Website")</f>
        <v>Website</v>
      </c>
      <c r="D984" t="str">
        <f>HYPERLINK("http://www.google.com/maps/place/47.39107,13.68825","Location")</f>
        <v>Location</v>
      </c>
      <c r="E984" t="s">
        <v>8910</v>
      </c>
      <c r="F984" t="s">
        <v>8911</v>
      </c>
      <c r="G984" t="s">
        <v>1269</v>
      </c>
      <c r="H984" t="s">
        <v>1270</v>
      </c>
      <c r="I984" t="s">
        <v>451</v>
      </c>
      <c r="J984" t="s">
        <v>22</v>
      </c>
      <c r="K984" t="s">
        <v>8912</v>
      </c>
      <c r="L984" t="s">
        <v>8915</v>
      </c>
      <c r="M984" t="s">
        <v>25</v>
      </c>
      <c r="N984" t="s">
        <v>8916</v>
      </c>
      <c r="O984" t="s">
        <v>8917</v>
      </c>
      <c r="P984" t="s">
        <v>8918</v>
      </c>
      <c r="Q984" t="s">
        <v>29</v>
      </c>
      <c r="R984" t="s">
        <v>8913</v>
      </c>
      <c r="S984" t="s">
        <v>8914</v>
      </c>
    </row>
    <row r="985" spans="1:19" x14ac:dyDescent="0.25">
      <c r="A985" s="1">
        <v>983</v>
      </c>
      <c r="B985" t="str">
        <f>HYPERLINK("https://www.dasschnelle.at/auto-pfleger-haus-gmbh-haus-oberhauserstraße","Website")</f>
        <v>Website</v>
      </c>
      <c r="C985" t="str">
        <f>HYPERLINK("http://www.auto-pfleger.at","Website")</f>
        <v>Website</v>
      </c>
      <c r="D985" t="str">
        <f>HYPERLINK("http://www.google.com/maps/place/47.40678,13.75302","Location")</f>
        <v>Location</v>
      </c>
      <c r="E985" t="s">
        <v>8919</v>
      </c>
      <c r="F985" t="s">
        <v>8920</v>
      </c>
      <c r="G985" t="s">
        <v>8922</v>
      </c>
      <c r="H985" t="s">
        <v>8923</v>
      </c>
      <c r="I985" t="s">
        <v>451</v>
      </c>
      <c r="J985" t="s">
        <v>22</v>
      </c>
      <c r="K985" t="s">
        <v>8921</v>
      </c>
      <c r="L985" t="s">
        <v>8926</v>
      </c>
      <c r="M985" t="s">
        <v>25</v>
      </c>
      <c r="N985" t="s">
        <v>8927</v>
      </c>
      <c r="O985" t="s">
        <v>25</v>
      </c>
      <c r="P985" t="s">
        <v>8928</v>
      </c>
      <c r="Q985" t="s">
        <v>29</v>
      </c>
      <c r="R985" t="s">
        <v>8924</v>
      </c>
      <c r="S985" t="s">
        <v>8925</v>
      </c>
    </row>
    <row r="986" spans="1:19" x14ac:dyDescent="0.25">
      <c r="A986" s="1">
        <v>984</v>
      </c>
      <c r="B986" t="str">
        <f>HYPERLINK("https://www.dasschnelle.at/ringhofer-ingrid-gesmbh-schladming-siedergasse","Website")</f>
        <v>Website</v>
      </c>
      <c r="C986" t="str">
        <f>HYPERLINK("http://www.tracht-mode-ringhofer.at","Website")</f>
        <v>Website</v>
      </c>
      <c r="D986" t="str">
        <f>HYPERLINK("http://www.google.com/maps/place/47.39249,13.68858","Location")</f>
        <v>Location</v>
      </c>
      <c r="E986" t="s">
        <v>8929</v>
      </c>
      <c r="F986" t="s">
        <v>8930</v>
      </c>
      <c r="G986" t="s">
        <v>1269</v>
      </c>
      <c r="H986" t="s">
        <v>1270</v>
      </c>
      <c r="I986" t="s">
        <v>451</v>
      </c>
      <c r="J986" t="s">
        <v>22</v>
      </c>
      <c r="K986" t="s">
        <v>8931</v>
      </c>
      <c r="L986" t="s">
        <v>8934</v>
      </c>
      <c r="M986" t="s">
        <v>25</v>
      </c>
      <c r="N986" t="s">
        <v>8935</v>
      </c>
      <c r="O986" t="s">
        <v>25</v>
      </c>
      <c r="P986" t="s">
        <v>8936</v>
      </c>
      <c r="Q986" t="s">
        <v>29</v>
      </c>
      <c r="R986" t="s">
        <v>8932</v>
      </c>
      <c r="S986" t="s">
        <v>8933</v>
      </c>
    </row>
    <row r="987" spans="1:19" x14ac:dyDescent="0.25">
      <c r="A987" s="1">
        <v>985</v>
      </c>
      <c r="B987" t="str">
        <f>HYPERLINK("https://www.dasschnelle.at/friseur-schach-kg-gröbming-hauptplatz","Website")</f>
        <v>Website</v>
      </c>
      <c r="C987" t="str">
        <f>HYPERLINK("https://www.schnitt-style.com/","Website")</f>
        <v>Website</v>
      </c>
      <c r="D987" t="str">
        <f>HYPERLINK("http://www.google.com/maps/place/47.4448,13.90188","Location")</f>
        <v>Location</v>
      </c>
      <c r="E987" t="s">
        <v>8937</v>
      </c>
      <c r="F987" t="s">
        <v>8938</v>
      </c>
      <c r="G987" t="s">
        <v>8894</v>
      </c>
      <c r="H987" t="s">
        <v>8895</v>
      </c>
      <c r="I987" t="s">
        <v>451</v>
      </c>
      <c r="J987" t="s">
        <v>22</v>
      </c>
      <c r="K987" t="s">
        <v>8939</v>
      </c>
      <c r="L987" t="s">
        <v>8942</v>
      </c>
      <c r="M987" t="s">
        <v>25</v>
      </c>
      <c r="N987" t="s">
        <v>8943</v>
      </c>
      <c r="O987" t="s">
        <v>25</v>
      </c>
      <c r="P987" t="s">
        <v>8944</v>
      </c>
      <c r="Q987" t="s">
        <v>29</v>
      </c>
      <c r="R987" t="s">
        <v>8940</v>
      </c>
      <c r="S987" t="s">
        <v>8941</v>
      </c>
    </row>
    <row r="988" spans="1:19" x14ac:dyDescent="0.25">
      <c r="A988" s="1">
        <v>986</v>
      </c>
      <c r="B988" t="str">
        <f>HYPERLINK("https://www.dasschnelle.at/marktgemeindeamt-gröbming-gröbming-hauptstraße","Website")</f>
        <v>Website</v>
      </c>
      <c r="C988" t="str">
        <f>HYPERLINK("http://www.groebming.at","Website")</f>
        <v>Website</v>
      </c>
      <c r="D988" t="str">
        <f>HYPERLINK("http://www.google.com/maps/place/47.44338,13.90239","Location")</f>
        <v>Location</v>
      </c>
      <c r="E988" t="s">
        <v>8945</v>
      </c>
      <c r="F988" t="s">
        <v>8946</v>
      </c>
      <c r="G988" t="s">
        <v>8894</v>
      </c>
      <c r="H988" t="s">
        <v>8895</v>
      </c>
      <c r="I988" t="s">
        <v>451</v>
      </c>
      <c r="J988" t="s">
        <v>22</v>
      </c>
      <c r="K988" t="s">
        <v>8947</v>
      </c>
      <c r="L988" t="s">
        <v>8950</v>
      </c>
      <c r="M988" t="s">
        <v>8951</v>
      </c>
      <c r="N988" t="s">
        <v>8952</v>
      </c>
      <c r="O988" t="s">
        <v>25</v>
      </c>
      <c r="P988" t="s">
        <v>8953</v>
      </c>
      <c r="Q988" t="s">
        <v>29</v>
      </c>
      <c r="R988" t="s">
        <v>8948</v>
      </c>
      <c r="S988" t="s">
        <v>8949</v>
      </c>
    </row>
    <row r="989" spans="1:19" x14ac:dyDescent="0.25">
      <c r="A989" s="1">
        <v>987</v>
      </c>
      <c r="B989" t="str">
        <f>HYPERLINK("https://www.dasschnelle.at/fuchs-josef-klaus-obere-klaus","Website")</f>
        <v>Website</v>
      </c>
      <c r="C989" t="str">
        <f>HYPERLINK("https://www.dasschnelle.at/fuchs-josef-klaus-obere-klaus","Website")</f>
        <v>Website</v>
      </c>
      <c r="D989" t="str">
        <f>HYPERLINK("http://www.google.com/maps/place/47.39188,13.65527","Location")</f>
        <v>Location</v>
      </c>
      <c r="E989" t="s">
        <v>8954</v>
      </c>
      <c r="F989" t="s">
        <v>8955</v>
      </c>
      <c r="G989" t="s">
        <v>1269</v>
      </c>
      <c r="H989" t="s">
        <v>8957</v>
      </c>
      <c r="I989" t="s">
        <v>451</v>
      </c>
      <c r="J989" t="s">
        <v>22</v>
      </c>
      <c r="K989" t="s">
        <v>8956</v>
      </c>
      <c r="L989" t="s">
        <v>8960</v>
      </c>
      <c r="M989" t="s">
        <v>25</v>
      </c>
      <c r="N989" t="s">
        <v>8961</v>
      </c>
      <c r="O989" t="s">
        <v>25</v>
      </c>
      <c r="P989" t="s">
        <v>8962</v>
      </c>
      <c r="Q989" t="s">
        <v>29</v>
      </c>
      <c r="R989" t="s">
        <v>8958</v>
      </c>
      <c r="S989" t="s">
        <v>8959</v>
      </c>
    </row>
    <row r="990" spans="1:19" x14ac:dyDescent="0.25">
      <c r="A990" s="1">
        <v>988</v>
      </c>
      <c r="B990" t="str">
        <f>HYPERLINK("https://www.dasschnelle.at/3d-homeservice-gmbh-gröbming-bachweg","Website")</f>
        <v>Website</v>
      </c>
      <c r="C990" t="str">
        <f>HYPERLINK("http://www.wieser-homeservice.at","Website")</f>
        <v>Website</v>
      </c>
      <c r="D990" t="str">
        <f>HYPERLINK("http://www.google.com/maps/place/47.44768,13.90859","Location")</f>
        <v>Location</v>
      </c>
      <c r="E990" t="s">
        <v>8963</v>
      </c>
      <c r="F990" t="s">
        <v>8964</v>
      </c>
      <c r="G990" t="s">
        <v>8894</v>
      </c>
      <c r="H990" t="s">
        <v>8895</v>
      </c>
      <c r="I990" t="s">
        <v>451</v>
      </c>
      <c r="J990" t="s">
        <v>22</v>
      </c>
      <c r="K990" t="s">
        <v>8965</v>
      </c>
      <c r="L990" t="s">
        <v>8968</v>
      </c>
      <c r="M990" t="s">
        <v>25</v>
      </c>
      <c r="N990" t="s">
        <v>8969</v>
      </c>
      <c r="O990" t="s">
        <v>25</v>
      </c>
      <c r="P990" t="s">
        <v>8970</v>
      </c>
      <c r="Q990" t="s">
        <v>29</v>
      </c>
      <c r="R990" t="s">
        <v>8966</v>
      </c>
      <c r="S990" t="s">
        <v>8967</v>
      </c>
    </row>
    <row r="991" spans="1:19" x14ac:dyDescent="0.25">
      <c r="A991" s="1">
        <v>989</v>
      </c>
      <c r="B991" t="str">
        <f>HYPERLINK("https://www.dasschnelle.at/stocker-marissa-schladming-erzherzog-johann-straße","Website")</f>
        <v>Website</v>
      </c>
      <c r="C991" t="str">
        <f>HYPERLINK("http://www.cc-s.at","Website")</f>
        <v>Website</v>
      </c>
      <c r="D991" t="str">
        <f>HYPERLINK("http://www.google.com/maps/place/47.39354,13.68675","Location")</f>
        <v>Location</v>
      </c>
      <c r="E991" t="s">
        <v>8971</v>
      </c>
      <c r="F991" t="s">
        <v>8972</v>
      </c>
      <c r="G991" t="s">
        <v>1269</v>
      </c>
      <c r="H991" t="s">
        <v>1270</v>
      </c>
      <c r="I991" t="s">
        <v>451</v>
      </c>
      <c r="J991" t="s">
        <v>22</v>
      </c>
      <c r="K991" t="s">
        <v>8973</v>
      </c>
      <c r="L991" t="s">
        <v>8976</v>
      </c>
      <c r="M991" t="s">
        <v>25</v>
      </c>
      <c r="N991" t="s">
        <v>8977</v>
      </c>
      <c r="O991" t="s">
        <v>8978</v>
      </c>
      <c r="P991" t="s">
        <v>8979</v>
      </c>
      <c r="Q991" t="s">
        <v>29</v>
      </c>
      <c r="R991" t="s">
        <v>8974</v>
      </c>
      <c r="S991" t="s">
        <v>8975</v>
      </c>
    </row>
    <row r="992" spans="1:19" x14ac:dyDescent="0.25">
      <c r="A992" s="1">
        <v>990</v>
      </c>
      <c r="B992" t="str">
        <f>HYPERLINK("https://www.dasschnelle.at/seestüberl-aich-aich-kurztrum","Website")</f>
        <v>Website</v>
      </c>
      <c r="C992" t="str">
        <f>HYPERLINK("https://www.dasschnelle.at/seest%C3%BCberl-aich-aich-kurztrum","Website")</f>
        <v>Website</v>
      </c>
      <c r="D992" t="str">
        <f>HYPERLINK("http://www.google.com/maps/place/47.42271,13.81907","Location")</f>
        <v>Location</v>
      </c>
      <c r="E992" t="s">
        <v>8980</v>
      </c>
      <c r="F992" t="s">
        <v>8981</v>
      </c>
      <c r="G992" t="s">
        <v>8983</v>
      </c>
      <c r="H992" t="s">
        <v>8984</v>
      </c>
      <c r="I992" t="s">
        <v>451</v>
      </c>
      <c r="J992" t="s">
        <v>22</v>
      </c>
      <c r="K992" t="s">
        <v>8982</v>
      </c>
      <c r="L992" t="s">
        <v>8987</v>
      </c>
      <c r="M992" t="s">
        <v>25</v>
      </c>
      <c r="N992" t="s">
        <v>25</v>
      </c>
      <c r="O992" t="s">
        <v>25</v>
      </c>
      <c r="P992" t="s">
        <v>8988</v>
      </c>
      <c r="Q992" t="s">
        <v>29</v>
      </c>
      <c r="R992" t="s">
        <v>8985</v>
      </c>
      <c r="S992" t="s">
        <v>8986</v>
      </c>
    </row>
    <row r="993" spans="1:19" x14ac:dyDescent="0.25">
      <c r="A993" s="1">
        <v>991</v>
      </c>
      <c r="B993" t="str">
        <f>HYPERLINK("https://www.dasschnelle.at/elektrotechnik-lengdorfer-gmbh-und-co-kg-sölk-sankt-nikolai-im-sölktal","Website")</f>
        <v>Website</v>
      </c>
      <c r="C993" t="str">
        <f>HYPERLINK("https://www.dasschnelle.at/elektrotechnik-lengdorfer-gmbh-und-co-kg-s%C3%B6lk-sankt-nikolai-im-s%C3%B6lktal","Website")</f>
        <v>Website</v>
      </c>
      <c r="D993" t="str">
        <f>HYPERLINK("http://www.google.com/maps/place/47.3194504,14.0466461","Location")</f>
        <v>Location</v>
      </c>
      <c r="E993" t="s">
        <v>8989</v>
      </c>
      <c r="F993" t="s">
        <v>8990</v>
      </c>
      <c r="G993" t="s">
        <v>8992</v>
      </c>
      <c r="H993" t="s">
        <v>8993</v>
      </c>
      <c r="I993" t="s">
        <v>451</v>
      </c>
      <c r="J993" t="s">
        <v>22</v>
      </c>
      <c r="K993" t="s">
        <v>8991</v>
      </c>
      <c r="L993" t="s">
        <v>8996</v>
      </c>
      <c r="M993" t="s">
        <v>25</v>
      </c>
      <c r="N993" t="s">
        <v>8997</v>
      </c>
      <c r="O993" t="s">
        <v>25</v>
      </c>
      <c r="P993" t="s">
        <v>8998</v>
      </c>
      <c r="Q993" t="s">
        <v>29</v>
      </c>
      <c r="R993" t="s">
        <v>8994</v>
      </c>
      <c r="S993" t="s">
        <v>8995</v>
      </c>
    </row>
    <row r="994" spans="1:19" x14ac:dyDescent="0.25">
      <c r="A994" s="1">
        <v>992</v>
      </c>
      <c r="B994" t="str">
        <f>HYPERLINK("https://www.dasschnelle.at/christine-pohle-judith-ramsau-am-dachstein-leiten","Website")</f>
        <v>Website</v>
      </c>
      <c r="C994" t="str">
        <f>HYPERLINK("https://www.dasschnelle.at/christine-pohle-judith-ramsau-am-dachstein-leiten","Website")</f>
        <v>Website</v>
      </c>
      <c r="D994" t="str">
        <f>HYPERLINK("http://www.google.com/maps/place/47.4146955,13.6764072","Location")</f>
        <v>Location</v>
      </c>
      <c r="E994" t="s">
        <v>8999</v>
      </c>
      <c r="F994" t="s">
        <v>9000</v>
      </c>
      <c r="G994" t="s">
        <v>1168</v>
      </c>
      <c r="H994" t="s">
        <v>1169</v>
      </c>
      <c r="I994" t="s">
        <v>451</v>
      </c>
      <c r="J994" t="s">
        <v>22</v>
      </c>
      <c r="K994" t="s">
        <v>9001</v>
      </c>
      <c r="L994" t="s">
        <v>9004</v>
      </c>
      <c r="M994" t="s">
        <v>25</v>
      </c>
      <c r="N994" t="s">
        <v>9005</v>
      </c>
      <c r="O994" t="s">
        <v>25</v>
      </c>
      <c r="P994" t="s">
        <v>9006</v>
      </c>
      <c r="Q994" t="s">
        <v>29</v>
      </c>
      <c r="R994" t="s">
        <v>9002</v>
      </c>
      <c r="S994" t="s">
        <v>9003</v>
      </c>
    </row>
    <row r="995" spans="1:19" x14ac:dyDescent="0.25">
      <c r="A995" s="1">
        <v>993</v>
      </c>
      <c r="B995" t="str">
        <f>HYPERLINK("https://www.dasschnelle.at/völk-gerhard-jun-klaus-untere-klaus","Website")</f>
        <v>Website</v>
      </c>
      <c r="C995" t="str">
        <f>HYPERLINK("https://www.dasschnelle.at/v%C3%B6lk-gerhard-jun-klaus-untere-klaus","Website")</f>
        <v>Website</v>
      </c>
      <c r="D995" t="str">
        <f>HYPERLINK("http://www.google.com/maps/place/47.40004,13.69778","Location")</f>
        <v>Location</v>
      </c>
      <c r="E995" t="s">
        <v>9007</v>
      </c>
      <c r="F995" t="s">
        <v>9008</v>
      </c>
      <c r="G995" t="s">
        <v>1269</v>
      </c>
      <c r="H995" t="s">
        <v>8957</v>
      </c>
      <c r="I995" t="s">
        <v>451</v>
      </c>
      <c r="J995" t="s">
        <v>22</v>
      </c>
      <c r="K995" t="s">
        <v>9009</v>
      </c>
      <c r="L995" t="s">
        <v>9012</v>
      </c>
      <c r="M995" t="s">
        <v>25</v>
      </c>
      <c r="N995" t="s">
        <v>9013</v>
      </c>
      <c r="O995" t="s">
        <v>25</v>
      </c>
      <c r="P995" t="s">
        <v>9014</v>
      </c>
      <c r="Q995" t="s">
        <v>29</v>
      </c>
      <c r="R995" t="s">
        <v>9010</v>
      </c>
      <c r="S995" t="s">
        <v>9011</v>
      </c>
    </row>
    <row r="996" spans="1:19" x14ac:dyDescent="0.25">
      <c r="A996" s="1">
        <v>994</v>
      </c>
      <c r="B996" t="str">
        <f>HYPERLINK("https://www.dasschnelle.at/reiter-herbert-gmbh-haus-oberhauserstraße","Website")</f>
        <v>Website</v>
      </c>
      <c r="C996" t="str">
        <f>HYPERLINK("http://www.schlosserei-reiter.at","Website")</f>
        <v>Website</v>
      </c>
      <c r="D996" t="str">
        <f>HYPERLINK("http://www.google.com/maps/place/47.40725,13.75589","Location")</f>
        <v>Location</v>
      </c>
      <c r="E996" t="s">
        <v>9015</v>
      </c>
      <c r="F996" t="s">
        <v>9016</v>
      </c>
      <c r="G996" t="s">
        <v>8922</v>
      </c>
      <c r="H996" t="s">
        <v>8923</v>
      </c>
      <c r="I996" t="s">
        <v>451</v>
      </c>
      <c r="J996" t="s">
        <v>22</v>
      </c>
      <c r="K996" t="s">
        <v>9017</v>
      </c>
      <c r="L996" t="s">
        <v>9020</v>
      </c>
      <c r="M996" t="s">
        <v>9021</v>
      </c>
      <c r="N996" t="s">
        <v>9022</v>
      </c>
      <c r="O996" t="s">
        <v>25</v>
      </c>
      <c r="P996" t="s">
        <v>9023</v>
      </c>
      <c r="Q996" t="s">
        <v>29</v>
      </c>
      <c r="R996" t="s">
        <v>9018</v>
      </c>
      <c r="S996" t="s">
        <v>9019</v>
      </c>
    </row>
    <row r="997" spans="1:19" x14ac:dyDescent="0.25">
      <c r="A997" s="1">
        <v>995</v>
      </c>
      <c r="B997" t="str">
        <f>HYPERLINK("https://www.dasschnelle.at/gamsjäger-gamsjäger-michaelerberg-pruggern-pruggererberg","Website")</f>
        <v>Website</v>
      </c>
      <c r="C997" t="str">
        <f>HYPERLINK("https://www.dasschnelle.at/gamsj%C3%A4ger-gamsj%C3%A4ger-michaelerberg-pruggern-pruggererberg","Website")</f>
        <v>Website</v>
      </c>
      <c r="D997" t="str">
        <f>HYPERLINK("http://www.google.com/maps/place/47.41199,13.86882","Location")</f>
        <v>Location</v>
      </c>
      <c r="E997" t="s">
        <v>9024</v>
      </c>
      <c r="F997" t="s">
        <v>9025</v>
      </c>
      <c r="G997" t="s">
        <v>1158</v>
      </c>
      <c r="H997" t="s">
        <v>9027</v>
      </c>
      <c r="I997" t="s">
        <v>451</v>
      </c>
      <c r="J997" t="s">
        <v>22</v>
      </c>
      <c r="K997" t="s">
        <v>9026</v>
      </c>
      <c r="L997" t="s">
        <v>9030</v>
      </c>
      <c r="M997" t="s">
        <v>25</v>
      </c>
      <c r="N997" t="s">
        <v>9031</v>
      </c>
      <c r="O997" t="s">
        <v>25</v>
      </c>
      <c r="P997" t="s">
        <v>9032</v>
      </c>
      <c r="Q997" t="s">
        <v>29</v>
      </c>
      <c r="R997" t="s">
        <v>9028</v>
      </c>
      <c r="S997" t="s">
        <v>9029</v>
      </c>
    </row>
    <row r="998" spans="1:19" x14ac:dyDescent="0.25">
      <c r="A998" s="1">
        <v>996</v>
      </c>
      <c r="B998" t="str">
        <f>HYPERLINK("https://www.dasschnelle.at/thaler-raumausstatter-kg-schladming-salzburgerstraße","Website")</f>
        <v>Website</v>
      </c>
      <c r="C998" t="str">
        <f>HYPERLINK("https://www.dasschnelle.at/thaler-raumausstatter-kg-schladming-salzburgerstra%C3%9Fe","Website")</f>
        <v>Website</v>
      </c>
      <c r="D998" t="str">
        <f>HYPERLINK("http://www.google.com/maps/place/47.39175,13.68776","Location")</f>
        <v>Location</v>
      </c>
      <c r="E998" t="s">
        <v>9033</v>
      </c>
      <c r="F998" t="s">
        <v>9034</v>
      </c>
      <c r="G998" t="s">
        <v>1269</v>
      </c>
      <c r="H998" t="s">
        <v>1270</v>
      </c>
      <c r="I998" t="s">
        <v>451</v>
      </c>
      <c r="J998" t="s">
        <v>22</v>
      </c>
      <c r="K998" t="s">
        <v>9035</v>
      </c>
      <c r="L998" t="s">
        <v>9038</v>
      </c>
      <c r="M998" t="s">
        <v>9039</v>
      </c>
      <c r="N998" t="s">
        <v>9040</v>
      </c>
      <c r="O998" t="s">
        <v>25</v>
      </c>
      <c r="P998" t="s">
        <v>9041</v>
      </c>
      <c r="Q998" t="s">
        <v>29</v>
      </c>
      <c r="R998" t="s">
        <v>9036</v>
      </c>
      <c r="S998" t="s">
        <v>9037</v>
      </c>
    </row>
    <row r="999" spans="1:19" x14ac:dyDescent="0.25">
      <c r="A999" s="1">
        <v>997</v>
      </c>
      <c r="B999" t="str">
        <f>HYPERLINK("https://www.dasschnelle.at/vrece-und-pichler-gmbh-aich-vorstadt","Website")</f>
        <v>Website</v>
      </c>
      <c r="C999" t="str">
        <f>HYPERLINK("http://www.vrece-pichler.at","Website")</f>
        <v>Website</v>
      </c>
      <c r="D999" t="str">
        <f>HYPERLINK("http://www.google.com/maps/place/47.41929,13.81937","Location")</f>
        <v>Location</v>
      </c>
      <c r="E999" t="s">
        <v>9042</v>
      </c>
      <c r="F999" t="s">
        <v>9043</v>
      </c>
      <c r="G999" t="s">
        <v>8983</v>
      </c>
      <c r="H999" t="s">
        <v>8984</v>
      </c>
      <c r="I999" t="s">
        <v>451</v>
      </c>
      <c r="J999" t="s">
        <v>22</v>
      </c>
      <c r="K999" t="s">
        <v>9044</v>
      </c>
      <c r="L999" t="s">
        <v>9047</v>
      </c>
      <c r="M999" t="s">
        <v>25</v>
      </c>
      <c r="N999" t="s">
        <v>9048</v>
      </c>
      <c r="O999" t="s">
        <v>9049</v>
      </c>
      <c r="P999" t="s">
        <v>9050</v>
      </c>
      <c r="Q999" t="s">
        <v>29</v>
      </c>
      <c r="R999" t="s">
        <v>9045</v>
      </c>
      <c r="S999" t="s">
        <v>9046</v>
      </c>
    </row>
    <row r="1000" spans="1:19" x14ac:dyDescent="0.25">
      <c r="A1000" s="1">
        <v>998</v>
      </c>
      <c r="B1000" t="str">
        <f>HYPERLINK("https://www.dasschnelle.at/eisen-andi-altmetall-gmbh-fürling-fürling","Website")</f>
        <v>Website</v>
      </c>
      <c r="C1000" t="str">
        <f>HYPERLINK("http://www.eisenandi.at","Website")</f>
        <v>Website</v>
      </c>
      <c r="D1000" t="str">
        <f>HYPERLINK("http://www.google.com/maps/place/48.4510601,14.6287659","Location")</f>
        <v>Location</v>
      </c>
      <c r="E1000" t="s">
        <v>9051</v>
      </c>
      <c r="F1000" t="s">
        <v>9052</v>
      </c>
      <c r="G1000" t="s">
        <v>9054</v>
      </c>
      <c r="H1000" t="s">
        <v>9055</v>
      </c>
      <c r="I1000" t="s">
        <v>85</v>
      </c>
      <c r="J1000" t="s">
        <v>22</v>
      </c>
      <c r="K1000" t="s">
        <v>9053</v>
      </c>
      <c r="L1000" t="s">
        <v>9058</v>
      </c>
      <c r="M1000" t="s">
        <v>25</v>
      </c>
      <c r="N1000" t="s">
        <v>9059</v>
      </c>
      <c r="O1000" t="s">
        <v>25</v>
      </c>
      <c r="P1000" t="s">
        <v>9060</v>
      </c>
      <c r="Q1000" t="s">
        <v>29</v>
      </c>
      <c r="R1000" t="s">
        <v>9056</v>
      </c>
      <c r="S1000" t="s">
        <v>9057</v>
      </c>
    </row>
    <row r="1001" spans="1:19" x14ac:dyDescent="0.25">
      <c r="A1001" s="1">
        <v>999</v>
      </c>
      <c r="B1001" t="str">
        <f>HYPERLINK("https://www.dasschnelle.at/cae-expert-group-gmbh-ternberg-schulstraße","Website")</f>
        <v>Website</v>
      </c>
      <c r="C1001" t="str">
        <f>HYPERLINK("http://www.caeexpert.group","Website")</f>
        <v>Website</v>
      </c>
      <c r="D1001" t="str">
        <f>HYPERLINK("http://www.google.com/maps/place/47.94601,14.35784","Location")</f>
        <v>Location</v>
      </c>
      <c r="E1001" t="s">
        <v>9061</v>
      </c>
      <c r="F1001" t="s">
        <v>9062</v>
      </c>
      <c r="G1001" t="s">
        <v>9064</v>
      </c>
      <c r="H1001" t="s">
        <v>9065</v>
      </c>
      <c r="I1001" t="s">
        <v>85</v>
      </c>
      <c r="J1001" t="s">
        <v>22</v>
      </c>
      <c r="K1001" t="s">
        <v>9063</v>
      </c>
      <c r="L1001" t="s">
        <v>9068</v>
      </c>
      <c r="M1001" t="s">
        <v>25</v>
      </c>
      <c r="N1001" t="s">
        <v>9069</v>
      </c>
      <c r="O1001" t="s">
        <v>25</v>
      </c>
      <c r="P1001" t="s">
        <v>9070</v>
      </c>
      <c r="Q1001" t="s">
        <v>29</v>
      </c>
      <c r="R1001" t="s">
        <v>9066</v>
      </c>
      <c r="S1001" t="s">
        <v>9067</v>
      </c>
    </row>
    <row r="1002" spans="1:19" x14ac:dyDescent="0.25">
      <c r="A1002" s="1">
        <v>1000</v>
      </c>
      <c r="B1002" t="str">
        <f>HYPERLINK("https://www.dasschnelle.at/biebl-johannes-gmbh-freistadt-gerhardingerstraße","Website")</f>
        <v>Website</v>
      </c>
      <c r="C1002" t="str">
        <f>HYPERLINK("http://www.biebl.at","Website")</f>
        <v>Website</v>
      </c>
      <c r="D1002" t="str">
        <f>HYPERLINK("http://www.google.com/maps/place/48.51643,14.50648","Location")</f>
        <v>Location</v>
      </c>
      <c r="E1002" t="s">
        <v>9071</v>
      </c>
      <c r="F1002" t="s">
        <v>9072</v>
      </c>
      <c r="G1002" t="s">
        <v>6891</v>
      </c>
      <c r="H1002" t="s">
        <v>6892</v>
      </c>
      <c r="I1002" t="s">
        <v>85</v>
      </c>
      <c r="J1002" t="s">
        <v>22</v>
      </c>
      <c r="K1002" t="s">
        <v>9073</v>
      </c>
      <c r="L1002" t="s">
        <v>9076</v>
      </c>
      <c r="M1002" t="s">
        <v>9077</v>
      </c>
      <c r="N1002" t="s">
        <v>9078</v>
      </c>
      <c r="O1002" t="s">
        <v>25</v>
      </c>
      <c r="P1002" t="s">
        <v>9079</v>
      </c>
      <c r="Q1002" t="s">
        <v>29</v>
      </c>
      <c r="R1002" t="s">
        <v>9074</v>
      </c>
      <c r="S1002" t="s">
        <v>9075</v>
      </c>
    </row>
    <row r="1003" spans="1:19" x14ac:dyDescent="0.25">
      <c r="A1003" s="1">
        <v>1001</v>
      </c>
      <c r="B1003" t="str">
        <f>HYPERLINK("https://www.dasschnelle.at/grasserbauer-helga-bad-zell-hirtlhof","Website")</f>
        <v>Website</v>
      </c>
      <c r="C1003" t="str">
        <f>HYPERLINK("http://www.schlosserei-grasserbauer.at","Website")</f>
        <v>Website</v>
      </c>
      <c r="D1003" t="str">
        <f>HYPERLINK("http://www.google.com/maps/place/48.3707267,14.6691770","Location")</f>
        <v>Location</v>
      </c>
      <c r="E1003" t="s">
        <v>9080</v>
      </c>
      <c r="F1003" t="s">
        <v>9081</v>
      </c>
      <c r="G1003" t="s">
        <v>6930</v>
      </c>
      <c r="H1003" t="s">
        <v>6931</v>
      </c>
      <c r="I1003" t="s">
        <v>85</v>
      </c>
      <c r="J1003" t="s">
        <v>22</v>
      </c>
      <c r="K1003" t="s">
        <v>9082</v>
      </c>
      <c r="L1003" t="s">
        <v>9085</v>
      </c>
      <c r="M1003" t="s">
        <v>25</v>
      </c>
      <c r="N1003" t="s">
        <v>9086</v>
      </c>
      <c r="O1003" t="s">
        <v>25</v>
      </c>
      <c r="P1003" t="s">
        <v>9087</v>
      </c>
      <c r="Q1003" t="s">
        <v>29</v>
      </c>
      <c r="R1003" t="s">
        <v>9083</v>
      </c>
      <c r="S1003" t="s">
        <v>9084</v>
      </c>
    </row>
    <row r="1004" spans="1:19" x14ac:dyDescent="0.25">
      <c r="A1004" s="1">
        <v>1002</v>
      </c>
      <c r="B1004" t="str">
        <f>HYPERLINK("https://www.dasschnelle.at/eibensteiner-günter-trölsberg-trölsberg","Website")</f>
        <v>Website</v>
      </c>
      <c r="C1004" t="str">
        <f>HYPERLINK("http://www.sonnenschutz-freistadt.at","Website")</f>
        <v>Website</v>
      </c>
      <c r="D1004" t="str">
        <f>HYPERLINK("http://www.google.com/maps/place/48.4960497,14.4766895","Location")</f>
        <v>Location</v>
      </c>
      <c r="E1004" t="s">
        <v>9088</v>
      </c>
      <c r="F1004" t="s">
        <v>9089</v>
      </c>
      <c r="G1004" t="s">
        <v>6891</v>
      </c>
      <c r="H1004" t="s">
        <v>9091</v>
      </c>
      <c r="I1004" t="s">
        <v>85</v>
      </c>
      <c r="J1004" t="s">
        <v>22</v>
      </c>
      <c r="K1004" t="s">
        <v>9090</v>
      </c>
      <c r="L1004" t="s">
        <v>9094</v>
      </c>
      <c r="M1004" t="s">
        <v>25</v>
      </c>
      <c r="N1004" t="s">
        <v>9095</v>
      </c>
      <c r="O1004" t="s">
        <v>25</v>
      </c>
      <c r="P1004" t="s">
        <v>9096</v>
      </c>
      <c r="Q1004" t="s">
        <v>29</v>
      </c>
      <c r="R1004" t="s">
        <v>9092</v>
      </c>
      <c r="S1004" t="s">
        <v>9093</v>
      </c>
    </row>
    <row r="1005" spans="1:19" x14ac:dyDescent="0.25">
      <c r="A1005" s="1">
        <v>1003</v>
      </c>
      <c r="B1005" t="str">
        <f>HYPERLINK("https://www.dasschnelle.at/kobau-baumanagement-ing-johann-kofler-gmbh-ebbs-eichelwang","Website")</f>
        <v>Website</v>
      </c>
      <c r="C1005" t="str">
        <f>HYPERLINK("http://www.kobau.info","Website")</f>
        <v>Website</v>
      </c>
      <c r="D1005" t="str">
        <f>HYPERLINK("http://www.google.com/maps/place/47.6007904,12.1895210","Location")</f>
        <v>Location</v>
      </c>
      <c r="E1005" t="s">
        <v>9097</v>
      </c>
      <c r="F1005" t="s">
        <v>9098</v>
      </c>
      <c r="G1005" t="s">
        <v>62</v>
      </c>
      <c r="H1005" t="s">
        <v>9100</v>
      </c>
      <c r="I1005" t="s">
        <v>21</v>
      </c>
      <c r="J1005" t="s">
        <v>22</v>
      </c>
      <c r="K1005" t="s">
        <v>9099</v>
      </c>
      <c r="L1005" t="s">
        <v>9103</v>
      </c>
      <c r="M1005" t="s">
        <v>25</v>
      </c>
      <c r="N1005" t="s">
        <v>9104</v>
      </c>
      <c r="O1005" t="s">
        <v>25</v>
      </c>
      <c r="P1005" t="s">
        <v>9105</v>
      </c>
      <c r="Q1005" t="s">
        <v>29</v>
      </c>
      <c r="R1005" t="s">
        <v>9101</v>
      </c>
      <c r="S1005" t="s">
        <v>9102</v>
      </c>
    </row>
    <row r="1006" spans="1:19" x14ac:dyDescent="0.25">
      <c r="A1006" s="1">
        <v>1004</v>
      </c>
      <c r="B1006" t="str">
        <f>HYPERLINK("https://www.dasschnelle.at/gesund-schuh-edgar-atteneder-freistadt-waaggasse","Website")</f>
        <v>Website</v>
      </c>
      <c r="C1006" t="str">
        <f>HYPERLINK("http://www.gesundschuh.at","Website")</f>
        <v>Website</v>
      </c>
      <c r="D1006" t="str">
        <f>HYPERLINK("http://www.google.com/maps/place/48.51197,14.5041","Location")</f>
        <v>Location</v>
      </c>
      <c r="E1006" t="s">
        <v>9106</v>
      </c>
      <c r="F1006" t="s">
        <v>9107</v>
      </c>
      <c r="G1006" t="s">
        <v>6891</v>
      </c>
      <c r="H1006" t="s">
        <v>6892</v>
      </c>
      <c r="I1006" t="s">
        <v>85</v>
      </c>
      <c r="J1006" t="s">
        <v>22</v>
      </c>
      <c r="K1006" t="s">
        <v>9108</v>
      </c>
      <c r="L1006" t="s">
        <v>9111</v>
      </c>
      <c r="M1006" t="s">
        <v>25</v>
      </c>
      <c r="N1006" t="s">
        <v>9112</v>
      </c>
      <c r="O1006" t="s">
        <v>25</v>
      </c>
      <c r="P1006" t="s">
        <v>697</v>
      </c>
      <c r="Q1006" t="s">
        <v>29</v>
      </c>
      <c r="R1006" t="s">
        <v>9109</v>
      </c>
      <c r="S1006" t="s">
        <v>9110</v>
      </c>
    </row>
    <row r="1007" spans="1:19" x14ac:dyDescent="0.25">
      <c r="A1007" s="1">
        <v>1005</v>
      </c>
      <c r="B1007" t="str">
        <f>HYPERLINK("https://www.dasschnelle.at/elektro-franz-haar-hengsberg-komberg","Website")</f>
        <v>Website</v>
      </c>
      <c r="C1007" t="str">
        <f>HYPERLINK("http://www.elektro-haar.at","Website")</f>
        <v>Website</v>
      </c>
      <c r="D1007" t="str">
        <f>HYPERLINK("http://www.google.com/maps/place/46.8769179,15.4571179","Location")</f>
        <v>Location</v>
      </c>
      <c r="E1007" t="s">
        <v>9113</v>
      </c>
      <c r="F1007" t="s">
        <v>9114</v>
      </c>
      <c r="G1007" t="s">
        <v>9116</v>
      </c>
      <c r="H1007" t="s">
        <v>9117</v>
      </c>
      <c r="I1007" t="s">
        <v>451</v>
      </c>
      <c r="J1007" t="s">
        <v>22</v>
      </c>
      <c r="K1007" t="s">
        <v>9115</v>
      </c>
      <c r="L1007" t="s">
        <v>9120</v>
      </c>
      <c r="M1007" t="s">
        <v>25</v>
      </c>
      <c r="N1007" t="s">
        <v>9121</v>
      </c>
      <c r="O1007" t="s">
        <v>25</v>
      </c>
      <c r="P1007" t="s">
        <v>9122</v>
      </c>
      <c r="Q1007" t="s">
        <v>29</v>
      </c>
      <c r="R1007" t="s">
        <v>9118</v>
      </c>
      <c r="S1007" t="s">
        <v>9119</v>
      </c>
    </row>
    <row r="1008" spans="1:19" x14ac:dyDescent="0.25">
      <c r="A1008" s="1">
        <v>1006</v>
      </c>
      <c r="B1008" t="str">
        <f>HYPERLINK("https://www.dasschnelle.at/dr-dieter-steinmaßl-kufstein-kaiserbergstraße","Website")</f>
        <v>Website</v>
      </c>
      <c r="C1008" t="str">
        <f>HYPERLINK("http://www.dr-steinmassl.at","Website")</f>
        <v>Website</v>
      </c>
      <c r="D1008" t="str">
        <f>HYPERLINK("http://www.google.com/maps/place/47.5852853,12.1723038","Location")</f>
        <v>Location</v>
      </c>
      <c r="E1008" t="s">
        <v>9123</v>
      </c>
      <c r="F1008" t="s">
        <v>9124</v>
      </c>
      <c r="G1008" t="s">
        <v>19</v>
      </c>
      <c r="H1008" t="s">
        <v>20</v>
      </c>
      <c r="I1008" t="s">
        <v>21</v>
      </c>
      <c r="J1008" t="s">
        <v>22</v>
      </c>
      <c r="K1008" t="s">
        <v>9125</v>
      </c>
      <c r="L1008" t="s">
        <v>9128</v>
      </c>
      <c r="M1008" t="s">
        <v>25</v>
      </c>
      <c r="N1008" t="s">
        <v>9129</v>
      </c>
      <c r="O1008" t="s">
        <v>25</v>
      </c>
      <c r="P1008" t="s">
        <v>9130</v>
      </c>
      <c r="Q1008" t="s">
        <v>29</v>
      </c>
      <c r="R1008" t="s">
        <v>9126</v>
      </c>
      <c r="S1008" t="s">
        <v>9127</v>
      </c>
    </row>
    <row r="1009" spans="1:19" x14ac:dyDescent="0.25">
      <c r="A1009" s="1">
        <v>1007</v>
      </c>
      <c r="B1009" t="str">
        <f>HYPERLINK("https://www.dasschnelle.at/zankl-fischzucht-dellach-weidenburg","Website")</f>
        <v>Website</v>
      </c>
      <c r="C1009" t="str">
        <f>HYPERLINK("https://www.dasschnelle.at/zankl-fischzucht-dellach-weidenburg","Website")</f>
        <v>Website</v>
      </c>
      <c r="D1009" t="str">
        <f>HYPERLINK("http://www.google.com/maps/place/46.6505468,13.0473108","Location")</f>
        <v>Location</v>
      </c>
      <c r="E1009" t="s">
        <v>9131</v>
      </c>
      <c r="F1009" t="s">
        <v>9132</v>
      </c>
      <c r="G1009" t="s">
        <v>9134</v>
      </c>
      <c r="H1009" t="s">
        <v>9135</v>
      </c>
      <c r="I1009" t="s">
        <v>4130</v>
      </c>
      <c r="J1009" t="s">
        <v>22</v>
      </c>
      <c r="K1009" t="s">
        <v>9133</v>
      </c>
      <c r="L1009" t="s">
        <v>9138</v>
      </c>
      <c r="M1009" t="s">
        <v>25</v>
      </c>
      <c r="N1009" t="s">
        <v>25</v>
      </c>
      <c r="O1009" t="s">
        <v>25</v>
      </c>
      <c r="P1009" t="s">
        <v>9139</v>
      </c>
      <c r="Q1009" t="s">
        <v>29</v>
      </c>
      <c r="R1009" t="s">
        <v>9136</v>
      </c>
      <c r="S1009" t="s">
        <v>9137</v>
      </c>
    </row>
    <row r="1010" spans="1:19" x14ac:dyDescent="0.25">
      <c r="A1010" s="1">
        <v>1008</v>
      </c>
      <c r="B1010" t="str">
        <f>HYPERLINK("https://www.dasschnelle.at/elementhaar-grafendorf-grafendorf","Website")</f>
        <v>Website</v>
      </c>
      <c r="C1010" t="str">
        <f>HYPERLINK("http://www.element-haar.at","Website")</f>
        <v>Website</v>
      </c>
      <c r="D1010" t="str">
        <f>HYPERLINK("http://www.google.com/maps/place/46.6513815,13.1131288","Location")</f>
        <v>Location</v>
      </c>
      <c r="E1010" t="s">
        <v>9140</v>
      </c>
      <c r="F1010" t="s">
        <v>9141</v>
      </c>
      <c r="G1010" t="s">
        <v>9143</v>
      </c>
      <c r="H1010" t="s">
        <v>9144</v>
      </c>
      <c r="I1010" t="s">
        <v>4130</v>
      </c>
      <c r="J1010" t="s">
        <v>22</v>
      </c>
      <c r="K1010" t="s">
        <v>9142</v>
      </c>
      <c r="L1010" t="s">
        <v>9147</v>
      </c>
      <c r="M1010" t="s">
        <v>25</v>
      </c>
      <c r="N1010" t="s">
        <v>9148</v>
      </c>
      <c r="O1010" t="s">
        <v>25</v>
      </c>
      <c r="P1010" t="s">
        <v>9149</v>
      </c>
      <c r="Q1010" t="s">
        <v>29</v>
      </c>
      <c r="R1010" t="s">
        <v>9145</v>
      </c>
      <c r="S1010" t="s">
        <v>9146</v>
      </c>
    </row>
    <row r="1011" spans="1:19" x14ac:dyDescent="0.25">
      <c r="A1011" s="1">
        <v>1009</v>
      </c>
      <c r="B1011" t="str">
        <f>HYPERLINK("https://www.dasschnelle.at/möderndorfer-andrä-hermagor-möderndorf","Website")</f>
        <v>Website</v>
      </c>
      <c r="C1011" t="str">
        <f>HYPERLINK("https://www.dasschnelle.at/m%C3%B6derndorfer-andr%C3%A4-hermagor-m%C3%B6derndorf","Website")</f>
        <v>Website</v>
      </c>
      <c r="D1011" t="str">
        <f>HYPERLINK("http://www.google.com/maps/place/46.6095014,13.3615534","Location")</f>
        <v>Location</v>
      </c>
      <c r="E1011" t="s">
        <v>9150</v>
      </c>
      <c r="F1011" t="s">
        <v>9151</v>
      </c>
      <c r="G1011" t="s">
        <v>9153</v>
      </c>
      <c r="H1011" t="s">
        <v>9154</v>
      </c>
      <c r="I1011" t="s">
        <v>4130</v>
      </c>
      <c r="J1011" t="s">
        <v>22</v>
      </c>
      <c r="K1011" t="s">
        <v>9152</v>
      </c>
      <c r="L1011" t="s">
        <v>9157</v>
      </c>
      <c r="M1011" t="s">
        <v>25</v>
      </c>
      <c r="N1011" t="s">
        <v>9158</v>
      </c>
      <c r="O1011" t="s">
        <v>25</v>
      </c>
      <c r="P1011" t="s">
        <v>9159</v>
      </c>
      <c r="Q1011" t="s">
        <v>29</v>
      </c>
      <c r="R1011" t="s">
        <v>9155</v>
      </c>
      <c r="S1011" t="s">
        <v>9156</v>
      </c>
    </row>
    <row r="1012" spans="1:19" x14ac:dyDescent="0.25">
      <c r="A1012" s="1">
        <v>1010</v>
      </c>
      <c r="B1012" t="str">
        <f>HYPERLINK("https://www.dasschnelle.at/knoop-frans-kötschach-mauthen-kötschach","Website")</f>
        <v>Website</v>
      </c>
      <c r="C1012" t="str">
        <f>HYPERLINK("http://www.hausmeisterknoop.at","Website")</f>
        <v>Website</v>
      </c>
      <c r="D1012" t="str">
        <f>HYPERLINK("http://www.google.com/maps/place/46.6802648,13.0043566","Location")</f>
        <v>Location</v>
      </c>
      <c r="E1012" t="s">
        <v>9160</v>
      </c>
      <c r="F1012" t="s">
        <v>9161</v>
      </c>
      <c r="G1012" t="s">
        <v>9163</v>
      </c>
      <c r="H1012" t="s">
        <v>9164</v>
      </c>
      <c r="I1012" t="s">
        <v>4130</v>
      </c>
      <c r="J1012" t="s">
        <v>22</v>
      </c>
      <c r="K1012" t="s">
        <v>9162</v>
      </c>
      <c r="L1012" t="s">
        <v>9167</v>
      </c>
      <c r="M1012" t="s">
        <v>25</v>
      </c>
      <c r="N1012" t="s">
        <v>25</v>
      </c>
      <c r="O1012" t="s">
        <v>9168</v>
      </c>
      <c r="P1012" t="s">
        <v>9169</v>
      </c>
      <c r="Q1012" t="s">
        <v>29</v>
      </c>
      <c r="R1012" t="s">
        <v>9165</v>
      </c>
      <c r="S1012" t="s">
        <v>9166</v>
      </c>
    </row>
    <row r="1013" spans="1:19" x14ac:dyDescent="0.25">
      <c r="A1013" s="1">
        <v>1011</v>
      </c>
      <c r="B1013" t="str">
        <f>HYPERLINK("https://www.dasschnelle.at/hackl-justin-kremsmünster-gablonzer-straße","Website")</f>
        <v>Website</v>
      </c>
      <c r="C1013" t="str">
        <f>HYPERLINK("http://www.hackl-massage.at","Website")</f>
        <v>Website</v>
      </c>
      <c r="D1013" t="str">
        <f>HYPERLINK("http://www.google.com/maps/place/48.04933,14.12568","Location")</f>
        <v>Location</v>
      </c>
      <c r="E1013" t="s">
        <v>9170</v>
      </c>
      <c r="F1013" t="s">
        <v>9171</v>
      </c>
      <c r="G1013" t="s">
        <v>9173</v>
      </c>
      <c r="H1013" t="s">
        <v>9174</v>
      </c>
      <c r="I1013" t="s">
        <v>85</v>
      </c>
      <c r="J1013" t="s">
        <v>22</v>
      </c>
      <c r="K1013" t="s">
        <v>9172</v>
      </c>
      <c r="L1013" t="s">
        <v>9177</v>
      </c>
      <c r="M1013" t="s">
        <v>25</v>
      </c>
      <c r="N1013" t="s">
        <v>9178</v>
      </c>
      <c r="O1013" t="s">
        <v>25</v>
      </c>
      <c r="P1013" t="s">
        <v>9179</v>
      </c>
      <c r="Q1013" t="s">
        <v>29</v>
      </c>
      <c r="R1013" t="s">
        <v>9175</v>
      </c>
      <c r="S1013" t="s">
        <v>9176</v>
      </c>
    </row>
    <row r="1014" spans="1:19" x14ac:dyDescent="0.25">
      <c r="A1014" s="1">
        <v>1012</v>
      </c>
      <c r="B1014" t="str">
        <f>HYPERLINK("https://www.dasschnelle.at/zettl-elektro-gmbh-kremsmünster-bahnhofstraße","Website")</f>
        <v>Website</v>
      </c>
      <c r="C1014" t="str">
        <f>HYPERLINK("http://www.elektro-zettl.at","Website")</f>
        <v>Website</v>
      </c>
      <c r="D1014" t="str">
        <f>HYPERLINK("http://www.google.com/maps/place/48.05442,14.13361","Location")</f>
        <v>Location</v>
      </c>
      <c r="E1014" t="s">
        <v>9180</v>
      </c>
      <c r="F1014" t="s">
        <v>9181</v>
      </c>
      <c r="G1014" t="s">
        <v>9173</v>
      </c>
      <c r="H1014" t="s">
        <v>9174</v>
      </c>
      <c r="I1014" t="s">
        <v>85</v>
      </c>
      <c r="J1014" t="s">
        <v>22</v>
      </c>
      <c r="K1014" t="s">
        <v>2279</v>
      </c>
      <c r="L1014" t="s">
        <v>9184</v>
      </c>
      <c r="M1014" t="s">
        <v>25</v>
      </c>
      <c r="N1014" t="s">
        <v>9185</v>
      </c>
      <c r="O1014" t="s">
        <v>25</v>
      </c>
      <c r="P1014" t="s">
        <v>9186</v>
      </c>
      <c r="Q1014" t="s">
        <v>29</v>
      </c>
      <c r="R1014" t="s">
        <v>9182</v>
      </c>
      <c r="S1014" t="s">
        <v>9183</v>
      </c>
    </row>
    <row r="1015" spans="1:19" x14ac:dyDescent="0.25">
      <c r="A1015" s="1">
        <v>1013</v>
      </c>
      <c r="B1015" t="str">
        <f>HYPERLINK("https://www.dasschnelle.at/eggendorfer-roland-kremsmünster-krift","Website")</f>
        <v>Website</v>
      </c>
      <c r="C1015" t="str">
        <f>HYPERLINK("http://www.gips-art.at","Website")</f>
        <v>Website</v>
      </c>
      <c r="D1015" t="str">
        <f>HYPERLINK("http://www.google.com/maps/place/48.03687,14.12429","Location")</f>
        <v>Location</v>
      </c>
      <c r="E1015" t="s">
        <v>9187</v>
      </c>
      <c r="F1015" t="s">
        <v>9188</v>
      </c>
      <c r="G1015" t="s">
        <v>9173</v>
      </c>
      <c r="H1015" t="s">
        <v>9174</v>
      </c>
      <c r="I1015" t="s">
        <v>85</v>
      </c>
      <c r="J1015" t="s">
        <v>22</v>
      </c>
      <c r="K1015" t="s">
        <v>9189</v>
      </c>
      <c r="L1015" t="s">
        <v>9192</v>
      </c>
      <c r="M1015" t="s">
        <v>25</v>
      </c>
      <c r="N1015" t="s">
        <v>9193</v>
      </c>
      <c r="O1015" t="s">
        <v>25</v>
      </c>
      <c r="P1015" t="s">
        <v>9194</v>
      </c>
      <c r="Q1015" t="s">
        <v>29</v>
      </c>
      <c r="R1015" t="s">
        <v>9190</v>
      </c>
      <c r="S1015" t="s">
        <v>9191</v>
      </c>
    </row>
    <row r="1016" spans="1:19" x14ac:dyDescent="0.25">
      <c r="A1016" s="1">
        <v>1014</v>
      </c>
      <c r="B1016" t="str">
        <f>HYPERLINK("https://www.dasschnelle.at/agrartechnik-pettenbach-pettenbach-vorchdorfer-straße","Website")</f>
        <v>Website</v>
      </c>
      <c r="C1016" t="str">
        <f>HYPERLINK("http://www.agrar-technik.at","Website")</f>
        <v>Website</v>
      </c>
      <c r="D1016" t="str">
        <f>HYPERLINK("http://www.google.com/maps/place/47.96514,14.00811","Location")</f>
        <v>Location</v>
      </c>
      <c r="E1016" t="s">
        <v>9195</v>
      </c>
      <c r="F1016" t="s">
        <v>9196</v>
      </c>
      <c r="G1016" t="s">
        <v>9198</v>
      </c>
      <c r="H1016" t="s">
        <v>9199</v>
      </c>
      <c r="I1016" t="s">
        <v>85</v>
      </c>
      <c r="J1016" t="s">
        <v>22</v>
      </c>
      <c r="K1016" t="s">
        <v>9197</v>
      </c>
      <c r="L1016" t="s">
        <v>9202</v>
      </c>
      <c r="M1016" t="s">
        <v>25</v>
      </c>
      <c r="N1016" t="s">
        <v>9203</v>
      </c>
      <c r="O1016" t="s">
        <v>25</v>
      </c>
      <c r="P1016" t="s">
        <v>9204</v>
      </c>
      <c r="Q1016" t="s">
        <v>29</v>
      </c>
      <c r="R1016" t="s">
        <v>9200</v>
      </c>
      <c r="S1016" t="s">
        <v>9201</v>
      </c>
    </row>
    <row r="1017" spans="1:19" x14ac:dyDescent="0.25">
      <c r="A1017" s="1">
        <v>1015</v>
      </c>
      <c r="B1017" t="str">
        <f>HYPERLINK("https://www.dasschnelle.at/bamminger-dietmar-elektrotechnik-bamminger-pettenbach-hinterbergstraße","Website")</f>
        <v>Website</v>
      </c>
      <c r="C1017" t="str">
        <f>HYPERLINK("http://www.elektro-bamminger.at","Website")</f>
        <v>Website</v>
      </c>
      <c r="D1017" t="str">
        <f>HYPERLINK("http://www.google.com/maps/place/47.9150729,13.9857021","Location")</f>
        <v>Location</v>
      </c>
      <c r="E1017" t="s">
        <v>9205</v>
      </c>
      <c r="F1017" t="s">
        <v>9206</v>
      </c>
      <c r="G1017" t="s">
        <v>9198</v>
      </c>
      <c r="H1017" t="s">
        <v>9199</v>
      </c>
      <c r="I1017" t="s">
        <v>85</v>
      </c>
      <c r="J1017" t="s">
        <v>22</v>
      </c>
      <c r="K1017" t="s">
        <v>9207</v>
      </c>
      <c r="L1017" t="s">
        <v>9210</v>
      </c>
      <c r="M1017" t="s">
        <v>25</v>
      </c>
      <c r="N1017" t="s">
        <v>9211</v>
      </c>
      <c r="O1017" t="s">
        <v>25</v>
      </c>
      <c r="P1017" t="s">
        <v>697</v>
      </c>
      <c r="Q1017" t="s">
        <v>29</v>
      </c>
      <c r="R1017" t="s">
        <v>9208</v>
      </c>
      <c r="S1017" t="s">
        <v>9209</v>
      </c>
    </row>
    <row r="1018" spans="1:19" x14ac:dyDescent="0.25">
      <c r="A1018" s="1">
        <v>1016</v>
      </c>
      <c r="B1018" t="str">
        <f>HYPERLINK("https://www.dasschnelle.at/holli-friedrich-lungendorf-vorchdorfer-straße","Website")</f>
        <v>Website</v>
      </c>
      <c r="C1018" t="str">
        <f>HYPERLINK("https://www.dasschnelle.at/holli-friedrich-lungendorf-vorchdorfer-stra%C3%9Fe","Website")</f>
        <v>Website</v>
      </c>
      <c r="D1018" t="str">
        <f>HYPERLINK("http://www.google.com/maps/place/47.9756,13.99597","Location")</f>
        <v>Location</v>
      </c>
      <c r="E1018" t="s">
        <v>9212</v>
      </c>
      <c r="F1018" t="s">
        <v>9213</v>
      </c>
      <c r="G1018" t="s">
        <v>9198</v>
      </c>
      <c r="H1018" t="s">
        <v>9215</v>
      </c>
      <c r="I1018" t="s">
        <v>85</v>
      </c>
      <c r="J1018" t="s">
        <v>22</v>
      </c>
      <c r="K1018" t="s">
        <v>9214</v>
      </c>
      <c r="L1018" t="s">
        <v>9218</v>
      </c>
      <c r="M1018" t="s">
        <v>25</v>
      </c>
      <c r="N1018" t="s">
        <v>9219</v>
      </c>
      <c r="O1018" t="s">
        <v>25</v>
      </c>
      <c r="P1018" t="s">
        <v>9220</v>
      </c>
      <c r="Q1018" t="s">
        <v>29</v>
      </c>
      <c r="R1018" t="s">
        <v>9216</v>
      </c>
      <c r="S1018" t="s">
        <v>9217</v>
      </c>
    </row>
    <row r="1019" spans="1:19" x14ac:dyDescent="0.25">
      <c r="A1019" s="1">
        <v>1017</v>
      </c>
      <c r="B1019" t="str">
        <f>HYPERLINK("https://www.dasschnelle.at/marktgemeinde-pettenbach-pettenbach-kirchenplatz","Website")</f>
        <v>Website</v>
      </c>
      <c r="C1019" t="str">
        <f>HYPERLINK("http://www.pettenbach.at","Website")</f>
        <v>Website</v>
      </c>
      <c r="D1019" t="str">
        <f>HYPERLINK("http://www.google.com/maps/place/47.96141,14.01642","Location")</f>
        <v>Location</v>
      </c>
      <c r="E1019" t="s">
        <v>9221</v>
      </c>
      <c r="F1019" t="s">
        <v>9222</v>
      </c>
      <c r="G1019" t="s">
        <v>9198</v>
      </c>
      <c r="H1019" t="s">
        <v>9199</v>
      </c>
      <c r="I1019" t="s">
        <v>85</v>
      </c>
      <c r="J1019" t="s">
        <v>22</v>
      </c>
      <c r="K1019" t="s">
        <v>9223</v>
      </c>
      <c r="L1019" t="s">
        <v>9226</v>
      </c>
      <c r="M1019" t="s">
        <v>25</v>
      </c>
      <c r="N1019" t="s">
        <v>9227</v>
      </c>
      <c r="O1019" t="s">
        <v>25</v>
      </c>
      <c r="P1019" t="s">
        <v>9228</v>
      </c>
      <c r="Q1019" t="s">
        <v>29</v>
      </c>
      <c r="R1019" t="s">
        <v>9224</v>
      </c>
      <c r="S1019" t="s">
        <v>9225</v>
      </c>
    </row>
    <row r="1020" spans="1:19" x14ac:dyDescent="0.25">
      <c r="A1020" s="1">
        <v>1018</v>
      </c>
      <c r="B1020" t="str">
        <f>HYPERLINK("https://www.dasschnelle.at/tischlerei-grabner-gmbh-grünau-im-almtal-im-dorf","Website")</f>
        <v>Website</v>
      </c>
      <c r="C1020" t="str">
        <f>HYPERLINK("http://www.grabner-gmbh.at","Website")</f>
        <v>Website</v>
      </c>
      <c r="D1020" t="str">
        <f>HYPERLINK("http://www.google.com/maps/place/47.85526,13.95499","Location")</f>
        <v>Location</v>
      </c>
      <c r="E1020" t="s">
        <v>9229</v>
      </c>
      <c r="F1020" t="s">
        <v>9230</v>
      </c>
      <c r="G1020" t="s">
        <v>7035</v>
      </c>
      <c r="H1020" t="s">
        <v>7036</v>
      </c>
      <c r="I1020" t="s">
        <v>85</v>
      </c>
      <c r="J1020" t="s">
        <v>22</v>
      </c>
      <c r="K1020" t="s">
        <v>9231</v>
      </c>
      <c r="L1020" t="s">
        <v>9234</v>
      </c>
      <c r="M1020" t="s">
        <v>25</v>
      </c>
      <c r="N1020" t="s">
        <v>9235</v>
      </c>
      <c r="O1020" t="s">
        <v>25</v>
      </c>
      <c r="P1020" t="s">
        <v>9236</v>
      </c>
      <c r="Q1020" t="s">
        <v>29</v>
      </c>
      <c r="R1020" t="s">
        <v>9232</v>
      </c>
      <c r="S1020" t="s">
        <v>9233</v>
      </c>
    </row>
    <row r="1021" spans="1:19" x14ac:dyDescent="0.25">
      <c r="A1021" s="1">
        <v>1019</v>
      </c>
      <c r="B1021" t="str">
        <f>HYPERLINK("https://www.dasschnelle.at/conny-haarstudio-grünau-im-almtal-im-dorf","Website")</f>
        <v>Website</v>
      </c>
      <c r="C1021" t="str">
        <f>HYPERLINK("https://www.dasschnelle.at/conny-haarstudio-gr%C3%BCnau-im-almtal-im-dorf","Website")</f>
        <v>Website</v>
      </c>
      <c r="D1021" t="str">
        <f>HYPERLINK("http://www.google.com/maps/place/47.85292,13.95471","Location")</f>
        <v>Location</v>
      </c>
      <c r="E1021" t="s">
        <v>9237</v>
      </c>
      <c r="F1021" t="s">
        <v>9238</v>
      </c>
      <c r="G1021" t="s">
        <v>7035</v>
      </c>
      <c r="H1021" t="s">
        <v>7036</v>
      </c>
      <c r="I1021" t="s">
        <v>85</v>
      </c>
      <c r="J1021" t="s">
        <v>22</v>
      </c>
      <c r="K1021" t="s">
        <v>9239</v>
      </c>
      <c r="L1021" t="s">
        <v>9242</v>
      </c>
      <c r="M1021" t="s">
        <v>25</v>
      </c>
      <c r="N1021" t="s">
        <v>9243</v>
      </c>
      <c r="O1021" t="s">
        <v>25</v>
      </c>
      <c r="P1021" t="s">
        <v>9244</v>
      </c>
      <c r="Q1021" t="s">
        <v>29</v>
      </c>
      <c r="R1021" t="s">
        <v>9240</v>
      </c>
      <c r="S1021" t="s">
        <v>9241</v>
      </c>
    </row>
    <row r="1022" spans="1:19" x14ac:dyDescent="0.25">
      <c r="A1022" s="1">
        <v>1020</v>
      </c>
      <c r="B1022" t="str">
        <f>HYPERLINK("https://www.dasschnelle.at/bender-natursteindesign-gmbh-scharnstein-welserstraße","Website")</f>
        <v>Website</v>
      </c>
      <c r="C1022" t="str">
        <f>HYPERLINK("http://www.bender-naturstein.at","Website")</f>
        <v>Website</v>
      </c>
      <c r="D1022" t="str">
        <f>HYPERLINK("http://www.google.com/maps/place/47.90467,13.96925","Location")</f>
        <v>Location</v>
      </c>
      <c r="E1022" t="s">
        <v>9245</v>
      </c>
      <c r="F1022" t="s">
        <v>9246</v>
      </c>
      <c r="G1022" t="s">
        <v>9248</v>
      </c>
      <c r="H1022" t="s">
        <v>9249</v>
      </c>
      <c r="I1022" t="s">
        <v>85</v>
      </c>
      <c r="J1022" t="s">
        <v>22</v>
      </c>
      <c r="K1022" t="s">
        <v>9247</v>
      </c>
      <c r="L1022" t="s">
        <v>9252</v>
      </c>
      <c r="M1022" t="s">
        <v>25</v>
      </c>
      <c r="N1022" t="s">
        <v>9253</v>
      </c>
      <c r="O1022" t="s">
        <v>25</v>
      </c>
      <c r="P1022" t="s">
        <v>9254</v>
      </c>
      <c r="Q1022" t="s">
        <v>29</v>
      </c>
      <c r="R1022" t="s">
        <v>9250</v>
      </c>
      <c r="S1022" t="s">
        <v>9251</v>
      </c>
    </row>
    <row r="1023" spans="1:19" x14ac:dyDescent="0.25">
      <c r="A1023" s="1">
        <v>1021</v>
      </c>
      <c r="B1023" t="str">
        <f>HYPERLINK("https://www.dasschnelle.at/zivotic-dragan-pettenbach-brückenweg","Website")</f>
        <v>Website</v>
      </c>
      <c r="C1023" t="str">
        <f>HYPERLINK("http://www.almtalonline.at","Website")</f>
        <v>Website</v>
      </c>
      <c r="D1023" t="str">
        <f>HYPERLINK("http://www.google.com/maps/place/47.93582,13.99647","Location")</f>
        <v>Location</v>
      </c>
      <c r="E1023" t="s">
        <v>9255</v>
      </c>
      <c r="F1023" t="s">
        <v>9256</v>
      </c>
      <c r="G1023" t="s">
        <v>9198</v>
      </c>
      <c r="H1023" t="s">
        <v>9199</v>
      </c>
      <c r="I1023" t="s">
        <v>85</v>
      </c>
      <c r="J1023" t="s">
        <v>22</v>
      </c>
      <c r="K1023" t="s">
        <v>9257</v>
      </c>
      <c r="L1023" t="s">
        <v>9260</v>
      </c>
      <c r="M1023" t="s">
        <v>25</v>
      </c>
      <c r="N1023" t="s">
        <v>9261</v>
      </c>
      <c r="O1023" t="s">
        <v>25</v>
      </c>
      <c r="P1023" t="s">
        <v>9262</v>
      </c>
      <c r="Q1023" t="s">
        <v>29</v>
      </c>
      <c r="R1023" t="s">
        <v>9258</v>
      </c>
      <c r="S1023" t="s">
        <v>9259</v>
      </c>
    </row>
    <row r="1024" spans="1:19" x14ac:dyDescent="0.25">
      <c r="A1024" s="1">
        <v>1022</v>
      </c>
      <c r="B1024" t="str">
        <f>HYPERLINK("https://www.dasschnelle.at/amerhauser-hans-gmbh-sankt-georgen-bei-salzburg-holzhauser-straße","Website")</f>
        <v>Website</v>
      </c>
      <c r="C1024" t="str">
        <f>HYPERLINK("http://www.amerhauser.at","Website")</f>
        <v>Website</v>
      </c>
      <c r="D1024" t="str">
        <f>HYPERLINK("http://www.google.com/maps/place/48.0120000,12.9358500","Location")</f>
        <v>Location</v>
      </c>
      <c r="E1024" t="s">
        <v>9263</v>
      </c>
      <c r="F1024" t="s">
        <v>9264</v>
      </c>
      <c r="G1024" t="s">
        <v>9266</v>
      </c>
      <c r="H1024" t="s">
        <v>9267</v>
      </c>
      <c r="I1024" t="s">
        <v>2239</v>
      </c>
      <c r="J1024" t="s">
        <v>22</v>
      </c>
      <c r="K1024" t="s">
        <v>9265</v>
      </c>
      <c r="L1024" t="s">
        <v>9270</v>
      </c>
      <c r="M1024" t="s">
        <v>9271</v>
      </c>
      <c r="N1024" t="s">
        <v>9272</v>
      </c>
      <c r="O1024" t="s">
        <v>25</v>
      </c>
      <c r="P1024" t="s">
        <v>9273</v>
      </c>
      <c r="Q1024" t="s">
        <v>29</v>
      </c>
      <c r="R1024" t="s">
        <v>9268</v>
      </c>
      <c r="S1024" t="s">
        <v>9269</v>
      </c>
    </row>
    <row r="1025" spans="1:19" x14ac:dyDescent="0.25">
      <c r="A1025" s="1">
        <v>1023</v>
      </c>
      <c r="B1025" t="str">
        <f>HYPERLINK("https://www.dasschnelle.at/furtner-hans-peter-lamprechtshausen-holzleiten","Website")</f>
        <v>Website</v>
      </c>
      <c r="C1025" t="str">
        <f>HYPERLINK("http://www.furtner-transporte.at","Website")</f>
        <v>Website</v>
      </c>
      <c r="D1025" t="str">
        <f>HYPERLINK("http://www.google.com/maps/place/47.97773,12.95448","Location")</f>
        <v>Location</v>
      </c>
      <c r="E1025" t="s">
        <v>9274</v>
      </c>
      <c r="F1025" t="s">
        <v>9275</v>
      </c>
      <c r="G1025" t="s">
        <v>9277</v>
      </c>
      <c r="H1025" t="s">
        <v>9278</v>
      </c>
      <c r="I1025" t="s">
        <v>2239</v>
      </c>
      <c r="J1025" t="s">
        <v>22</v>
      </c>
      <c r="K1025" t="s">
        <v>9276</v>
      </c>
      <c r="L1025" t="s">
        <v>9281</v>
      </c>
      <c r="M1025" t="s">
        <v>25</v>
      </c>
      <c r="N1025" t="s">
        <v>9282</v>
      </c>
      <c r="O1025" t="s">
        <v>25</v>
      </c>
      <c r="P1025" t="s">
        <v>9283</v>
      </c>
      <c r="Q1025" t="s">
        <v>29</v>
      </c>
      <c r="R1025" t="s">
        <v>9279</v>
      </c>
      <c r="S1025" t="s">
        <v>9280</v>
      </c>
    </row>
    <row r="1026" spans="1:19" x14ac:dyDescent="0.25">
      <c r="A1026" s="1">
        <v>1024</v>
      </c>
      <c r="B1026" t="str">
        <f>HYPERLINK("https://www.dasschnelle.at/eco-energie-systeme-gratwein-straßengel-hundsdorf","Website")</f>
        <v>Website</v>
      </c>
      <c r="C1026" t="str">
        <f>HYPERLINK("http://www.eco-energiesysteme.com","Website")</f>
        <v>Website</v>
      </c>
      <c r="D1026" t="str">
        <f>HYPERLINK("http://www.google.com/maps/place/47.1131389,15.3169415","Location")</f>
        <v>Location</v>
      </c>
      <c r="E1026" t="s">
        <v>9284</v>
      </c>
      <c r="F1026" t="s">
        <v>9285</v>
      </c>
      <c r="G1026" t="s">
        <v>7854</v>
      </c>
      <c r="H1026" t="s">
        <v>9287</v>
      </c>
      <c r="I1026" t="s">
        <v>451</v>
      </c>
      <c r="J1026" t="s">
        <v>22</v>
      </c>
      <c r="K1026" t="s">
        <v>9286</v>
      </c>
      <c r="L1026" t="s">
        <v>9290</v>
      </c>
      <c r="M1026" t="s">
        <v>25</v>
      </c>
      <c r="N1026" t="s">
        <v>9291</v>
      </c>
      <c r="O1026" t="s">
        <v>9292</v>
      </c>
      <c r="P1026" t="s">
        <v>9293</v>
      </c>
      <c r="Q1026" t="s">
        <v>29</v>
      </c>
      <c r="R1026" t="s">
        <v>9288</v>
      </c>
      <c r="S1026" t="s">
        <v>9289</v>
      </c>
    </row>
    <row r="1027" spans="1:19" x14ac:dyDescent="0.25">
      <c r="A1027" s="1">
        <v>1025</v>
      </c>
      <c r="B1027" t="str">
        <f>HYPERLINK("https://www.dasschnelle.at/eckmann-wilhelm-gmunden-theatergasse","Website")</f>
        <v>Website</v>
      </c>
      <c r="C1027" t="str">
        <f>HYPERLINK("http://www.schloss-ort.com","Website")</f>
        <v>Website</v>
      </c>
      <c r="D1027" t="str">
        <f>HYPERLINK("http://www.google.com/maps/place/47.91792,13.79829","Location")</f>
        <v>Location</v>
      </c>
      <c r="E1027" t="s">
        <v>9294</v>
      </c>
      <c r="F1027" t="s">
        <v>9295</v>
      </c>
      <c r="G1027" t="s">
        <v>6951</v>
      </c>
      <c r="H1027" t="s">
        <v>6952</v>
      </c>
      <c r="I1027" t="s">
        <v>85</v>
      </c>
      <c r="J1027" t="s">
        <v>22</v>
      </c>
      <c r="K1027" t="s">
        <v>9296</v>
      </c>
      <c r="L1027" t="s">
        <v>9299</v>
      </c>
      <c r="M1027" t="s">
        <v>25</v>
      </c>
      <c r="N1027" t="s">
        <v>9300</v>
      </c>
      <c r="O1027" t="s">
        <v>25</v>
      </c>
      <c r="P1027" t="s">
        <v>9301</v>
      </c>
      <c r="Q1027" t="s">
        <v>29</v>
      </c>
      <c r="R1027" t="s">
        <v>9297</v>
      </c>
      <c r="S1027" t="s">
        <v>9298</v>
      </c>
    </row>
    <row r="1028" spans="1:19" x14ac:dyDescent="0.25">
      <c r="A1028" s="1">
        <v>1026</v>
      </c>
      <c r="B1028" t="str">
        <f>HYPERLINK("https://www.dasschnelle.at/hanschek-gerald-leibnitz-wasserwerkstraße","Website")</f>
        <v>Website</v>
      </c>
      <c r="C1028" t="str">
        <f>HYPERLINK("https://www.dasschnelle.at/hanschek-gerald-leibnitz-wasserwerkstra%C3%9Fe","Website")</f>
        <v>Website</v>
      </c>
      <c r="D1028" t="str">
        <f>HYPERLINK("http://www.google.com/maps/place/46.78779,15.54735","Location")</f>
        <v>Location</v>
      </c>
      <c r="E1028" t="s">
        <v>9302</v>
      </c>
      <c r="F1028" t="s">
        <v>9303</v>
      </c>
      <c r="G1028" t="s">
        <v>1013</v>
      </c>
      <c r="H1028" t="s">
        <v>1023</v>
      </c>
      <c r="I1028" t="s">
        <v>451</v>
      </c>
      <c r="J1028" t="s">
        <v>22</v>
      </c>
      <c r="K1028" t="s">
        <v>9304</v>
      </c>
      <c r="L1028" t="s">
        <v>9307</v>
      </c>
      <c r="M1028" t="s">
        <v>25</v>
      </c>
      <c r="N1028" t="s">
        <v>9308</v>
      </c>
      <c r="O1028" t="s">
        <v>25</v>
      </c>
      <c r="P1028" t="s">
        <v>9309</v>
      </c>
      <c r="Q1028" t="s">
        <v>29</v>
      </c>
      <c r="R1028" t="s">
        <v>9305</v>
      </c>
      <c r="S1028" t="s">
        <v>9306</v>
      </c>
    </row>
    <row r="1029" spans="1:19" x14ac:dyDescent="0.25">
      <c r="A1029" s="1">
        <v>1027</v>
      </c>
      <c r="B1029" t="str">
        <f>HYPERLINK("https://www.dasschnelle.at/lamplmayr-gerhard-sankt-leonhard-bei-freistadt-bergstraße","Website")</f>
        <v>Website</v>
      </c>
      <c r="C1029" t="str">
        <f>HYPERLINK("http://www.whb-lamplmayr.at","Website")</f>
        <v>Website</v>
      </c>
      <c r="D1029" t="str">
        <f>HYPERLINK("http://www.google.com/maps/place/48.4427,14.6786","Location")</f>
        <v>Location</v>
      </c>
      <c r="E1029" t="s">
        <v>9310</v>
      </c>
      <c r="F1029" t="s">
        <v>9311</v>
      </c>
      <c r="G1029" t="s">
        <v>9313</v>
      </c>
      <c r="H1029" t="s">
        <v>9314</v>
      </c>
      <c r="I1029" t="s">
        <v>85</v>
      </c>
      <c r="J1029" t="s">
        <v>22</v>
      </c>
      <c r="K1029" t="s">
        <v>9312</v>
      </c>
      <c r="L1029" t="s">
        <v>9317</v>
      </c>
      <c r="M1029" t="s">
        <v>25</v>
      </c>
      <c r="N1029" t="s">
        <v>9318</v>
      </c>
      <c r="O1029" t="s">
        <v>25</v>
      </c>
      <c r="P1029" t="s">
        <v>9319</v>
      </c>
      <c r="Q1029" t="s">
        <v>29</v>
      </c>
      <c r="R1029" t="s">
        <v>9315</v>
      </c>
      <c r="S1029" t="s">
        <v>9316</v>
      </c>
    </row>
    <row r="1030" spans="1:19" x14ac:dyDescent="0.25">
      <c r="A1030" s="1">
        <v>1028</v>
      </c>
      <c r="B1030" t="str">
        <f>HYPERLINK("https://www.dasschnelle.at/hofstadler-gerhard-waldburg-waldburg","Website")</f>
        <v>Website</v>
      </c>
      <c r="C1030" t="str">
        <f>HYPERLINK("http://www.gerhard-hofstadler.at","Website")</f>
        <v>Website</v>
      </c>
      <c r="D1030" t="str">
        <f>HYPERLINK("http://www.google.com/maps/place/48.5107666,14.4371881","Location")</f>
        <v>Location</v>
      </c>
      <c r="E1030" t="s">
        <v>9320</v>
      </c>
      <c r="F1030" t="s">
        <v>9321</v>
      </c>
      <c r="G1030" t="s">
        <v>6891</v>
      </c>
      <c r="H1030" t="s">
        <v>9323</v>
      </c>
      <c r="I1030" t="s">
        <v>85</v>
      </c>
      <c r="J1030" t="s">
        <v>22</v>
      </c>
      <c r="K1030" t="s">
        <v>9322</v>
      </c>
      <c r="L1030" t="s">
        <v>9326</v>
      </c>
      <c r="M1030" t="s">
        <v>25</v>
      </c>
      <c r="N1030" t="s">
        <v>9327</v>
      </c>
      <c r="O1030" t="s">
        <v>25</v>
      </c>
      <c r="P1030" t="s">
        <v>9328</v>
      </c>
      <c r="Q1030" t="s">
        <v>29</v>
      </c>
      <c r="R1030" t="s">
        <v>9324</v>
      </c>
      <c r="S1030" t="s">
        <v>9325</v>
      </c>
    </row>
    <row r="1031" spans="1:19" x14ac:dyDescent="0.25">
      <c r="A1031" s="1">
        <v>1029</v>
      </c>
      <c r="B1031" t="str">
        <f>HYPERLINK("https://www.dasschnelle.at/kleindl-e-u-sankt-valentin-goethestraße","Website")</f>
        <v>Website</v>
      </c>
      <c r="C1031" t="str">
        <f>HYPERLINK("http://www.kleindl-maler.at","Website")</f>
        <v>Website</v>
      </c>
      <c r="D1031" t="str">
        <f>HYPERLINK("http://www.google.com/maps/place/48.16067,14.51323","Location")</f>
        <v>Location</v>
      </c>
      <c r="E1031" t="s">
        <v>9329</v>
      </c>
      <c r="F1031" t="s">
        <v>9330</v>
      </c>
      <c r="G1031" t="s">
        <v>1484</v>
      </c>
      <c r="H1031" t="s">
        <v>9332</v>
      </c>
      <c r="I1031" t="s">
        <v>177</v>
      </c>
      <c r="J1031" t="s">
        <v>22</v>
      </c>
      <c r="K1031" t="s">
        <v>9331</v>
      </c>
      <c r="L1031" t="s">
        <v>9335</v>
      </c>
      <c r="M1031" t="s">
        <v>25</v>
      </c>
      <c r="N1031" t="s">
        <v>9336</v>
      </c>
      <c r="O1031" t="s">
        <v>25</v>
      </c>
      <c r="P1031" t="s">
        <v>9337</v>
      </c>
      <c r="Q1031" t="s">
        <v>29</v>
      </c>
      <c r="R1031" t="s">
        <v>9333</v>
      </c>
      <c r="S1031" t="s">
        <v>9334</v>
      </c>
    </row>
    <row r="1032" spans="1:19" x14ac:dyDescent="0.25">
      <c r="A1032" s="1">
        <v>1030</v>
      </c>
      <c r="B1032" t="str">
        <f>HYPERLINK("https://www.dasschnelle.at/mayer-ges-mbh-und-co-kg-st-peter-in-der-au-an-der-bahn","Website")</f>
        <v>Website</v>
      </c>
      <c r="C1032" t="str">
        <f>HYPERLINK("http://www.mayer-bad-heizung.at","Website")</f>
        <v>Website</v>
      </c>
      <c r="D1032" t="str">
        <f>HYPERLINK("http://www.google.com/maps/place/48.05434,14.6448","Location")</f>
        <v>Location</v>
      </c>
      <c r="E1032" t="s">
        <v>9338</v>
      </c>
      <c r="F1032" t="s">
        <v>9339</v>
      </c>
      <c r="G1032" t="s">
        <v>9341</v>
      </c>
      <c r="H1032" t="s">
        <v>9342</v>
      </c>
      <c r="I1032" t="s">
        <v>177</v>
      </c>
      <c r="J1032" t="s">
        <v>22</v>
      </c>
      <c r="K1032" t="s">
        <v>9340</v>
      </c>
      <c r="L1032" t="s">
        <v>9345</v>
      </c>
      <c r="M1032" t="s">
        <v>25</v>
      </c>
      <c r="N1032" t="s">
        <v>9346</v>
      </c>
      <c r="O1032" t="s">
        <v>25</v>
      </c>
      <c r="P1032" t="s">
        <v>9347</v>
      </c>
      <c r="Q1032" t="s">
        <v>29</v>
      </c>
      <c r="R1032" t="s">
        <v>9343</v>
      </c>
      <c r="S1032" t="s">
        <v>9344</v>
      </c>
    </row>
    <row r="1033" spans="1:19" x14ac:dyDescent="0.25">
      <c r="A1033" s="1">
        <v>1031</v>
      </c>
      <c r="B1033" t="str">
        <f>HYPERLINK("https://www.dasschnelle.at/reisinger-gerhard-st-valentin-hauptstraße","Website")</f>
        <v>Website</v>
      </c>
      <c r="C1033" t="str">
        <f>HYPERLINK("http://www.kachelofen-reisinger.at","Website")</f>
        <v>Website</v>
      </c>
      <c r="D1033" t="str">
        <f>HYPERLINK("http://www.google.com/maps/place/48.1750462,14.5253204","Location")</f>
        <v>Location</v>
      </c>
      <c r="E1033" t="s">
        <v>9348</v>
      </c>
      <c r="F1033" t="s">
        <v>9349</v>
      </c>
      <c r="G1033" t="s">
        <v>1484</v>
      </c>
      <c r="H1033" t="s">
        <v>1485</v>
      </c>
      <c r="I1033" t="s">
        <v>177</v>
      </c>
      <c r="J1033" t="s">
        <v>22</v>
      </c>
      <c r="K1033" t="s">
        <v>4218</v>
      </c>
      <c r="L1033" t="s">
        <v>9352</v>
      </c>
      <c r="M1033" t="s">
        <v>25</v>
      </c>
      <c r="N1033" t="s">
        <v>9353</v>
      </c>
      <c r="O1033" t="s">
        <v>25</v>
      </c>
      <c r="P1033" t="s">
        <v>9354</v>
      </c>
      <c r="Q1033" t="s">
        <v>29</v>
      </c>
      <c r="R1033" t="s">
        <v>9350</v>
      </c>
      <c r="S1033" t="s">
        <v>9351</v>
      </c>
    </row>
    <row r="1034" spans="1:19" x14ac:dyDescent="0.25">
      <c r="A1034" s="1">
        <v>1032</v>
      </c>
      <c r="B1034" t="str">
        <f>HYPERLINK("https://www.dasschnelle.at/hagler-susanne-gmbh-und-co-kg-st-valentin-kirchenstraße","Website")</f>
        <v>Website</v>
      </c>
      <c r="C1034" t="str">
        <f>HYPERLINK("http://www.bestattungstockinger.at","Website")</f>
        <v>Website</v>
      </c>
      <c r="D1034" t="str">
        <f>HYPERLINK("http://www.google.com/maps/place/48.17252,14.51352","Location")</f>
        <v>Location</v>
      </c>
      <c r="E1034" t="s">
        <v>9355</v>
      </c>
      <c r="F1034" t="s">
        <v>9356</v>
      </c>
      <c r="G1034" t="s">
        <v>1484</v>
      </c>
      <c r="H1034" t="s">
        <v>1485</v>
      </c>
      <c r="I1034" t="s">
        <v>177</v>
      </c>
      <c r="J1034" t="s">
        <v>22</v>
      </c>
      <c r="K1034" t="s">
        <v>9357</v>
      </c>
      <c r="L1034" t="s">
        <v>9360</v>
      </c>
      <c r="M1034" t="s">
        <v>25</v>
      </c>
      <c r="N1034" t="s">
        <v>9361</v>
      </c>
      <c r="O1034" t="s">
        <v>25</v>
      </c>
      <c r="P1034" t="s">
        <v>9362</v>
      </c>
      <c r="Q1034" t="s">
        <v>29</v>
      </c>
      <c r="R1034" t="s">
        <v>9358</v>
      </c>
      <c r="S1034" t="s">
        <v>9359</v>
      </c>
    </row>
    <row r="1035" spans="1:19" x14ac:dyDescent="0.25">
      <c r="A1035" s="1">
        <v>1033</v>
      </c>
      <c r="B1035" t="str">
        <f>HYPERLINK("https://www.dasschnelle.at/reitbauer-betriebs-u-handels-gmbh-vestenthal-vestenthal","Website")</f>
        <v>Website</v>
      </c>
      <c r="C1035" t="str">
        <f>HYPERLINK("http://www.reitbauer.co.at","Website")</f>
        <v>Website</v>
      </c>
      <c r="D1035" t="str">
        <f>HYPERLINK("http://www.google.com/maps/place/48.0736892,14.4995492","Location")</f>
        <v>Location</v>
      </c>
      <c r="E1035" t="s">
        <v>9363</v>
      </c>
      <c r="F1035" t="s">
        <v>9364</v>
      </c>
      <c r="G1035" t="s">
        <v>9366</v>
      </c>
      <c r="H1035" t="s">
        <v>9367</v>
      </c>
      <c r="I1035" t="s">
        <v>177</v>
      </c>
      <c r="J1035" t="s">
        <v>22</v>
      </c>
      <c r="K1035" t="s">
        <v>9365</v>
      </c>
      <c r="L1035" t="s">
        <v>9370</v>
      </c>
      <c r="M1035" t="s">
        <v>25</v>
      </c>
      <c r="N1035" t="s">
        <v>9371</v>
      </c>
      <c r="O1035" t="s">
        <v>25</v>
      </c>
      <c r="P1035" t="s">
        <v>9372</v>
      </c>
      <c r="Q1035" t="s">
        <v>29</v>
      </c>
      <c r="R1035" t="s">
        <v>9368</v>
      </c>
      <c r="S1035" t="s">
        <v>9369</v>
      </c>
    </row>
    <row r="1036" spans="1:19" x14ac:dyDescent="0.25">
      <c r="A1036" s="1">
        <v>1034</v>
      </c>
      <c r="B1036" t="str">
        <f>HYPERLINK("https://www.dasschnelle.at/fenstercenter-adami-gmbh-st-valentin-wirtschaftsweg","Website")</f>
        <v>Website</v>
      </c>
      <c r="C1036" t="str">
        <f>HYPERLINK("http://www.adami-fenster.at","Website")</f>
        <v>Website</v>
      </c>
      <c r="D1036" t="str">
        <f>HYPERLINK("http://www.google.com/maps/place/48.1712930,14.5226551","Location")</f>
        <v>Location</v>
      </c>
      <c r="E1036" t="s">
        <v>9373</v>
      </c>
      <c r="F1036" t="s">
        <v>9374</v>
      </c>
      <c r="G1036" t="s">
        <v>1484</v>
      </c>
      <c r="H1036" t="s">
        <v>1485</v>
      </c>
      <c r="I1036" t="s">
        <v>177</v>
      </c>
      <c r="J1036" t="s">
        <v>22</v>
      </c>
      <c r="K1036" t="s">
        <v>9375</v>
      </c>
      <c r="L1036" t="s">
        <v>9378</v>
      </c>
      <c r="M1036" t="s">
        <v>25</v>
      </c>
      <c r="N1036" t="s">
        <v>9379</v>
      </c>
      <c r="O1036" t="s">
        <v>25</v>
      </c>
      <c r="P1036" t="s">
        <v>9380</v>
      </c>
      <c r="Q1036" t="s">
        <v>29</v>
      </c>
      <c r="R1036" t="s">
        <v>9376</v>
      </c>
      <c r="S1036" t="s">
        <v>9377</v>
      </c>
    </row>
    <row r="1037" spans="1:19" x14ac:dyDescent="0.25">
      <c r="A1037" s="1">
        <v>1035</v>
      </c>
      <c r="B1037" t="str">
        <f>HYPERLINK("https://www.dasschnelle.at/reisinger-rosa-st-valentin-hauptstraße","Website")</f>
        <v>Website</v>
      </c>
      <c r="C1037" t="str">
        <f>HYPERLINK("http://www.la-sosa.at","Website")</f>
        <v>Website</v>
      </c>
      <c r="D1037" t="str">
        <f>HYPERLINK("http://www.google.com/maps/place/48.1751,14.52806","Location")</f>
        <v>Location</v>
      </c>
      <c r="E1037" t="s">
        <v>9381</v>
      </c>
      <c r="F1037" t="s">
        <v>9382</v>
      </c>
      <c r="G1037" t="s">
        <v>1484</v>
      </c>
      <c r="H1037" t="s">
        <v>1485</v>
      </c>
      <c r="I1037" t="s">
        <v>177</v>
      </c>
      <c r="J1037" t="s">
        <v>22</v>
      </c>
      <c r="K1037" t="s">
        <v>9383</v>
      </c>
      <c r="L1037" t="s">
        <v>9386</v>
      </c>
      <c r="M1037" t="s">
        <v>25</v>
      </c>
      <c r="N1037" t="s">
        <v>9387</v>
      </c>
      <c r="O1037" t="s">
        <v>25</v>
      </c>
      <c r="P1037" t="s">
        <v>9388</v>
      </c>
      <c r="Q1037" t="s">
        <v>29</v>
      </c>
      <c r="R1037" t="s">
        <v>9384</v>
      </c>
      <c r="S1037" t="s">
        <v>9385</v>
      </c>
    </row>
    <row r="1038" spans="1:19" x14ac:dyDescent="0.25">
      <c r="A1038" s="1">
        <v>1036</v>
      </c>
      <c r="B1038" t="str">
        <f>HYPERLINK("https://www.dasschnelle.at/josef-stumptner-sankt-valentin-wasen","Website")</f>
        <v>Website</v>
      </c>
      <c r="C1038" t="str">
        <f>HYPERLINK("https://www.dasschnelle.at/josef-stumptner-sankt-valentin-wasen","Website")</f>
        <v>Website</v>
      </c>
      <c r="D1038" t="str">
        <f>HYPERLINK("http://www.google.com/maps/place/48.1328144,14.5162290","Location")</f>
        <v>Location</v>
      </c>
      <c r="E1038" t="s">
        <v>9389</v>
      </c>
      <c r="F1038" t="s">
        <v>9390</v>
      </c>
      <c r="G1038" t="s">
        <v>1484</v>
      </c>
      <c r="H1038" t="s">
        <v>9332</v>
      </c>
      <c r="I1038" t="s">
        <v>177</v>
      </c>
      <c r="J1038" t="s">
        <v>22</v>
      </c>
      <c r="K1038" t="s">
        <v>9391</v>
      </c>
      <c r="L1038" t="s">
        <v>9394</v>
      </c>
      <c r="M1038" t="s">
        <v>25</v>
      </c>
      <c r="N1038" t="s">
        <v>9395</v>
      </c>
      <c r="O1038" t="s">
        <v>25</v>
      </c>
      <c r="P1038" t="s">
        <v>9396</v>
      </c>
      <c r="Q1038" t="s">
        <v>29</v>
      </c>
      <c r="R1038" t="s">
        <v>9392</v>
      </c>
      <c r="S1038" t="s">
        <v>9393</v>
      </c>
    </row>
    <row r="1039" spans="1:19" x14ac:dyDescent="0.25">
      <c r="A1039" s="1">
        <v>1037</v>
      </c>
      <c r="B1039" t="str">
        <f>HYPERLINK("https://www.dasschnelle.at/w-und-w-installateur-st-valentin-westbahnstraße","Website")</f>
        <v>Website</v>
      </c>
      <c r="C1039" t="str">
        <f>HYPERLINK("http://www.ww-installateur.at","Website")</f>
        <v>Website</v>
      </c>
      <c r="D1039" t="str">
        <f>HYPERLINK("http://www.google.com/maps/place/48.1814,14.52103","Location")</f>
        <v>Location</v>
      </c>
      <c r="E1039" t="s">
        <v>9397</v>
      </c>
      <c r="F1039" t="s">
        <v>9398</v>
      </c>
      <c r="G1039" t="s">
        <v>1484</v>
      </c>
      <c r="H1039" t="s">
        <v>1485</v>
      </c>
      <c r="I1039" t="s">
        <v>177</v>
      </c>
      <c r="J1039" t="s">
        <v>22</v>
      </c>
      <c r="K1039" t="s">
        <v>9399</v>
      </c>
      <c r="L1039" t="s">
        <v>9402</v>
      </c>
      <c r="M1039" t="s">
        <v>25</v>
      </c>
      <c r="N1039" t="s">
        <v>9403</v>
      </c>
      <c r="O1039" t="s">
        <v>25</v>
      </c>
      <c r="P1039" t="s">
        <v>9404</v>
      </c>
      <c r="Q1039" t="s">
        <v>29</v>
      </c>
      <c r="R1039" t="s">
        <v>9400</v>
      </c>
      <c r="S1039" t="s">
        <v>9401</v>
      </c>
    </row>
    <row r="1040" spans="1:19" x14ac:dyDescent="0.25">
      <c r="A1040" s="1">
        <v>1038</v>
      </c>
      <c r="B1040" t="str">
        <f>HYPERLINK("https://www.dasschnelle.at/kfz-technik-bauer-e-u-st-peter-in-der-au-hofgasse","Website")</f>
        <v>Website</v>
      </c>
      <c r="C1040" t="str">
        <f>HYPERLINK("https://www.dasschnelle.at/kfz-technik-bauer-e-u-st-peter-in-der-au-hofgasse","Website")</f>
        <v>Website</v>
      </c>
      <c r="D1040" t="str">
        <f>HYPERLINK("http://www.google.com/maps/place/48.04507,14.62365","Location")</f>
        <v>Location</v>
      </c>
      <c r="E1040" t="s">
        <v>9405</v>
      </c>
      <c r="F1040" t="s">
        <v>9406</v>
      </c>
      <c r="G1040" t="s">
        <v>9341</v>
      </c>
      <c r="H1040" t="s">
        <v>9342</v>
      </c>
      <c r="I1040" t="s">
        <v>177</v>
      </c>
      <c r="J1040" t="s">
        <v>22</v>
      </c>
      <c r="K1040" t="s">
        <v>9407</v>
      </c>
      <c r="L1040" t="s">
        <v>9410</v>
      </c>
      <c r="M1040" t="s">
        <v>25</v>
      </c>
      <c r="N1040" t="s">
        <v>9411</v>
      </c>
      <c r="O1040" t="s">
        <v>25</v>
      </c>
      <c r="P1040" t="s">
        <v>697</v>
      </c>
      <c r="Q1040" t="s">
        <v>29</v>
      </c>
      <c r="R1040" t="s">
        <v>9408</v>
      </c>
      <c r="S1040" t="s">
        <v>9409</v>
      </c>
    </row>
    <row r="1041" spans="1:19" x14ac:dyDescent="0.25">
      <c r="A1041" s="1">
        <v>1039</v>
      </c>
      <c r="B1041" t="str">
        <f>HYPERLINK("https://www.dasschnelle.at/winninger-jürgen-ernsthofen-aigenfließen","Website")</f>
        <v>Website</v>
      </c>
      <c r="C1041" t="str">
        <f>HYPERLINK("https://www.dasschnelle.at/winninger-j%C3%BCrgen-ernsthofen-aigenflie%C3%9Fen","Website")</f>
        <v>Website</v>
      </c>
      <c r="D1041" t="str">
        <f>HYPERLINK("http://www.google.com/maps/place/48.12994,14.51548","Location")</f>
        <v>Location</v>
      </c>
      <c r="E1041" t="s">
        <v>9412</v>
      </c>
      <c r="F1041" t="s">
        <v>9413</v>
      </c>
      <c r="G1041" t="s">
        <v>9415</v>
      </c>
      <c r="H1041" t="s">
        <v>9416</v>
      </c>
      <c r="I1041" t="s">
        <v>177</v>
      </c>
      <c r="J1041" t="s">
        <v>22</v>
      </c>
      <c r="K1041" t="s">
        <v>9414</v>
      </c>
      <c r="L1041" t="s">
        <v>9419</v>
      </c>
      <c r="M1041" t="s">
        <v>25</v>
      </c>
      <c r="N1041" t="s">
        <v>9420</v>
      </c>
      <c r="O1041" t="s">
        <v>25</v>
      </c>
      <c r="P1041" t="s">
        <v>9421</v>
      </c>
      <c r="Q1041" t="s">
        <v>29</v>
      </c>
      <c r="R1041" t="s">
        <v>9417</v>
      </c>
      <c r="S1041" t="s">
        <v>9418</v>
      </c>
    </row>
    <row r="1042" spans="1:19" x14ac:dyDescent="0.25">
      <c r="A1042" s="1">
        <v>1040</v>
      </c>
      <c r="B1042" t="str">
        <f>HYPERLINK("https://www.dasschnelle.at/steinbichler-sabine-haag-höllriglstraße","Website")</f>
        <v>Website</v>
      </c>
      <c r="C1042" t="str">
        <f>HYPERLINK("https://www.dasschnelle.at/steinbichler-sabine-haag-h%C3%B6llriglstra%C3%9Fe","Website")</f>
        <v>Website</v>
      </c>
      <c r="D1042" t="str">
        <f>HYPERLINK("http://www.google.com/maps/place/48.11183,14.56664","Location")</f>
        <v>Location</v>
      </c>
      <c r="E1042" t="s">
        <v>9422</v>
      </c>
      <c r="F1042" t="s">
        <v>9423</v>
      </c>
      <c r="G1042" t="s">
        <v>1542</v>
      </c>
      <c r="H1042" t="s">
        <v>620</v>
      </c>
      <c r="I1042" t="s">
        <v>177</v>
      </c>
      <c r="J1042" t="s">
        <v>22</v>
      </c>
      <c r="K1042" t="s">
        <v>9424</v>
      </c>
      <c r="L1042" t="s">
        <v>9427</v>
      </c>
      <c r="M1042" t="s">
        <v>25</v>
      </c>
      <c r="N1042" t="s">
        <v>9428</v>
      </c>
      <c r="O1042" t="s">
        <v>25</v>
      </c>
      <c r="P1042" t="s">
        <v>9429</v>
      </c>
      <c r="Q1042" t="s">
        <v>29</v>
      </c>
      <c r="R1042" t="s">
        <v>9425</v>
      </c>
      <c r="S1042" t="s">
        <v>9426</v>
      </c>
    </row>
    <row r="1043" spans="1:19" x14ac:dyDescent="0.25">
      <c r="A1043" s="1">
        <v>1041</v>
      </c>
      <c r="B1043" t="str">
        <f>HYPERLINK("https://www.dasschnelle.at/mario-lechner-st-valentin-langenharterstraße","Website")</f>
        <v>Website</v>
      </c>
      <c r="C1043" t="str">
        <f>HYPERLINK("http://www.derrauchfangkehrer.at","Website")</f>
        <v>Website</v>
      </c>
      <c r="D1043" t="str">
        <f>HYPERLINK("http://www.google.com/maps/place/48.17529,14.52344","Location")</f>
        <v>Location</v>
      </c>
      <c r="E1043" t="s">
        <v>9430</v>
      </c>
      <c r="F1043" t="s">
        <v>9431</v>
      </c>
      <c r="G1043" t="s">
        <v>1484</v>
      </c>
      <c r="H1043" t="s">
        <v>1485</v>
      </c>
      <c r="I1043" t="s">
        <v>177</v>
      </c>
      <c r="J1043" t="s">
        <v>22</v>
      </c>
      <c r="K1043" t="s">
        <v>9432</v>
      </c>
      <c r="L1043" t="s">
        <v>9435</v>
      </c>
      <c r="M1043" t="s">
        <v>25</v>
      </c>
      <c r="N1043" t="s">
        <v>9436</v>
      </c>
      <c r="O1043" t="s">
        <v>25</v>
      </c>
      <c r="P1043" t="s">
        <v>9437</v>
      </c>
      <c r="Q1043" t="s">
        <v>29</v>
      </c>
      <c r="R1043" t="s">
        <v>9433</v>
      </c>
      <c r="S1043" t="s">
        <v>9434</v>
      </c>
    </row>
    <row r="1044" spans="1:19" x14ac:dyDescent="0.25">
      <c r="A1044" s="1">
        <v>1042</v>
      </c>
      <c r="B1044" t="str">
        <f>HYPERLINK("https://www.dasschnelle.at/mayr-karl-st-peter-in-der-au-mark-amstettner-straße","Website")</f>
        <v>Website</v>
      </c>
      <c r="C1044" t="str">
        <f>HYPERLINK("http://www.kamay.at","Website")</f>
        <v>Website</v>
      </c>
      <c r="D1044" t="str">
        <f>HYPERLINK("http://www.google.com/maps/place/48.04261,14.62421","Location")</f>
        <v>Location</v>
      </c>
      <c r="E1044" t="s">
        <v>9438</v>
      </c>
      <c r="F1044" t="s">
        <v>9439</v>
      </c>
      <c r="G1044" t="s">
        <v>9341</v>
      </c>
      <c r="H1044" t="s">
        <v>9441</v>
      </c>
      <c r="I1044" t="s">
        <v>177</v>
      </c>
      <c r="J1044" t="s">
        <v>22</v>
      </c>
      <c r="K1044" t="s">
        <v>9440</v>
      </c>
      <c r="L1044" t="s">
        <v>9444</v>
      </c>
      <c r="M1044" t="s">
        <v>25</v>
      </c>
      <c r="N1044" t="s">
        <v>9445</v>
      </c>
      <c r="O1044" t="s">
        <v>25</v>
      </c>
      <c r="P1044" t="s">
        <v>9446</v>
      </c>
      <c r="Q1044" t="s">
        <v>29</v>
      </c>
      <c r="R1044" t="s">
        <v>9442</v>
      </c>
      <c r="S1044" t="s">
        <v>9443</v>
      </c>
    </row>
    <row r="1045" spans="1:19" x14ac:dyDescent="0.25">
      <c r="A1045" s="1">
        <v>1043</v>
      </c>
      <c r="B1045" t="str">
        <f>HYPERLINK("https://www.dasschnelle.at/streßler-johann-tröstlberg-tröstlberg","Website")</f>
        <v>Website</v>
      </c>
      <c r="C1045" t="str">
        <f>HYPERLINK("https://www.dasschnelle.at/stre%C3%9Fler-johann-tr%C3%B6stlberg-tr%C3%B6stlberg","Website")</f>
        <v>Website</v>
      </c>
      <c r="D1045" t="str">
        <f>HYPERLINK("http://www.google.com/maps/place/48.0667831,14.4989463","Location")</f>
        <v>Location</v>
      </c>
      <c r="E1045" t="s">
        <v>9447</v>
      </c>
      <c r="F1045" t="s">
        <v>9448</v>
      </c>
      <c r="G1045" t="s">
        <v>9366</v>
      </c>
      <c r="H1045" t="s">
        <v>9450</v>
      </c>
      <c r="I1045" t="s">
        <v>177</v>
      </c>
      <c r="J1045" t="s">
        <v>22</v>
      </c>
      <c r="K1045" t="s">
        <v>9449</v>
      </c>
      <c r="L1045" t="s">
        <v>9453</v>
      </c>
      <c r="M1045" t="s">
        <v>25</v>
      </c>
      <c r="N1045" t="s">
        <v>9454</v>
      </c>
      <c r="O1045" t="s">
        <v>25</v>
      </c>
      <c r="P1045" t="s">
        <v>9455</v>
      </c>
      <c r="Q1045" t="s">
        <v>29</v>
      </c>
      <c r="R1045" t="s">
        <v>9451</v>
      </c>
      <c r="S1045" t="s">
        <v>9452</v>
      </c>
    </row>
    <row r="1046" spans="1:19" x14ac:dyDescent="0.25">
      <c r="A1046" s="1">
        <v>1044</v>
      </c>
      <c r="B1046" t="str">
        <f>HYPERLINK("https://www.dasschnelle.at/der-stadt-friseur-grasserbauer-sabine-st-valentin-hauptstraße","Website")</f>
        <v>Website</v>
      </c>
      <c r="C1046" t="str">
        <f>HYPERLINK("http://www.leidl.at","Website")</f>
        <v>Website</v>
      </c>
      <c r="D1046" t="str">
        <f>HYPERLINK("http://www.google.com/maps/place/48.17486,14.52793","Location")</f>
        <v>Location</v>
      </c>
      <c r="E1046" t="s">
        <v>9456</v>
      </c>
      <c r="F1046" t="s">
        <v>9457</v>
      </c>
      <c r="G1046" t="s">
        <v>1484</v>
      </c>
      <c r="H1046" t="s">
        <v>1485</v>
      </c>
      <c r="I1046" t="s">
        <v>177</v>
      </c>
      <c r="J1046" t="s">
        <v>22</v>
      </c>
      <c r="K1046" t="s">
        <v>9458</v>
      </c>
      <c r="L1046" t="s">
        <v>9461</v>
      </c>
      <c r="M1046" t="s">
        <v>25</v>
      </c>
      <c r="N1046" t="s">
        <v>9462</v>
      </c>
      <c r="O1046" t="s">
        <v>25</v>
      </c>
      <c r="P1046" t="s">
        <v>9463</v>
      </c>
      <c r="Q1046" t="s">
        <v>29</v>
      </c>
      <c r="R1046" t="s">
        <v>9459</v>
      </c>
      <c r="S1046" t="s">
        <v>9460</v>
      </c>
    </row>
    <row r="1047" spans="1:19" x14ac:dyDescent="0.25">
      <c r="A1047" s="1">
        <v>1045</v>
      </c>
      <c r="B1047" t="str">
        <f>HYPERLINK("https://www.dasschnelle.at/zimmerei-sattler-og-kürnberg-ramingtal","Website")</f>
        <v>Website</v>
      </c>
      <c r="C1047" t="str">
        <f>HYPERLINK("https://www.dasschnelle.at/zimmerei-sattler-og-k%C3%BCrnberg-ramingtal","Website")</f>
        <v>Website</v>
      </c>
      <c r="D1047" t="str">
        <f>HYPERLINK("http://www.google.com/maps/place/47.99014,14.53735","Location")</f>
        <v>Location</v>
      </c>
      <c r="E1047" t="s">
        <v>9464</v>
      </c>
      <c r="F1047" t="s">
        <v>9465</v>
      </c>
      <c r="G1047" t="s">
        <v>9341</v>
      </c>
      <c r="H1047" t="s">
        <v>9467</v>
      </c>
      <c r="I1047" t="s">
        <v>177</v>
      </c>
      <c r="J1047" t="s">
        <v>22</v>
      </c>
      <c r="K1047" t="s">
        <v>9466</v>
      </c>
      <c r="L1047" t="s">
        <v>9470</v>
      </c>
      <c r="M1047" t="s">
        <v>25</v>
      </c>
      <c r="N1047" t="s">
        <v>9471</v>
      </c>
      <c r="O1047" t="s">
        <v>25</v>
      </c>
      <c r="P1047" t="s">
        <v>9472</v>
      </c>
      <c r="Q1047" t="s">
        <v>29</v>
      </c>
      <c r="R1047" t="s">
        <v>9468</v>
      </c>
      <c r="S1047" t="s">
        <v>9469</v>
      </c>
    </row>
    <row r="1048" spans="1:19" x14ac:dyDescent="0.25">
      <c r="A1048" s="1">
        <v>1046</v>
      </c>
      <c r="B1048" t="str">
        <f>HYPERLINK("https://www.dasschnelle.at/freudenberger-susanne-strengberg-johannesstraße","Website")</f>
        <v>Website</v>
      </c>
      <c r="C1048" t="str">
        <f>HYPERLINK("https://www.dasschnelle.at/freudenberger-susanne-strengberg-johannesstra%C3%9Fe","Website")</f>
        <v>Website</v>
      </c>
      <c r="D1048" t="str">
        <f>HYPERLINK("http://www.google.com/maps/place/48.14798,14.65306","Location")</f>
        <v>Location</v>
      </c>
      <c r="E1048" t="s">
        <v>9473</v>
      </c>
      <c r="F1048" t="s">
        <v>9474</v>
      </c>
      <c r="G1048" t="s">
        <v>9476</v>
      </c>
      <c r="H1048" t="s">
        <v>9477</v>
      </c>
      <c r="I1048" t="s">
        <v>177</v>
      </c>
      <c r="J1048" t="s">
        <v>22</v>
      </c>
      <c r="K1048" t="s">
        <v>9475</v>
      </c>
      <c r="L1048" t="s">
        <v>9480</v>
      </c>
      <c r="M1048" t="s">
        <v>25</v>
      </c>
      <c r="N1048" t="s">
        <v>9481</v>
      </c>
      <c r="O1048" t="s">
        <v>25</v>
      </c>
      <c r="P1048" t="s">
        <v>9482</v>
      </c>
      <c r="Q1048" t="s">
        <v>29</v>
      </c>
      <c r="R1048" t="s">
        <v>9478</v>
      </c>
      <c r="S1048" t="s">
        <v>9479</v>
      </c>
    </row>
    <row r="1049" spans="1:19" x14ac:dyDescent="0.25">
      <c r="A1049" s="1">
        <v>1047</v>
      </c>
      <c r="B1049" t="str">
        <f>HYPERLINK("https://www.dasschnelle.at/huemer-v-und-co-kg-st-valentin-hauptstraße","Website")</f>
        <v>Website</v>
      </c>
      <c r="C1049" t="str">
        <f>HYPERLINK("https://www.dasschnelle.at/huemer-v-und-co-kg-st-valentin-hauptstra%C3%9Fe","Website")</f>
        <v>Website</v>
      </c>
      <c r="D1049" t="str">
        <f>HYPERLINK("http://www.google.com/maps/place/48.17486,14.52984","Location")</f>
        <v>Location</v>
      </c>
      <c r="E1049" t="s">
        <v>9483</v>
      </c>
      <c r="F1049" t="s">
        <v>9484</v>
      </c>
      <c r="G1049" t="s">
        <v>1484</v>
      </c>
      <c r="H1049" t="s">
        <v>1485</v>
      </c>
      <c r="I1049" t="s">
        <v>177</v>
      </c>
      <c r="J1049" t="s">
        <v>22</v>
      </c>
      <c r="K1049" t="s">
        <v>2199</v>
      </c>
      <c r="L1049" t="s">
        <v>9486</v>
      </c>
      <c r="M1049" t="s">
        <v>25</v>
      </c>
      <c r="N1049" t="s">
        <v>25</v>
      </c>
      <c r="O1049" t="s">
        <v>25</v>
      </c>
      <c r="P1049" t="s">
        <v>9487</v>
      </c>
      <c r="Q1049" t="s">
        <v>29</v>
      </c>
      <c r="R1049" t="s">
        <v>9459</v>
      </c>
      <c r="S1049" t="s">
        <v>9485</v>
      </c>
    </row>
    <row r="1050" spans="1:19" x14ac:dyDescent="0.25">
      <c r="A1050" s="1">
        <v>1048</v>
      </c>
      <c r="B1050" t="str">
        <f>HYPERLINK("https://www.dasschnelle.at/st-peter-au-mag-pharm-andrea-reith-e-u-st-peter-in-der-au-betriebsgebiet-west","Website")</f>
        <v>Website</v>
      </c>
      <c r="C1050" t="str">
        <f>HYPERLINK("https://www.dasschnelle.at/st-peter-au-mag-pharm-andrea-reith-e-u-st-peter-in-der-au-betriebsgebiet-west","Website")</f>
        <v>Website</v>
      </c>
      <c r="D1050" t="str">
        <f>HYPERLINK("http://www.google.com/maps/place/48.04219,14.6093","Location")</f>
        <v>Location</v>
      </c>
      <c r="E1050" t="s">
        <v>9488</v>
      </c>
      <c r="F1050" t="s">
        <v>9489</v>
      </c>
      <c r="G1050" t="s">
        <v>9341</v>
      </c>
      <c r="H1050" t="s">
        <v>9342</v>
      </c>
      <c r="I1050" t="s">
        <v>177</v>
      </c>
      <c r="J1050" t="s">
        <v>22</v>
      </c>
      <c r="K1050" t="s">
        <v>9490</v>
      </c>
      <c r="L1050" t="s">
        <v>9493</v>
      </c>
      <c r="M1050" t="s">
        <v>25</v>
      </c>
      <c r="N1050" t="s">
        <v>9494</v>
      </c>
      <c r="O1050" t="s">
        <v>25</v>
      </c>
      <c r="P1050" t="s">
        <v>9495</v>
      </c>
      <c r="Q1050" t="s">
        <v>29</v>
      </c>
      <c r="R1050" t="s">
        <v>9491</v>
      </c>
      <c r="S1050" t="s">
        <v>9492</v>
      </c>
    </row>
    <row r="1051" spans="1:19" x14ac:dyDescent="0.25">
      <c r="A1051" s="1">
        <v>1049</v>
      </c>
      <c r="B1051" t="str">
        <f>HYPERLINK("https://www.dasschnelle.at/sprengnagel-judith-tulln-an-der-donau-alter-ziegelweg","Website")</f>
        <v>Website</v>
      </c>
      <c r="C1051" t="str">
        <f>HYPERLINK("http://friseur-judith-sprengnagel.com/","Website")</f>
        <v>Website</v>
      </c>
      <c r="D1051" t="str">
        <f>HYPERLINK("http://www.google.com/maps/place/48.32198,16.06494","Location")</f>
        <v>Location</v>
      </c>
      <c r="E1051" t="s">
        <v>9496</v>
      </c>
      <c r="F1051" t="s">
        <v>9497</v>
      </c>
      <c r="G1051" t="s">
        <v>9499</v>
      </c>
      <c r="H1051" t="s">
        <v>9500</v>
      </c>
      <c r="I1051" t="s">
        <v>177</v>
      </c>
      <c r="J1051" t="s">
        <v>22</v>
      </c>
      <c r="K1051" t="s">
        <v>9498</v>
      </c>
      <c r="L1051" t="s">
        <v>9503</v>
      </c>
      <c r="M1051" t="s">
        <v>25</v>
      </c>
      <c r="N1051" t="s">
        <v>9504</v>
      </c>
      <c r="O1051" t="s">
        <v>25</v>
      </c>
      <c r="P1051" t="s">
        <v>9505</v>
      </c>
      <c r="Q1051" t="s">
        <v>29</v>
      </c>
      <c r="R1051" t="s">
        <v>9501</v>
      </c>
      <c r="S1051" t="s">
        <v>9502</v>
      </c>
    </row>
    <row r="1052" spans="1:19" x14ac:dyDescent="0.25">
      <c r="A1052" s="1">
        <v>1050</v>
      </c>
      <c r="B1052" t="str">
        <f>HYPERLINK("https://www.dasschnelle.at/familie-ecker-kirchberg-am-wagram-neustift-im-felde","Website")</f>
        <v>Website</v>
      </c>
      <c r="C1052" t="str">
        <f>HYPERLINK("https://www.wagramgefluegel.at/","Website")</f>
        <v>Website</v>
      </c>
      <c r="D1052" t="str">
        <f>HYPERLINK("http://www.google.com/maps/place/48.4071667,15.8943898","Location")</f>
        <v>Location</v>
      </c>
      <c r="E1052" t="s">
        <v>9506</v>
      </c>
      <c r="F1052" t="s">
        <v>9507</v>
      </c>
      <c r="G1052" t="s">
        <v>9509</v>
      </c>
      <c r="H1052" t="s">
        <v>9510</v>
      </c>
      <c r="I1052" t="s">
        <v>177</v>
      </c>
      <c r="J1052" t="s">
        <v>22</v>
      </c>
      <c r="K1052" t="s">
        <v>9508</v>
      </c>
      <c r="L1052" t="s">
        <v>9513</v>
      </c>
      <c r="M1052" t="s">
        <v>25</v>
      </c>
      <c r="N1052" t="s">
        <v>9514</v>
      </c>
      <c r="O1052" t="s">
        <v>25</v>
      </c>
      <c r="P1052" t="s">
        <v>9515</v>
      </c>
      <c r="Q1052" t="s">
        <v>29</v>
      </c>
      <c r="R1052" t="s">
        <v>9511</v>
      </c>
      <c r="S1052" t="s">
        <v>9512</v>
      </c>
    </row>
    <row r="1053" spans="1:19" x14ac:dyDescent="0.25">
      <c r="A1053" s="1">
        <v>1051</v>
      </c>
      <c r="B1053" t="str">
        <f>HYPERLINK("https://www.dasschnelle.at/geldner-martin-tulln-an-der-donau-hauptplatz","Website")</f>
        <v>Website</v>
      </c>
      <c r="C1053" t="str">
        <f>HYPERLINK("http://www.installateur-tulln.at","Website")</f>
        <v>Website</v>
      </c>
      <c r="D1053" t="str">
        <f>HYPERLINK("http://www.google.com/maps/place/48.33051,16.05246","Location")</f>
        <v>Location</v>
      </c>
      <c r="E1053" t="s">
        <v>9516</v>
      </c>
      <c r="F1053" t="s">
        <v>9517</v>
      </c>
      <c r="G1053" t="s">
        <v>9499</v>
      </c>
      <c r="H1053" t="s">
        <v>9500</v>
      </c>
      <c r="I1053" t="s">
        <v>177</v>
      </c>
      <c r="J1053" t="s">
        <v>22</v>
      </c>
      <c r="K1053" t="s">
        <v>1212</v>
      </c>
      <c r="L1053" t="s">
        <v>9520</v>
      </c>
      <c r="M1053" t="s">
        <v>25</v>
      </c>
      <c r="N1053" t="s">
        <v>9521</v>
      </c>
      <c r="O1053" t="s">
        <v>25</v>
      </c>
      <c r="P1053" t="s">
        <v>9522</v>
      </c>
      <c r="Q1053" t="s">
        <v>29</v>
      </c>
      <c r="R1053" t="s">
        <v>9518</v>
      </c>
      <c r="S1053" t="s">
        <v>9519</v>
      </c>
    </row>
    <row r="1054" spans="1:19" x14ac:dyDescent="0.25">
      <c r="A1054" s="1">
        <v>1052</v>
      </c>
      <c r="B1054" t="str">
        <f>HYPERLINK("https://www.dasschnelle.at/physiotherapie-therapie-team-tulln-tulln-an-der-donau-brüdergasse","Website")</f>
        <v>Website</v>
      </c>
      <c r="C1054" t="str">
        <f>HYPERLINK("http://www.t-3.at","Website")</f>
        <v>Website</v>
      </c>
      <c r="D1054" t="str">
        <f>HYPERLINK("http://www.google.com/maps/place/48.3309647,16.0499748","Location")</f>
        <v>Location</v>
      </c>
      <c r="E1054" t="s">
        <v>9523</v>
      </c>
      <c r="F1054" t="s">
        <v>9524</v>
      </c>
      <c r="G1054" t="s">
        <v>9499</v>
      </c>
      <c r="H1054" t="s">
        <v>9500</v>
      </c>
      <c r="I1054" t="s">
        <v>177</v>
      </c>
      <c r="J1054" t="s">
        <v>22</v>
      </c>
      <c r="K1054" t="s">
        <v>9525</v>
      </c>
      <c r="L1054" t="s">
        <v>9528</v>
      </c>
      <c r="M1054" t="s">
        <v>25</v>
      </c>
      <c r="N1054" t="s">
        <v>9529</v>
      </c>
      <c r="O1054" t="s">
        <v>25</v>
      </c>
      <c r="P1054" t="s">
        <v>9530</v>
      </c>
      <c r="Q1054" t="s">
        <v>29</v>
      </c>
      <c r="R1054" t="s">
        <v>9526</v>
      </c>
      <c r="S1054" t="s">
        <v>9527</v>
      </c>
    </row>
    <row r="1055" spans="1:19" x14ac:dyDescent="0.25">
      <c r="A1055" s="1">
        <v>1053</v>
      </c>
      <c r="B1055" t="str">
        <f>HYPERLINK("https://www.dasschnelle.at/winkler-behr-angela-sieghartskirchen-untere-marktstraße","Website")</f>
        <v>Website</v>
      </c>
      <c r="C1055" t="str">
        <f>HYPERLINK("http://www.nachhausefinden.at","Website")</f>
        <v>Website</v>
      </c>
      <c r="D1055" t="str">
        <f>HYPERLINK("http://www.google.com/maps/place/48.26239,16.01241","Location")</f>
        <v>Location</v>
      </c>
      <c r="E1055" t="s">
        <v>9531</v>
      </c>
      <c r="F1055" t="s">
        <v>9532</v>
      </c>
      <c r="G1055" t="s">
        <v>9534</v>
      </c>
      <c r="H1055" t="s">
        <v>9535</v>
      </c>
      <c r="I1055" t="s">
        <v>177</v>
      </c>
      <c r="J1055" t="s">
        <v>22</v>
      </c>
      <c r="K1055" t="s">
        <v>9533</v>
      </c>
      <c r="L1055" t="s">
        <v>9538</v>
      </c>
      <c r="M1055" t="s">
        <v>25</v>
      </c>
      <c r="N1055" t="s">
        <v>9539</v>
      </c>
      <c r="O1055" t="s">
        <v>25</v>
      </c>
      <c r="P1055" t="s">
        <v>9540</v>
      </c>
      <c r="Q1055" t="s">
        <v>29</v>
      </c>
      <c r="R1055" t="s">
        <v>9536</v>
      </c>
      <c r="S1055" t="s">
        <v>9537</v>
      </c>
    </row>
    <row r="1056" spans="1:19" x14ac:dyDescent="0.25">
      <c r="A1056" s="1">
        <v>1054</v>
      </c>
      <c r="B1056" t="str">
        <f>HYPERLINK("https://www.dasschnelle.at/wolffhardt-gmbh-tulln-an-der-donau-rudolfstraße","Website")</f>
        <v>Website</v>
      </c>
      <c r="C1056" t="str">
        <f>HYPERLINK("http://www.glasdesign.at","Website")</f>
        <v>Website</v>
      </c>
      <c r="D1056" t="str">
        <f>HYPERLINK("http://www.google.com/maps/place/48.33169,16.0536","Location")</f>
        <v>Location</v>
      </c>
      <c r="E1056" t="s">
        <v>9541</v>
      </c>
      <c r="F1056" t="s">
        <v>9542</v>
      </c>
      <c r="G1056" t="s">
        <v>9499</v>
      </c>
      <c r="H1056" t="s">
        <v>9500</v>
      </c>
      <c r="I1056" t="s">
        <v>177</v>
      </c>
      <c r="J1056" t="s">
        <v>22</v>
      </c>
      <c r="K1056" t="s">
        <v>9543</v>
      </c>
      <c r="L1056" t="s">
        <v>9546</v>
      </c>
      <c r="M1056" t="s">
        <v>25</v>
      </c>
      <c r="N1056" t="s">
        <v>9547</v>
      </c>
      <c r="O1056" t="s">
        <v>25</v>
      </c>
      <c r="P1056" t="s">
        <v>9548</v>
      </c>
      <c r="Q1056" t="s">
        <v>29</v>
      </c>
      <c r="R1056" t="s">
        <v>9544</v>
      </c>
      <c r="S1056" t="s">
        <v>9545</v>
      </c>
    </row>
    <row r="1057" spans="1:19" x14ac:dyDescent="0.25">
      <c r="A1057" s="1">
        <v>1055</v>
      </c>
      <c r="B1057" t="str">
        <f>HYPERLINK("https://www.dasschnelle.at/fernseh-profi-handels-und-service-gmbh-atzenbrugg-wiener-landstraße","Website")</f>
        <v>Website</v>
      </c>
      <c r="C1057" t="str">
        <f>HYPERLINK("http://www.fernseh-profi.at","Website")</f>
        <v>Website</v>
      </c>
      <c r="D1057" t="str">
        <f>HYPERLINK("http://www.google.com/maps/place/48.29927,15.89445","Location")</f>
        <v>Location</v>
      </c>
      <c r="E1057" t="s">
        <v>9549</v>
      </c>
      <c r="F1057" t="s">
        <v>9550</v>
      </c>
      <c r="G1057" t="s">
        <v>9552</v>
      </c>
      <c r="H1057" t="s">
        <v>9553</v>
      </c>
      <c r="I1057" t="s">
        <v>177</v>
      </c>
      <c r="J1057" t="s">
        <v>22</v>
      </c>
      <c r="K1057" t="s">
        <v>9551</v>
      </c>
      <c r="L1057" t="s">
        <v>9556</v>
      </c>
      <c r="M1057" t="s">
        <v>9557</v>
      </c>
      <c r="N1057" t="s">
        <v>9558</v>
      </c>
      <c r="O1057" t="s">
        <v>25</v>
      </c>
      <c r="P1057" t="s">
        <v>9559</v>
      </c>
      <c r="Q1057" t="s">
        <v>29</v>
      </c>
      <c r="R1057" t="s">
        <v>9554</v>
      </c>
      <c r="S1057" t="s">
        <v>9555</v>
      </c>
    </row>
    <row r="1058" spans="1:19" x14ac:dyDescent="0.25">
      <c r="A1058" s="1">
        <v>1056</v>
      </c>
      <c r="B1058" t="str">
        <f>HYPERLINK("https://www.dasschnelle.at/blauensteiner-dora-dr-med-tulln-an-der-donau-egon-schiele-gasse","Website")</f>
        <v>Website</v>
      </c>
      <c r="C1058" t="str">
        <f>HYPERLINK("https://www.dasschnelle.at/blauensteiner-dora-dr-med-tulln-an-der-donau-egon-schiele-gasse","Website")</f>
        <v>Website</v>
      </c>
      <c r="D1058" t="str">
        <f>HYPERLINK("http://www.google.com/maps/place/48.3253438,16.0629373","Location")</f>
        <v>Location</v>
      </c>
      <c r="E1058" t="s">
        <v>9560</v>
      </c>
      <c r="F1058" t="s">
        <v>9561</v>
      </c>
      <c r="G1058" t="s">
        <v>9499</v>
      </c>
      <c r="H1058" t="s">
        <v>9500</v>
      </c>
      <c r="I1058" t="s">
        <v>177</v>
      </c>
      <c r="J1058" t="s">
        <v>22</v>
      </c>
      <c r="K1058" t="s">
        <v>9562</v>
      </c>
      <c r="L1058" t="s">
        <v>9565</v>
      </c>
      <c r="M1058" t="s">
        <v>25</v>
      </c>
      <c r="N1058" t="s">
        <v>25</v>
      </c>
      <c r="O1058" t="s">
        <v>25</v>
      </c>
      <c r="P1058" t="s">
        <v>9566</v>
      </c>
      <c r="Q1058" t="s">
        <v>29</v>
      </c>
      <c r="R1058" t="s">
        <v>9563</v>
      </c>
      <c r="S1058" t="s">
        <v>9564</v>
      </c>
    </row>
    <row r="1059" spans="1:19" x14ac:dyDescent="0.25">
      <c r="A1059" s="1">
        <v>1057</v>
      </c>
      <c r="B1059" t="str">
        <f>HYPERLINK("https://www.dasschnelle.at/heidenbauer-josef-würmla-hauptstraße","Website")</f>
        <v>Website</v>
      </c>
      <c r="C1059" t="str">
        <f>HYPERLINK("https://www.dasschnelle.at/heidenbauer-josef-w%C3%BCrmla-hauptstra%C3%9Fe","Website")</f>
        <v>Website</v>
      </c>
      <c r="D1059" t="str">
        <f>HYPERLINK("http://www.google.com/maps/place/48.2555,15.85996","Location")</f>
        <v>Location</v>
      </c>
      <c r="E1059" t="s">
        <v>9567</v>
      </c>
      <c r="F1059" t="s">
        <v>9568</v>
      </c>
      <c r="G1059" t="s">
        <v>9569</v>
      </c>
      <c r="H1059" t="s">
        <v>9570</v>
      </c>
      <c r="I1059" t="s">
        <v>177</v>
      </c>
      <c r="J1059" t="s">
        <v>22</v>
      </c>
      <c r="K1059" t="s">
        <v>3925</v>
      </c>
      <c r="L1059" t="s">
        <v>9573</v>
      </c>
      <c r="M1059" t="s">
        <v>25</v>
      </c>
      <c r="N1059" t="s">
        <v>9574</v>
      </c>
      <c r="O1059" t="s">
        <v>25</v>
      </c>
      <c r="P1059" t="s">
        <v>9575</v>
      </c>
      <c r="Q1059" t="s">
        <v>29</v>
      </c>
      <c r="R1059" t="s">
        <v>9571</v>
      </c>
      <c r="S1059" t="s">
        <v>9572</v>
      </c>
    </row>
    <row r="1060" spans="1:19" x14ac:dyDescent="0.25">
      <c r="A1060" s="1">
        <v>1058</v>
      </c>
      <c r="B1060" t="str">
        <f>HYPERLINK("https://www.dasschnelle.at/kern-handel-heiligeneich-neidhartgasse","Website")</f>
        <v>Website</v>
      </c>
      <c r="C1060" t="str">
        <f>HYPERLINK("http://www.kernhandel.at","Website")</f>
        <v>Website</v>
      </c>
      <c r="D1060" t="str">
        <f>HYPERLINK("http://www.google.com/maps/place/48.2991143,15.8897039","Location")</f>
        <v>Location</v>
      </c>
      <c r="E1060" t="s">
        <v>9576</v>
      </c>
      <c r="F1060" t="s">
        <v>9577</v>
      </c>
      <c r="G1060" t="s">
        <v>9552</v>
      </c>
      <c r="H1060" t="s">
        <v>9579</v>
      </c>
      <c r="I1060" t="s">
        <v>177</v>
      </c>
      <c r="J1060" t="s">
        <v>22</v>
      </c>
      <c r="K1060" t="s">
        <v>9578</v>
      </c>
      <c r="L1060" t="s">
        <v>9582</v>
      </c>
      <c r="M1060" t="s">
        <v>25</v>
      </c>
      <c r="N1060" t="s">
        <v>9583</v>
      </c>
      <c r="O1060" t="s">
        <v>25</v>
      </c>
      <c r="P1060" t="s">
        <v>9584</v>
      </c>
      <c r="Q1060" t="s">
        <v>29</v>
      </c>
      <c r="R1060" t="s">
        <v>9580</v>
      </c>
      <c r="S1060" t="s">
        <v>9581</v>
      </c>
    </row>
    <row r="1061" spans="1:19" x14ac:dyDescent="0.25">
      <c r="A1061" s="1">
        <v>1059</v>
      </c>
      <c r="B1061" t="str">
        <f>HYPERLINK("https://www.dasschnelle.at/räth-sigrid-mag-tulln-an-der-donau-dammweg","Website")</f>
        <v>Website</v>
      </c>
      <c r="C1061" t="str">
        <f>HYPERLINK("http://www.rechtsanwalt-raeth.at","Website")</f>
        <v>Website</v>
      </c>
      <c r="D1061" t="str">
        <f>HYPERLINK("http://www.google.com/maps/place/48.32948,16.04326","Location")</f>
        <v>Location</v>
      </c>
      <c r="E1061" t="s">
        <v>9585</v>
      </c>
      <c r="F1061" t="s">
        <v>9586</v>
      </c>
      <c r="G1061" t="s">
        <v>9499</v>
      </c>
      <c r="H1061" t="s">
        <v>9500</v>
      </c>
      <c r="I1061" t="s">
        <v>177</v>
      </c>
      <c r="J1061" t="s">
        <v>22</v>
      </c>
      <c r="K1061" t="s">
        <v>9587</v>
      </c>
      <c r="L1061" t="s">
        <v>9590</v>
      </c>
      <c r="M1061" t="s">
        <v>25</v>
      </c>
      <c r="N1061" t="s">
        <v>9591</v>
      </c>
      <c r="O1061" t="s">
        <v>25</v>
      </c>
      <c r="P1061" t="s">
        <v>9592</v>
      </c>
      <c r="Q1061" t="s">
        <v>29</v>
      </c>
      <c r="R1061" t="s">
        <v>9588</v>
      </c>
      <c r="S1061" t="s">
        <v>9589</v>
      </c>
    </row>
    <row r="1062" spans="1:19" x14ac:dyDescent="0.25">
      <c r="A1062" s="1">
        <v>1060</v>
      </c>
      <c r="B1062" t="str">
        <f>HYPERLINK("https://www.dasschnelle.at/rmb-bau-gmbh-tulln-an-der-donau-langenlebarner-strasse","Website")</f>
        <v>Website</v>
      </c>
      <c r="C1062" t="str">
        <f>HYPERLINK("http://www.rmb-bau.at","Website")</f>
        <v>Website</v>
      </c>
      <c r="D1062" t="str">
        <f>HYPERLINK("http://www.google.com/maps/place/48.3293775,16.0711709","Location")</f>
        <v>Location</v>
      </c>
      <c r="E1062" t="s">
        <v>9593</v>
      </c>
      <c r="F1062" t="s">
        <v>9594</v>
      </c>
      <c r="G1062" t="s">
        <v>9499</v>
      </c>
      <c r="H1062" t="s">
        <v>9500</v>
      </c>
      <c r="I1062" t="s">
        <v>177</v>
      </c>
      <c r="J1062" t="s">
        <v>22</v>
      </c>
      <c r="K1062" t="s">
        <v>9595</v>
      </c>
      <c r="L1062" t="s">
        <v>9598</v>
      </c>
      <c r="M1062" t="s">
        <v>25</v>
      </c>
      <c r="N1062" t="s">
        <v>9599</v>
      </c>
      <c r="O1062" t="s">
        <v>25</v>
      </c>
      <c r="P1062" t="s">
        <v>9600</v>
      </c>
      <c r="Q1062" t="s">
        <v>29</v>
      </c>
      <c r="R1062" t="s">
        <v>9596</v>
      </c>
      <c r="S1062" t="s">
        <v>9597</v>
      </c>
    </row>
    <row r="1063" spans="1:19" x14ac:dyDescent="0.25">
      <c r="A1063" s="1">
        <v>1061</v>
      </c>
      <c r="B1063" t="str">
        <f>HYPERLINK("https://www.dasschnelle.at/reinthaler-christa-dr-med-vet-altenwörth-gigginger-straße","Website")</f>
        <v>Website</v>
      </c>
      <c r="C1063" t="str">
        <f>HYPERLINK("https://www.dasschnelle.at/reinthaler-christa-dr-med-vet-altenw%C3%B6rth-gigginger-stra%C3%9Fe","Website")</f>
        <v>Website</v>
      </c>
      <c r="D1063" t="str">
        <f>HYPERLINK("http://www.google.com/maps/place/48.38613,15.86298","Location")</f>
        <v>Location</v>
      </c>
      <c r="E1063" t="s">
        <v>9601</v>
      </c>
      <c r="F1063" t="s">
        <v>9602</v>
      </c>
      <c r="G1063" t="s">
        <v>9604</v>
      </c>
      <c r="H1063" t="s">
        <v>9605</v>
      </c>
      <c r="I1063" t="s">
        <v>177</v>
      </c>
      <c r="J1063" t="s">
        <v>22</v>
      </c>
      <c r="K1063" t="s">
        <v>9603</v>
      </c>
      <c r="L1063" t="s">
        <v>9608</v>
      </c>
      <c r="M1063" t="s">
        <v>25</v>
      </c>
      <c r="N1063" t="s">
        <v>9609</v>
      </c>
      <c r="O1063" t="s">
        <v>25</v>
      </c>
      <c r="P1063" t="s">
        <v>9610</v>
      </c>
      <c r="Q1063" t="s">
        <v>29</v>
      </c>
      <c r="R1063" t="s">
        <v>9606</v>
      </c>
      <c r="S1063" t="s">
        <v>9607</v>
      </c>
    </row>
    <row r="1064" spans="1:19" x14ac:dyDescent="0.25">
      <c r="A1064" s="1">
        <v>1062</v>
      </c>
      <c r="B1064" t="str">
        <f>HYPERLINK("https://www.dasschnelle.at/hafner-und-partner-tulln-an-der-donau-wiener-straße","Website")</f>
        <v>Website</v>
      </c>
      <c r="C1064" t="str">
        <f>HYPERLINK("http://www.hmv.at","Website")</f>
        <v>Website</v>
      </c>
      <c r="D1064" t="str">
        <f>HYPERLINK("http://www.google.com/maps/place/48.3317200,16.0554400","Location")</f>
        <v>Location</v>
      </c>
      <c r="E1064" t="s">
        <v>9611</v>
      </c>
      <c r="F1064" t="s">
        <v>9612</v>
      </c>
      <c r="G1064" t="s">
        <v>9499</v>
      </c>
      <c r="H1064" t="s">
        <v>9500</v>
      </c>
      <c r="I1064" t="s">
        <v>177</v>
      </c>
      <c r="J1064" t="s">
        <v>22</v>
      </c>
      <c r="K1064" t="s">
        <v>9613</v>
      </c>
      <c r="L1064" t="s">
        <v>9616</v>
      </c>
      <c r="M1064" t="s">
        <v>25</v>
      </c>
      <c r="N1064" t="s">
        <v>9617</v>
      </c>
      <c r="O1064" t="s">
        <v>25</v>
      </c>
      <c r="P1064" t="s">
        <v>9618</v>
      </c>
      <c r="Q1064" t="s">
        <v>29</v>
      </c>
      <c r="R1064" t="s">
        <v>9614</v>
      </c>
      <c r="S1064" t="s">
        <v>9615</v>
      </c>
    </row>
    <row r="1065" spans="1:19" x14ac:dyDescent="0.25">
      <c r="A1065" s="1">
        <v>1063</v>
      </c>
      <c r="B1065" t="str">
        <f>HYPERLINK("https://www.dasschnelle.at/kominek-franz-gmbh-feuersbrunn-kellergasse","Website")</f>
        <v>Website</v>
      </c>
      <c r="C1065" t="str">
        <f>HYPERLINK("http://www.bestattung-kominek.at","Website")</f>
        <v>Website</v>
      </c>
      <c r="D1065" t="str">
        <f>HYPERLINK("http://www.google.com/maps/place/48.4447300,15.7888800","Location")</f>
        <v>Location</v>
      </c>
      <c r="E1065" t="s">
        <v>9619</v>
      </c>
      <c r="F1065" t="s">
        <v>9620</v>
      </c>
      <c r="G1065" t="s">
        <v>9622</v>
      </c>
      <c r="H1065" t="s">
        <v>9623</v>
      </c>
      <c r="I1065" t="s">
        <v>177</v>
      </c>
      <c r="J1065" t="s">
        <v>22</v>
      </c>
      <c r="K1065" t="s">
        <v>9621</v>
      </c>
      <c r="L1065" t="s">
        <v>9626</v>
      </c>
      <c r="M1065" t="s">
        <v>25</v>
      </c>
      <c r="N1065" t="s">
        <v>9627</v>
      </c>
      <c r="O1065" t="s">
        <v>25</v>
      </c>
      <c r="P1065" t="s">
        <v>9628</v>
      </c>
      <c r="Q1065" t="s">
        <v>29</v>
      </c>
      <c r="R1065" t="s">
        <v>9624</v>
      </c>
      <c r="S1065" t="s">
        <v>9625</v>
      </c>
    </row>
    <row r="1066" spans="1:19" x14ac:dyDescent="0.25">
      <c r="A1066" s="1">
        <v>1064</v>
      </c>
      <c r="B1066" t="str">
        <f>HYPERLINK("https://www.dasschnelle.at/henninger-katharina-neusiedl-mühlstraße","Website")</f>
        <v>Website</v>
      </c>
      <c r="C1066" t="str">
        <f>HYPERLINK("https://www.dasschnelle.at/henninger-katharina-neusiedl-m%C3%BChlstra%C3%9Fe","Website")</f>
        <v>Website</v>
      </c>
      <c r="D1066" t="str">
        <f>HYPERLINK("http://www.google.com/maps/place/48.3232987,15.9585884","Location")</f>
        <v>Location</v>
      </c>
      <c r="E1066" t="s">
        <v>9629</v>
      </c>
      <c r="F1066" t="s">
        <v>9630</v>
      </c>
      <c r="G1066" t="s">
        <v>9632</v>
      </c>
      <c r="H1066" t="s">
        <v>1949</v>
      </c>
      <c r="I1066" t="s">
        <v>177</v>
      </c>
      <c r="J1066" t="s">
        <v>22</v>
      </c>
      <c r="K1066" t="s">
        <v>9631</v>
      </c>
      <c r="L1066" t="s">
        <v>4926</v>
      </c>
      <c r="M1066" t="s">
        <v>25</v>
      </c>
      <c r="N1066" t="s">
        <v>9635</v>
      </c>
      <c r="O1066" t="s">
        <v>25</v>
      </c>
      <c r="P1066" t="s">
        <v>9636</v>
      </c>
      <c r="Q1066" t="s">
        <v>29</v>
      </c>
      <c r="R1066" t="s">
        <v>9633</v>
      </c>
      <c r="S1066" t="s">
        <v>9634</v>
      </c>
    </row>
    <row r="1067" spans="1:19" x14ac:dyDescent="0.25">
      <c r="A1067" s="1">
        <v>1065</v>
      </c>
      <c r="B1067" t="str">
        <f>HYPERLINK("https://www.dasschnelle.at/neunteufel-walter-dr-tulln-an-der-donau-hauptplatz","Website")</f>
        <v>Website</v>
      </c>
      <c r="C1067" t="str">
        <f>HYPERLINK("http://www.neunteufel.at","Website")</f>
        <v>Website</v>
      </c>
      <c r="D1067" t="str">
        <f>HYPERLINK("http://www.google.com/maps/place/48.33132,16.05041","Location")</f>
        <v>Location</v>
      </c>
      <c r="E1067" t="s">
        <v>9637</v>
      </c>
      <c r="F1067" t="s">
        <v>9638</v>
      </c>
      <c r="G1067" t="s">
        <v>9499</v>
      </c>
      <c r="H1067" t="s">
        <v>9500</v>
      </c>
      <c r="I1067" t="s">
        <v>177</v>
      </c>
      <c r="J1067" t="s">
        <v>22</v>
      </c>
      <c r="K1067" t="s">
        <v>9639</v>
      </c>
      <c r="L1067" t="s">
        <v>9642</v>
      </c>
      <c r="M1067" t="s">
        <v>25</v>
      </c>
      <c r="N1067" t="s">
        <v>9643</v>
      </c>
      <c r="O1067" t="s">
        <v>25</v>
      </c>
      <c r="P1067" t="s">
        <v>9644</v>
      </c>
      <c r="Q1067" t="s">
        <v>29</v>
      </c>
      <c r="R1067" t="s">
        <v>9640</v>
      </c>
      <c r="S1067" t="s">
        <v>9641</v>
      </c>
    </row>
    <row r="1068" spans="1:19" x14ac:dyDescent="0.25">
      <c r="A1068" s="1">
        <v>1066</v>
      </c>
      <c r="B1068" t="str">
        <f>HYPERLINK("https://www.dasschnelle.at/vallant-martin-guttaring-unterer-markt","Website")</f>
        <v>Website</v>
      </c>
      <c r="C1068" t="str">
        <f>HYPERLINK("https://www.dasschnelle.at/vallant-martin-guttaring-unterer-markt","Website")</f>
        <v>Website</v>
      </c>
      <c r="D1068" t="str">
        <f>HYPERLINK("http://www.google.com/maps/place/46.89005,14.51115","Location")</f>
        <v>Location</v>
      </c>
      <c r="E1068" t="s">
        <v>9645</v>
      </c>
      <c r="F1068" t="s">
        <v>9646</v>
      </c>
      <c r="G1068" t="s">
        <v>9648</v>
      </c>
      <c r="H1068" t="s">
        <v>9649</v>
      </c>
      <c r="I1068" t="s">
        <v>4130</v>
      </c>
      <c r="J1068" t="s">
        <v>22</v>
      </c>
      <c r="K1068" t="s">
        <v>9647</v>
      </c>
      <c r="L1068" t="s">
        <v>9652</v>
      </c>
      <c r="M1068" t="s">
        <v>25</v>
      </c>
      <c r="N1068" t="s">
        <v>9653</v>
      </c>
      <c r="O1068" t="s">
        <v>25</v>
      </c>
      <c r="P1068" t="s">
        <v>9654</v>
      </c>
      <c r="Q1068" t="s">
        <v>29</v>
      </c>
      <c r="R1068" t="s">
        <v>9650</v>
      </c>
      <c r="S1068" t="s">
        <v>9651</v>
      </c>
    </row>
    <row r="1069" spans="1:19" x14ac:dyDescent="0.25">
      <c r="A1069" s="1">
        <v>1067</v>
      </c>
      <c r="B1069" t="str">
        <f>HYPERLINK("https://www.dasschnelle.at/salzer-gerd-st-salvator-fürst-salm-straße","Website")</f>
        <v>Website</v>
      </c>
      <c r="C1069" t="str">
        <f>HYPERLINK("http://www.ihr-fliesenmeister.at","Website")</f>
        <v>Website</v>
      </c>
      <c r="D1069" t="str">
        <f>HYPERLINK("http://www.google.com/maps/place/46.9696,14.3565","Location")</f>
        <v>Location</v>
      </c>
      <c r="E1069" t="s">
        <v>9655</v>
      </c>
      <c r="F1069" t="s">
        <v>9656</v>
      </c>
      <c r="G1069" t="s">
        <v>9658</v>
      </c>
      <c r="H1069" t="s">
        <v>9659</v>
      </c>
      <c r="I1069" t="s">
        <v>4130</v>
      </c>
      <c r="J1069" t="s">
        <v>22</v>
      </c>
      <c r="K1069" t="s">
        <v>9657</v>
      </c>
      <c r="L1069" t="s">
        <v>9662</v>
      </c>
      <c r="M1069" t="s">
        <v>25</v>
      </c>
      <c r="N1069" t="s">
        <v>9663</v>
      </c>
      <c r="O1069" t="s">
        <v>9664</v>
      </c>
      <c r="P1069" t="s">
        <v>9665</v>
      </c>
      <c r="Q1069" t="s">
        <v>29</v>
      </c>
      <c r="R1069" t="s">
        <v>9660</v>
      </c>
      <c r="S1069" t="s">
        <v>9661</v>
      </c>
    </row>
    <row r="1070" spans="1:19" x14ac:dyDescent="0.25">
      <c r="A1070" s="1">
        <v>1068</v>
      </c>
      <c r="B1070" t="str">
        <f>HYPERLINK("https://www.dasschnelle.at/khola-daniel-launsdorf-hauptstraße","Website")</f>
        <v>Website</v>
      </c>
      <c r="C1070" t="str">
        <f>HYPERLINK("https://www.dasschnelle.at/khola-daniel-launsdorf-hauptstra%C3%9Fe","Website")</f>
        <v>Website</v>
      </c>
      <c r="D1070" t="str">
        <f>HYPERLINK("http://www.google.com/maps/place/46.76986,14.46158","Location")</f>
        <v>Location</v>
      </c>
      <c r="E1070" t="s">
        <v>9666</v>
      </c>
      <c r="F1070" t="s">
        <v>9667</v>
      </c>
      <c r="G1070" t="s">
        <v>9669</v>
      </c>
      <c r="H1070" t="s">
        <v>9670</v>
      </c>
      <c r="I1070" t="s">
        <v>4130</v>
      </c>
      <c r="J1070" t="s">
        <v>22</v>
      </c>
      <c r="K1070" t="s">
        <v>9668</v>
      </c>
      <c r="L1070" t="s">
        <v>9673</v>
      </c>
      <c r="M1070" t="s">
        <v>25</v>
      </c>
      <c r="N1070" t="s">
        <v>9674</v>
      </c>
      <c r="O1070" t="s">
        <v>25</v>
      </c>
      <c r="P1070" t="s">
        <v>9675</v>
      </c>
      <c r="Q1070" t="s">
        <v>29</v>
      </c>
      <c r="R1070" t="s">
        <v>9671</v>
      </c>
      <c r="S1070" t="s">
        <v>9672</v>
      </c>
    </row>
    <row r="1071" spans="1:19" x14ac:dyDescent="0.25">
      <c r="A1071" s="1">
        <v>1069</v>
      </c>
      <c r="B1071" t="str">
        <f>HYPERLINK("https://www.dasschnelle.at/reifen-tobi-mölbling-unterbergen","Website")</f>
        <v>Website</v>
      </c>
      <c r="C1071" t="str">
        <f>HYPERLINK("http://www.reifen-tobi.at","Website")</f>
        <v>Website</v>
      </c>
      <c r="D1071" t="str">
        <f>HYPERLINK("http://www.google.com/maps/place/46.8761353,14.4506576","Location")</f>
        <v>Location</v>
      </c>
      <c r="E1071" t="s">
        <v>9676</v>
      </c>
      <c r="F1071" t="s">
        <v>9677</v>
      </c>
      <c r="G1071" t="s">
        <v>9679</v>
      </c>
      <c r="H1071" t="s">
        <v>9680</v>
      </c>
      <c r="I1071" t="s">
        <v>4130</v>
      </c>
      <c r="J1071" t="s">
        <v>22</v>
      </c>
      <c r="K1071" t="s">
        <v>9678</v>
      </c>
      <c r="L1071" t="s">
        <v>9683</v>
      </c>
      <c r="M1071" t="s">
        <v>25</v>
      </c>
      <c r="N1071" t="s">
        <v>9684</v>
      </c>
      <c r="O1071" t="s">
        <v>25</v>
      </c>
      <c r="P1071" t="s">
        <v>9685</v>
      </c>
      <c r="Q1071" t="s">
        <v>29</v>
      </c>
      <c r="R1071" t="s">
        <v>9681</v>
      </c>
      <c r="S1071" t="s">
        <v>9682</v>
      </c>
    </row>
    <row r="1072" spans="1:19" x14ac:dyDescent="0.25">
      <c r="A1072" s="1">
        <v>1070</v>
      </c>
      <c r="B1072" t="str">
        <f>HYPERLINK("https://www.dasschnelle.at/gebäuderinigung-gigacher-hausservic-sankt-veit-an-der-glan-klagenfurter-straße","Website")</f>
        <v>Website</v>
      </c>
      <c r="C1072" t="str">
        <f>HYPERLINK("https://www.dasschnelle.at/geb%C3%A4uderinigung-gigacher-hausservic-sankt-veit-an-der-glan-klagenfurter-stra%C3%9Fe","Website")</f>
        <v>Website</v>
      </c>
      <c r="D1072" t="str">
        <f>HYPERLINK("http://www.google.com/maps/place/46.7561408,14.3775200","Location")</f>
        <v>Location</v>
      </c>
      <c r="E1072" t="s">
        <v>9686</v>
      </c>
      <c r="F1072" t="s">
        <v>9687</v>
      </c>
      <c r="G1072" t="s">
        <v>9689</v>
      </c>
      <c r="H1072" t="s">
        <v>9690</v>
      </c>
      <c r="I1072" t="s">
        <v>4130</v>
      </c>
      <c r="J1072" t="s">
        <v>22</v>
      </c>
      <c r="K1072" t="s">
        <v>9688</v>
      </c>
      <c r="L1072" t="s">
        <v>9693</v>
      </c>
      <c r="M1072" t="s">
        <v>25</v>
      </c>
      <c r="N1072" t="s">
        <v>9694</v>
      </c>
      <c r="O1072" t="s">
        <v>25</v>
      </c>
      <c r="P1072" t="s">
        <v>9695</v>
      </c>
      <c r="Q1072" t="s">
        <v>29</v>
      </c>
      <c r="R1072" t="s">
        <v>9691</v>
      </c>
      <c r="S1072" t="s">
        <v>9692</v>
      </c>
    </row>
    <row r="1073" spans="1:19" x14ac:dyDescent="0.25">
      <c r="A1073" s="1">
        <v>1071</v>
      </c>
      <c r="B1073" t="str">
        <f>HYPERLINK("https://www.dasschnelle.at/tögel-kg-gramatneusiedl-hauptplatz","Website")</f>
        <v>Website</v>
      </c>
      <c r="C1073" t="str">
        <f>HYPERLINK("https://www.dasschnelle.at/t%C3%B6gel-kg-gramatneusiedl-hauptplatz","Website")</f>
        <v>Website</v>
      </c>
      <c r="D1073" t="str">
        <f>HYPERLINK("http://www.google.com/maps/place/48.0287,16.49015","Location")</f>
        <v>Location</v>
      </c>
      <c r="E1073" t="s">
        <v>9696</v>
      </c>
      <c r="F1073" t="s">
        <v>9697</v>
      </c>
      <c r="G1073" t="s">
        <v>9699</v>
      </c>
      <c r="H1073" t="s">
        <v>9700</v>
      </c>
      <c r="I1073" t="s">
        <v>177</v>
      </c>
      <c r="J1073" t="s">
        <v>22</v>
      </c>
      <c r="K1073" t="s">
        <v>9698</v>
      </c>
      <c r="L1073" t="s">
        <v>9703</v>
      </c>
      <c r="M1073" t="s">
        <v>9704</v>
      </c>
      <c r="N1073" t="s">
        <v>9705</v>
      </c>
      <c r="O1073" t="s">
        <v>25</v>
      </c>
      <c r="P1073" t="s">
        <v>9706</v>
      </c>
      <c r="Q1073" t="s">
        <v>29</v>
      </c>
      <c r="R1073" t="s">
        <v>9701</v>
      </c>
      <c r="S1073" t="s">
        <v>9702</v>
      </c>
    </row>
    <row r="1074" spans="1:19" x14ac:dyDescent="0.25">
      <c r="A1074" s="1">
        <v>1072</v>
      </c>
      <c r="B1074" t="str">
        <f>HYPERLINK("https://www.dasschnelle.at/noisternig-christian-himberg-wienerstraße","Website")</f>
        <v>Website</v>
      </c>
      <c r="C1074" t="str">
        <f>HYPERLINK("https://www.dasschnelle.at/noisternig-christian-hi","Website")</f>
        <v>Website</v>
      </c>
      <c r="D1074" t="str">
        <f>HYPERLINK("http://www.google.com/maps/place/48.08567,16.43641","Location")</f>
        <v>Location</v>
      </c>
      <c r="E1074" t="s">
        <v>9707</v>
      </c>
      <c r="F1074" t="s">
        <v>9708</v>
      </c>
      <c r="G1074" t="s">
        <v>9710</v>
      </c>
      <c r="H1074" t="s">
        <v>9711</v>
      </c>
      <c r="I1074" t="s">
        <v>177</v>
      </c>
      <c r="J1074" t="s">
        <v>22</v>
      </c>
      <c r="K1074" t="s">
        <v>9709</v>
      </c>
      <c r="L1074" t="s">
        <v>9714</v>
      </c>
      <c r="M1074" t="s">
        <v>25</v>
      </c>
      <c r="N1074" t="s">
        <v>9715</v>
      </c>
      <c r="O1074" t="s">
        <v>25</v>
      </c>
      <c r="P1074" t="s">
        <v>9716</v>
      </c>
      <c r="Q1074" t="s">
        <v>29</v>
      </c>
      <c r="R1074" t="s">
        <v>9712</v>
      </c>
      <c r="S1074" t="s">
        <v>9713</v>
      </c>
    </row>
    <row r="1075" spans="1:19" x14ac:dyDescent="0.25">
      <c r="A1075" s="1">
        <v>1073</v>
      </c>
      <c r="B1075" t="str">
        <f>HYPERLINK("https://www.dasschnelle.at/fischamend-taxi-fischamend-markt-molfenterstraße","Website")</f>
        <v>Website</v>
      </c>
      <c r="C1075" t="str">
        <f>HYPERLINK("http://www.taxi-kleinbus.at","Website")</f>
        <v>Website</v>
      </c>
      <c r="D1075" t="str">
        <f>HYPERLINK("http://www.google.com/maps/place/48.11467,16.61625","Location")</f>
        <v>Location</v>
      </c>
      <c r="E1075" t="s">
        <v>9717</v>
      </c>
      <c r="F1075" t="s">
        <v>9718</v>
      </c>
      <c r="G1075" t="s">
        <v>9720</v>
      </c>
      <c r="H1075" t="s">
        <v>9721</v>
      </c>
      <c r="I1075" t="s">
        <v>177</v>
      </c>
      <c r="J1075" t="s">
        <v>22</v>
      </c>
      <c r="K1075" t="s">
        <v>9719</v>
      </c>
      <c r="L1075" t="s">
        <v>9724</v>
      </c>
      <c r="M1075" t="s">
        <v>25</v>
      </c>
      <c r="N1075" t="s">
        <v>9725</v>
      </c>
      <c r="O1075" t="s">
        <v>25</v>
      </c>
      <c r="P1075" t="s">
        <v>9726</v>
      </c>
      <c r="Q1075" t="s">
        <v>29</v>
      </c>
      <c r="R1075" t="s">
        <v>9722</v>
      </c>
      <c r="S1075" t="s">
        <v>9723</v>
      </c>
    </row>
    <row r="1076" spans="1:19" x14ac:dyDescent="0.25">
      <c r="A1076" s="1">
        <v>1074</v>
      </c>
      <c r="B1076" t="str">
        <f>HYPERLINK("https://www.dasschnelle.at/auto-lux-reparatur-u-handelsgmbh-himberg-wienerstraße","Website")</f>
        <v>Website</v>
      </c>
      <c r="C1076" t="str">
        <f>HYPERLINK("http://www.lux-automobile.at","Website")</f>
        <v>Website</v>
      </c>
      <c r="D1076" t="str">
        <f>HYPERLINK("http://www.google.com/maps/place/48.08873,16.4262","Location")</f>
        <v>Location</v>
      </c>
      <c r="E1076" t="s">
        <v>9727</v>
      </c>
      <c r="F1076" t="s">
        <v>9728</v>
      </c>
      <c r="G1076" t="s">
        <v>9710</v>
      </c>
      <c r="H1076" t="s">
        <v>9711</v>
      </c>
      <c r="I1076" t="s">
        <v>177</v>
      </c>
      <c r="J1076" t="s">
        <v>22</v>
      </c>
      <c r="K1076" t="s">
        <v>9729</v>
      </c>
      <c r="L1076" t="s">
        <v>9732</v>
      </c>
      <c r="M1076" t="s">
        <v>25</v>
      </c>
      <c r="N1076" t="s">
        <v>9733</v>
      </c>
      <c r="O1076" t="s">
        <v>25</v>
      </c>
      <c r="P1076" t="s">
        <v>9734</v>
      </c>
      <c r="Q1076" t="s">
        <v>29</v>
      </c>
      <c r="R1076" t="s">
        <v>9730</v>
      </c>
      <c r="S1076" t="s">
        <v>9731</v>
      </c>
    </row>
    <row r="1077" spans="1:19" x14ac:dyDescent="0.25">
      <c r="A1077" s="1">
        <v>1075</v>
      </c>
      <c r="B1077" t="str">
        <f>HYPERLINK("https://www.dasschnelle.at/metzl-erich-dr-zwölfaxing-auweg","Website")</f>
        <v>Website</v>
      </c>
      <c r="C1077" t="str">
        <f>HYPERLINK("https://www.dasschnelle.at/metzl-erich-dr-zw%C3%B6lfaxing-auweg","Website")</f>
        <v>Website</v>
      </c>
      <c r="D1077" t="str">
        <f>HYPERLINK("http://www.google.com/maps/place/48.11216,16.45609","Location")</f>
        <v>Location</v>
      </c>
      <c r="E1077" t="s">
        <v>9735</v>
      </c>
      <c r="F1077" t="s">
        <v>9736</v>
      </c>
      <c r="G1077" t="s">
        <v>9738</v>
      </c>
      <c r="H1077" t="s">
        <v>9739</v>
      </c>
      <c r="I1077" t="s">
        <v>177</v>
      </c>
      <c r="J1077" t="s">
        <v>22</v>
      </c>
      <c r="K1077" t="s">
        <v>9737</v>
      </c>
      <c r="L1077" t="s">
        <v>9742</v>
      </c>
      <c r="M1077" t="s">
        <v>25</v>
      </c>
      <c r="N1077" t="s">
        <v>9743</v>
      </c>
      <c r="O1077" t="s">
        <v>25</v>
      </c>
      <c r="P1077" t="s">
        <v>9744</v>
      </c>
      <c r="Q1077" t="s">
        <v>29</v>
      </c>
      <c r="R1077" t="s">
        <v>9740</v>
      </c>
      <c r="S1077" t="s">
        <v>9741</v>
      </c>
    </row>
    <row r="1078" spans="1:19" x14ac:dyDescent="0.25">
      <c r="A1078" s="1">
        <v>1076</v>
      </c>
      <c r="B1078" t="str">
        <f>HYPERLINK("https://www.dasschnelle.at/w-und-h-dienstleistungen-wienerherberg-wienerherbergstrasse","Website")</f>
        <v>Website</v>
      </c>
      <c r="C1078" t="str">
        <f>HYPERLINK("https://www.dasschnelle.at/w-und-h-dienstleistungen-wienerherberg-wienerherbergstrasse","Website")</f>
        <v>Website</v>
      </c>
      <c r="D1078" t="str">
        <f>HYPERLINK("http://www.google.com/maps/place/48.0588800,16.5516800","Location")</f>
        <v>Location</v>
      </c>
      <c r="E1078" t="s">
        <v>9745</v>
      </c>
      <c r="F1078" t="s">
        <v>9746</v>
      </c>
      <c r="G1078" t="s">
        <v>9748</v>
      </c>
      <c r="H1078" t="s">
        <v>9749</v>
      </c>
      <c r="I1078" t="s">
        <v>177</v>
      </c>
      <c r="J1078" t="s">
        <v>22</v>
      </c>
      <c r="K1078" t="s">
        <v>9747</v>
      </c>
      <c r="L1078" t="s">
        <v>9752</v>
      </c>
      <c r="M1078" t="s">
        <v>25</v>
      </c>
      <c r="N1078" t="s">
        <v>9753</v>
      </c>
      <c r="O1078" t="s">
        <v>9754</v>
      </c>
      <c r="P1078" t="s">
        <v>9755</v>
      </c>
      <c r="Q1078" t="s">
        <v>29</v>
      </c>
      <c r="R1078" t="s">
        <v>9750</v>
      </c>
      <c r="S1078" t="s">
        <v>9751</v>
      </c>
    </row>
    <row r="1079" spans="1:19" x14ac:dyDescent="0.25">
      <c r="A1079" s="1">
        <v>1077</v>
      </c>
      <c r="B1079" t="str">
        <f>HYPERLINK("https://www.dasschnelle.at/adil-bau-gmbh-schwadorf-seilergasse","Website")</f>
        <v>Website</v>
      </c>
      <c r="C1079" t="str">
        <f>HYPERLINK("http://www.adilbau.at","Website")</f>
        <v>Website</v>
      </c>
      <c r="D1079" t="str">
        <f>HYPERLINK("http://www.google.com/maps/place/48.0694600,16.5877400","Location")</f>
        <v>Location</v>
      </c>
      <c r="E1079" t="s">
        <v>9756</v>
      </c>
      <c r="F1079" t="s">
        <v>9757</v>
      </c>
      <c r="G1079" t="s">
        <v>9759</v>
      </c>
      <c r="H1079" t="s">
        <v>9760</v>
      </c>
      <c r="I1079" t="s">
        <v>177</v>
      </c>
      <c r="J1079" t="s">
        <v>22</v>
      </c>
      <c r="K1079" t="s">
        <v>9758</v>
      </c>
      <c r="L1079" t="s">
        <v>9763</v>
      </c>
      <c r="M1079" t="s">
        <v>25</v>
      </c>
      <c r="N1079" t="s">
        <v>9764</v>
      </c>
      <c r="O1079" t="s">
        <v>25</v>
      </c>
      <c r="P1079" t="s">
        <v>9765</v>
      </c>
      <c r="Q1079" t="s">
        <v>29</v>
      </c>
      <c r="R1079" t="s">
        <v>9761</v>
      </c>
      <c r="S1079" t="s">
        <v>9762</v>
      </c>
    </row>
    <row r="1080" spans="1:19" x14ac:dyDescent="0.25">
      <c r="A1080" s="1">
        <v>1078</v>
      </c>
      <c r="B1080" t="str">
        <f>HYPERLINK("https://www.dasschnelle.at/bojagic-bau-und-immobilien-gmbh-schwechat-karl-widter-weg","Website")</f>
        <v>Website</v>
      </c>
      <c r="C1080" t="str">
        <f>HYPERLINK("http://www.bojagic.at","Website")</f>
        <v>Website</v>
      </c>
      <c r="D1080" t="str">
        <f>HYPERLINK("http://www.google.com/maps/place/48.1480764,16.4740494","Location")</f>
        <v>Location</v>
      </c>
      <c r="E1080" t="s">
        <v>9766</v>
      </c>
      <c r="F1080" t="s">
        <v>9767</v>
      </c>
      <c r="G1080" t="s">
        <v>9769</v>
      </c>
      <c r="H1080" t="s">
        <v>9770</v>
      </c>
      <c r="I1080" t="s">
        <v>177</v>
      </c>
      <c r="J1080" t="s">
        <v>22</v>
      </c>
      <c r="K1080" t="s">
        <v>9768</v>
      </c>
      <c r="L1080" t="s">
        <v>9773</v>
      </c>
      <c r="M1080" t="s">
        <v>25</v>
      </c>
      <c r="N1080" t="s">
        <v>9774</v>
      </c>
      <c r="O1080" t="s">
        <v>25</v>
      </c>
      <c r="P1080" t="s">
        <v>9775</v>
      </c>
      <c r="Q1080" t="s">
        <v>29</v>
      </c>
      <c r="R1080" t="s">
        <v>9771</v>
      </c>
      <c r="S1080" t="s">
        <v>9772</v>
      </c>
    </row>
    <row r="1081" spans="1:19" x14ac:dyDescent="0.25">
      <c r="A1081" s="1">
        <v>1079</v>
      </c>
      <c r="B1081" t="str">
        <f>HYPERLINK("https://www.dasschnelle.at/michis-blumenwerk-himberg-gutenhoferstraße","Website")</f>
        <v>Website</v>
      </c>
      <c r="C1081" t="str">
        <f>HYPERLINK("http://www.michis-blumenwerk.at","Website")</f>
        <v>Website</v>
      </c>
      <c r="D1081" t="str">
        <f>HYPERLINK("http://www.google.com/maps/place/48.07644,16.44548","Location")</f>
        <v>Location</v>
      </c>
      <c r="E1081" t="s">
        <v>9776</v>
      </c>
      <c r="F1081" t="s">
        <v>9777</v>
      </c>
      <c r="G1081" t="s">
        <v>9710</v>
      </c>
      <c r="H1081" t="s">
        <v>9711</v>
      </c>
      <c r="I1081" t="s">
        <v>177</v>
      </c>
      <c r="J1081" t="s">
        <v>22</v>
      </c>
      <c r="K1081" t="s">
        <v>9778</v>
      </c>
      <c r="L1081" t="s">
        <v>9781</v>
      </c>
      <c r="M1081" t="s">
        <v>25</v>
      </c>
      <c r="N1081" t="s">
        <v>9782</v>
      </c>
      <c r="O1081" t="s">
        <v>25</v>
      </c>
      <c r="P1081" t="s">
        <v>9783</v>
      </c>
      <c r="Q1081" t="s">
        <v>29</v>
      </c>
      <c r="R1081" t="s">
        <v>9779</v>
      </c>
      <c r="S1081" t="s">
        <v>9780</v>
      </c>
    </row>
    <row r="1082" spans="1:19" x14ac:dyDescent="0.25">
      <c r="A1082" s="1">
        <v>1080</v>
      </c>
      <c r="B1082" t="str">
        <f>HYPERLINK("https://www.dasschnelle.at/lippl-michael-maria-lanzendorf-wiener-straße","Website")</f>
        <v>Website</v>
      </c>
      <c r="C1082" t="str">
        <f>HYPERLINK("http://www.lippl.at","Website")</f>
        <v>Website</v>
      </c>
      <c r="D1082" t="str">
        <f>HYPERLINK("http://www.google.com/maps/place/48.10053,16.41795","Location")</f>
        <v>Location</v>
      </c>
      <c r="E1082" t="s">
        <v>9784</v>
      </c>
      <c r="F1082" t="s">
        <v>9785</v>
      </c>
      <c r="G1082" t="s">
        <v>9787</v>
      </c>
      <c r="H1082" t="s">
        <v>9788</v>
      </c>
      <c r="I1082" t="s">
        <v>177</v>
      </c>
      <c r="J1082" t="s">
        <v>22</v>
      </c>
      <c r="K1082" t="s">
        <v>9786</v>
      </c>
      <c r="L1082" t="s">
        <v>9791</v>
      </c>
      <c r="M1082" t="s">
        <v>25</v>
      </c>
      <c r="N1082" t="s">
        <v>9792</v>
      </c>
      <c r="O1082" t="s">
        <v>25</v>
      </c>
      <c r="P1082" t="s">
        <v>9793</v>
      </c>
      <c r="Q1082" t="s">
        <v>29</v>
      </c>
      <c r="R1082" t="s">
        <v>9789</v>
      </c>
      <c r="S1082" t="s">
        <v>9790</v>
      </c>
    </row>
    <row r="1083" spans="1:19" x14ac:dyDescent="0.25">
      <c r="A1083" s="1">
        <v>1081</v>
      </c>
      <c r="B1083" t="str">
        <f>HYPERLINK("https://www.dasschnelle.at/hotel-bauer-e-u-schwechat-rauchenwarth","Website")</f>
        <v>Website</v>
      </c>
      <c r="C1083" t="str">
        <f>HYPERLINK("http://www.hotel-bauer.info","Website")</f>
        <v>Website</v>
      </c>
      <c r="D1083" t="str">
        <f>HYPERLINK("http://www.google.com/maps/place/48.0839912,16.5273826","Location")</f>
        <v>Location</v>
      </c>
      <c r="E1083" t="s">
        <v>9794</v>
      </c>
      <c r="F1083" t="s">
        <v>9795</v>
      </c>
      <c r="G1083" t="s">
        <v>9769</v>
      </c>
      <c r="H1083" t="s">
        <v>9770</v>
      </c>
      <c r="I1083" t="s">
        <v>177</v>
      </c>
      <c r="J1083" t="s">
        <v>22</v>
      </c>
      <c r="K1083" t="s">
        <v>9796</v>
      </c>
      <c r="L1083" t="s">
        <v>9799</v>
      </c>
      <c r="M1083" t="s">
        <v>25</v>
      </c>
      <c r="N1083" t="s">
        <v>9800</v>
      </c>
      <c r="O1083" t="s">
        <v>9801</v>
      </c>
      <c r="P1083" t="s">
        <v>9802</v>
      </c>
      <c r="Q1083" t="s">
        <v>29</v>
      </c>
      <c r="R1083" t="s">
        <v>9797</v>
      </c>
      <c r="S1083" t="s">
        <v>9798</v>
      </c>
    </row>
    <row r="1084" spans="1:19" x14ac:dyDescent="0.25">
      <c r="A1084" s="1">
        <v>1082</v>
      </c>
      <c r="B1084" t="str">
        <f>HYPERLINK("https://www.dasschnelle.at/schmalzl-u-feldmann-kg-himberg-hauptstraße","Website")</f>
        <v>Website</v>
      </c>
      <c r="C1084" t="str">
        <f>HYPERLINK("http://www.schmalzl-stein.at","Website")</f>
        <v>Website</v>
      </c>
      <c r="D1084" t="str">
        <f>HYPERLINK("http://www.google.com/maps/place/48.0836318,16.4397533","Location")</f>
        <v>Location</v>
      </c>
      <c r="E1084" t="s">
        <v>9803</v>
      </c>
      <c r="F1084" t="s">
        <v>9804</v>
      </c>
      <c r="G1084" t="s">
        <v>9710</v>
      </c>
      <c r="H1084" t="s">
        <v>9711</v>
      </c>
      <c r="I1084" t="s">
        <v>177</v>
      </c>
      <c r="J1084" t="s">
        <v>22</v>
      </c>
      <c r="K1084" t="s">
        <v>4119</v>
      </c>
      <c r="L1084" t="s">
        <v>9807</v>
      </c>
      <c r="M1084" t="s">
        <v>25</v>
      </c>
      <c r="N1084" t="s">
        <v>9808</v>
      </c>
      <c r="O1084" t="s">
        <v>25</v>
      </c>
      <c r="P1084" t="s">
        <v>9809</v>
      </c>
      <c r="Q1084" t="s">
        <v>29</v>
      </c>
      <c r="R1084" t="s">
        <v>9805</v>
      </c>
      <c r="S1084" t="s">
        <v>9806</v>
      </c>
    </row>
    <row r="1085" spans="1:19" x14ac:dyDescent="0.25">
      <c r="A1085" s="1">
        <v>1083</v>
      </c>
      <c r="B1085" t="str">
        <f>HYPERLINK("https://www.dasschnelle.at/daha-lukas-dr-schwechat-brauhausstraße","Website")</f>
        <v>Website</v>
      </c>
      <c r="C1085" t="str">
        <f>HYPERLINK("http://www.daha.at","Website")</f>
        <v>Website</v>
      </c>
      <c r="D1085" t="str">
        <f>HYPERLINK("http://www.google.com/maps/place/48.14221,16.47314","Location")</f>
        <v>Location</v>
      </c>
      <c r="E1085" t="s">
        <v>9810</v>
      </c>
      <c r="F1085" t="s">
        <v>9811</v>
      </c>
      <c r="G1085" t="s">
        <v>9769</v>
      </c>
      <c r="H1085" t="s">
        <v>9770</v>
      </c>
      <c r="I1085" t="s">
        <v>177</v>
      </c>
      <c r="J1085" t="s">
        <v>22</v>
      </c>
      <c r="K1085" t="s">
        <v>9812</v>
      </c>
      <c r="L1085" t="s">
        <v>9815</v>
      </c>
      <c r="M1085" t="s">
        <v>25</v>
      </c>
      <c r="N1085" t="s">
        <v>9816</v>
      </c>
      <c r="O1085" t="s">
        <v>25</v>
      </c>
      <c r="P1085" t="s">
        <v>9817</v>
      </c>
      <c r="Q1085" t="s">
        <v>29</v>
      </c>
      <c r="R1085" t="s">
        <v>9813</v>
      </c>
      <c r="S1085" t="s">
        <v>9814</v>
      </c>
    </row>
    <row r="1086" spans="1:19" x14ac:dyDescent="0.25">
      <c r="A1086" s="1">
        <v>1084</v>
      </c>
      <c r="B1086" t="str">
        <f>HYPERLINK("https://www.dasschnelle.at/silberbauer-markus-schwechat-raiffeisenstraße","Website")</f>
        <v>Website</v>
      </c>
      <c r="C1086" t="str">
        <f>HYPERLINK("https://www.dasschnelle.at/silberbauer-markus-schwechat-raiffeisenstra%C3%9Fe","Website")</f>
        <v>Website</v>
      </c>
      <c r="D1086" t="str">
        <f>HYPERLINK("http://www.google.com/maps/place/48.08363,16.53183","Location")</f>
        <v>Location</v>
      </c>
      <c r="E1086" t="s">
        <v>9818</v>
      </c>
      <c r="F1086" t="s">
        <v>9819</v>
      </c>
      <c r="G1086" t="s">
        <v>9769</v>
      </c>
      <c r="H1086" t="s">
        <v>9770</v>
      </c>
      <c r="I1086" t="s">
        <v>177</v>
      </c>
      <c r="J1086" t="s">
        <v>22</v>
      </c>
      <c r="K1086" t="s">
        <v>9820</v>
      </c>
      <c r="L1086" t="s">
        <v>9823</v>
      </c>
      <c r="M1086" t="s">
        <v>25</v>
      </c>
      <c r="N1086" t="s">
        <v>9824</v>
      </c>
      <c r="O1086" t="s">
        <v>25</v>
      </c>
      <c r="P1086" t="s">
        <v>9825</v>
      </c>
      <c r="Q1086" t="s">
        <v>29</v>
      </c>
      <c r="R1086" t="s">
        <v>9821</v>
      </c>
      <c r="S1086" t="s">
        <v>9822</v>
      </c>
    </row>
    <row r="1087" spans="1:19" x14ac:dyDescent="0.25">
      <c r="A1087" s="1">
        <v>1085</v>
      </c>
      <c r="B1087" t="str">
        <f>HYPERLINK("https://www.dasschnelle.at/elektro-denio-gmbh-zwölfaxing-feldstrasse","Website")</f>
        <v>Website</v>
      </c>
      <c r="C1087" t="str">
        <f>HYPERLINK("http://www.elektro-denio.at","Website")</f>
        <v>Website</v>
      </c>
      <c r="D1087" t="str">
        <f>HYPERLINK("http://www.google.com/maps/place/48.1196358,16.4703905","Location")</f>
        <v>Location</v>
      </c>
      <c r="E1087" t="s">
        <v>9826</v>
      </c>
      <c r="F1087" t="s">
        <v>9827</v>
      </c>
      <c r="G1087" t="s">
        <v>9738</v>
      </c>
      <c r="H1087" t="s">
        <v>9739</v>
      </c>
      <c r="I1087" t="s">
        <v>177</v>
      </c>
      <c r="J1087" t="s">
        <v>22</v>
      </c>
      <c r="K1087" t="s">
        <v>9828</v>
      </c>
      <c r="L1087" t="s">
        <v>9831</v>
      </c>
      <c r="M1087" t="s">
        <v>25</v>
      </c>
      <c r="N1087" t="s">
        <v>9832</v>
      </c>
      <c r="O1087" t="s">
        <v>25</v>
      </c>
      <c r="P1087" t="s">
        <v>9833</v>
      </c>
      <c r="Q1087" t="s">
        <v>29</v>
      </c>
      <c r="R1087" t="s">
        <v>9829</v>
      </c>
      <c r="S1087" t="s">
        <v>9830</v>
      </c>
    </row>
    <row r="1088" spans="1:19" x14ac:dyDescent="0.25">
      <c r="A1088" s="1">
        <v>1086</v>
      </c>
      <c r="B1088" t="str">
        <f>HYPERLINK("https://www.dasschnelle.at/widhalm-herta-scheibbs-hauptstraße","Website")</f>
        <v>Website</v>
      </c>
      <c r="C1088" t="str">
        <f>HYPERLINK("http://www.buchhandlung-widhalm.at","Website")</f>
        <v>Website</v>
      </c>
      <c r="D1088" t="str">
        <f>HYPERLINK("http://www.google.com/maps/place/48.00658,15.16611","Location")</f>
        <v>Location</v>
      </c>
      <c r="E1088" t="s">
        <v>9834</v>
      </c>
      <c r="F1088" t="s">
        <v>9835</v>
      </c>
      <c r="G1088" t="s">
        <v>9836</v>
      </c>
      <c r="H1088" t="s">
        <v>9837</v>
      </c>
      <c r="I1088" t="s">
        <v>177</v>
      </c>
      <c r="J1088" t="s">
        <v>22</v>
      </c>
      <c r="K1088" t="s">
        <v>4716</v>
      </c>
      <c r="L1088" t="s">
        <v>9840</v>
      </c>
      <c r="M1088" t="s">
        <v>25</v>
      </c>
      <c r="N1088" t="s">
        <v>9841</v>
      </c>
      <c r="O1088" t="s">
        <v>25</v>
      </c>
      <c r="P1088" t="s">
        <v>9842</v>
      </c>
      <c r="Q1088" t="s">
        <v>29</v>
      </c>
      <c r="R1088" t="s">
        <v>9838</v>
      </c>
      <c r="S1088" t="s">
        <v>9839</v>
      </c>
    </row>
    <row r="1089" spans="1:19" x14ac:dyDescent="0.25">
      <c r="A1089" s="1">
        <v>1087</v>
      </c>
      <c r="B1089" t="str">
        <f>HYPERLINK("https://www.dasschnelle.at/willingshofer-og-scheibbs-abt-berthold-dietmayr-gasse","Website")</f>
        <v>Website</v>
      </c>
      <c r="C1089" t="str">
        <f>HYPERLINK("http://www.willingshofer-raum.at","Website")</f>
        <v>Website</v>
      </c>
      <c r="D1089" t="str">
        <f>HYPERLINK("http://www.google.com/maps/place/48.0053500,15.1669600","Location")</f>
        <v>Location</v>
      </c>
      <c r="E1089" t="s">
        <v>9843</v>
      </c>
      <c r="F1089" t="s">
        <v>9844</v>
      </c>
      <c r="G1089" t="s">
        <v>9836</v>
      </c>
      <c r="H1089" t="s">
        <v>9837</v>
      </c>
      <c r="I1089" t="s">
        <v>177</v>
      </c>
      <c r="J1089" t="s">
        <v>22</v>
      </c>
      <c r="K1089" t="s">
        <v>9845</v>
      </c>
      <c r="L1089" t="s">
        <v>9847</v>
      </c>
      <c r="M1089" t="s">
        <v>25</v>
      </c>
      <c r="N1089" t="s">
        <v>9848</v>
      </c>
      <c r="O1089" t="s">
        <v>25</v>
      </c>
      <c r="P1089" t="s">
        <v>9849</v>
      </c>
      <c r="Q1089" t="s">
        <v>29</v>
      </c>
      <c r="R1089" t="s">
        <v>9846</v>
      </c>
      <c r="S1089" t="s">
        <v>4629</v>
      </c>
    </row>
    <row r="1090" spans="1:19" x14ac:dyDescent="0.25">
      <c r="A1090" s="1">
        <v>1088</v>
      </c>
      <c r="B1090" t="str">
        <f>HYPERLINK("https://www.dasschnelle.at/elektro-steiner-e-u-gaming-erlauftalstraße","Website")</f>
        <v>Website</v>
      </c>
      <c r="C1090" t="str">
        <f>HYPERLINK("https://www.dasschnelle.at/elektro-steiner-e-u-gaming-erlauftalstra%C3%9Fe","Website")</f>
        <v>Website</v>
      </c>
      <c r="D1090" t="str">
        <f>HYPERLINK("http://www.google.com/maps/place/47.93274,15.09255","Location")</f>
        <v>Location</v>
      </c>
      <c r="E1090" t="s">
        <v>9850</v>
      </c>
      <c r="F1090" t="s">
        <v>9851</v>
      </c>
      <c r="G1090" t="s">
        <v>9853</v>
      </c>
      <c r="H1090" t="s">
        <v>9854</v>
      </c>
      <c r="I1090" t="s">
        <v>177</v>
      </c>
      <c r="J1090" t="s">
        <v>22</v>
      </c>
      <c r="K1090" t="s">
        <v>9852</v>
      </c>
      <c r="L1090" t="s">
        <v>9857</v>
      </c>
      <c r="M1090" t="s">
        <v>9858</v>
      </c>
      <c r="N1090" t="s">
        <v>9859</v>
      </c>
      <c r="O1090" t="s">
        <v>25</v>
      </c>
      <c r="P1090" t="s">
        <v>9860</v>
      </c>
      <c r="Q1090" t="s">
        <v>29</v>
      </c>
      <c r="R1090" t="s">
        <v>9855</v>
      </c>
      <c r="S1090" t="s">
        <v>9856</v>
      </c>
    </row>
    <row r="1091" spans="1:19" x14ac:dyDescent="0.25">
      <c r="A1091" s="1">
        <v>1089</v>
      </c>
      <c r="B1091" t="str">
        <f>HYPERLINK("https://www.dasschnelle.at/gruber-holzhandel-gmbh-randegg-steinholz","Website")</f>
        <v>Website</v>
      </c>
      <c r="C1091" t="str">
        <f>HYPERLINK("https://www.dasschnelle.at/gruber-holzhandel-gmbh-randegg-steinholz","Website")</f>
        <v>Website</v>
      </c>
      <c r="D1091" t="str">
        <f>HYPERLINK("http://www.google.com/maps/place/48.0054205,14.9147898","Location")</f>
        <v>Location</v>
      </c>
      <c r="E1091" t="s">
        <v>9861</v>
      </c>
      <c r="F1091" t="s">
        <v>9862</v>
      </c>
      <c r="G1091" t="s">
        <v>9864</v>
      </c>
      <c r="H1091" t="s">
        <v>9865</v>
      </c>
      <c r="I1091" t="s">
        <v>177</v>
      </c>
      <c r="J1091" t="s">
        <v>22</v>
      </c>
      <c r="K1091" t="s">
        <v>9863</v>
      </c>
      <c r="L1091" t="s">
        <v>9868</v>
      </c>
      <c r="M1091" t="s">
        <v>25</v>
      </c>
      <c r="N1091" t="s">
        <v>9869</v>
      </c>
      <c r="O1091" t="s">
        <v>25</v>
      </c>
      <c r="P1091" t="s">
        <v>9870</v>
      </c>
      <c r="Q1091" t="s">
        <v>29</v>
      </c>
      <c r="R1091" t="s">
        <v>9866</v>
      </c>
      <c r="S1091" t="s">
        <v>9867</v>
      </c>
    </row>
    <row r="1092" spans="1:19" x14ac:dyDescent="0.25">
      <c r="A1092" s="1">
        <v>1090</v>
      </c>
      <c r="B1092" t="str">
        <f>HYPERLINK("https://www.dasschnelle.at/hofstätter-thomas-scheibbs-rathausplatz","Website")</f>
        <v>Website</v>
      </c>
      <c r="C1092" t="str">
        <f>HYPERLINK("http://www.glas-hofstaetter.at","Website")</f>
        <v>Website</v>
      </c>
      <c r="D1092" t="str">
        <f>HYPERLINK("http://www.google.com/maps/place/48.00534,15.16793","Location")</f>
        <v>Location</v>
      </c>
      <c r="E1092" t="s">
        <v>9871</v>
      </c>
      <c r="F1092" t="s">
        <v>9872</v>
      </c>
      <c r="G1092" t="s">
        <v>9836</v>
      </c>
      <c r="H1092" t="s">
        <v>9837</v>
      </c>
      <c r="I1092" t="s">
        <v>177</v>
      </c>
      <c r="J1092" t="s">
        <v>22</v>
      </c>
      <c r="K1092" t="s">
        <v>9873</v>
      </c>
      <c r="L1092" t="s">
        <v>9876</v>
      </c>
      <c r="M1092" t="s">
        <v>25</v>
      </c>
      <c r="N1092" t="s">
        <v>9877</v>
      </c>
      <c r="O1092" t="s">
        <v>25</v>
      </c>
      <c r="P1092" t="s">
        <v>9878</v>
      </c>
      <c r="Q1092" t="s">
        <v>29</v>
      </c>
      <c r="R1092" t="s">
        <v>9874</v>
      </c>
      <c r="S1092" t="s">
        <v>9875</v>
      </c>
    </row>
    <row r="1093" spans="1:19" x14ac:dyDescent="0.25">
      <c r="A1093" s="1">
        <v>1091</v>
      </c>
      <c r="B1093" t="str">
        <f>HYPERLINK("https://www.dasschnelle.at/schneeweihs-nikolai-unteretzerstetten","Website")</f>
        <v>Website</v>
      </c>
      <c r="C1093" t="str">
        <f>HYPERLINK("http://www.reifennik.at","Website")</f>
        <v>Website</v>
      </c>
      <c r="D1093" t="str">
        <f>HYPERLINK("http://www.google.com/maps/place/48.1027511,15.0937845","Location")</f>
        <v>Location</v>
      </c>
      <c r="E1093" t="s">
        <v>9879</v>
      </c>
      <c r="F1093" t="s">
        <v>9880</v>
      </c>
      <c r="G1093" t="s">
        <v>9881</v>
      </c>
      <c r="H1093" t="s">
        <v>9882</v>
      </c>
      <c r="I1093" t="s">
        <v>25</v>
      </c>
      <c r="J1093" t="s">
        <v>22</v>
      </c>
      <c r="K1093" t="s">
        <v>25</v>
      </c>
      <c r="L1093" t="s">
        <v>9885</v>
      </c>
      <c r="M1093" t="s">
        <v>25</v>
      </c>
      <c r="N1093" t="s">
        <v>9886</v>
      </c>
      <c r="O1093" t="s">
        <v>25</v>
      </c>
      <c r="P1093" t="s">
        <v>9887</v>
      </c>
      <c r="Q1093" t="s">
        <v>29</v>
      </c>
      <c r="R1093" t="s">
        <v>9883</v>
      </c>
      <c r="S1093" t="s">
        <v>9884</v>
      </c>
    </row>
    <row r="1094" spans="1:19" x14ac:dyDescent="0.25">
      <c r="A1094" s="1">
        <v>1092</v>
      </c>
      <c r="B1094" t="str">
        <f>HYPERLINK("https://www.dasschnelle.at/hintersteiner-christian-oberamt","Website")</f>
        <v>Website</v>
      </c>
      <c r="C1094" t="str">
        <f>HYPERLINK("http://www.sandundschotterwerk.at","Website")</f>
        <v>Website</v>
      </c>
      <c r="D1094" t="str">
        <f>HYPERLINK("http://www.google.com/maps/place/47.9316427,15.0264433","Location")</f>
        <v>Location</v>
      </c>
      <c r="E1094" t="s">
        <v>9888</v>
      </c>
      <c r="F1094" t="s">
        <v>9889</v>
      </c>
      <c r="G1094" t="s">
        <v>9890</v>
      </c>
      <c r="H1094" t="s">
        <v>9891</v>
      </c>
      <c r="I1094" t="s">
        <v>25</v>
      </c>
      <c r="J1094" t="s">
        <v>22</v>
      </c>
      <c r="K1094" t="s">
        <v>25</v>
      </c>
      <c r="L1094" t="s">
        <v>9894</v>
      </c>
      <c r="M1094" t="s">
        <v>25</v>
      </c>
      <c r="N1094" t="s">
        <v>9895</v>
      </c>
      <c r="O1094" t="s">
        <v>9896</v>
      </c>
      <c r="P1094" t="s">
        <v>9897</v>
      </c>
      <c r="Q1094" t="s">
        <v>29</v>
      </c>
      <c r="R1094" t="s">
        <v>9892</v>
      </c>
      <c r="S1094" t="s">
        <v>9893</v>
      </c>
    </row>
    <row r="1095" spans="1:19" x14ac:dyDescent="0.25">
      <c r="A1095" s="1">
        <v>1093</v>
      </c>
      <c r="B1095" t="str">
        <f>HYPERLINK("https://www.dasschnelle.at/giovanni-scheibbs-hauptstraße","Website")</f>
        <v>Website</v>
      </c>
      <c r="C1095" t="str">
        <f>HYPERLINK("http://www.giovanni-scheibbs.at","Website")</f>
        <v>Website</v>
      </c>
      <c r="D1095" t="str">
        <f>HYPERLINK("http://www.google.com/maps/place/48.00584,15.16661","Location")</f>
        <v>Location</v>
      </c>
      <c r="E1095" t="s">
        <v>9898</v>
      </c>
      <c r="F1095" t="s">
        <v>9899</v>
      </c>
      <c r="G1095" t="s">
        <v>9836</v>
      </c>
      <c r="H1095" t="s">
        <v>9837</v>
      </c>
      <c r="I1095" t="s">
        <v>177</v>
      </c>
      <c r="J1095" t="s">
        <v>22</v>
      </c>
      <c r="K1095" t="s">
        <v>9900</v>
      </c>
      <c r="L1095" t="s">
        <v>9903</v>
      </c>
      <c r="M1095" t="s">
        <v>25</v>
      </c>
      <c r="N1095" t="s">
        <v>9904</v>
      </c>
      <c r="O1095" t="s">
        <v>25</v>
      </c>
      <c r="P1095" t="s">
        <v>9905</v>
      </c>
      <c r="Q1095" t="s">
        <v>29</v>
      </c>
      <c r="R1095" t="s">
        <v>9901</v>
      </c>
      <c r="S1095" t="s">
        <v>9902</v>
      </c>
    </row>
    <row r="1096" spans="1:19" x14ac:dyDescent="0.25">
      <c r="A1096" s="1">
        <v>1094</v>
      </c>
      <c r="B1096" t="str">
        <f>HYPERLINK("https://www.dasschnelle.at/hofstätter-wohndesign-og-purgstall-pöchlarner-straße","Website")</f>
        <v>Website</v>
      </c>
      <c r="C1096" t="str">
        <f>HYPERLINK("http://www.hofstaetter-wohndesign.at","Website")</f>
        <v>Website</v>
      </c>
      <c r="D1096" t="str">
        <f>HYPERLINK("http://www.google.com/maps/place/48.0579200,15.1333400","Location")</f>
        <v>Location</v>
      </c>
      <c r="E1096" t="s">
        <v>9906</v>
      </c>
      <c r="F1096" t="s">
        <v>9907</v>
      </c>
      <c r="G1096" t="s">
        <v>9909</v>
      </c>
      <c r="H1096" t="s">
        <v>9910</v>
      </c>
      <c r="I1096" t="s">
        <v>177</v>
      </c>
      <c r="J1096" t="s">
        <v>22</v>
      </c>
      <c r="K1096" t="s">
        <v>9908</v>
      </c>
      <c r="L1096" t="s">
        <v>9913</v>
      </c>
      <c r="M1096" t="s">
        <v>25</v>
      </c>
      <c r="N1096" t="s">
        <v>9914</v>
      </c>
      <c r="O1096" t="s">
        <v>25</v>
      </c>
      <c r="P1096" t="s">
        <v>9915</v>
      </c>
      <c r="Q1096" t="s">
        <v>29</v>
      </c>
      <c r="R1096" t="s">
        <v>9911</v>
      </c>
      <c r="S1096" t="s">
        <v>9912</v>
      </c>
    </row>
    <row r="1097" spans="1:19" x14ac:dyDescent="0.25">
      <c r="A1097" s="1">
        <v>1095</v>
      </c>
      <c r="B1097" t="str">
        <f>HYPERLINK("https://www.dasschnelle.at/ondrusek-andreas-gries-wieselburger-straße","Website")</f>
        <v>Website</v>
      </c>
      <c r="C1097" t="str">
        <f>HYPERLINK("http://www.ondrusek.at","Website")</f>
        <v>Website</v>
      </c>
      <c r="D1097" t="str">
        <f>HYPERLINK("http://www.google.com/maps/place/48.06958,15.21509","Location")</f>
        <v>Location</v>
      </c>
      <c r="E1097" t="s">
        <v>9916</v>
      </c>
      <c r="F1097" t="s">
        <v>9917</v>
      </c>
      <c r="G1097" t="s">
        <v>9919</v>
      </c>
      <c r="H1097" t="s">
        <v>9920</v>
      </c>
      <c r="I1097" t="s">
        <v>177</v>
      </c>
      <c r="J1097" t="s">
        <v>22</v>
      </c>
      <c r="K1097" t="s">
        <v>9918</v>
      </c>
      <c r="L1097" t="s">
        <v>9923</v>
      </c>
      <c r="M1097" t="s">
        <v>9924</v>
      </c>
      <c r="N1097" t="s">
        <v>9925</v>
      </c>
      <c r="O1097" t="s">
        <v>25</v>
      </c>
      <c r="P1097" t="s">
        <v>9926</v>
      </c>
      <c r="Q1097" t="s">
        <v>29</v>
      </c>
      <c r="R1097" t="s">
        <v>9921</v>
      </c>
      <c r="S1097" t="s">
        <v>9922</v>
      </c>
    </row>
    <row r="1098" spans="1:19" x14ac:dyDescent="0.25">
      <c r="A1098" s="1">
        <v>1096</v>
      </c>
      <c r="B1098" t="str">
        <f>HYPERLINK("https://www.dasschnelle.at/lengauer-andreas-gresten-unterer-markt","Website")</f>
        <v>Website</v>
      </c>
      <c r="C1098" t="str">
        <f>HYPERLINK("http://www.ihr-meistermaler.at","Website")</f>
        <v>Website</v>
      </c>
      <c r="D1098" t="str">
        <f>HYPERLINK("http://www.google.com/maps/place/47.98437,15.02558","Location")</f>
        <v>Location</v>
      </c>
      <c r="E1098" t="s">
        <v>9927</v>
      </c>
      <c r="F1098" t="s">
        <v>9928</v>
      </c>
      <c r="G1098" t="s">
        <v>9890</v>
      </c>
      <c r="H1098" t="s">
        <v>9930</v>
      </c>
      <c r="I1098" t="s">
        <v>177</v>
      </c>
      <c r="J1098" t="s">
        <v>22</v>
      </c>
      <c r="K1098" t="s">
        <v>9929</v>
      </c>
      <c r="L1098" t="s">
        <v>9933</v>
      </c>
      <c r="M1098" t="s">
        <v>25</v>
      </c>
      <c r="N1098" t="s">
        <v>9934</v>
      </c>
      <c r="O1098" t="s">
        <v>25</v>
      </c>
      <c r="P1098" t="s">
        <v>9935</v>
      </c>
      <c r="Q1098" t="s">
        <v>29</v>
      </c>
      <c r="R1098" t="s">
        <v>9931</v>
      </c>
      <c r="S1098" t="s">
        <v>9932</v>
      </c>
    </row>
    <row r="1099" spans="1:19" x14ac:dyDescent="0.25">
      <c r="A1099" s="1">
        <v>1097</v>
      </c>
      <c r="B1099" t="str">
        <f>HYPERLINK("https://www.dasschnelle.at/haselmaier-elektrotechnik-gmbh-scheibbs-miesenbach","Website")</f>
        <v>Website</v>
      </c>
      <c r="C1099" t="str">
        <f>HYPERLINK("http://www.haselmaier.at","Website")</f>
        <v>Website</v>
      </c>
      <c r="D1099" t="str">
        <f>HYPERLINK("http://www.google.com/maps/place/47.9873648,15.1672722","Location")</f>
        <v>Location</v>
      </c>
      <c r="E1099" t="s">
        <v>9936</v>
      </c>
      <c r="F1099" t="s">
        <v>9937</v>
      </c>
      <c r="G1099" t="s">
        <v>9836</v>
      </c>
      <c r="H1099" t="s">
        <v>9837</v>
      </c>
      <c r="I1099" t="s">
        <v>177</v>
      </c>
      <c r="J1099" t="s">
        <v>22</v>
      </c>
      <c r="K1099" t="s">
        <v>9938</v>
      </c>
      <c r="L1099" t="s">
        <v>9941</v>
      </c>
      <c r="M1099" t="s">
        <v>25</v>
      </c>
      <c r="N1099" t="s">
        <v>9942</v>
      </c>
      <c r="O1099" t="s">
        <v>25</v>
      </c>
      <c r="P1099" t="s">
        <v>697</v>
      </c>
      <c r="Q1099" t="s">
        <v>29</v>
      </c>
      <c r="R1099" t="s">
        <v>9939</v>
      </c>
      <c r="S1099" t="s">
        <v>9940</v>
      </c>
    </row>
    <row r="1100" spans="1:19" x14ac:dyDescent="0.25">
      <c r="A1100" s="1">
        <v>1098</v>
      </c>
      <c r="B1100" t="str">
        <f>HYPERLINK("https://www.dasschnelle.at/apotheke-ötscherland-gaming-im-markt","Website")</f>
        <v>Website</v>
      </c>
      <c r="C1100" t="str">
        <f>HYPERLINK("http://www.apotheke-gaming.at","Website")</f>
        <v>Website</v>
      </c>
      <c r="D1100" t="str">
        <f>HYPERLINK("http://www.google.com/maps/place/47.92834,15.08932","Location")</f>
        <v>Location</v>
      </c>
      <c r="E1100" t="s">
        <v>9943</v>
      </c>
      <c r="F1100" t="s">
        <v>9944</v>
      </c>
      <c r="G1100" t="s">
        <v>9853</v>
      </c>
      <c r="H1100" t="s">
        <v>9854</v>
      </c>
      <c r="I1100" t="s">
        <v>177</v>
      </c>
      <c r="J1100" t="s">
        <v>22</v>
      </c>
      <c r="K1100" t="s">
        <v>9945</v>
      </c>
      <c r="L1100" t="s">
        <v>9948</v>
      </c>
      <c r="M1100" t="s">
        <v>25</v>
      </c>
      <c r="N1100" t="s">
        <v>9949</v>
      </c>
      <c r="O1100" t="s">
        <v>9950</v>
      </c>
      <c r="P1100" t="s">
        <v>9951</v>
      </c>
      <c r="Q1100" t="s">
        <v>29</v>
      </c>
      <c r="R1100" t="s">
        <v>9946</v>
      </c>
      <c r="S1100" t="s">
        <v>9947</v>
      </c>
    </row>
    <row r="1101" spans="1:19" x14ac:dyDescent="0.25">
      <c r="A1101" s="1">
        <v>1099</v>
      </c>
      <c r="B1101" t="str">
        <f>HYPERLINK("https://www.dasschnelle.at/fahrnberger-monika-dr-scheibbs-rathausstiege","Website")</f>
        <v>Website</v>
      </c>
      <c r="C1101" t="str">
        <f>HYPERLINK("https://www.dasschnelle.at/fahrnberger-monika-dr-scheibbs-rathausstiege","Website")</f>
        <v>Website</v>
      </c>
      <c r="D1101" t="str">
        <f>HYPERLINK("http://www.google.com/maps/place/48.00556,15.16722","Location")</f>
        <v>Location</v>
      </c>
      <c r="E1101" t="s">
        <v>9952</v>
      </c>
      <c r="F1101" t="s">
        <v>9953</v>
      </c>
      <c r="G1101" t="s">
        <v>9836</v>
      </c>
      <c r="H1101" t="s">
        <v>9837</v>
      </c>
      <c r="I1101" t="s">
        <v>177</v>
      </c>
      <c r="J1101" t="s">
        <v>22</v>
      </c>
      <c r="K1101" t="s">
        <v>9954</v>
      </c>
      <c r="L1101" t="s">
        <v>9957</v>
      </c>
      <c r="M1101" t="s">
        <v>25</v>
      </c>
      <c r="N1101" t="s">
        <v>25</v>
      </c>
      <c r="O1101" t="s">
        <v>25</v>
      </c>
      <c r="P1101" t="s">
        <v>9958</v>
      </c>
      <c r="Q1101" t="s">
        <v>29</v>
      </c>
      <c r="R1101" t="s">
        <v>9955</v>
      </c>
      <c r="S1101" t="s">
        <v>9956</v>
      </c>
    </row>
    <row r="1102" spans="1:19" x14ac:dyDescent="0.25">
      <c r="A1102" s="1">
        <v>1100</v>
      </c>
      <c r="B1102" t="str">
        <f>HYPERLINK("https://www.dasschnelle.at/abfallsammelzentrum-gemeindeverband-f-umweltschutz-u-abgabeneinhebung-purgstall-petzelsdorfer-straße","Website")</f>
        <v>Website</v>
      </c>
      <c r="C1102" t="str">
        <f>HYPERLINK("http://www.umweltverbu00e4nde.at","Website")</f>
        <v>Website</v>
      </c>
      <c r="D1102" t="str">
        <f>HYPERLINK("http://www.google.com/maps/place/48.0624221,15.1458065","Location")</f>
        <v>Location</v>
      </c>
      <c r="E1102" t="s">
        <v>9959</v>
      </c>
      <c r="F1102" t="s">
        <v>9960</v>
      </c>
      <c r="G1102" t="s">
        <v>9909</v>
      </c>
      <c r="H1102" t="s">
        <v>9910</v>
      </c>
      <c r="I1102" t="s">
        <v>177</v>
      </c>
      <c r="J1102" t="s">
        <v>22</v>
      </c>
      <c r="K1102" t="s">
        <v>9961</v>
      </c>
      <c r="L1102" t="s">
        <v>9964</v>
      </c>
      <c r="M1102" t="s">
        <v>25</v>
      </c>
      <c r="N1102" t="s">
        <v>9965</v>
      </c>
      <c r="O1102" t="s">
        <v>25</v>
      </c>
      <c r="P1102" t="s">
        <v>9966</v>
      </c>
      <c r="Q1102" t="s">
        <v>29</v>
      </c>
      <c r="R1102" t="s">
        <v>9962</v>
      </c>
      <c r="S1102" t="s">
        <v>9963</v>
      </c>
    </row>
    <row r="1103" spans="1:19" x14ac:dyDescent="0.25">
      <c r="A1103" s="1">
        <v>1101</v>
      </c>
      <c r="B1103" t="str">
        <f>HYPERLINK("https://www.dasschnelle.at/bruckner-haustechnik-gmbh-purgstall-hochrießer-straße","Website")</f>
        <v>Website</v>
      </c>
      <c r="C1103" t="str">
        <f>HYPERLINK("http://www.haustechnikbruckner.at","Website")</f>
        <v>Website</v>
      </c>
      <c r="D1103" t="str">
        <f>HYPERLINK("http://www.google.com/maps/place/48.0629188,15.1390410","Location")</f>
        <v>Location</v>
      </c>
      <c r="E1103" t="s">
        <v>9967</v>
      </c>
      <c r="F1103" t="s">
        <v>9968</v>
      </c>
      <c r="G1103" t="s">
        <v>9909</v>
      </c>
      <c r="H1103" t="s">
        <v>9910</v>
      </c>
      <c r="I1103" t="s">
        <v>177</v>
      </c>
      <c r="J1103" t="s">
        <v>22</v>
      </c>
      <c r="K1103" t="s">
        <v>9969</v>
      </c>
      <c r="L1103" t="s">
        <v>9972</v>
      </c>
      <c r="M1103" t="s">
        <v>25</v>
      </c>
      <c r="N1103" t="s">
        <v>9973</v>
      </c>
      <c r="O1103" t="s">
        <v>25</v>
      </c>
      <c r="P1103" t="s">
        <v>9974</v>
      </c>
      <c r="Q1103" t="s">
        <v>29</v>
      </c>
      <c r="R1103" t="s">
        <v>9970</v>
      </c>
      <c r="S1103" t="s">
        <v>9971</v>
      </c>
    </row>
    <row r="1104" spans="1:19" x14ac:dyDescent="0.25">
      <c r="A1104" s="1">
        <v>1102</v>
      </c>
      <c r="B1104" t="str">
        <f>HYPERLINK("https://www.dasschnelle.at/rauner-gesmbh-petzenkirchen-wiener-straße","Website")</f>
        <v>Website</v>
      </c>
      <c r="C1104" t="str">
        <f>HYPERLINK("http://www.rauner.at","Website")</f>
        <v>Website</v>
      </c>
      <c r="D1104" t="str">
        <f>HYPERLINK("http://www.google.com/maps/place/48.14424,15.1543","Location")</f>
        <v>Location</v>
      </c>
      <c r="E1104" t="s">
        <v>9975</v>
      </c>
      <c r="F1104" t="s">
        <v>9976</v>
      </c>
      <c r="G1104" t="s">
        <v>9978</v>
      </c>
      <c r="H1104" t="s">
        <v>9979</v>
      </c>
      <c r="I1104" t="s">
        <v>177</v>
      </c>
      <c r="J1104" t="s">
        <v>22</v>
      </c>
      <c r="K1104" t="s">
        <v>9977</v>
      </c>
      <c r="L1104" t="s">
        <v>9982</v>
      </c>
      <c r="M1104" t="s">
        <v>25</v>
      </c>
      <c r="N1104" t="s">
        <v>9983</v>
      </c>
      <c r="O1104" t="s">
        <v>9984</v>
      </c>
      <c r="P1104" t="s">
        <v>9985</v>
      </c>
      <c r="Q1104" t="s">
        <v>29</v>
      </c>
      <c r="R1104" t="s">
        <v>9980</v>
      </c>
      <c r="S1104" t="s">
        <v>9981</v>
      </c>
    </row>
    <row r="1105" spans="1:19" x14ac:dyDescent="0.25">
      <c r="A1105" s="1">
        <v>1103</v>
      </c>
      <c r="B1105" t="str">
        <f>HYPERLINK("https://www.dasschnelle.at/kreipl-gesmbh-gresten-ybbsbachstraße","Website")</f>
        <v>Website</v>
      </c>
      <c r="C1105" t="str">
        <f>HYPERLINK("http://www.kreipl.at","Website")</f>
        <v>Website</v>
      </c>
      <c r="D1105" t="str">
        <f>HYPERLINK("http://www.google.com/maps/place/47.96867,15.02378","Location")</f>
        <v>Location</v>
      </c>
      <c r="E1105" t="s">
        <v>9986</v>
      </c>
      <c r="F1105" t="s">
        <v>9987</v>
      </c>
      <c r="G1105" t="s">
        <v>9890</v>
      </c>
      <c r="H1105" t="s">
        <v>9930</v>
      </c>
      <c r="I1105" t="s">
        <v>177</v>
      </c>
      <c r="J1105" t="s">
        <v>22</v>
      </c>
      <c r="K1105" t="s">
        <v>9988</v>
      </c>
      <c r="L1105" t="s">
        <v>9991</v>
      </c>
      <c r="M1105" t="s">
        <v>25</v>
      </c>
      <c r="N1105" t="s">
        <v>9992</v>
      </c>
      <c r="O1105" t="s">
        <v>25</v>
      </c>
      <c r="P1105" t="s">
        <v>9993</v>
      </c>
      <c r="Q1105" t="s">
        <v>29</v>
      </c>
      <c r="R1105" t="s">
        <v>9989</v>
      </c>
      <c r="S1105" t="s">
        <v>9990</v>
      </c>
    </row>
    <row r="1106" spans="1:19" x14ac:dyDescent="0.25">
      <c r="A1106" s="1">
        <v>1104</v>
      </c>
      <c r="B1106" t="str">
        <f>HYPERLINK("https://www.dasschnelle.at/kaufhaus-leyrer-gmbh-steinakirchen-am-forst-unterer-markt","Website")</f>
        <v>Website</v>
      </c>
      <c r="C1106" t="str">
        <f>HYPERLINK("http://www.leyrer.at","Website")</f>
        <v>Website</v>
      </c>
      <c r="D1106" t="str">
        <f>HYPERLINK("http://www.google.com/maps/place/48.0672,15.05033","Location")</f>
        <v>Location</v>
      </c>
      <c r="E1106" t="s">
        <v>9994</v>
      </c>
      <c r="F1106" t="s">
        <v>9995</v>
      </c>
      <c r="G1106" t="s">
        <v>9997</v>
      </c>
      <c r="H1106" t="s">
        <v>9998</v>
      </c>
      <c r="I1106" t="s">
        <v>177</v>
      </c>
      <c r="J1106" t="s">
        <v>22</v>
      </c>
      <c r="K1106" t="s">
        <v>9996</v>
      </c>
      <c r="L1106" t="s">
        <v>10001</v>
      </c>
      <c r="M1106" t="s">
        <v>25</v>
      </c>
      <c r="N1106" t="s">
        <v>10002</v>
      </c>
      <c r="O1106" t="s">
        <v>25</v>
      </c>
      <c r="P1106" t="s">
        <v>10003</v>
      </c>
      <c r="Q1106" t="s">
        <v>29</v>
      </c>
      <c r="R1106" t="s">
        <v>9999</v>
      </c>
      <c r="S1106" t="s">
        <v>10000</v>
      </c>
    </row>
    <row r="1107" spans="1:19" x14ac:dyDescent="0.25">
      <c r="A1107" s="1">
        <v>1105</v>
      </c>
      <c r="B1107" t="str">
        <f>HYPERLINK("https://www.dasschnelle.at/fries-stefan-wieselburg-rottenhauser-straße","Website")</f>
        <v>Website</v>
      </c>
      <c r="C1107" t="str">
        <f>HYPERLINK("http://www.ortho-fries.at","Website")</f>
        <v>Website</v>
      </c>
      <c r="D1107" t="str">
        <f>HYPERLINK("http://www.google.com/maps/place/48.12765,15.14359","Location")</f>
        <v>Location</v>
      </c>
      <c r="E1107" t="s">
        <v>10004</v>
      </c>
      <c r="F1107" t="s">
        <v>10005</v>
      </c>
      <c r="G1107" t="s">
        <v>9881</v>
      </c>
      <c r="H1107" t="s">
        <v>10007</v>
      </c>
      <c r="I1107" t="s">
        <v>177</v>
      </c>
      <c r="J1107" t="s">
        <v>22</v>
      </c>
      <c r="K1107" t="s">
        <v>10006</v>
      </c>
      <c r="L1107" t="s">
        <v>10010</v>
      </c>
      <c r="M1107" t="s">
        <v>25</v>
      </c>
      <c r="N1107" t="s">
        <v>10011</v>
      </c>
      <c r="O1107" t="s">
        <v>25</v>
      </c>
      <c r="P1107" t="s">
        <v>10012</v>
      </c>
      <c r="Q1107" t="s">
        <v>29</v>
      </c>
      <c r="R1107" t="s">
        <v>10008</v>
      </c>
      <c r="S1107" t="s">
        <v>10009</v>
      </c>
    </row>
    <row r="1108" spans="1:19" x14ac:dyDescent="0.25">
      <c r="A1108" s="1">
        <v>1106</v>
      </c>
      <c r="B1108" t="str">
        <f>HYPERLINK("https://www.dasschnelle.at/stöger-bau-steinakirchen-am-forst-habergstraße","Website")</f>
        <v>Website</v>
      </c>
      <c r="C1108" t="str">
        <f>HYPERLINK("http://www.stoegerbau.at","Website")</f>
        <v>Website</v>
      </c>
      <c r="D1108" t="str">
        <f>HYPERLINK("http://www.google.com/maps/place/48.06741,15.04297","Location")</f>
        <v>Location</v>
      </c>
      <c r="E1108" t="s">
        <v>10013</v>
      </c>
      <c r="F1108" t="s">
        <v>10014</v>
      </c>
      <c r="G1108" t="s">
        <v>9997</v>
      </c>
      <c r="H1108" t="s">
        <v>9998</v>
      </c>
      <c r="I1108" t="s">
        <v>177</v>
      </c>
      <c r="J1108" t="s">
        <v>22</v>
      </c>
      <c r="K1108" t="s">
        <v>10015</v>
      </c>
      <c r="L1108" t="s">
        <v>10018</v>
      </c>
      <c r="M1108" t="s">
        <v>25</v>
      </c>
      <c r="N1108" t="s">
        <v>10019</v>
      </c>
      <c r="O1108" t="s">
        <v>25</v>
      </c>
      <c r="P1108" t="s">
        <v>10020</v>
      </c>
      <c r="Q1108" t="s">
        <v>29</v>
      </c>
      <c r="R1108" t="s">
        <v>10016</v>
      </c>
      <c r="S1108" t="s">
        <v>10017</v>
      </c>
    </row>
    <row r="1109" spans="1:19" x14ac:dyDescent="0.25">
      <c r="A1109" s="1">
        <v>1107</v>
      </c>
      <c r="B1109" t="str">
        <f>HYPERLINK("https://www.dasschnelle.at/wei-lei-kg-wieselburg-wiener-straße","Website")</f>
        <v>Website</v>
      </c>
      <c r="C1109" t="str">
        <f>HYPERLINK("https://www.dasschnelle.at/wei-lei-kg-wieselburg-wiener-stra%C3%9Fe","Website")</f>
        <v>Website</v>
      </c>
      <c r="D1109" t="str">
        <f>HYPERLINK("http://www.google.com/maps/place/48.13251,15.13929","Location")</f>
        <v>Location</v>
      </c>
      <c r="E1109" t="s">
        <v>10021</v>
      </c>
      <c r="F1109" t="s">
        <v>10022</v>
      </c>
      <c r="G1109" t="s">
        <v>9881</v>
      </c>
      <c r="H1109" t="s">
        <v>10007</v>
      </c>
      <c r="I1109" t="s">
        <v>177</v>
      </c>
      <c r="J1109" t="s">
        <v>22</v>
      </c>
      <c r="K1109" t="s">
        <v>10023</v>
      </c>
      <c r="L1109" t="s">
        <v>10026</v>
      </c>
      <c r="M1109" t="s">
        <v>25</v>
      </c>
      <c r="N1109" t="s">
        <v>10027</v>
      </c>
      <c r="O1109" t="s">
        <v>25</v>
      </c>
      <c r="P1109" t="s">
        <v>10028</v>
      </c>
      <c r="Q1109" t="s">
        <v>29</v>
      </c>
      <c r="R1109" t="s">
        <v>10024</v>
      </c>
      <c r="S1109" t="s">
        <v>10025</v>
      </c>
    </row>
    <row r="1110" spans="1:19" x14ac:dyDescent="0.25">
      <c r="A1110" s="1">
        <v>1108</v>
      </c>
      <c r="B1110" t="str">
        <f>HYPERLINK("https://www.dasschnelle.at/rottner-autohaus-toyota-vertragshändler-göstling-an-der-ybbs-stixenlehen","Website")</f>
        <v>Website</v>
      </c>
      <c r="C1110" t="str">
        <f>HYPERLINK("http://www.autohaus-rottner.at","Website")</f>
        <v>Website</v>
      </c>
      <c r="D1110" t="str">
        <f>HYPERLINK("http://www.google.com/maps/place/47.8070014,14.9383721","Location")</f>
        <v>Location</v>
      </c>
      <c r="E1110" t="s">
        <v>10029</v>
      </c>
      <c r="F1110" t="s">
        <v>10030</v>
      </c>
      <c r="G1110" t="s">
        <v>10032</v>
      </c>
      <c r="H1110" t="s">
        <v>10033</v>
      </c>
      <c r="I1110" t="s">
        <v>177</v>
      </c>
      <c r="J1110" t="s">
        <v>22</v>
      </c>
      <c r="K1110" t="s">
        <v>10031</v>
      </c>
      <c r="L1110" t="s">
        <v>10036</v>
      </c>
      <c r="M1110" t="s">
        <v>25</v>
      </c>
      <c r="N1110" t="s">
        <v>10037</v>
      </c>
      <c r="O1110" t="s">
        <v>25</v>
      </c>
      <c r="P1110" t="s">
        <v>10038</v>
      </c>
      <c r="Q1110" t="s">
        <v>29</v>
      </c>
      <c r="R1110" t="s">
        <v>10034</v>
      </c>
      <c r="S1110" t="s">
        <v>10035</v>
      </c>
    </row>
    <row r="1111" spans="1:19" x14ac:dyDescent="0.25">
      <c r="A1111" s="1">
        <v>1109</v>
      </c>
      <c r="B1111" t="str">
        <f>HYPERLINK("https://www.dasschnelle.at/loisl-christoph-wieselburg-lagergasse","Website")</f>
        <v>Website</v>
      </c>
      <c r="C1111" t="str">
        <f>HYPERLINK("http://www.loisl.at","Website")</f>
        <v>Website</v>
      </c>
      <c r="D1111" t="str">
        <f>HYPERLINK("http://www.google.com/maps/place/48.1280300,15.1470600","Location")</f>
        <v>Location</v>
      </c>
      <c r="E1111" t="s">
        <v>10039</v>
      </c>
      <c r="F1111" t="s">
        <v>10040</v>
      </c>
      <c r="G1111" t="s">
        <v>9881</v>
      </c>
      <c r="H1111" t="s">
        <v>10007</v>
      </c>
      <c r="I1111" t="s">
        <v>177</v>
      </c>
      <c r="J1111" t="s">
        <v>22</v>
      </c>
      <c r="K1111" t="s">
        <v>10041</v>
      </c>
      <c r="L1111" t="s">
        <v>10044</v>
      </c>
      <c r="M1111" t="s">
        <v>25</v>
      </c>
      <c r="N1111" t="s">
        <v>10045</v>
      </c>
      <c r="O1111" t="s">
        <v>25</v>
      </c>
      <c r="P1111" t="s">
        <v>10046</v>
      </c>
      <c r="Q1111" t="s">
        <v>29</v>
      </c>
      <c r="R1111" t="s">
        <v>10042</v>
      </c>
      <c r="S1111" t="s">
        <v>10043</v>
      </c>
    </row>
    <row r="1112" spans="1:19" x14ac:dyDescent="0.25">
      <c r="A1112" s="1">
        <v>1110</v>
      </c>
      <c r="B1112" t="str">
        <f>HYPERLINK("https://www.dasschnelle.at/stöckl-bianca-purgstall-ötscherlandstraße","Website")</f>
        <v>Website</v>
      </c>
      <c r="C1112" t="str">
        <f>HYPERLINK("http://www.hairstyle-stoeckl.at","Website")</f>
        <v>Website</v>
      </c>
      <c r="D1112" t="str">
        <f>HYPERLINK("http://www.google.com/maps/place/48.0551562,15.1391727","Location")</f>
        <v>Location</v>
      </c>
      <c r="E1112" t="s">
        <v>10047</v>
      </c>
      <c r="F1112" t="s">
        <v>10048</v>
      </c>
      <c r="G1112" t="s">
        <v>9909</v>
      </c>
      <c r="H1112" t="s">
        <v>9910</v>
      </c>
      <c r="I1112" t="s">
        <v>177</v>
      </c>
      <c r="J1112" t="s">
        <v>22</v>
      </c>
      <c r="K1112" t="s">
        <v>10049</v>
      </c>
      <c r="L1112" t="s">
        <v>10052</v>
      </c>
      <c r="M1112" t="s">
        <v>25</v>
      </c>
      <c r="N1112" t="s">
        <v>10053</v>
      </c>
      <c r="O1112" t="s">
        <v>25</v>
      </c>
      <c r="P1112" t="s">
        <v>10054</v>
      </c>
      <c r="Q1112" t="s">
        <v>29</v>
      </c>
      <c r="R1112" t="s">
        <v>10050</v>
      </c>
      <c r="S1112" t="s">
        <v>10051</v>
      </c>
    </row>
    <row r="1113" spans="1:19" x14ac:dyDescent="0.25">
      <c r="A1113" s="1">
        <v>1111</v>
      </c>
      <c r="B1113" t="str">
        <f>HYPERLINK("https://www.dasschnelle.at/gs-elektrotechnik-scheibbs-hans-fischer-weg-3","Website")</f>
        <v>Website</v>
      </c>
      <c r="C1113" t="str">
        <f>HYPERLINK("http://www.gs-etech.at","Website")</f>
        <v>Website</v>
      </c>
      <c r="D1113" t="str">
        <f>HYPERLINK("http://www.google.com/maps/place/48.00303,15.16331","Location")</f>
        <v>Location</v>
      </c>
      <c r="E1113" t="s">
        <v>10055</v>
      </c>
      <c r="F1113" t="s">
        <v>10056</v>
      </c>
      <c r="G1113" t="s">
        <v>9836</v>
      </c>
      <c r="H1113" t="s">
        <v>9837</v>
      </c>
      <c r="I1113" t="s">
        <v>177</v>
      </c>
      <c r="J1113" t="s">
        <v>22</v>
      </c>
      <c r="K1113" t="s">
        <v>10057</v>
      </c>
      <c r="L1113" t="s">
        <v>10060</v>
      </c>
      <c r="M1113" t="s">
        <v>25</v>
      </c>
      <c r="N1113" t="s">
        <v>10061</v>
      </c>
      <c r="O1113" t="s">
        <v>25</v>
      </c>
      <c r="P1113" t="s">
        <v>697</v>
      </c>
      <c r="Q1113" t="s">
        <v>29</v>
      </c>
      <c r="R1113" t="s">
        <v>10058</v>
      </c>
      <c r="S1113" t="s">
        <v>10059</v>
      </c>
    </row>
    <row r="1114" spans="1:19" x14ac:dyDescent="0.25">
      <c r="A1114" s="1">
        <v>1112</v>
      </c>
      <c r="B1114" t="str">
        <f>HYPERLINK("https://www.dasschnelle.at/kaufmann-gesmbh-gaming-im-markt","Website")</f>
        <v>Website</v>
      </c>
      <c r="C1114" t="str">
        <f>HYPERLINK("http://www.kaufmann-haustechnik.at","Website")</f>
        <v>Website</v>
      </c>
      <c r="D1114" t="str">
        <f>HYPERLINK("http://www.google.com/maps/place/47.9293,15.0887","Location")</f>
        <v>Location</v>
      </c>
      <c r="E1114" t="s">
        <v>10062</v>
      </c>
      <c r="F1114" t="s">
        <v>10063</v>
      </c>
      <c r="G1114" t="s">
        <v>9853</v>
      </c>
      <c r="H1114" t="s">
        <v>9854</v>
      </c>
      <c r="I1114" t="s">
        <v>177</v>
      </c>
      <c r="J1114" t="s">
        <v>22</v>
      </c>
      <c r="K1114" t="s">
        <v>10064</v>
      </c>
      <c r="L1114" t="s">
        <v>10067</v>
      </c>
      <c r="M1114" t="s">
        <v>25</v>
      </c>
      <c r="N1114" t="s">
        <v>10068</v>
      </c>
      <c r="O1114" t="s">
        <v>25</v>
      </c>
      <c r="P1114" t="s">
        <v>10069</v>
      </c>
      <c r="Q1114" t="s">
        <v>29</v>
      </c>
      <c r="R1114" t="s">
        <v>10065</v>
      </c>
      <c r="S1114" t="s">
        <v>10066</v>
      </c>
    </row>
    <row r="1115" spans="1:19" x14ac:dyDescent="0.25">
      <c r="A1115" s="1">
        <v>1113</v>
      </c>
      <c r="B1115" t="str">
        <f>HYPERLINK("https://www.dasschnelle.at/hahnebacher-tischlerei-gaming-ötscherlandstraße","Website")</f>
        <v>Website</v>
      </c>
      <c r="C1115" t="str">
        <f>HYPERLINK("http://www.hahnebacher.at/","Website")</f>
        <v>Website</v>
      </c>
      <c r="D1115" t="str">
        <f>HYPERLINK("http://www.google.com/maps/place/47.9271500,15.0854900","Location")</f>
        <v>Location</v>
      </c>
      <c r="E1115" t="s">
        <v>10070</v>
      </c>
      <c r="F1115" t="s">
        <v>10071</v>
      </c>
      <c r="G1115" t="s">
        <v>9853</v>
      </c>
      <c r="H1115" t="s">
        <v>9854</v>
      </c>
      <c r="I1115" t="s">
        <v>177</v>
      </c>
      <c r="J1115" t="s">
        <v>22</v>
      </c>
      <c r="K1115" t="s">
        <v>10072</v>
      </c>
      <c r="L1115" t="s">
        <v>10075</v>
      </c>
      <c r="M1115" t="s">
        <v>25</v>
      </c>
      <c r="N1115" t="s">
        <v>10076</v>
      </c>
      <c r="O1115" t="s">
        <v>25</v>
      </c>
      <c r="P1115" t="s">
        <v>10077</v>
      </c>
      <c r="Q1115" t="s">
        <v>29</v>
      </c>
      <c r="R1115" t="s">
        <v>10073</v>
      </c>
      <c r="S1115" t="s">
        <v>10074</v>
      </c>
    </row>
    <row r="1116" spans="1:19" x14ac:dyDescent="0.25">
      <c r="A1116" s="1">
        <v>1114</v>
      </c>
      <c r="B1116" t="str">
        <f>HYPERLINK("https://www.dasschnelle.at/weingartner-und-sturmlehner-gmbh-scheibbs-eisenwurzenstraße","Website")</f>
        <v>Website</v>
      </c>
      <c r="C1116" t="str">
        <f>HYPERLINK("http://www.autohaus-weingartner.at","Website")</f>
        <v>Website</v>
      </c>
      <c r="D1116" t="str">
        <f>HYPERLINK("http://www.google.com/maps/place/48.01486,15.16085","Location")</f>
        <v>Location</v>
      </c>
      <c r="E1116" t="s">
        <v>10078</v>
      </c>
      <c r="F1116" t="s">
        <v>10079</v>
      </c>
      <c r="G1116" t="s">
        <v>9836</v>
      </c>
      <c r="H1116" t="s">
        <v>9837</v>
      </c>
      <c r="I1116" t="s">
        <v>177</v>
      </c>
      <c r="J1116" t="s">
        <v>22</v>
      </c>
      <c r="K1116" t="s">
        <v>10080</v>
      </c>
      <c r="L1116" t="s">
        <v>10083</v>
      </c>
      <c r="M1116" t="s">
        <v>25</v>
      </c>
      <c r="N1116" t="s">
        <v>10084</v>
      </c>
      <c r="O1116" t="s">
        <v>25</v>
      </c>
      <c r="P1116" t="s">
        <v>10085</v>
      </c>
      <c r="Q1116" t="s">
        <v>29</v>
      </c>
      <c r="R1116" t="s">
        <v>10081</v>
      </c>
      <c r="S1116" t="s">
        <v>10082</v>
      </c>
    </row>
    <row r="1117" spans="1:19" x14ac:dyDescent="0.25">
      <c r="A1117" s="1">
        <v>1115</v>
      </c>
      <c r="B1117" t="str">
        <f>HYPERLINK("https://www.dasschnelle.at/aigner-gmbh-tischlerei-gaming-erlauftalstraße","Website")</f>
        <v>Website</v>
      </c>
      <c r="C1117" t="str">
        <f>HYPERLINK("http://www.moebel-aigner.at","Website")</f>
        <v>Website</v>
      </c>
      <c r="D1117" t="str">
        <f>HYPERLINK("http://www.google.com/maps/place/47.93805,15.09775","Location")</f>
        <v>Location</v>
      </c>
      <c r="E1117" t="s">
        <v>10086</v>
      </c>
      <c r="F1117" t="s">
        <v>10087</v>
      </c>
      <c r="G1117" t="s">
        <v>9853</v>
      </c>
      <c r="H1117" t="s">
        <v>9854</v>
      </c>
      <c r="I1117" t="s">
        <v>177</v>
      </c>
      <c r="J1117" t="s">
        <v>22</v>
      </c>
      <c r="K1117" t="s">
        <v>10088</v>
      </c>
      <c r="L1117" t="s">
        <v>10091</v>
      </c>
      <c r="M1117" t="s">
        <v>25</v>
      </c>
      <c r="N1117" t="s">
        <v>10092</v>
      </c>
      <c r="O1117" t="s">
        <v>25</v>
      </c>
      <c r="P1117" t="s">
        <v>10093</v>
      </c>
      <c r="Q1117" t="s">
        <v>29</v>
      </c>
      <c r="R1117" t="s">
        <v>10089</v>
      </c>
      <c r="S1117" t="s">
        <v>10090</v>
      </c>
    </row>
    <row r="1118" spans="1:19" x14ac:dyDescent="0.25">
      <c r="A1118" s="1">
        <v>1116</v>
      </c>
      <c r="B1118" t="str">
        <f>HYPERLINK("https://www.dasschnelle.at/geppl-monika-gaming-ötscherlandstraße","Website")</f>
        <v>Website</v>
      </c>
      <c r="C1118" t="str">
        <f>HYPERLINK("https://www.dasschnelle.at/geppl-monika-gaming-%C3%B6tscherlandstra%C3%9Fe","Website")</f>
        <v>Website</v>
      </c>
      <c r="D1118" t="str">
        <f>HYPERLINK("http://www.google.com/maps/place/47.9283155,15.0872809","Location")</f>
        <v>Location</v>
      </c>
      <c r="E1118" t="s">
        <v>10094</v>
      </c>
      <c r="F1118" t="s">
        <v>10095</v>
      </c>
      <c r="G1118" t="s">
        <v>9853</v>
      </c>
      <c r="H1118" t="s">
        <v>9854</v>
      </c>
      <c r="I1118" t="s">
        <v>177</v>
      </c>
      <c r="J1118" t="s">
        <v>22</v>
      </c>
      <c r="K1118" t="s">
        <v>10096</v>
      </c>
      <c r="L1118" t="s">
        <v>10099</v>
      </c>
      <c r="M1118" t="s">
        <v>25</v>
      </c>
      <c r="N1118" t="s">
        <v>10100</v>
      </c>
      <c r="O1118" t="s">
        <v>10101</v>
      </c>
      <c r="P1118" t="s">
        <v>10102</v>
      </c>
      <c r="Q1118" t="s">
        <v>29</v>
      </c>
      <c r="R1118" t="s">
        <v>10097</v>
      </c>
      <c r="S1118" t="s">
        <v>10098</v>
      </c>
    </row>
    <row r="1119" spans="1:19" x14ac:dyDescent="0.25">
      <c r="A1119" s="1">
        <v>1117</v>
      </c>
      <c r="B1119" t="str">
        <f>HYPERLINK("https://www.dasschnelle.at/bogenreiter-gmbh-gresten-wiesergraben-wiesengraben","Website")</f>
        <v>Website</v>
      </c>
      <c r="C1119" t="str">
        <f>HYPERLINK("http://www.bogenreiter.at","Website")</f>
        <v>Website</v>
      </c>
      <c r="D1119" t="str">
        <f>HYPERLINK("http://www.google.com/maps/place/47.9487890,15.0290458","Location")</f>
        <v>Location</v>
      </c>
      <c r="E1119" t="s">
        <v>10103</v>
      </c>
      <c r="F1119" t="s">
        <v>10104</v>
      </c>
      <c r="G1119" t="s">
        <v>9890</v>
      </c>
      <c r="H1119" t="s">
        <v>9930</v>
      </c>
      <c r="I1119" t="s">
        <v>25</v>
      </c>
      <c r="J1119" t="s">
        <v>10106</v>
      </c>
      <c r="K1119" t="s">
        <v>10105</v>
      </c>
      <c r="L1119" t="s">
        <v>10109</v>
      </c>
      <c r="M1119" t="s">
        <v>25</v>
      </c>
      <c r="N1119" t="s">
        <v>10110</v>
      </c>
      <c r="O1119" t="s">
        <v>10111</v>
      </c>
      <c r="P1119" t="s">
        <v>10112</v>
      </c>
      <c r="Q1119" t="s">
        <v>29</v>
      </c>
      <c r="R1119" t="s">
        <v>10107</v>
      </c>
      <c r="S1119" t="s">
        <v>10108</v>
      </c>
    </row>
    <row r="1120" spans="1:19" x14ac:dyDescent="0.25">
      <c r="A1120" s="1">
        <v>1118</v>
      </c>
      <c r="B1120" t="str">
        <f>HYPERLINK("https://www.dasschnelle.at/puchegger-metalltechnik-gmbh-oberndorf-melk","Website")</f>
        <v>Website</v>
      </c>
      <c r="C1120" t="str">
        <f>HYPERLINK("http://www.puchegger-metalltechnik.at","Website")</f>
        <v>Website</v>
      </c>
      <c r="D1120" t="str">
        <f>HYPERLINK("http://www.google.com/maps/place/48.0583514,15.2108522","Location")</f>
        <v>Location</v>
      </c>
      <c r="E1120" t="s">
        <v>10113</v>
      </c>
      <c r="F1120" t="s">
        <v>10114</v>
      </c>
      <c r="G1120" t="s">
        <v>9919</v>
      </c>
      <c r="H1120" t="s">
        <v>10116</v>
      </c>
      <c r="I1120" t="s">
        <v>177</v>
      </c>
      <c r="J1120" t="s">
        <v>22</v>
      </c>
      <c r="K1120" t="s">
        <v>10115</v>
      </c>
      <c r="L1120" t="s">
        <v>10119</v>
      </c>
      <c r="M1120" t="s">
        <v>25</v>
      </c>
      <c r="N1120" t="s">
        <v>10120</v>
      </c>
      <c r="O1120" t="s">
        <v>25</v>
      </c>
      <c r="P1120" t="s">
        <v>10121</v>
      </c>
      <c r="Q1120" t="s">
        <v>29</v>
      </c>
      <c r="R1120" t="s">
        <v>10117</v>
      </c>
      <c r="S1120" t="s">
        <v>10118</v>
      </c>
    </row>
    <row r="1121" spans="1:19" x14ac:dyDescent="0.25">
      <c r="A1121" s="1">
        <v>1119</v>
      </c>
      <c r="B1121" t="str">
        <f>HYPERLINK("https://www.dasschnelle.at/möser-manfred-e-u-söllingerwald","Website")</f>
        <v>Website</v>
      </c>
      <c r="C1121" t="str">
        <f>HYPERLINK("http://www.moeserholz.at","Website")</f>
        <v>Website</v>
      </c>
      <c r="D1121" t="str">
        <f>HYPERLINK("http://www.google.com/maps/place/48.0300679,15.1011632","Location")</f>
        <v>Location</v>
      </c>
      <c r="E1121" t="s">
        <v>10122</v>
      </c>
      <c r="F1121" t="s">
        <v>10123</v>
      </c>
      <c r="G1121" t="s">
        <v>9909</v>
      </c>
      <c r="H1121" t="s">
        <v>10124</v>
      </c>
      <c r="I1121" t="s">
        <v>177</v>
      </c>
      <c r="J1121" t="s">
        <v>22</v>
      </c>
      <c r="K1121" t="s">
        <v>25</v>
      </c>
      <c r="L1121" t="s">
        <v>10127</v>
      </c>
      <c r="M1121" t="s">
        <v>10128</v>
      </c>
      <c r="N1121" t="s">
        <v>10129</v>
      </c>
      <c r="O1121" t="s">
        <v>25</v>
      </c>
      <c r="P1121" t="s">
        <v>10130</v>
      </c>
      <c r="Q1121" t="s">
        <v>29</v>
      </c>
      <c r="R1121" t="s">
        <v>10125</v>
      </c>
      <c r="S1121" t="s">
        <v>10126</v>
      </c>
    </row>
    <row r="1122" spans="1:19" x14ac:dyDescent="0.25">
      <c r="A1122" s="1">
        <v>1120</v>
      </c>
      <c r="B1122" t="str">
        <f>HYPERLINK("https://www.dasschnelle.at/elektro-dollfuß-gmbh-oberndorf-an-der-melk-ringstraße","Website")</f>
        <v>Website</v>
      </c>
      <c r="C1122" t="str">
        <f>HYPERLINK("http://www.elektrodollfuss.at","Website")</f>
        <v>Website</v>
      </c>
      <c r="D1122" t="str">
        <f>HYPERLINK("http://www.google.com/maps/place/48.06437,15.21834","Location")</f>
        <v>Location</v>
      </c>
      <c r="E1122" t="s">
        <v>10131</v>
      </c>
      <c r="F1122" t="s">
        <v>10132</v>
      </c>
      <c r="G1122" t="s">
        <v>9919</v>
      </c>
      <c r="H1122" t="s">
        <v>10134</v>
      </c>
      <c r="I1122" t="s">
        <v>177</v>
      </c>
      <c r="J1122" t="s">
        <v>22</v>
      </c>
      <c r="K1122" t="s">
        <v>10133</v>
      </c>
      <c r="L1122" t="s">
        <v>10137</v>
      </c>
      <c r="M1122" t="s">
        <v>25</v>
      </c>
      <c r="N1122" t="s">
        <v>10138</v>
      </c>
      <c r="O1122" t="s">
        <v>25</v>
      </c>
      <c r="P1122" t="s">
        <v>10139</v>
      </c>
      <c r="Q1122" t="s">
        <v>29</v>
      </c>
      <c r="R1122" t="s">
        <v>10135</v>
      </c>
      <c r="S1122" t="s">
        <v>10136</v>
      </c>
    </row>
    <row r="1123" spans="1:19" x14ac:dyDescent="0.25">
      <c r="A1123" s="1">
        <v>1121</v>
      </c>
      <c r="B1123" t="str">
        <f>HYPERLINK("https://www.dasschnelle.at/öllinger-gmbh-wang-am-anger","Website")</f>
        <v>Website</v>
      </c>
      <c r="C1123" t="str">
        <f>HYPERLINK("https://www.dasschnelle.at/%C3%B6llinger-gmbh-wang-am-anger","Website")</f>
        <v>Website</v>
      </c>
      <c r="D1123" t="str">
        <f>HYPERLINK("http://www.google.com/maps/place/48.04087,15.02429","Location")</f>
        <v>Location</v>
      </c>
      <c r="E1123" t="s">
        <v>10140</v>
      </c>
      <c r="F1123" t="s">
        <v>10141</v>
      </c>
      <c r="G1123" t="s">
        <v>10143</v>
      </c>
      <c r="H1123" t="s">
        <v>10144</v>
      </c>
      <c r="I1123" t="s">
        <v>177</v>
      </c>
      <c r="J1123" t="s">
        <v>22</v>
      </c>
      <c r="K1123" t="s">
        <v>10142</v>
      </c>
      <c r="L1123" t="s">
        <v>10147</v>
      </c>
      <c r="M1123" t="s">
        <v>25</v>
      </c>
      <c r="N1123" t="s">
        <v>10148</v>
      </c>
      <c r="O1123" t="s">
        <v>25</v>
      </c>
      <c r="P1123" t="s">
        <v>10149</v>
      </c>
      <c r="Q1123" t="s">
        <v>29</v>
      </c>
      <c r="R1123" t="s">
        <v>10145</v>
      </c>
      <c r="S1123" t="s">
        <v>10146</v>
      </c>
    </row>
    <row r="1124" spans="1:19" x14ac:dyDescent="0.25">
      <c r="A1124" s="1">
        <v>1122</v>
      </c>
      <c r="B1124" t="str">
        <f>HYPERLINK("https://www.dasschnelle.at/selner-elisabeth-gmbh-purgstall-pöchlarner-straße","Website")</f>
        <v>Website</v>
      </c>
      <c r="C1124" t="str">
        <f>HYPERLINK("http://www.gaestehaus-veronika.at","Website")</f>
        <v>Website</v>
      </c>
      <c r="D1124" t="str">
        <f>HYPERLINK("http://www.google.com/maps/place/48.0589975,15.1326791","Location")</f>
        <v>Location</v>
      </c>
      <c r="E1124" t="s">
        <v>10150</v>
      </c>
      <c r="F1124" t="s">
        <v>10151</v>
      </c>
      <c r="G1124" t="s">
        <v>9909</v>
      </c>
      <c r="H1124" t="s">
        <v>9910</v>
      </c>
      <c r="I1124" t="s">
        <v>177</v>
      </c>
      <c r="J1124" t="s">
        <v>22</v>
      </c>
      <c r="K1124" t="s">
        <v>10152</v>
      </c>
      <c r="L1124" t="s">
        <v>10155</v>
      </c>
      <c r="M1124" t="s">
        <v>25</v>
      </c>
      <c r="N1124" t="s">
        <v>10156</v>
      </c>
      <c r="O1124" t="s">
        <v>25</v>
      </c>
      <c r="P1124" t="s">
        <v>10157</v>
      </c>
      <c r="Q1124" t="s">
        <v>29</v>
      </c>
      <c r="R1124" t="s">
        <v>10153</v>
      </c>
      <c r="S1124" t="s">
        <v>10154</v>
      </c>
    </row>
    <row r="1125" spans="1:19" x14ac:dyDescent="0.25">
      <c r="A1125" s="1">
        <v>1123</v>
      </c>
      <c r="B1125" t="str">
        <f>HYPERLINK("https://www.dasschnelle.at/mostlandhof-elisabeth-selner-gmbh-purgstall-schauboden","Website")</f>
        <v>Website</v>
      </c>
      <c r="C1125" t="str">
        <f>HYPERLINK("http://www.mostlandhof.at/","Website")</f>
        <v>Website</v>
      </c>
      <c r="D1125" t="str">
        <f>HYPERLINK("http://www.google.com/maps/place/48.0842797,15.1120949","Location")</f>
        <v>Location</v>
      </c>
      <c r="E1125" t="s">
        <v>10158</v>
      </c>
      <c r="F1125" t="s">
        <v>10159</v>
      </c>
      <c r="G1125" t="s">
        <v>9909</v>
      </c>
      <c r="H1125" t="s">
        <v>9910</v>
      </c>
      <c r="I1125" t="s">
        <v>177</v>
      </c>
      <c r="J1125" t="s">
        <v>22</v>
      </c>
      <c r="K1125" t="s">
        <v>10160</v>
      </c>
      <c r="L1125" t="s">
        <v>10163</v>
      </c>
      <c r="M1125" t="s">
        <v>25</v>
      </c>
      <c r="N1125" t="s">
        <v>10164</v>
      </c>
      <c r="O1125" t="s">
        <v>25</v>
      </c>
      <c r="P1125" t="s">
        <v>10165</v>
      </c>
      <c r="Q1125" t="s">
        <v>29</v>
      </c>
      <c r="R1125" t="s">
        <v>10161</v>
      </c>
      <c r="S1125" t="s">
        <v>10162</v>
      </c>
    </row>
    <row r="1126" spans="1:19" x14ac:dyDescent="0.25">
      <c r="A1126" s="1">
        <v>1124</v>
      </c>
      <c r="B1126" t="str">
        <f>HYPERLINK("https://www.dasschnelle.at/reinbacher-thomas-wieselburg-wiener-straße","Website")</f>
        <v>Website</v>
      </c>
      <c r="C1126" t="str">
        <f>HYPERLINK("http://www.brandschutz-reinbacher.at","Website")</f>
        <v>Website</v>
      </c>
      <c r="D1126" t="str">
        <f>HYPERLINK("http://www.google.com/maps/place/48.13414,15.14103","Location")</f>
        <v>Location</v>
      </c>
      <c r="E1126" t="s">
        <v>10166</v>
      </c>
      <c r="F1126" t="s">
        <v>10167</v>
      </c>
      <c r="G1126" t="s">
        <v>9881</v>
      </c>
      <c r="H1126" t="s">
        <v>10007</v>
      </c>
      <c r="I1126" t="s">
        <v>177</v>
      </c>
      <c r="J1126" t="s">
        <v>22</v>
      </c>
      <c r="K1126" t="s">
        <v>10168</v>
      </c>
      <c r="L1126" t="s">
        <v>10171</v>
      </c>
      <c r="M1126" t="s">
        <v>25</v>
      </c>
      <c r="N1126" t="s">
        <v>10172</v>
      </c>
      <c r="O1126" t="s">
        <v>25</v>
      </c>
      <c r="P1126" t="s">
        <v>10173</v>
      </c>
      <c r="Q1126" t="s">
        <v>29</v>
      </c>
      <c r="R1126" t="s">
        <v>10169</v>
      </c>
      <c r="S1126" t="s">
        <v>10170</v>
      </c>
    </row>
    <row r="1127" spans="1:19" x14ac:dyDescent="0.25">
      <c r="A1127" s="1">
        <v>1125</v>
      </c>
      <c r="B1127" t="str">
        <f>HYPERLINK("https://www.dasschnelle.at/groiß-werner-sölling","Website")</f>
        <v>Website</v>
      </c>
      <c r="C1127" t="str">
        <f>HYPERLINK("https://www.dasschnelle.at/groi%C3%9F-werner-s%C3%B6lling","Website")</f>
        <v>Website</v>
      </c>
      <c r="D1127" t="str">
        <f>HYPERLINK("http://www.google.com/maps/place/48.0471631,15.1301151","Location")</f>
        <v>Location</v>
      </c>
      <c r="E1127" t="s">
        <v>10174</v>
      </c>
      <c r="F1127" t="s">
        <v>10175</v>
      </c>
      <c r="G1127" t="s">
        <v>9909</v>
      </c>
      <c r="H1127" t="s">
        <v>10176</v>
      </c>
      <c r="I1127" t="s">
        <v>177</v>
      </c>
      <c r="J1127" t="s">
        <v>22</v>
      </c>
      <c r="K1127" t="s">
        <v>25</v>
      </c>
      <c r="L1127" t="s">
        <v>10179</v>
      </c>
      <c r="M1127" t="s">
        <v>25</v>
      </c>
      <c r="N1127" t="s">
        <v>10180</v>
      </c>
      <c r="O1127" t="s">
        <v>25</v>
      </c>
      <c r="P1127" t="s">
        <v>10181</v>
      </c>
      <c r="Q1127" t="s">
        <v>29</v>
      </c>
      <c r="R1127" t="s">
        <v>10177</v>
      </c>
      <c r="S1127" t="s">
        <v>10178</v>
      </c>
    </row>
    <row r="1128" spans="1:19" x14ac:dyDescent="0.25">
      <c r="A1128" s="1">
        <v>1126</v>
      </c>
      <c r="B1128" t="str">
        <f>HYPERLINK("https://www.dasschnelle.at/katzensteiner-manfred-göstling-an-der-ybbs","Website")</f>
        <v>Website</v>
      </c>
      <c r="C1128" t="str">
        <f>HYPERLINK("http://www.wasser-und-energie.at","Website")</f>
        <v>Website</v>
      </c>
      <c r="D1128" t="str">
        <f>HYPERLINK("http://www.google.com/maps/place/47.7970578,14.9226250","Location")</f>
        <v>Location</v>
      </c>
      <c r="E1128" t="s">
        <v>10182</v>
      </c>
      <c r="F1128" t="s">
        <v>10183</v>
      </c>
      <c r="G1128" t="s">
        <v>10032</v>
      </c>
      <c r="H1128" t="s">
        <v>10033</v>
      </c>
      <c r="I1128" t="s">
        <v>177</v>
      </c>
      <c r="J1128" t="s">
        <v>22</v>
      </c>
      <c r="K1128" t="s">
        <v>25</v>
      </c>
      <c r="L1128" t="s">
        <v>10186</v>
      </c>
      <c r="M1128" t="s">
        <v>25</v>
      </c>
      <c r="N1128" t="s">
        <v>10187</v>
      </c>
      <c r="O1128" t="s">
        <v>25</v>
      </c>
      <c r="P1128" t="s">
        <v>10188</v>
      </c>
      <c r="Q1128" t="s">
        <v>29</v>
      </c>
      <c r="R1128" t="s">
        <v>10184</v>
      </c>
      <c r="S1128" t="s">
        <v>10185</v>
      </c>
    </row>
    <row r="1129" spans="1:19" x14ac:dyDescent="0.25">
      <c r="A1129" s="1">
        <v>1127</v>
      </c>
      <c r="B1129" t="str">
        <f>HYPERLINK("https://www.dasschnelle.at/harrer-werner-göstling-an-der-ybbs-stixenlehen","Website")</f>
        <v>Website</v>
      </c>
      <c r="C1129" t="str">
        <f>HYPERLINK("http://www.werner-harrer.at","Website")</f>
        <v>Website</v>
      </c>
      <c r="D1129" t="str">
        <f>HYPERLINK("http://www.google.com/maps/place/47.7961582,14.9224770","Location")</f>
        <v>Location</v>
      </c>
      <c r="E1129" t="s">
        <v>10189</v>
      </c>
      <c r="F1129" t="s">
        <v>10190</v>
      </c>
      <c r="G1129" t="s">
        <v>10032</v>
      </c>
      <c r="H1129" t="s">
        <v>10033</v>
      </c>
      <c r="I1129" t="s">
        <v>177</v>
      </c>
      <c r="J1129" t="s">
        <v>22</v>
      </c>
      <c r="K1129" t="s">
        <v>10191</v>
      </c>
      <c r="L1129" t="s">
        <v>10194</v>
      </c>
      <c r="M1129" t="s">
        <v>25</v>
      </c>
      <c r="N1129" t="s">
        <v>10195</v>
      </c>
      <c r="O1129" t="s">
        <v>10196</v>
      </c>
      <c r="P1129" t="s">
        <v>10197</v>
      </c>
      <c r="Q1129" t="s">
        <v>29</v>
      </c>
      <c r="R1129" t="s">
        <v>10192</v>
      </c>
      <c r="S1129" t="s">
        <v>10193</v>
      </c>
    </row>
    <row r="1130" spans="1:19" x14ac:dyDescent="0.25">
      <c r="A1130" s="1">
        <v>1128</v>
      </c>
      <c r="B1130" t="str">
        <f>HYPERLINK("https://www.dasschnelle.at/naturfrisör-senta-egger-gresten-unterer-markt","Website")</f>
        <v>Website</v>
      </c>
      <c r="C1130" t="str">
        <f>HYPERLINK("http://www.naturfrisoer-gresten.at","Website")</f>
        <v>Website</v>
      </c>
      <c r="D1130" t="str">
        <f>HYPERLINK("http://www.google.com/maps/place/47.98452,15.02604","Location")</f>
        <v>Location</v>
      </c>
      <c r="E1130" t="s">
        <v>10198</v>
      </c>
      <c r="F1130" t="s">
        <v>10199</v>
      </c>
      <c r="G1130" t="s">
        <v>9890</v>
      </c>
      <c r="H1130" t="s">
        <v>9930</v>
      </c>
      <c r="I1130" t="s">
        <v>177</v>
      </c>
      <c r="J1130" t="s">
        <v>22</v>
      </c>
      <c r="K1130" t="s">
        <v>10200</v>
      </c>
      <c r="L1130" t="s">
        <v>10203</v>
      </c>
      <c r="M1130" t="s">
        <v>25</v>
      </c>
      <c r="N1130" t="s">
        <v>10204</v>
      </c>
      <c r="O1130" t="s">
        <v>25</v>
      </c>
      <c r="P1130" t="s">
        <v>10205</v>
      </c>
      <c r="Q1130" t="s">
        <v>29</v>
      </c>
      <c r="R1130" t="s">
        <v>10201</v>
      </c>
      <c r="S1130" t="s">
        <v>10202</v>
      </c>
    </row>
    <row r="1131" spans="1:19" x14ac:dyDescent="0.25">
      <c r="A1131" s="1">
        <v>1129</v>
      </c>
      <c r="B1131" t="str">
        <f>HYPERLINK("https://www.dasschnelle.at/florian-metzinger-gmbh-purgstall-gimpering","Website")</f>
        <v>Website</v>
      </c>
      <c r="C1131" t="str">
        <f>HYPERLINK("https://www.dasschnelle.at/florian-metzinger-gmbh-purgstall-gimpering","Website")</f>
        <v>Website</v>
      </c>
      <c r="D1131" t="str">
        <f>HYPERLINK("http://www.google.com/maps/place/48.0672476,15.1015237","Location")</f>
        <v>Location</v>
      </c>
      <c r="E1131" t="s">
        <v>10206</v>
      </c>
      <c r="F1131" t="s">
        <v>10207</v>
      </c>
      <c r="G1131" t="s">
        <v>9909</v>
      </c>
      <c r="H1131" t="s">
        <v>9910</v>
      </c>
      <c r="I1131" t="s">
        <v>177</v>
      </c>
      <c r="J1131" t="s">
        <v>22</v>
      </c>
      <c r="K1131" t="s">
        <v>10208</v>
      </c>
      <c r="L1131" t="s">
        <v>10211</v>
      </c>
      <c r="M1131" t="s">
        <v>25</v>
      </c>
      <c r="N1131" t="s">
        <v>10212</v>
      </c>
      <c r="O1131" t="s">
        <v>25</v>
      </c>
      <c r="P1131" t="s">
        <v>10213</v>
      </c>
      <c r="Q1131" t="s">
        <v>29</v>
      </c>
      <c r="R1131" t="s">
        <v>10209</v>
      </c>
      <c r="S1131" t="s">
        <v>10210</v>
      </c>
    </row>
    <row r="1132" spans="1:19" x14ac:dyDescent="0.25">
      <c r="A1132" s="1">
        <v>1130</v>
      </c>
      <c r="B1132" t="str">
        <f>HYPERLINK("https://www.dasschnelle.at/rottmann-heike-dr-hörsching-humerstraße","Website")</f>
        <v>Website</v>
      </c>
      <c r="C1132" t="str">
        <f>HYPERLINK("https://www.dasschnelle.at/rottmann-heike-dr-h%C3%B6rsching-humerstra%C3%9Fe","Website")</f>
        <v>Website</v>
      </c>
      <c r="D1132" t="str">
        <f>HYPERLINK("http://www.google.com/maps/place/48.2102700,14.1673400","Location")</f>
        <v>Location</v>
      </c>
      <c r="E1132" t="s">
        <v>10214</v>
      </c>
      <c r="F1132" t="s">
        <v>10215</v>
      </c>
      <c r="G1132" t="s">
        <v>10217</v>
      </c>
      <c r="H1132" t="s">
        <v>10218</v>
      </c>
      <c r="I1132" t="s">
        <v>85</v>
      </c>
      <c r="J1132" t="s">
        <v>22</v>
      </c>
      <c r="K1132" t="s">
        <v>10216</v>
      </c>
      <c r="L1132" t="s">
        <v>10221</v>
      </c>
      <c r="M1132" t="s">
        <v>25</v>
      </c>
      <c r="N1132" t="s">
        <v>10222</v>
      </c>
      <c r="O1132" t="s">
        <v>25</v>
      </c>
      <c r="P1132" t="s">
        <v>10223</v>
      </c>
      <c r="Q1132" t="s">
        <v>29</v>
      </c>
      <c r="R1132" t="s">
        <v>10219</v>
      </c>
      <c r="S1132" t="s">
        <v>10220</v>
      </c>
    </row>
    <row r="1133" spans="1:19" x14ac:dyDescent="0.25">
      <c r="A1133" s="1">
        <v>1131</v>
      </c>
      <c r="B1133" t="str">
        <f>HYPERLINK("https://www.dasschnelle.at/reinigungs-service-gesmbh-traun-wiener-bundesstraße","Website")</f>
        <v>Website</v>
      </c>
      <c r="C1133" t="str">
        <f>HYPERLINK("http://www.reinigungs-service.at","Website")</f>
        <v>Website</v>
      </c>
      <c r="D1133" t="str">
        <f>HYPERLINK("http://www.google.com/maps/place/48.24643,14.26292","Location")</f>
        <v>Location</v>
      </c>
      <c r="E1133" t="s">
        <v>10224</v>
      </c>
      <c r="F1133" t="s">
        <v>10225</v>
      </c>
      <c r="G1133" t="s">
        <v>10227</v>
      </c>
      <c r="H1133" t="s">
        <v>10228</v>
      </c>
      <c r="I1133" t="s">
        <v>85</v>
      </c>
      <c r="J1133" t="s">
        <v>22</v>
      </c>
      <c r="K1133" t="s">
        <v>10226</v>
      </c>
      <c r="L1133" t="s">
        <v>10231</v>
      </c>
      <c r="M1133" t="s">
        <v>25</v>
      </c>
      <c r="N1133" t="s">
        <v>10232</v>
      </c>
      <c r="O1133" t="s">
        <v>25</v>
      </c>
      <c r="P1133" t="s">
        <v>10233</v>
      </c>
      <c r="Q1133" t="s">
        <v>29</v>
      </c>
      <c r="R1133" t="s">
        <v>10229</v>
      </c>
      <c r="S1133" t="s">
        <v>10230</v>
      </c>
    </row>
    <row r="1134" spans="1:19" x14ac:dyDescent="0.25">
      <c r="A1134" s="1">
        <v>1132</v>
      </c>
      <c r="B1134" t="str">
        <f>HYPERLINK("https://www.dasschnelle.at/elektro-technik-danninger-gmbh-ansfelden-anton-bruckner-straße","Website")</f>
        <v>Website</v>
      </c>
      <c r="C1134" t="str">
        <f>HYPERLINK("http://www.danninger.at","Website")</f>
        <v>Website</v>
      </c>
      <c r="D1134" t="str">
        <f>HYPERLINK("http://www.google.com/maps/place/48.21097,14.28866","Location")</f>
        <v>Location</v>
      </c>
      <c r="E1134" t="s">
        <v>10234</v>
      </c>
      <c r="F1134" t="s">
        <v>10235</v>
      </c>
      <c r="G1134" t="s">
        <v>10237</v>
      </c>
      <c r="H1134" t="s">
        <v>10238</v>
      </c>
      <c r="I1134" t="s">
        <v>85</v>
      </c>
      <c r="J1134" t="s">
        <v>22</v>
      </c>
      <c r="K1134" t="s">
        <v>10236</v>
      </c>
      <c r="L1134" t="s">
        <v>10241</v>
      </c>
      <c r="M1134" t="s">
        <v>10242</v>
      </c>
      <c r="N1134" t="s">
        <v>10243</v>
      </c>
      <c r="O1134" t="s">
        <v>25</v>
      </c>
      <c r="P1134" t="s">
        <v>10244</v>
      </c>
      <c r="Q1134" t="s">
        <v>29</v>
      </c>
      <c r="R1134" t="s">
        <v>10239</v>
      </c>
      <c r="S1134" t="s">
        <v>10240</v>
      </c>
    </row>
    <row r="1135" spans="1:19" x14ac:dyDescent="0.25">
      <c r="A1135" s="1">
        <v>1133</v>
      </c>
      <c r="B1135" t="str">
        <f>HYPERLINK("https://www.dasschnelle.at/lamm-thomas-traun-christlgasse","Website")</f>
        <v>Website</v>
      </c>
      <c r="C1135" t="str">
        <f>HYPERLINK("http://www.schlosserei-lamm.at","Website")</f>
        <v>Website</v>
      </c>
      <c r="D1135" t="str">
        <f>HYPERLINK("http://www.google.com/maps/place/48.22196,14.24248","Location")</f>
        <v>Location</v>
      </c>
      <c r="E1135" t="s">
        <v>10245</v>
      </c>
      <c r="F1135" t="s">
        <v>10246</v>
      </c>
      <c r="G1135" t="s">
        <v>10227</v>
      </c>
      <c r="H1135" t="s">
        <v>10228</v>
      </c>
      <c r="I1135" t="s">
        <v>85</v>
      </c>
      <c r="J1135" t="s">
        <v>22</v>
      </c>
      <c r="K1135" t="s">
        <v>10247</v>
      </c>
      <c r="L1135" t="s">
        <v>10250</v>
      </c>
      <c r="M1135" t="s">
        <v>25</v>
      </c>
      <c r="N1135" t="s">
        <v>10251</v>
      </c>
      <c r="O1135" t="s">
        <v>25</v>
      </c>
      <c r="P1135" t="s">
        <v>10252</v>
      </c>
      <c r="Q1135" t="s">
        <v>29</v>
      </c>
      <c r="R1135" t="s">
        <v>10248</v>
      </c>
      <c r="S1135" t="s">
        <v>10249</v>
      </c>
    </row>
    <row r="1136" spans="1:19" x14ac:dyDescent="0.25">
      <c r="A1136" s="1">
        <v>1134</v>
      </c>
      <c r="B1136" t="str">
        <f>HYPERLINK("https://www.dasschnelle.at/fleschler-birgit-pucking-semmelweisstraße","Website")</f>
        <v>Website</v>
      </c>
      <c r="C1136" t="str">
        <f>HYPERLINK("http://www.hair-cut.at","Website")</f>
        <v>Website</v>
      </c>
      <c r="D1136" t="str">
        <f>HYPERLINK("http://www.google.com/maps/place/48.18758,14.18183","Location")</f>
        <v>Location</v>
      </c>
      <c r="E1136" t="s">
        <v>10253</v>
      </c>
      <c r="F1136" t="s">
        <v>10254</v>
      </c>
      <c r="G1136" t="s">
        <v>10256</v>
      </c>
      <c r="H1136" t="s">
        <v>10257</v>
      </c>
      <c r="I1136" t="s">
        <v>85</v>
      </c>
      <c r="J1136" t="s">
        <v>22</v>
      </c>
      <c r="K1136" t="s">
        <v>10255</v>
      </c>
      <c r="L1136" t="s">
        <v>10260</v>
      </c>
      <c r="M1136" t="s">
        <v>25</v>
      </c>
      <c r="N1136" t="s">
        <v>10261</v>
      </c>
      <c r="O1136" t="s">
        <v>25</v>
      </c>
      <c r="P1136" t="s">
        <v>10262</v>
      </c>
      <c r="Q1136" t="s">
        <v>29</v>
      </c>
      <c r="R1136" t="s">
        <v>10258</v>
      </c>
      <c r="S1136" t="s">
        <v>10259</v>
      </c>
    </row>
    <row r="1137" spans="1:19" x14ac:dyDescent="0.25">
      <c r="A1137" s="1">
        <v>1135</v>
      </c>
      <c r="B1137" t="str">
        <f>HYPERLINK("https://www.dasschnelle.at/burger-elke-traun-johann-roithner-straße","Website")</f>
        <v>Website</v>
      </c>
      <c r="C1137" t="str">
        <f>HYPERLINK("http://www.physio-burger.at","Website")</f>
        <v>Website</v>
      </c>
      <c r="D1137" t="str">
        <f>HYPERLINK("http://www.google.com/maps/place/48.22315,14.24183","Location")</f>
        <v>Location</v>
      </c>
      <c r="E1137" t="s">
        <v>10263</v>
      </c>
      <c r="F1137" t="s">
        <v>10264</v>
      </c>
      <c r="G1137" t="s">
        <v>10227</v>
      </c>
      <c r="H1137" t="s">
        <v>10228</v>
      </c>
      <c r="I1137" t="s">
        <v>85</v>
      </c>
      <c r="J1137" t="s">
        <v>22</v>
      </c>
      <c r="K1137" t="s">
        <v>10265</v>
      </c>
      <c r="L1137" t="s">
        <v>10268</v>
      </c>
      <c r="M1137" t="s">
        <v>25</v>
      </c>
      <c r="N1137" t="s">
        <v>10269</v>
      </c>
      <c r="O1137" t="s">
        <v>25</v>
      </c>
      <c r="P1137" t="s">
        <v>10270</v>
      </c>
      <c r="Q1137" t="s">
        <v>29</v>
      </c>
      <c r="R1137" t="s">
        <v>10266</v>
      </c>
      <c r="S1137" t="s">
        <v>10267</v>
      </c>
    </row>
    <row r="1138" spans="1:19" x14ac:dyDescent="0.25">
      <c r="A1138" s="1">
        <v>1136</v>
      </c>
      <c r="B1138" t="str">
        <f>HYPERLINK("https://www.dasschnelle.at/stögmüller-andrea-dr-traun-graumannplatz","Website")</f>
        <v>Website</v>
      </c>
      <c r="C1138" t="str">
        <f>HYPERLINK("http://www.hno-traun.com","Website")</f>
        <v>Website</v>
      </c>
      <c r="D1138" t="str">
        <f>HYPERLINK("http://www.google.com/maps/place/48.2200270,14.2397040","Location")</f>
        <v>Location</v>
      </c>
      <c r="E1138" t="s">
        <v>10271</v>
      </c>
      <c r="F1138" t="s">
        <v>10272</v>
      </c>
      <c r="G1138" t="s">
        <v>10227</v>
      </c>
      <c r="H1138" t="s">
        <v>10228</v>
      </c>
      <c r="I1138" t="s">
        <v>85</v>
      </c>
      <c r="J1138" t="s">
        <v>22</v>
      </c>
      <c r="K1138" t="s">
        <v>10273</v>
      </c>
      <c r="L1138" t="s">
        <v>10276</v>
      </c>
      <c r="M1138" t="s">
        <v>25</v>
      </c>
      <c r="N1138" t="s">
        <v>10277</v>
      </c>
      <c r="O1138" t="s">
        <v>25</v>
      </c>
      <c r="P1138" t="s">
        <v>10278</v>
      </c>
      <c r="Q1138" t="s">
        <v>29</v>
      </c>
      <c r="R1138" t="s">
        <v>10274</v>
      </c>
      <c r="S1138" t="s">
        <v>10275</v>
      </c>
    </row>
    <row r="1139" spans="1:19" x14ac:dyDescent="0.25">
      <c r="A1139" s="1">
        <v>1137</v>
      </c>
      <c r="B1139" t="str">
        <f>HYPERLINK("https://www.dasschnelle.at/hofstätter-walter-dr-med-univ-traun-heinrich-gruber-straße","Website")</f>
        <v>Website</v>
      </c>
      <c r="C1139" t="str">
        <f>HYPERLINK("http://www.orthopaedie-hofstaetter.at","Website")</f>
        <v>Website</v>
      </c>
      <c r="D1139" t="str">
        <f>HYPERLINK("http://www.google.com/maps/place/48.21989,14.23868","Location")</f>
        <v>Location</v>
      </c>
      <c r="E1139" t="s">
        <v>10279</v>
      </c>
      <c r="F1139" t="s">
        <v>10280</v>
      </c>
      <c r="G1139" t="s">
        <v>10227</v>
      </c>
      <c r="H1139" t="s">
        <v>10228</v>
      </c>
      <c r="I1139" t="s">
        <v>85</v>
      </c>
      <c r="J1139" t="s">
        <v>22</v>
      </c>
      <c r="K1139" t="s">
        <v>10281</v>
      </c>
      <c r="L1139" t="s">
        <v>10284</v>
      </c>
      <c r="M1139" t="s">
        <v>25</v>
      </c>
      <c r="N1139" t="s">
        <v>25</v>
      </c>
      <c r="O1139" t="s">
        <v>25</v>
      </c>
      <c r="P1139" t="s">
        <v>10285</v>
      </c>
      <c r="Q1139" t="s">
        <v>29</v>
      </c>
      <c r="R1139" t="s">
        <v>10282</v>
      </c>
      <c r="S1139" t="s">
        <v>10283</v>
      </c>
    </row>
    <row r="1140" spans="1:19" x14ac:dyDescent="0.25">
      <c r="A1140" s="1">
        <v>1138</v>
      </c>
      <c r="B1140" t="str">
        <f>HYPERLINK("https://www.dasschnelle.at/kraus-knoll-sabine-wilhering-eisenroitherweg","Website")</f>
        <v>Website</v>
      </c>
      <c r="C1140" t="str">
        <f>HYPERLINK("http://www.kraus-knoll.at","Website")</f>
        <v>Website</v>
      </c>
      <c r="D1140" t="str">
        <f>HYPERLINK("http://www.google.com/maps/place/48.27535,14.17011","Location")</f>
        <v>Location</v>
      </c>
      <c r="E1140" t="s">
        <v>10286</v>
      </c>
      <c r="F1140" t="s">
        <v>10287</v>
      </c>
      <c r="G1140" t="s">
        <v>10289</v>
      </c>
      <c r="H1140" t="s">
        <v>10290</v>
      </c>
      <c r="I1140" t="s">
        <v>85</v>
      </c>
      <c r="J1140" t="s">
        <v>22</v>
      </c>
      <c r="K1140" t="s">
        <v>10288</v>
      </c>
      <c r="L1140" t="s">
        <v>10293</v>
      </c>
      <c r="M1140" t="s">
        <v>25</v>
      </c>
      <c r="N1140" t="s">
        <v>10294</v>
      </c>
      <c r="O1140" t="s">
        <v>10295</v>
      </c>
      <c r="P1140" t="s">
        <v>10296</v>
      </c>
      <c r="Q1140" t="s">
        <v>29</v>
      </c>
      <c r="R1140" t="s">
        <v>10291</v>
      </c>
      <c r="S1140" t="s">
        <v>10292</v>
      </c>
    </row>
    <row r="1141" spans="1:19" x14ac:dyDescent="0.25">
      <c r="A1141" s="1">
        <v>1139</v>
      </c>
      <c r="B1141" t="str">
        <f>HYPERLINK("https://www.dasschnelle.at/mustafic-amir-traun-kleinstweg","Website")</f>
        <v>Website</v>
      </c>
      <c r="C1141" t="str">
        <f>HYPERLINK("http://www.heiztechnik.cc","Website")</f>
        <v>Website</v>
      </c>
      <c r="D1141" t="str">
        <f>HYPERLINK("http://www.google.com/maps/place/48.24084,14.25385","Location")</f>
        <v>Location</v>
      </c>
      <c r="E1141" t="s">
        <v>10297</v>
      </c>
      <c r="F1141" t="s">
        <v>10298</v>
      </c>
      <c r="G1141" t="s">
        <v>10227</v>
      </c>
      <c r="H1141" t="s">
        <v>10228</v>
      </c>
      <c r="I1141" t="s">
        <v>85</v>
      </c>
      <c r="J1141" t="s">
        <v>22</v>
      </c>
      <c r="K1141" t="s">
        <v>10299</v>
      </c>
      <c r="L1141" t="s">
        <v>10302</v>
      </c>
      <c r="M1141" t="s">
        <v>25</v>
      </c>
      <c r="N1141" t="s">
        <v>10303</v>
      </c>
      <c r="O1141" t="s">
        <v>25</v>
      </c>
      <c r="P1141" t="s">
        <v>10304</v>
      </c>
      <c r="Q1141" t="s">
        <v>29</v>
      </c>
      <c r="R1141" t="s">
        <v>10300</v>
      </c>
      <c r="S1141" t="s">
        <v>10301</v>
      </c>
    </row>
    <row r="1142" spans="1:19" x14ac:dyDescent="0.25">
      <c r="A1142" s="1">
        <v>1140</v>
      </c>
      <c r="B1142" t="str">
        <f>HYPERLINK("https://www.dasschnelle.at/enver-axhillari-maria-gugging-hintersdorfer-straße","Website")</f>
        <v>Website</v>
      </c>
      <c r="C1142" t="str">
        <f>HYPERLINK("http://www.bauspenglerei-axhillari.at","Website")</f>
        <v>Website</v>
      </c>
      <c r="D1142" t="str">
        <f>HYPERLINK("http://www.google.com/maps/place/48.30599,16.2525","Location")</f>
        <v>Location</v>
      </c>
      <c r="E1142" t="s">
        <v>10305</v>
      </c>
      <c r="F1142" t="s">
        <v>10306</v>
      </c>
      <c r="G1142" t="s">
        <v>10308</v>
      </c>
      <c r="H1142" t="s">
        <v>10309</v>
      </c>
      <c r="I1142" t="s">
        <v>177</v>
      </c>
      <c r="J1142" t="s">
        <v>22</v>
      </c>
      <c r="K1142" t="s">
        <v>10307</v>
      </c>
      <c r="L1142" t="s">
        <v>10312</v>
      </c>
      <c r="M1142" t="s">
        <v>25</v>
      </c>
      <c r="N1142" t="s">
        <v>10313</v>
      </c>
      <c r="O1142" t="s">
        <v>25</v>
      </c>
      <c r="P1142" t="s">
        <v>697</v>
      </c>
      <c r="Q1142" t="s">
        <v>29</v>
      </c>
      <c r="R1142" t="s">
        <v>10310</v>
      </c>
      <c r="S1142" t="s">
        <v>10311</v>
      </c>
    </row>
    <row r="1143" spans="1:19" x14ac:dyDescent="0.25">
      <c r="A1143" s="1">
        <v>1141</v>
      </c>
      <c r="B1143" t="str">
        <f>HYPERLINK("https://www.dasschnelle.at/vincken-andrea-klosterneuburg-rathausplatz","Website")</f>
        <v>Website</v>
      </c>
      <c r="C1143" t="str">
        <f>HYPERLINK("http://www.qualitymovement.at","Website")</f>
        <v>Website</v>
      </c>
      <c r="D1143" t="str">
        <f>HYPERLINK("http://www.google.com/maps/place/48.30559,16.32635","Location")</f>
        <v>Location</v>
      </c>
      <c r="E1143" t="s">
        <v>10314</v>
      </c>
      <c r="F1143" t="s">
        <v>10315</v>
      </c>
      <c r="G1143" t="s">
        <v>10308</v>
      </c>
      <c r="H1143" t="s">
        <v>10317</v>
      </c>
      <c r="I1143" t="s">
        <v>177</v>
      </c>
      <c r="J1143" t="s">
        <v>22</v>
      </c>
      <c r="K1143" t="s">
        <v>10316</v>
      </c>
      <c r="L1143" t="s">
        <v>10320</v>
      </c>
      <c r="M1143" t="s">
        <v>25</v>
      </c>
      <c r="N1143" t="s">
        <v>10321</v>
      </c>
      <c r="O1143" t="s">
        <v>25</v>
      </c>
      <c r="P1143" t="s">
        <v>697</v>
      </c>
      <c r="Q1143" t="s">
        <v>29</v>
      </c>
      <c r="R1143" t="s">
        <v>10318</v>
      </c>
      <c r="S1143" t="s">
        <v>10319</v>
      </c>
    </row>
    <row r="1144" spans="1:19" x14ac:dyDescent="0.25">
      <c r="A1144" s="1">
        <v>1142</v>
      </c>
      <c r="B1144" t="str">
        <f>HYPERLINK("https://www.dasschnelle.at/der-waldhof-maria-gugging-hauptstraße","Website")</f>
        <v>Website</v>
      </c>
      <c r="C1144" t="str">
        <f>HYPERLINK("http://www.der-waldhof.at","Website")</f>
        <v>Website</v>
      </c>
      <c r="D1144" t="str">
        <f>HYPERLINK("http://www.google.com/maps/place/48.31761,16.23769","Location")</f>
        <v>Location</v>
      </c>
      <c r="E1144" t="s">
        <v>10322</v>
      </c>
      <c r="F1144" t="s">
        <v>10323</v>
      </c>
      <c r="G1144" t="s">
        <v>10308</v>
      </c>
      <c r="H1144" t="s">
        <v>10309</v>
      </c>
      <c r="I1144" t="s">
        <v>177</v>
      </c>
      <c r="J1144" t="s">
        <v>22</v>
      </c>
      <c r="K1144" t="s">
        <v>10324</v>
      </c>
      <c r="L1144" t="s">
        <v>10327</v>
      </c>
      <c r="M1144" t="s">
        <v>25</v>
      </c>
      <c r="N1144" t="s">
        <v>10328</v>
      </c>
      <c r="O1144" t="s">
        <v>25</v>
      </c>
      <c r="P1144" t="s">
        <v>10329</v>
      </c>
      <c r="Q1144" t="s">
        <v>29</v>
      </c>
      <c r="R1144" t="s">
        <v>10325</v>
      </c>
      <c r="S1144" t="s">
        <v>10326</v>
      </c>
    </row>
    <row r="1145" spans="1:19" x14ac:dyDescent="0.25">
      <c r="A1145" s="1">
        <v>1143</v>
      </c>
      <c r="B1145" t="str">
        <f>HYPERLINK("https://www.dasschnelle.at/neuwirth-riedl-k-dr-klosterneuburg-kierlinger-straße","Website")</f>
        <v>Website</v>
      </c>
      <c r="C1145" t="str">
        <f>HYPERLINK("http://www.hno-arzt-klosterneuburg.at","Website")</f>
        <v>Website</v>
      </c>
      <c r="D1145" t="str">
        <f>HYPERLINK("http://www.google.com/maps/place/48.3069124,16.3183624","Location")</f>
        <v>Location</v>
      </c>
      <c r="E1145" t="s">
        <v>10330</v>
      </c>
      <c r="F1145" t="s">
        <v>10331</v>
      </c>
      <c r="G1145" t="s">
        <v>10308</v>
      </c>
      <c r="H1145" t="s">
        <v>10317</v>
      </c>
      <c r="I1145" t="s">
        <v>177</v>
      </c>
      <c r="J1145" t="s">
        <v>22</v>
      </c>
      <c r="K1145" t="s">
        <v>10332</v>
      </c>
      <c r="L1145" t="s">
        <v>10335</v>
      </c>
      <c r="M1145" t="s">
        <v>25</v>
      </c>
      <c r="N1145" t="s">
        <v>10336</v>
      </c>
      <c r="O1145" t="s">
        <v>25</v>
      </c>
      <c r="P1145" t="s">
        <v>10337</v>
      </c>
      <c r="Q1145" t="s">
        <v>29</v>
      </c>
      <c r="R1145" t="s">
        <v>10333</v>
      </c>
      <c r="S1145" t="s">
        <v>10334</v>
      </c>
    </row>
    <row r="1146" spans="1:19" x14ac:dyDescent="0.25">
      <c r="A1146" s="1">
        <v>1144</v>
      </c>
      <c r="B1146" t="str">
        <f>HYPERLINK("https://www.dasschnelle.at/koje-dach-zeiselmauer-nibelungengasse","Website")</f>
        <v>Website</v>
      </c>
      <c r="C1146" t="str">
        <f>HYPERLINK("http://www.kojedach.at","Website")</f>
        <v>Website</v>
      </c>
      <c r="D1146" t="str">
        <f>HYPERLINK("http://www.google.com/maps/place/48.31972,16.17676","Location")</f>
        <v>Location</v>
      </c>
      <c r="E1146" t="s">
        <v>10338</v>
      </c>
      <c r="F1146" t="s">
        <v>10339</v>
      </c>
      <c r="G1146" t="s">
        <v>10341</v>
      </c>
      <c r="H1146" t="s">
        <v>10342</v>
      </c>
      <c r="I1146" t="s">
        <v>177</v>
      </c>
      <c r="J1146" t="s">
        <v>22</v>
      </c>
      <c r="K1146" t="s">
        <v>10340</v>
      </c>
      <c r="L1146" t="s">
        <v>10345</v>
      </c>
      <c r="M1146" t="s">
        <v>25</v>
      </c>
      <c r="N1146" t="s">
        <v>10346</v>
      </c>
      <c r="O1146" t="s">
        <v>25</v>
      </c>
      <c r="P1146" t="s">
        <v>10347</v>
      </c>
      <c r="Q1146" t="s">
        <v>29</v>
      </c>
      <c r="R1146" t="s">
        <v>10343</v>
      </c>
      <c r="S1146" t="s">
        <v>10344</v>
      </c>
    </row>
    <row r="1147" spans="1:19" x14ac:dyDescent="0.25">
      <c r="A1147" s="1">
        <v>1145</v>
      </c>
      <c r="B1147" t="str">
        <f>HYPERLINK("https://www.dasschnelle.at/wolfgang-bauerhansl-klosterneuburg-agnesstraße","Website")</f>
        <v>Website</v>
      </c>
      <c r="C1147" t="str">
        <f>HYPERLINK("http://www.immobilienverwaltung-klosterneuburg.at","Website")</f>
        <v>Website</v>
      </c>
      <c r="D1147" t="str">
        <f>HYPERLINK("http://www.google.com/maps/place/48.30246,16.32611","Location")</f>
        <v>Location</v>
      </c>
      <c r="E1147" t="s">
        <v>10348</v>
      </c>
      <c r="F1147" t="s">
        <v>10349</v>
      </c>
      <c r="G1147" t="s">
        <v>10308</v>
      </c>
      <c r="H1147" t="s">
        <v>10317</v>
      </c>
      <c r="I1147" t="s">
        <v>177</v>
      </c>
      <c r="J1147" t="s">
        <v>22</v>
      </c>
      <c r="K1147" t="s">
        <v>10350</v>
      </c>
      <c r="L1147" t="s">
        <v>10353</v>
      </c>
      <c r="M1147" t="s">
        <v>25</v>
      </c>
      <c r="N1147" t="s">
        <v>10354</v>
      </c>
      <c r="O1147" t="s">
        <v>25</v>
      </c>
      <c r="P1147" t="s">
        <v>10355</v>
      </c>
      <c r="Q1147" t="s">
        <v>29</v>
      </c>
      <c r="R1147" t="s">
        <v>10351</v>
      </c>
      <c r="S1147" t="s">
        <v>10352</v>
      </c>
    </row>
    <row r="1148" spans="1:19" x14ac:dyDescent="0.25">
      <c r="A1148" s="1">
        <v>1146</v>
      </c>
      <c r="B1148" t="str">
        <f>HYPERLINK("https://www.dasschnelle.at/kadim-orientteppiche-klosterneuburg-wienerstraße","Website")</f>
        <v>Website</v>
      </c>
      <c r="C1148" t="str">
        <f>HYPERLINK("http://www.orientteppichekadim.com","Website")</f>
        <v>Website</v>
      </c>
      <c r="D1148" t="str">
        <f>HYPERLINK("http://www.google.com/maps/place/48.2978600,16.3336600","Location")</f>
        <v>Location</v>
      </c>
      <c r="E1148" t="s">
        <v>10356</v>
      </c>
      <c r="F1148" t="s">
        <v>10357</v>
      </c>
      <c r="G1148" t="s">
        <v>10308</v>
      </c>
      <c r="H1148" t="s">
        <v>10317</v>
      </c>
      <c r="I1148" t="s">
        <v>177</v>
      </c>
      <c r="J1148" t="s">
        <v>22</v>
      </c>
      <c r="K1148" t="s">
        <v>10358</v>
      </c>
      <c r="L1148" t="s">
        <v>10361</v>
      </c>
      <c r="M1148" t="s">
        <v>25</v>
      </c>
      <c r="N1148" t="s">
        <v>10362</v>
      </c>
      <c r="O1148" t="s">
        <v>25</v>
      </c>
      <c r="P1148" t="s">
        <v>10363</v>
      </c>
      <c r="Q1148" t="s">
        <v>29</v>
      </c>
      <c r="R1148" t="s">
        <v>10359</v>
      </c>
      <c r="S1148" t="s">
        <v>10360</v>
      </c>
    </row>
    <row r="1149" spans="1:19" x14ac:dyDescent="0.25">
      <c r="A1149" s="1">
        <v>1147</v>
      </c>
      <c r="B1149" t="str">
        <f>HYPERLINK("https://www.dasschnelle.at/haider-hans-michael-ing-seekirchen-am-wallersee-postgasse","Website")</f>
        <v>Website</v>
      </c>
      <c r="C1149" t="str">
        <f>HYPERLINK("https://www.dasschnelle.at/haider-hans-michael-ing-seekirchen-am-wallersee-postgasse","Website")</f>
        <v>Website</v>
      </c>
      <c r="D1149" t="str">
        <f>HYPERLINK("http://www.google.com/maps/place/47.8935227,13.1252848","Location")</f>
        <v>Location</v>
      </c>
      <c r="E1149" t="s">
        <v>10364</v>
      </c>
      <c r="F1149" t="s">
        <v>10365</v>
      </c>
      <c r="G1149" t="s">
        <v>1412</v>
      </c>
      <c r="H1149" t="s">
        <v>10367</v>
      </c>
      <c r="I1149" t="s">
        <v>2239</v>
      </c>
      <c r="J1149" t="s">
        <v>22</v>
      </c>
      <c r="K1149" t="s">
        <v>10366</v>
      </c>
      <c r="L1149" t="s">
        <v>10370</v>
      </c>
      <c r="M1149" t="s">
        <v>10371</v>
      </c>
      <c r="N1149" t="s">
        <v>10372</v>
      </c>
      <c r="O1149" t="s">
        <v>25</v>
      </c>
      <c r="P1149" t="s">
        <v>10373</v>
      </c>
      <c r="Q1149" t="s">
        <v>29</v>
      </c>
      <c r="R1149" t="s">
        <v>10368</v>
      </c>
      <c r="S1149" t="s">
        <v>10369</v>
      </c>
    </row>
    <row r="1150" spans="1:19" x14ac:dyDescent="0.25">
      <c r="A1150" s="1">
        <v>1148</v>
      </c>
      <c r="B1150" t="str">
        <f>HYPERLINK("https://www.dasschnelle.at/fremdenverkehrsverband-seekirchen-am-wallersee-seekirchen-am-wallersee-hauptstraße","Website")</f>
        <v>Website</v>
      </c>
      <c r="C1150" t="str">
        <f>HYPERLINK("http://www.seekirchen-info.at","Website")</f>
        <v>Website</v>
      </c>
      <c r="D1150" t="str">
        <f>HYPERLINK("http://www.google.com/maps/place/47.8917254,13.1261827","Location")</f>
        <v>Location</v>
      </c>
      <c r="E1150" t="s">
        <v>10374</v>
      </c>
      <c r="F1150" t="s">
        <v>10375</v>
      </c>
      <c r="G1150" t="s">
        <v>1412</v>
      </c>
      <c r="H1150" t="s">
        <v>10367</v>
      </c>
      <c r="I1150" t="s">
        <v>2239</v>
      </c>
      <c r="J1150" t="s">
        <v>22</v>
      </c>
      <c r="K1150" t="s">
        <v>10376</v>
      </c>
      <c r="L1150" t="s">
        <v>10379</v>
      </c>
      <c r="M1150" t="s">
        <v>10380</v>
      </c>
      <c r="N1150" t="s">
        <v>10381</v>
      </c>
      <c r="O1150" t="s">
        <v>25</v>
      </c>
      <c r="P1150" t="s">
        <v>10382</v>
      </c>
      <c r="Q1150" t="s">
        <v>29</v>
      </c>
      <c r="R1150" t="s">
        <v>10377</v>
      </c>
      <c r="S1150" t="s">
        <v>10378</v>
      </c>
    </row>
    <row r="1151" spans="1:19" x14ac:dyDescent="0.25">
      <c r="A1151" s="1">
        <v>1149</v>
      </c>
      <c r="B1151" t="str">
        <f>HYPERLINK("https://www.dasschnelle.at/gasthof-zur-post-seekirchen-am-wallersee-hauptstraße","Website")</f>
        <v>Website</v>
      </c>
      <c r="C1151" t="str">
        <f>HYPERLINK("http://www.postseekirchen.at","Website")</f>
        <v>Website</v>
      </c>
      <c r="D1151" t="str">
        <f>HYPERLINK("http://www.google.com/maps/place/47.8933042,13.1258137","Location")</f>
        <v>Location</v>
      </c>
      <c r="E1151" t="s">
        <v>10383</v>
      </c>
      <c r="F1151" t="s">
        <v>10384</v>
      </c>
      <c r="G1151" t="s">
        <v>1412</v>
      </c>
      <c r="H1151" t="s">
        <v>10367</v>
      </c>
      <c r="I1151" t="s">
        <v>2239</v>
      </c>
      <c r="J1151" t="s">
        <v>22</v>
      </c>
      <c r="K1151" t="s">
        <v>10385</v>
      </c>
      <c r="L1151" t="s">
        <v>10388</v>
      </c>
      <c r="M1151" t="s">
        <v>25</v>
      </c>
      <c r="N1151" t="s">
        <v>10389</v>
      </c>
      <c r="O1151" t="s">
        <v>25</v>
      </c>
      <c r="P1151" t="s">
        <v>10390</v>
      </c>
      <c r="Q1151" t="s">
        <v>29</v>
      </c>
      <c r="R1151" t="s">
        <v>10386</v>
      </c>
      <c r="S1151" t="s">
        <v>10387</v>
      </c>
    </row>
    <row r="1152" spans="1:19" x14ac:dyDescent="0.25">
      <c r="A1152" s="1">
        <v>1150</v>
      </c>
      <c r="B1152" t="str">
        <f>HYPERLINK("https://www.dasschnelle.at/kaiser-johann-mattsee-ochsenharing","Website")</f>
        <v>Website</v>
      </c>
      <c r="C1152" t="str">
        <f>HYPERLINK("http://www.pool-kaiser.at","Website")</f>
        <v>Website</v>
      </c>
      <c r="D1152" t="str">
        <f>HYPERLINK("http://www.google.com/maps/place/47.96438,13.1024","Location")</f>
        <v>Location</v>
      </c>
      <c r="E1152" t="s">
        <v>10391</v>
      </c>
      <c r="F1152" t="s">
        <v>10392</v>
      </c>
      <c r="G1152" t="s">
        <v>10394</v>
      </c>
      <c r="H1152" t="s">
        <v>10395</v>
      </c>
      <c r="I1152" t="s">
        <v>2239</v>
      </c>
      <c r="J1152" t="s">
        <v>22</v>
      </c>
      <c r="K1152" t="s">
        <v>10393</v>
      </c>
      <c r="L1152" t="s">
        <v>10398</v>
      </c>
      <c r="M1152" t="s">
        <v>25</v>
      </c>
      <c r="N1152" t="s">
        <v>10399</v>
      </c>
      <c r="O1152" t="s">
        <v>10400</v>
      </c>
      <c r="P1152" t="s">
        <v>10401</v>
      </c>
      <c r="Q1152" t="s">
        <v>29</v>
      </c>
      <c r="R1152" t="s">
        <v>10396</v>
      </c>
      <c r="S1152" t="s">
        <v>10397</v>
      </c>
    </row>
    <row r="1153" spans="1:19" x14ac:dyDescent="0.25">
      <c r="A1153" s="1">
        <v>1151</v>
      </c>
      <c r="B1153" t="str">
        <f>HYPERLINK("https://www.dasschnelle.at/zum-kapitelwirt-mattsee-marktplatz","Website")</f>
        <v>Website</v>
      </c>
      <c r="C1153" t="str">
        <f>HYPERLINK("http://www.kapitelwirt.at","Website")</f>
        <v>Website</v>
      </c>
      <c r="D1153" t="str">
        <f>HYPERLINK("http://www.google.com/maps/place/47.96969,13.10458","Location")</f>
        <v>Location</v>
      </c>
      <c r="E1153" t="s">
        <v>10402</v>
      </c>
      <c r="F1153" t="s">
        <v>10403</v>
      </c>
      <c r="G1153" t="s">
        <v>10394</v>
      </c>
      <c r="H1153" t="s">
        <v>10395</v>
      </c>
      <c r="I1153" t="s">
        <v>2239</v>
      </c>
      <c r="J1153" t="s">
        <v>22</v>
      </c>
      <c r="K1153" t="s">
        <v>10404</v>
      </c>
      <c r="L1153" t="s">
        <v>10407</v>
      </c>
      <c r="M1153" t="s">
        <v>25</v>
      </c>
      <c r="N1153" t="s">
        <v>10408</v>
      </c>
      <c r="O1153" t="s">
        <v>10409</v>
      </c>
      <c r="P1153" t="s">
        <v>10410</v>
      </c>
      <c r="Q1153" t="s">
        <v>29</v>
      </c>
      <c r="R1153" t="s">
        <v>10405</v>
      </c>
      <c r="S1153" t="s">
        <v>10406</v>
      </c>
    </row>
    <row r="1154" spans="1:19" x14ac:dyDescent="0.25">
      <c r="A1154" s="1">
        <v>1152</v>
      </c>
      <c r="B1154" t="str">
        <f>HYPERLINK("https://www.dasschnelle.at/china-restaurant-seekirchen-am-wallersee-hauptstraße","Website")</f>
        <v>Website</v>
      </c>
      <c r="C1154" t="str">
        <f>HYPERLINK("http://www.chinarestaurant-seekirchen.at","Website")</f>
        <v>Website</v>
      </c>
      <c r="D1154" t="str">
        <f>HYPERLINK("http://www.google.com/maps/place/47.8919624,13.1270522","Location")</f>
        <v>Location</v>
      </c>
      <c r="E1154" t="s">
        <v>10411</v>
      </c>
      <c r="F1154" t="s">
        <v>10412</v>
      </c>
      <c r="G1154" t="s">
        <v>1412</v>
      </c>
      <c r="H1154" t="s">
        <v>10367</v>
      </c>
      <c r="I1154" t="s">
        <v>2239</v>
      </c>
      <c r="J1154" t="s">
        <v>22</v>
      </c>
      <c r="K1154" t="s">
        <v>3090</v>
      </c>
      <c r="L1154" t="s">
        <v>10415</v>
      </c>
      <c r="M1154" t="s">
        <v>25</v>
      </c>
      <c r="N1154" t="s">
        <v>10416</v>
      </c>
      <c r="O1154" t="s">
        <v>25</v>
      </c>
      <c r="P1154" t="s">
        <v>10417</v>
      </c>
      <c r="Q1154" t="s">
        <v>29</v>
      </c>
      <c r="R1154" t="s">
        <v>10413</v>
      </c>
      <c r="S1154" t="s">
        <v>10414</v>
      </c>
    </row>
    <row r="1155" spans="1:19" x14ac:dyDescent="0.25">
      <c r="A1155" s="1">
        <v>1153</v>
      </c>
      <c r="B1155" t="str">
        <f>HYPERLINK("https://www.dasschnelle.at/kothäusl-seekirchen-am-wallersee-schöngumprechting","Website")</f>
        <v>Website</v>
      </c>
      <c r="C1155" t="str">
        <f>HYPERLINK("http://www.kothaeusl.at","Website")</f>
        <v>Website</v>
      </c>
      <c r="D1155" t="str">
        <f>HYPERLINK("http://www.google.com/maps/place/47.9088620,13.0810221","Location")</f>
        <v>Location</v>
      </c>
      <c r="E1155" t="s">
        <v>10418</v>
      </c>
      <c r="F1155" t="s">
        <v>10419</v>
      </c>
      <c r="G1155" t="s">
        <v>1412</v>
      </c>
      <c r="H1155" t="s">
        <v>10367</v>
      </c>
      <c r="I1155" t="s">
        <v>2239</v>
      </c>
      <c r="J1155" t="s">
        <v>22</v>
      </c>
      <c r="K1155" t="s">
        <v>10420</v>
      </c>
      <c r="L1155" t="s">
        <v>10423</v>
      </c>
      <c r="M1155" t="s">
        <v>25</v>
      </c>
      <c r="N1155" t="s">
        <v>10424</v>
      </c>
      <c r="O1155" t="s">
        <v>25</v>
      </c>
      <c r="P1155" t="s">
        <v>10425</v>
      </c>
      <c r="Q1155" t="s">
        <v>29</v>
      </c>
      <c r="R1155" t="s">
        <v>10421</v>
      </c>
      <c r="S1155" t="s">
        <v>10422</v>
      </c>
    </row>
    <row r="1156" spans="1:19" x14ac:dyDescent="0.25">
      <c r="A1156" s="1">
        <v>1154</v>
      </c>
      <c r="B1156" t="str">
        <f>HYPERLINK("https://www.dasschnelle.at/scheiterbauer-fred-obertrum-dorfplatz","Website")</f>
        <v>Website</v>
      </c>
      <c r="C1156" t="str">
        <f>HYPERLINK("https://www.dasschnelle.at/scheiterbauer-fred-obertrum-dorfplatz","Website")</f>
        <v>Website</v>
      </c>
      <c r="D1156" t="str">
        <f>HYPERLINK("http://www.google.com/maps/place/47.9374724,13.0769978","Location")</f>
        <v>Location</v>
      </c>
      <c r="E1156" t="s">
        <v>10426</v>
      </c>
      <c r="F1156" t="s">
        <v>10427</v>
      </c>
      <c r="G1156" t="s">
        <v>10429</v>
      </c>
      <c r="H1156" t="s">
        <v>10430</v>
      </c>
      <c r="I1156" t="s">
        <v>2239</v>
      </c>
      <c r="J1156" t="s">
        <v>22</v>
      </c>
      <c r="K1156" t="s">
        <v>10428</v>
      </c>
      <c r="L1156" t="s">
        <v>10433</v>
      </c>
      <c r="M1156" t="s">
        <v>25</v>
      </c>
      <c r="N1156" t="s">
        <v>10434</v>
      </c>
      <c r="O1156" t="s">
        <v>25</v>
      </c>
      <c r="P1156" t="s">
        <v>10435</v>
      </c>
      <c r="Q1156" t="s">
        <v>29</v>
      </c>
      <c r="R1156" t="s">
        <v>10431</v>
      </c>
      <c r="S1156" t="s">
        <v>10432</v>
      </c>
    </row>
    <row r="1157" spans="1:19" x14ac:dyDescent="0.25">
      <c r="A1157" s="1">
        <v>1155</v>
      </c>
      <c r="B1157" t="str">
        <f>HYPERLINK("https://www.dasschnelle.at/gollackner-martin-eugendorf-eggerstraße","Website")</f>
        <v>Website</v>
      </c>
      <c r="C1157" t="str">
        <f>HYPERLINK("http://www.gollackner-dach.at","Website")</f>
        <v>Website</v>
      </c>
      <c r="D1157" t="str">
        <f>HYPERLINK("http://www.google.com/maps/place/47.84294,13.15035","Location")</f>
        <v>Location</v>
      </c>
      <c r="E1157" t="s">
        <v>10436</v>
      </c>
      <c r="F1157" t="s">
        <v>10437</v>
      </c>
      <c r="G1157" t="s">
        <v>10439</v>
      </c>
      <c r="H1157" t="s">
        <v>10440</v>
      </c>
      <c r="I1157" t="s">
        <v>2239</v>
      </c>
      <c r="J1157" t="s">
        <v>22</v>
      </c>
      <c r="K1157" t="s">
        <v>10438</v>
      </c>
      <c r="L1157" t="s">
        <v>10443</v>
      </c>
      <c r="M1157" t="s">
        <v>25</v>
      </c>
      <c r="N1157" t="s">
        <v>10444</v>
      </c>
      <c r="O1157" t="s">
        <v>10445</v>
      </c>
      <c r="P1157" t="s">
        <v>10446</v>
      </c>
      <c r="Q1157" t="s">
        <v>29</v>
      </c>
      <c r="R1157" t="s">
        <v>10441</v>
      </c>
      <c r="S1157" t="s">
        <v>10442</v>
      </c>
    </row>
    <row r="1158" spans="1:19" x14ac:dyDescent="0.25">
      <c r="A1158" s="1">
        <v>1156</v>
      </c>
      <c r="B1158" t="str">
        <f>HYPERLINK("https://www.dasschnelle.at/kreuzer-felix-gesmbh-seekirchen-am-wallersee-kothgumprechting","Website")</f>
        <v>Website</v>
      </c>
      <c r="C1158" t="str">
        <f>HYPERLINK("http://www.felix-kreuzer.at","Website")</f>
        <v>Website</v>
      </c>
      <c r="D1158" t="str">
        <f>HYPERLINK("http://www.google.com/maps/place/47.9198343,13.1009864","Location")</f>
        <v>Location</v>
      </c>
      <c r="E1158" t="s">
        <v>10447</v>
      </c>
      <c r="F1158" t="s">
        <v>10448</v>
      </c>
      <c r="G1158" t="s">
        <v>1412</v>
      </c>
      <c r="H1158" t="s">
        <v>10367</v>
      </c>
      <c r="I1158" t="s">
        <v>2239</v>
      </c>
      <c r="J1158" t="s">
        <v>22</v>
      </c>
      <c r="K1158" t="s">
        <v>10449</v>
      </c>
      <c r="L1158" t="s">
        <v>10452</v>
      </c>
      <c r="M1158" t="s">
        <v>25</v>
      </c>
      <c r="N1158" t="s">
        <v>10453</v>
      </c>
      <c r="O1158" t="s">
        <v>25</v>
      </c>
      <c r="P1158" t="s">
        <v>10454</v>
      </c>
      <c r="Q1158" t="s">
        <v>29</v>
      </c>
      <c r="R1158" t="s">
        <v>10450</v>
      </c>
      <c r="S1158" t="s">
        <v>10451</v>
      </c>
    </row>
    <row r="1159" spans="1:19" x14ac:dyDescent="0.25">
      <c r="A1159" s="1">
        <v>1157</v>
      </c>
      <c r="B1159" t="str">
        <f>HYPERLINK("https://www.dasschnelle.at/kogler-franz-seekirchen-am-wallersee-hauptstraße","Website")</f>
        <v>Website</v>
      </c>
      <c r="C1159" t="str">
        <f>HYPERLINK("http://www.unserebuntewelt.at","Website")</f>
        <v>Website</v>
      </c>
      <c r="D1159" t="str">
        <f>HYPERLINK("http://www.google.com/maps/place/47.8949283,13.1246810","Location")</f>
        <v>Location</v>
      </c>
      <c r="E1159" t="s">
        <v>10455</v>
      </c>
      <c r="F1159" t="s">
        <v>10456</v>
      </c>
      <c r="G1159" t="s">
        <v>1412</v>
      </c>
      <c r="H1159" t="s">
        <v>10367</v>
      </c>
      <c r="I1159" t="s">
        <v>2239</v>
      </c>
      <c r="J1159" t="s">
        <v>22</v>
      </c>
      <c r="K1159" t="s">
        <v>10457</v>
      </c>
      <c r="L1159" t="s">
        <v>10460</v>
      </c>
      <c r="M1159" t="s">
        <v>25</v>
      </c>
      <c r="N1159" t="s">
        <v>10461</v>
      </c>
      <c r="O1159" t="s">
        <v>25</v>
      </c>
      <c r="P1159" t="s">
        <v>10462</v>
      </c>
      <c r="Q1159" t="s">
        <v>29</v>
      </c>
      <c r="R1159" t="s">
        <v>10458</v>
      </c>
      <c r="S1159" t="s">
        <v>10459</v>
      </c>
    </row>
    <row r="1160" spans="1:19" x14ac:dyDescent="0.25">
      <c r="A1160" s="1">
        <v>1158</v>
      </c>
      <c r="B1160" t="str">
        <f>HYPERLINK("https://www.dasschnelle.at/rehbichler-franz-obertrum-am-see-verdiweg","Website")</f>
        <v>Website</v>
      </c>
      <c r="C1160" t="str">
        <f>HYPERLINK("http://www.rehbichler-vollwaermeschutz.at","Website")</f>
        <v>Website</v>
      </c>
      <c r="D1160" t="str">
        <f>HYPERLINK("http://www.google.com/maps/place/47.9312805,13.0706048","Location")</f>
        <v>Location</v>
      </c>
      <c r="E1160" t="s">
        <v>10463</v>
      </c>
      <c r="F1160" t="s">
        <v>10464</v>
      </c>
      <c r="G1160" t="s">
        <v>10429</v>
      </c>
      <c r="H1160" t="s">
        <v>10466</v>
      </c>
      <c r="I1160" t="s">
        <v>2239</v>
      </c>
      <c r="J1160" t="s">
        <v>22</v>
      </c>
      <c r="K1160" t="s">
        <v>10465</v>
      </c>
      <c r="L1160" t="s">
        <v>10469</v>
      </c>
      <c r="M1160" t="s">
        <v>25</v>
      </c>
      <c r="N1160" t="s">
        <v>10470</v>
      </c>
      <c r="O1160" t="s">
        <v>25</v>
      </c>
      <c r="P1160" t="s">
        <v>10471</v>
      </c>
      <c r="Q1160" t="s">
        <v>29</v>
      </c>
      <c r="R1160" t="s">
        <v>10467</v>
      </c>
      <c r="S1160" t="s">
        <v>10468</v>
      </c>
    </row>
    <row r="1161" spans="1:19" x14ac:dyDescent="0.25">
      <c r="A1161" s="1">
        <v>1159</v>
      </c>
      <c r="B1161" t="str">
        <f>HYPERLINK("https://www.dasschnelle.at/jurisic-gastronomie-gmbh-gasthaus-neuwirt-berndorf-bei-salzburg-haunsbergstraße","Website")</f>
        <v>Website</v>
      </c>
      <c r="C1161" t="str">
        <f>HYPERLINK("http://www.kellerwirt-neuwirt.at","Website")</f>
        <v>Website</v>
      </c>
      <c r="D1161" t="str">
        <f>HYPERLINK("http://www.google.com/maps/place/47.9966,13.06081","Location")</f>
        <v>Location</v>
      </c>
      <c r="E1161" t="s">
        <v>10472</v>
      </c>
      <c r="F1161" t="s">
        <v>10473</v>
      </c>
      <c r="G1161" t="s">
        <v>2237</v>
      </c>
      <c r="H1161" t="s">
        <v>2238</v>
      </c>
      <c r="I1161" t="s">
        <v>2239</v>
      </c>
      <c r="J1161" t="s">
        <v>22</v>
      </c>
      <c r="K1161" t="s">
        <v>10474</v>
      </c>
      <c r="L1161" t="s">
        <v>10477</v>
      </c>
      <c r="M1161" t="s">
        <v>25</v>
      </c>
      <c r="N1161" t="s">
        <v>10478</v>
      </c>
      <c r="O1161" t="s">
        <v>25</v>
      </c>
      <c r="P1161" t="s">
        <v>10479</v>
      </c>
      <c r="Q1161" t="s">
        <v>29</v>
      </c>
      <c r="R1161" t="s">
        <v>10475</v>
      </c>
      <c r="S1161" t="s">
        <v>10476</v>
      </c>
    </row>
    <row r="1162" spans="1:19" x14ac:dyDescent="0.25">
      <c r="A1162" s="1">
        <v>1160</v>
      </c>
      <c r="B1162" t="str">
        <f>HYPERLINK("https://www.dasschnelle.at/gollackner-christof-eugendorf-sommeregg","Website")</f>
        <v>Website</v>
      </c>
      <c r="C1162" t="str">
        <f>HYPERLINK("https://www.dasschnelle.at/gollackner-christof-eugendorf-sommeregg","Website")</f>
        <v>Website</v>
      </c>
      <c r="D1162" t="str">
        <f>HYPERLINK("http://www.google.com/maps/place/47.8358900,13.1349657","Location")</f>
        <v>Location</v>
      </c>
      <c r="E1162" t="s">
        <v>10480</v>
      </c>
      <c r="F1162" t="s">
        <v>10481</v>
      </c>
      <c r="G1162" t="s">
        <v>10439</v>
      </c>
      <c r="H1162" t="s">
        <v>10440</v>
      </c>
      <c r="I1162" t="s">
        <v>2239</v>
      </c>
      <c r="J1162" t="s">
        <v>22</v>
      </c>
      <c r="K1162" t="s">
        <v>10482</v>
      </c>
      <c r="L1162" t="s">
        <v>10485</v>
      </c>
      <c r="M1162" t="s">
        <v>25</v>
      </c>
      <c r="N1162" t="s">
        <v>10486</v>
      </c>
      <c r="O1162" t="s">
        <v>25</v>
      </c>
      <c r="P1162" t="s">
        <v>10487</v>
      </c>
      <c r="Q1162" t="s">
        <v>29</v>
      </c>
      <c r="R1162" t="s">
        <v>10483</v>
      </c>
      <c r="S1162" t="s">
        <v>10484</v>
      </c>
    </row>
    <row r="1163" spans="1:19" x14ac:dyDescent="0.25">
      <c r="A1163" s="1">
        <v>1161</v>
      </c>
      <c r="B1163" t="str">
        <f>HYPERLINK("https://www.dasschnelle.at/brückenstüberl-seekirchen-am-wallersee-henndorfer-straße","Website")</f>
        <v>Website</v>
      </c>
      <c r="C1163" t="str">
        <f>HYPERLINK("http://www.brueckenstueberl.at","Website")</f>
        <v>Website</v>
      </c>
      <c r="D1163" t="str">
        <f>HYPERLINK("http://www.google.com/maps/place/47.89095,13.12714","Location")</f>
        <v>Location</v>
      </c>
      <c r="E1163" t="s">
        <v>10488</v>
      </c>
      <c r="F1163" t="s">
        <v>10489</v>
      </c>
      <c r="G1163" t="s">
        <v>1412</v>
      </c>
      <c r="H1163" t="s">
        <v>10367</v>
      </c>
      <c r="I1163" t="s">
        <v>2239</v>
      </c>
      <c r="J1163" t="s">
        <v>22</v>
      </c>
      <c r="K1163" t="s">
        <v>10490</v>
      </c>
      <c r="L1163" t="s">
        <v>10493</v>
      </c>
      <c r="M1163" t="s">
        <v>25</v>
      </c>
      <c r="N1163" t="s">
        <v>10494</v>
      </c>
      <c r="O1163" t="s">
        <v>25</v>
      </c>
      <c r="P1163" t="s">
        <v>10495</v>
      </c>
      <c r="Q1163" t="s">
        <v>29</v>
      </c>
      <c r="R1163" t="s">
        <v>10491</v>
      </c>
      <c r="S1163" t="s">
        <v>10492</v>
      </c>
    </row>
    <row r="1164" spans="1:19" x14ac:dyDescent="0.25">
      <c r="A1164" s="1">
        <v>1162</v>
      </c>
      <c r="B1164" t="str">
        <f>HYPERLINK("https://www.dasschnelle.at/sozialer-hilfsdienst-seekirchen-am-wallersee-seekirchen-am-wallersee-moosstraße","Website")</f>
        <v>Website</v>
      </c>
      <c r="C1164" t="str">
        <f>HYPERLINK("http://www.sozialerhilfsdienstseeekirchen.at","Website")</f>
        <v>Website</v>
      </c>
      <c r="D1164" t="str">
        <f>HYPERLINK("http://www.google.com/maps/place/47.8958546,13.1185815","Location")</f>
        <v>Location</v>
      </c>
      <c r="E1164" t="s">
        <v>10496</v>
      </c>
      <c r="F1164" t="s">
        <v>10497</v>
      </c>
      <c r="G1164" t="s">
        <v>1412</v>
      </c>
      <c r="H1164" t="s">
        <v>10367</v>
      </c>
      <c r="I1164" t="s">
        <v>2239</v>
      </c>
      <c r="J1164" t="s">
        <v>22</v>
      </c>
      <c r="K1164" t="s">
        <v>10498</v>
      </c>
      <c r="L1164" t="s">
        <v>10501</v>
      </c>
      <c r="M1164" t="s">
        <v>25</v>
      </c>
      <c r="N1164" t="s">
        <v>10502</v>
      </c>
      <c r="O1164" t="s">
        <v>25</v>
      </c>
      <c r="P1164" t="s">
        <v>10503</v>
      </c>
      <c r="Q1164" t="s">
        <v>29</v>
      </c>
      <c r="R1164" t="s">
        <v>10499</v>
      </c>
      <c r="S1164" t="s">
        <v>10500</v>
      </c>
    </row>
    <row r="1165" spans="1:19" x14ac:dyDescent="0.25">
      <c r="A1165" s="1">
        <v>1163</v>
      </c>
      <c r="B1165" t="str">
        <f>HYPERLINK("https://www.dasschnelle.at/brunauer-paul-seeham-kälberpoint","Website")</f>
        <v>Website</v>
      </c>
      <c r="C1165" t="str">
        <f>HYPERLINK("http://www.brunauer-dach.at","Website")</f>
        <v>Website</v>
      </c>
      <c r="D1165" t="str">
        <f>HYPERLINK("http://www.google.com/maps/place/47.9794,13.07006","Location")</f>
        <v>Location</v>
      </c>
      <c r="E1165" t="s">
        <v>10504</v>
      </c>
      <c r="F1165" t="s">
        <v>10505</v>
      </c>
      <c r="G1165" t="s">
        <v>10507</v>
      </c>
      <c r="H1165" t="s">
        <v>10508</v>
      </c>
      <c r="I1165" t="s">
        <v>2239</v>
      </c>
      <c r="J1165" t="s">
        <v>22</v>
      </c>
      <c r="K1165" t="s">
        <v>10506</v>
      </c>
      <c r="L1165" t="s">
        <v>10511</v>
      </c>
      <c r="M1165" t="s">
        <v>25</v>
      </c>
      <c r="N1165" t="s">
        <v>10512</v>
      </c>
      <c r="O1165" t="s">
        <v>10513</v>
      </c>
      <c r="P1165" t="s">
        <v>10514</v>
      </c>
      <c r="Q1165" t="s">
        <v>29</v>
      </c>
      <c r="R1165" t="s">
        <v>10509</v>
      </c>
      <c r="S1165" t="s">
        <v>10510</v>
      </c>
    </row>
    <row r="1166" spans="1:19" x14ac:dyDescent="0.25">
      <c r="A1166" s="1">
        <v>1164</v>
      </c>
      <c r="B1166" t="str">
        <f>HYPERLINK("https://www.dasschnelle.at/groß-erwin-zwettl-niederösterreich-waldhams","Website")</f>
        <v>Website</v>
      </c>
      <c r="C1166" t="str">
        <f>HYPERLINK("http://www.malergross.at","Website")</f>
        <v>Website</v>
      </c>
      <c r="D1166" t="str">
        <f>HYPERLINK("http://www.google.com/maps/place/48.5914836,15.1089622","Location")</f>
        <v>Location</v>
      </c>
      <c r="E1166" t="s">
        <v>10515</v>
      </c>
      <c r="F1166" t="s">
        <v>10516</v>
      </c>
      <c r="G1166" t="s">
        <v>10518</v>
      </c>
      <c r="H1166" t="s">
        <v>10519</v>
      </c>
      <c r="I1166" t="s">
        <v>177</v>
      </c>
      <c r="J1166" t="s">
        <v>22</v>
      </c>
      <c r="K1166" t="s">
        <v>10517</v>
      </c>
      <c r="L1166" t="s">
        <v>10522</v>
      </c>
      <c r="M1166" t="s">
        <v>25</v>
      </c>
      <c r="N1166" t="s">
        <v>10523</v>
      </c>
      <c r="O1166" t="s">
        <v>25</v>
      </c>
      <c r="P1166" t="s">
        <v>10524</v>
      </c>
      <c r="Q1166" t="s">
        <v>29</v>
      </c>
      <c r="R1166" t="s">
        <v>10520</v>
      </c>
      <c r="S1166" t="s">
        <v>10521</v>
      </c>
    </row>
    <row r="1167" spans="1:19" x14ac:dyDescent="0.25">
      <c r="A1167" s="1">
        <v>1165</v>
      </c>
      <c r="B1167" t="str">
        <f>HYPERLINK("https://www.dasschnelle.at/itz-itzlinger-gmbh-mondsee-franz-kreutzberger-straße","Website")</f>
        <v>Website</v>
      </c>
      <c r="C1167" t="str">
        <f>HYPERLINK("http://www.itzlinger.at","Website")</f>
        <v>Website</v>
      </c>
      <c r="D1167" t="str">
        <f>HYPERLINK("http://www.google.com/maps/place/47.85348,13.34803","Location")</f>
        <v>Location</v>
      </c>
      <c r="E1167" t="s">
        <v>10525</v>
      </c>
      <c r="F1167" t="s">
        <v>10526</v>
      </c>
      <c r="G1167" t="s">
        <v>6543</v>
      </c>
      <c r="H1167" t="s">
        <v>6544</v>
      </c>
      <c r="I1167" t="s">
        <v>85</v>
      </c>
      <c r="J1167" t="s">
        <v>22</v>
      </c>
      <c r="K1167" t="s">
        <v>10527</v>
      </c>
      <c r="L1167" t="s">
        <v>10530</v>
      </c>
      <c r="M1167" t="s">
        <v>10531</v>
      </c>
      <c r="N1167" t="s">
        <v>10532</v>
      </c>
      <c r="O1167" t="s">
        <v>25</v>
      </c>
      <c r="P1167" t="s">
        <v>10533</v>
      </c>
      <c r="Q1167" t="s">
        <v>29</v>
      </c>
      <c r="R1167" t="s">
        <v>10528</v>
      </c>
      <c r="S1167" t="s">
        <v>10529</v>
      </c>
    </row>
    <row r="1168" spans="1:19" x14ac:dyDescent="0.25">
      <c r="A1168" s="1">
        <v>1166</v>
      </c>
      <c r="B1168" t="str">
        <f>HYPERLINK("https://www.dasschnelle.at/goldammer-wilhelm-ing-hallein-niederhofgasse","Website")</f>
        <v>Website</v>
      </c>
      <c r="C1168" t="str">
        <f>HYPERLINK("http://www.goldammer.co.at","Website")</f>
        <v>Website</v>
      </c>
      <c r="D1168" t="str">
        <f>HYPERLINK("http://www.google.com/maps/place/47.68282,13.09231","Location")</f>
        <v>Location</v>
      </c>
      <c r="E1168" t="s">
        <v>10534</v>
      </c>
      <c r="F1168" t="s">
        <v>10535</v>
      </c>
      <c r="G1168" t="s">
        <v>7584</v>
      </c>
      <c r="H1168" t="s">
        <v>7585</v>
      </c>
      <c r="I1168" t="s">
        <v>2239</v>
      </c>
      <c r="J1168" t="s">
        <v>22</v>
      </c>
      <c r="K1168" t="s">
        <v>10536</v>
      </c>
      <c r="L1168" t="s">
        <v>10539</v>
      </c>
      <c r="M1168" t="s">
        <v>25</v>
      </c>
      <c r="N1168" t="s">
        <v>10540</v>
      </c>
      <c r="O1168" t="s">
        <v>25</v>
      </c>
      <c r="P1168" t="s">
        <v>10541</v>
      </c>
      <c r="Q1168" t="s">
        <v>29</v>
      </c>
      <c r="R1168" t="s">
        <v>10537</v>
      </c>
      <c r="S1168" t="s">
        <v>10538</v>
      </c>
    </row>
    <row r="1169" spans="1:19" x14ac:dyDescent="0.25">
      <c r="A1169" s="1">
        <v>1167</v>
      </c>
      <c r="B1169" t="str">
        <f>HYPERLINK("https://www.dasschnelle.at/kornprobst-tele-funk-gesmbh-straßwalchen-salzburgerstraße","Website")</f>
        <v>Website</v>
      </c>
      <c r="C1169" t="str">
        <f>HYPERLINK("http://www.kornprobst.at","Website")</f>
        <v>Website</v>
      </c>
      <c r="D1169" t="str">
        <f>HYPERLINK("http://www.google.com/maps/place/47.97723,13.25354","Location")</f>
        <v>Location</v>
      </c>
      <c r="E1169" t="s">
        <v>10542</v>
      </c>
      <c r="F1169" t="s">
        <v>10543</v>
      </c>
      <c r="G1169" t="s">
        <v>10545</v>
      </c>
      <c r="H1169" t="s">
        <v>10546</v>
      </c>
      <c r="I1169" t="s">
        <v>2239</v>
      </c>
      <c r="J1169" t="s">
        <v>22</v>
      </c>
      <c r="K1169" t="s">
        <v>10544</v>
      </c>
      <c r="L1169" t="s">
        <v>10549</v>
      </c>
      <c r="M1169" t="s">
        <v>10550</v>
      </c>
      <c r="N1169" t="s">
        <v>10551</v>
      </c>
      <c r="O1169" t="s">
        <v>25</v>
      </c>
      <c r="P1169" t="s">
        <v>10552</v>
      </c>
      <c r="Q1169" t="s">
        <v>29</v>
      </c>
      <c r="R1169" t="s">
        <v>10547</v>
      </c>
      <c r="S1169" t="s">
        <v>10548</v>
      </c>
    </row>
    <row r="1170" spans="1:19" x14ac:dyDescent="0.25">
      <c r="A1170" s="1">
        <v>1168</v>
      </c>
      <c r="B1170" t="str">
        <f>HYPERLINK("https://www.dasschnelle.at/cut-arena-straßwalchen-mondseerstraße","Website")</f>
        <v>Website</v>
      </c>
      <c r="C1170" t="str">
        <f>HYPERLINK("http://www.cutarena.at","Website")</f>
        <v>Website</v>
      </c>
      <c r="D1170" t="str">
        <f>HYPERLINK("http://www.google.com/maps/place/47.97644,13.25869","Location")</f>
        <v>Location</v>
      </c>
      <c r="E1170" t="s">
        <v>10553</v>
      </c>
      <c r="F1170" t="s">
        <v>10554</v>
      </c>
      <c r="G1170" t="s">
        <v>10545</v>
      </c>
      <c r="H1170" t="s">
        <v>10546</v>
      </c>
      <c r="I1170" t="s">
        <v>2239</v>
      </c>
      <c r="J1170" t="s">
        <v>22</v>
      </c>
      <c r="K1170" t="s">
        <v>10555</v>
      </c>
      <c r="L1170" t="s">
        <v>10558</v>
      </c>
      <c r="M1170" t="s">
        <v>25</v>
      </c>
      <c r="N1170" t="s">
        <v>10559</v>
      </c>
      <c r="O1170" t="s">
        <v>25</v>
      </c>
      <c r="P1170" t="s">
        <v>10560</v>
      </c>
      <c r="Q1170" t="s">
        <v>29</v>
      </c>
      <c r="R1170" t="s">
        <v>10556</v>
      </c>
      <c r="S1170" t="s">
        <v>10557</v>
      </c>
    </row>
    <row r="1171" spans="1:19" x14ac:dyDescent="0.25">
      <c r="A1171" s="1">
        <v>1169</v>
      </c>
      <c r="B1171" t="str">
        <f>HYPERLINK("https://www.dasschnelle.at/f-und-m-elektrotechnik-gmbh-neumarkt-am-wallersee-wiener-straße","Website")</f>
        <v>Website</v>
      </c>
      <c r="C1171" t="str">
        <f>HYPERLINK("http://www.fmelektro.at","Website")</f>
        <v>Website</v>
      </c>
      <c r="D1171" t="str">
        <f>HYPERLINK("http://www.google.com/maps/place/47.95054,13.22713","Location")</f>
        <v>Location</v>
      </c>
      <c r="E1171" t="s">
        <v>10561</v>
      </c>
      <c r="F1171" t="s">
        <v>10562</v>
      </c>
      <c r="G1171" t="s">
        <v>10564</v>
      </c>
      <c r="H1171" t="s">
        <v>10565</v>
      </c>
      <c r="I1171" t="s">
        <v>2239</v>
      </c>
      <c r="J1171" t="s">
        <v>22</v>
      </c>
      <c r="K1171" t="s">
        <v>10563</v>
      </c>
      <c r="L1171" t="s">
        <v>10568</v>
      </c>
      <c r="M1171" t="s">
        <v>25</v>
      </c>
      <c r="N1171" t="s">
        <v>10569</v>
      </c>
      <c r="O1171" t="s">
        <v>25</v>
      </c>
      <c r="P1171" t="s">
        <v>10570</v>
      </c>
      <c r="Q1171" t="s">
        <v>29</v>
      </c>
      <c r="R1171" t="s">
        <v>10566</v>
      </c>
      <c r="S1171" t="s">
        <v>10567</v>
      </c>
    </row>
    <row r="1172" spans="1:19" x14ac:dyDescent="0.25">
      <c r="A1172" s="1">
        <v>1170</v>
      </c>
      <c r="B1172" t="str">
        <f>HYPERLINK("https://www.dasschnelle.at/mayrhauser-johann-hüttenedt","Website")</f>
        <v>Website</v>
      </c>
      <c r="C1172" t="str">
        <f>HYPERLINK("https://www.dasschnelle.at/mayrhauser-johann-h%C3%BCttenedt","Website")</f>
        <v>Website</v>
      </c>
      <c r="D1172" t="str">
        <f>HYPERLINK("http://www.google.com/maps/place/47.9607484,13.3648781","Location")</f>
        <v>Location</v>
      </c>
      <c r="E1172" t="s">
        <v>10571</v>
      </c>
      <c r="F1172" t="s">
        <v>10572</v>
      </c>
      <c r="G1172" t="s">
        <v>10545</v>
      </c>
      <c r="H1172" t="s">
        <v>10573</v>
      </c>
      <c r="I1172" t="s">
        <v>2239</v>
      </c>
      <c r="J1172" t="s">
        <v>22</v>
      </c>
      <c r="K1172" t="s">
        <v>25</v>
      </c>
      <c r="L1172" t="s">
        <v>10576</v>
      </c>
      <c r="M1172" t="s">
        <v>10577</v>
      </c>
      <c r="N1172" t="s">
        <v>10578</v>
      </c>
      <c r="O1172" t="s">
        <v>25</v>
      </c>
      <c r="P1172" t="s">
        <v>10579</v>
      </c>
      <c r="Q1172" t="s">
        <v>29</v>
      </c>
      <c r="R1172" t="s">
        <v>10574</v>
      </c>
      <c r="S1172" t="s">
        <v>10575</v>
      </c>
    </row>
    <row r="1173" spans="1:19" x14ac:dyDescent="0.25">
      <c r="A1173" s="1">
        <v>1171</v>
      </c>
      <c r="B1173" t="str">
        <f>HYPERLINK("https://www.dasschnelle.at/spatzenegger-norbert-friedburg-kühbichl","Website")</f>
        <v>Website</v>
      </c>
      <c r="C1173" t="str">
        <f>HYPERLINK("http://www.bestattung-spatzenegger.stadtausstellung.at","Website")</f>
        <v>Website</v>
      </c>
      <c r="D1173" t="str">
        <f>HYPERLINK("http://www.google.com/maps/place/48.0128692,13.2495233","Location")</f>
        <v>Location</v>
      </c>
      <c r="E1173" t="s">
        <v>10580</v>
      </c>
      <c r="F1173" t="s">
        <v>10581</v>
      </c>
      <c r="G1173" t="s">
        <v>10583</v>
      </c>
      <c r="H1173" t="s">
        <v>10584</v>
      </c>
      <c r="I1173" t="s">
        <v>85</v>
      </c>
      <c r="J1173" t="s">
        <v>22</v>
      </c>
      <c r="K1173" t="s">
        <v>10582</v>
      </c>
      <c r="L1173" t="s">
        <v>10587</v>
      </c>
      <c r="M1173" t="s">
        <v>25</v>
      </c>
      <c r="N1173" t="s">
        <v>10588</v>
      </c>
      <c r="O1173" t="s">
        <v>25</v>
      </c>
      <c r="P1173" t="s">
        <v>10589</v>
      </c>
      <c r="Q1173" t="s">
        <v>29</v>
      </c>
      <c r="R1173" t="s">
        <v>10585</v>
      </c>
      <c r="S1173" t="s">
        <v>10586</v>
      </c>
    </row>
    <row r="1174" spans="1:19" x14ac:dyDescent="0.25">
      <c r="A1174" s="1">
        <v>1172</v>
      </c>
      <c r="B1174" t="str">
        <f>HYPERLINK("https://www.dasschnelle.at/reiter-gerhard-look-optik-straßwalchen-salzburgerstraße","Website")</f>
        <v>Website</v>
      </c>
      <c r="C1174" t="str">
        <f>HYPERLINK("https://www.dasschnelle.at/reiter-gerhard-look-optik-stra%C3%9Fwalchen-salzburgerstra%C3%9Fe","Website")</f>
        <v>Website</v>
      </c>
      <c r="D1174" t="str">
        <f>HYPERLINK("http://www.google.com/maps/place/47.97802,13.25391","Location")</f>
        <v>Location</v>
      </c>
      <c r="E1174" t="s">
        <v>10590</v>
      </c>
      <c r="F1174" t="s">
        <v>10591</v>
      </c>
      <c r="G1174" t="s">
        <v>10545</v>
      </c>
      <c r="H1174" t="s">
        <v>10546</v>
      </c>
      <c r="I1174" t="s">
        <v>2239</v>
      </c>
      <c r="J1174" t="s">
        <v>22</v>
      </c>
      <c r="K1174" t="s">
        <v>10592</v>
      </c>
      <c r="L1174" t="s">
        <v>10595</v>
      </c>
      <c r="M1174" t="s">
        <v>25</v>
      </c>
      <c r="N1174" t="s">
        <v>10596</v>
      </c>
      <c r="O1174" t="s">
        <v>25</v>
      </c>
      <c r="P1174" t="s">
        <v>10597</v>
      </c>
      <c r="Q1174" t="s">
        <v>29</v>
      </c>
      <c r="R1174" t="s">
        <v>10593</v>
      </c>
      <c r="S1174" t="s">
        <v>10594</v>
      </c>
    </row>
    <row r="1175" spans="1:19" x14ac:dyDescent="0.25">
      <c r="A1175" s="1">
        <v>1173</v>
      </c>
      <c r="B1175" t="str">
        <f>HYPERLINK("https://www.dasschnelle.at/änderungsschneiderei-gabriele-schinwald-straßwalchen-brunn","Website")</f>
        <v>Website</v>
      </c>
      <c r="C1175" t="str">
        <f>HYPERLINK("https://www.dasschnelle.at/%C3%A4nderungsschneiderei-gabriele-schinwald-stra%C3%9Fwalchen-brunn","Website")</f>
        <v>Website</v>
      </c>
      <c r="D1175" t="str">
        <f>HYPERLINK("http://www.google.com/maps/place/47.9910500,13.2962400","Location")</f>
        <v>Location</v>
      </c>
      <c r="E1175" t="s">
        <v>10598</v>
      </c>
      <c r="F1175" t="s">
        <v>10599</v>
      </c>
      <c r="G1175" t="s">
        <v>10545</v>
      </c>
      <c r="H1175" t="s">
        <v>10546</v>
      </c>
      <c r="I1175" t="s">
        <v>2239</v>
      </c>
      <c r="J1175" t="s">
        <v>22</v>
      </c>
      <c r="K1175" t="s">
        <v>10600</v>
      </c>
      <c r="L1175" t="s">
        <v>10603</v>
      </c>
      <c r="M1175" t="s">
        <v>25</v>
      </c>
      <c r="N1175" t="s">
        <v>10604</v>
      </c>
      <c r="O1175" t="s">
        <v>25</v>
      </c>
      <c r="P1175" t="s">
        <v>10605</v>
      </c>
      <c r="Q1175" t="s">
        <v>29</v>
      </c>
      <c r="R1175" t="s">
        <v>10601</v>
      </c>
      <c r="S1175" t="s">
        <v>10602</v>
      </c>
    </row>
    <row r="1176" spans="1:19" x14ac:dyDescent="0.25">
      <c r="A1176" s="1">
        <v>1174</v>
      </c>
      <c r="B1176" t="str">
        <f>HYPERLINK("https://www.dasschnelle.at/schober-holzbau-gmbh-friedburg-frauscherberg","Website")</f>
        <v>Website</v>
      </c>
      <c r="C1176" t="str">
        <f>HYPERLINK("http://www.schober-holzbau.at","Website")</f>
        <v>Website</v>
      </c>
      <c r="D1176" t="str">
        <f>HYPERLINK("http://www.google.com/maps/place/48.0154496,13.2708499","Location")</f>
        <v>Location</v>
      </c>
      <c r="E1176" t="s">
        <v>10606</v>
      </c>
      <c r="F1176" t="s">
        <v>10607</v>
      </c>
      <c r="G1176" t="s">
        <v>10583</v>
      </c>
      <c r="H1176" t="s">
        <v>10584</v>
      </c>
      <c r="I1176" t="s">
        <v>85</v>
      </c>
      <c r="J1176" t="s">
        <v>22</v>
      </c>
      <c r="K1176" t="s">
        <v>10608</v>
      </c>
      <c r="L1176" t="s">
        <v>10611</v>
      </c>
      <c r="M1176" t="s">
        <v>25</v>
      </c>
      <c r="N1176" t="s">
        <v>10612</v>
      </c>
      <c r="O1176" t="s">
        <v>10613</v>
      </c>
      <c r="P1176" t="s">
        <v>10614</v>
      </c>
      <c r="Q1176" t="s">
        <v>29</v>
      </c>
      <c r="R1176" t="s">
        <v>10609</v>
      </c>
      <c r="S1176" t="s">
        <v>10610</v>
      </c>
    </row>
    <row r="1177" spans="1:19" x14ac:dyDescent="0.25">
      <c r="A1177" s="1">
        <v>1175</v>
      </c>
      <c r="B1177" t="str">
        <f>HYPERLINK("https://www.dasschnelle.at/übertsberger-kathrin-blumen-mädchen-köstendorf-dorfplatz","Website")</f>
        <v>Website</v>
      </c>
      <c r="C1177" t="str">
        <f>HYPERLINK("http://www.blumen-maedchen.at","Website")</f>
        <v>Website</v>
      </c>
      <c r="D1177" t="str">
        <f>HYPERLINK("http://www.google.com/maps/place/47.9569,13.19811","Location")</f>
        <v>Location</v>
      </c>
      <c r="E1177" t="s">
        <v>10615</v>
      </c>
      <c r="F1177" t="s">
        <v>10616</v>
      </c>
      <c r="G1177" t="s">
        <v>10618</v>
      </c>
      <c r="H1177" t="s">
        <v>10619</v>
      </c>
      <c r="I1177" t="s">
        <v>2239</v>
      </c>
      <c r="J1177" t="s">
        <v>22</v>
      </c>
      <c r="K1177" t="s">
        <v>10617</v>
      </c>
      <c r="L1177" t="s">
        <v>10622</v>
      </c>
      <c r="M1177" t="s">
        <v>25</v>
      </c>
      <c r="N1177" t="s">
        <v>10623</v>
      </c>
      <c r="O1177" t="s">
        <v>25</v>
      </c>
      <c r="P1177" t="s">
        <v>10624</v>
      </c>
      <c r="Q1177" t="s">
        <v>29</v>
      </c>
      <c r="R1177" t="s">
        <v>10620</v>
      </c>
      <c r="S1177" t="s">
        <v>10621</v>
      </c>
    </row>
    <row r="1178" spans="1:19" x14ac:dyDescent="0.25">
      <c r="A1178" s="1">
        <v>1176</v>
      </c>
      <c r="B1178" t="str">
        <f>HYPERLINK("https://www.dasschnelle.at/schafleitner-monika-straßwalchen-braunauerstraße","Website")</f>
        <v>Website</v>
      </c>
      <c r="C1178" t="str">
        <f>HYPERLINK("https://www.dasschnelle.at/schafleitner-monika-stra%C3%9Fwalchen-braunauerstra%C3%9Fe","Website")</f>
        <v>Website</v>
      </c>
      <c r="D1178" t="str">
        <f>HYPERLINK("http://www.google.com/maps/place/47.98221,13.25476","Location")</f>
        <v>Location</v>
      </c>
      <c r="E1178" t="s">
        <v>10625</v>
      </c>
      <c r="F1178" t="s">
        <v>10626</v>
      </c>
      <c r="G1178" t="s">
        <v>10545</v>
      </c>
      <c r="H1178" t="s">
        <v>10546</v>
      </c>
      <c r="I1178" t="s">
        <v>2239</v>
      </c>
      <c r="J1178" t="s">
        <v>22</v>
      </c>
      <c r="K1178" t="s">
        <v>10627</v>
      </c>
      <c r="L1178" t="s">
        <v>10630</v>
      </c>
      <c r="M1178" t="s">
        <v>25</v>
      </c>
      <c r="N1178" t="s">
        <v>10631</v>
      </c>
      <c r="O1178" t="s">
        <v>25</v>
      </c>
      <c r="P1178" t="s">
        <v>10632</v>
      </c>
      <c r="Q1178" t="s">
        <v>29</v>
      </c>
      <c r="R1178" t="s">
        <v>10628</v>
      </c>
      <c r="S1178" t="s">
        <v>10629</v>
      </c>
    </row>
    <row r="1179" spans="1:19" x14ac:dyDescent="0.25">
      <c r="A1179" s="1">
        <v>1177</v>
      </c>
      <c r="B1179" t="str">
        <f>HYPERLINK("https://www.dasschnelle.at/wögl-adolf-spital-am-pyhrn-alpenhof","Website")</f>
        <v>Website</v>
      </c>
      <c r="C1179" t="str">
        <f>HYPERLINK("https://www.dasschnelle.at/w%C3%B6gl-adolf-spital-am-pyhrn-alpenhof","Website")</f>
        <v>Website</v>
      </c>
      <c r="D1179" t="str">
        <f>HYPERLINK("http://www.google.com/maps/place/47.65571,14.33644","Location")</f>
        <v>Location</v>
      </c>
      <c r="E1179" t="s">
        <v>10633</v>
      </c>
      <c r="F1179" t="s">
        <v>10634</v>
      </c>
      <c r="G1179" t="s">
        <v>10636</v>
      </c>
      <c r="H1179" t="s">
        <v>10637</v>
      </c>
      <c r="I1179" t="s">
        <v>85</v>
      </c>
      <c r="J1179" t="s">
        <v>22</v>
      </c>
      <c r="K1179" t="s">
        <v>10635</v>
      </c>
      <c r="L1179" t="s">
        <v>10640</v>
      </c>
      <c r="M1179" t="s">
        <v>25</v>
      </c>
      <c r="N1179" t="s">
        <v>10641</v>
      </c>
      <c r="O1179" t="s">
        <v>25</v>
      </c>
      <c r="P1179" t="s">
        <v>10642</v>
      </c>
      <c r="Q1179" t="s">
        <v>29</v>
      </c>
      <c r="R1179" t="s">
        <v>10638</v>
      </c>
      <c r="S1179" t="s">
        <v>10639</v>
      </c>
    </row>
    <row r="1180" spans="1:19" x14ac:dyDescent="0.25">
      <c r="A1180" s="1">
        <v>1178</v>
      </c>
      <c r="B1180" t="str">
        <f>HYPERLINK("https://www.dasschnelle.at/glöckl-daniela-windischgarsten-edlbach","Website")</f>
        <v>Website</v>
      </c>
      <c r="C1180" t="str">
        <f>HYPERLINK("https://www.dasschnelle.at/gl%C3%B6ckl-daniela-windischgarsten-edlbach","Website")</f>
        <v>Website</v>
      </c>
      <c r="D1180" t="str">
        <f>HYPERLINK("http://www.google.com/maps/place/47.7152917,14.3495693","Location")</f>
        <v>Location</v>
      </c>
      <c r="E1180" t="s">
        <v>10643</v>
      </c>
      <c r="F1180" t="s">
        <v>10644</v>
      </c>
      <c r="G1180" t="s">
        <v>10646</v>
      </c>
      <c r="H1180" t="s">
        <v>10647</v>
      </c>
      <c r="I1180" t="s">
        <v>85</v>
      </c>
      <c r="J1180" t="s">
        <v>22</v>
      </c>
      <c r="K1180" t="s">
        <v>10645</v>
      </c>
      <c r="L1180" t="s">
        <v>10650</v>
      </c>
      <c r="M1180" t="s">
        <v>25</v>
      </c>
      <c r="N1180" t="s">
        <v>10651</v>
      </c>
      <c r="O1180" t="s">
        <v>25</v>
      </c>
      <c r="P1180" t="s">
        <v>10652</v>
      </c>
      <c r="Q1180" t="s">
        <v>29</v>
      </c>
      <c r="R1180" t="s">
        <v>10648</v>
      </c>
      <c r="S1180" t="s">
        <v>10649</v>
      </c>
    </row>
    <row r="1181" spans="1:19" x14ac:dyDescent="0.25">
      <c r="A1181" s="1">
        <v>1179</v>
      </c>
      <c r="B1181" t="str">
        <f>HYPERLINK("https://www.dasschnelle.at/wieser-johannes-spital-am-pyhrn-bahnhofstraße","Website")</f>
        <v>Website</v>
      </c>
      <c r="C1181" t="str">
        <f>HYPERLINK("http://www.dach-wieser.at","Website")</f>
        <v>Website</v>
      </c>
      <c r="D1181" t="str">
        <f>HYPERLINK("http://www.google.com/maps/place/47.67312,14.34726","Location")</f>
        <v>Location</v>
      </c>
      <c r="E1181" t="s">
        <v>10653</v>
      </c>
      <c r="F1181" t="s">
        <v>10654</v>
      </c>
      <c r="G1181" t="s">
        <v>10636</v>
      </c>
      <c r="H1181" t="s">
        <v>10637</v>
      </c>
      <c r="I1181" t="s">
        <v>85</v>
      </c>
      <c r="J1181" t="s">
        <v>22</v>
      </c>
      <c r="K1181" t="s">
        <v>10655</v>
      </c>
      <c r="L1181" t="s">
        <v>10658</v>
      </c>
      <c r="M1181" t="s">
        <v>25</v>
      </c>
      <c r="N1181" t="s">
        <v>10659</v>
      </c>
      <c r="O1181" t="s">
        <v>25</v>
      </c>
      <c r="P1181" t="s">
        <v>10660</v>
      </c>
      <c r="Q1181" t="s">
        <v>29</v>
      </c>
      <c r="R1181" t="s">
        <v>10656</v>
      </c>
      <c r="S1181" t="s">
        <v>10657</v>
      </c>
    </row>
    <row r="1182" spans="1:19" x14ac:dyDescent="0.25">
      <c r="A1182" s="1">
        <v>1180</v>
      </c>
      <c r="B1182" t="str">
        <f>HYPERLINK("https://www.dasschnelle.at/berger-schauer-andreas-windischgarsten-gleinkerseestraße","Website")</f>
        <v>Website</v>
      </c>
      <c r="C1182" t="str">
        <f>HYPERLINK("http://www.bergerschauer.at","Website")</f>
        <v>Website</v>
      </c>
      <c r="D1182" t="str">
        <f>HYPERLINK("http://www.google.com/maps/place/47.72183,14.32379","Location")</f>
        <v>Location</v>
      </c>
      <c r="E1182" t="s">
        <v>10661</v>
      </c>
      <c r="F1182" t="s">
        <v>10662</v>
      </c>
      <c r="G1182" t="s">
        <v>10646</v>
      </c>
      <c r="H1182" t="s">
        <v>10647</v>
      </c>
      <c r="I1182" t="s">
        <v>85</v>
      </c>
      <c r="J1182" t="s">
        <v>22</v>
      </c>
      <c r="K1182" t="s">
        <v>10663</v>
      </c>
      <c r="L1182" t="s">
        <v>10666</v>
      </c>
      <c r="M1182" t="s">
        <v>25</v>
      </c>
      <c r="N1182" t="s">
        <v>10667</v>
      </c>
      <c r="O1182" t="s">
        <v>25</v>
      </c>
      <c r="P1182" t="s">
        <v>10668</v>
      </c>
      <c r="Q1182" t="s">
        <v>29</v>
      </c>
      <c r="R1182" t="s">
        <v>10664</v>
      </c>
      <c r="S1182" t="s">
        <v>10665</v>
      </c>
    </row>
    <row r="1183" spans="1:19" x14ac:dyDescent="0.25">
      <c r="A1183" s="1">
        <v>1181</v>
      </c>
      <c r="B1183" t="str">
        <f>HYPERLINK("https://www.dasschnelle.at/greunz-daniel-roßleithen-rading","Website")</f>
        <v>Website</v>
      </c>
      <c r="C1183" t="str">
        <f>HYPERLINK("https://www.dasschnelle.at/greunz-daniel-ro%C3%9Fleithen-rading","Website")</f>
        <v>Website</v>
      </c>
      <c r="D1183" t="str">
        <f>HYPERLINK("http://www.google.com/maps/place/47.7347831,14.3077964","Location")</f>
        <v>Location</v>
      </c>
      <c r="E1183" t="s">
        <v>10669</v>
      </c>
      <c r="F1183" t="s">
        <v>10670</v>
      </c>
      <c r="G1183" t="s">
        <v>10672</v>
      </c>
      <c r="H1183" t="s">
        <v>10673</v>
      </c>
      <c r="I1183" t="s">
        <v>85</v>
      </c>
      <c r="J1183" t="s">
        <v>22</v>
      </c>
      <c r="K1183" t="s">
        <v>10671</v>
      </c>
      <c r="L1183" t="s">
        <v>10676</v>
      </c>
      <c r="M1183" t="s">
        <v>25</v>
      </c>
      <c r="N1183" t="s">
        <v>10677</v>
      </c>
      <c r="O1183" t="s">
        <v>25</v>
      </c>
      <c r="P1183" t="s">
        <v>10678</v>
      </c>
      <c r="Q1183" t="s">
        <v>29</v>
      </c>
      <c r="R1183" t="s">
        <v>10674</v>
      </c>
      <c r="S1183" t="s">
        <v>10675</v>
      </c>
    </row>
    <row r="1184" spans="1:19" x14ac:dyDescent="0.25">
      <c r="A1184" s="1">
        <v>1182</v>
      </c>
      <c r="B1184" t="str">
        <f>HYPERLINK("https://www.dasschnelle.at/kähls-josef-roßleithen-rading","Website")</f>
        <v>Website</v>
      </c>
      <c r="C1184" t="str">
        <f>HYPERLINK("https://www.dasschnelle.at/k%C3%A4hls-josef-ro%C3%9Fleithen-rading","Website")</f>
        <v>Website</v>
      </c>
      <c r="D1184" t="str">
        <f>HYPERLINK("http://www.google.com/maps/place/47.7390400,14.2982900","Location")</f>
        <v>Location</v>
      </c>
      <c r="E1184" t="s">
        <v>10679</v>
      </c>
      <c r="F1184" t="s">
        <v>10680</v>
      </c>
      <c r="G1184" t="s">
        <v>10672</v>
      </c>
      <c r="H1184" t="s">
        <v>10673</v>
      </c>
      <c r="I1184" t="s">
        <v>85</v>
      </c>
      <c r="J1184" t="s">
        <v>22</v>
      </c>
      <c r="K1184" t="s">
        <v>10681</v>
      </c>
      <c r="L1184" t="s">
        <v>10684</v>
      </c>
      <c r="M1184" t="s">
        <v>25</v>
      </c>
      <c r="N1184" t="s">
        <v>10685</v>
      </c>
      <c r="O1184" t="s">
        <v>25</v>
      </c>
      <c r="P1184" t="s">
        <v>10686</v>
      </c>
      <c r="Q1184" t="s">
        <v>29</v>
      </c>
      <c r="R1184" t="s">
        <v>10682</v>
      </c>
      <c r="S1184" t="s">
        <v>10683</v>
      </c>
    </row>
    <row r="1185" spans="1:19" x14ac:dyDescent="0.25">
      <c r="A1185" s="1">
        <v>1183</v>
      </c>
      <c r="B1185" t="str">
        <f>HYPERLINK("https://www.dasschnelle.at/schmid-andreas-spital-am-pyhrn-garstner-eck","Website")</f>
        <v>Website</v>
      </c>
      <c r="C1185" t="str">
        <f>HYPERLINK("https://www.dasschnelle.at/schmid-andreas-spital-am-pyhrn-garstner-eck","Website")</f>
        <v>Website</v>
      </c>
      <c r="D1185" t="str">
        <f>HYPERLINK("http://www.google.com/maps/place/47.69916,14.32507","Location")</f>
        <v>Location</v>
      </c>
      <c r="E1185" t="s">
        <v>10687</v>
      </c>
      <c r="F1185" t="s">
        <v>10688</v>
      </c>
      <c r="G1185" t="s">
        <v>10636</v>
      </c>
      <c r="H1185" t="s">
        <v>10637</v>
      </c>
      <c r="I1185" t="s">
        <v>85</v>
      </c>
      <c r="J1185" t="s">
        <v>22</v>
      </c>
      <c r="K1185" t="s">
        <v>10689</v>
      </c>
      <c r="L1185" t="s">
        <v>10692</v>
      </c>
      <c r="M1185" t="s">
        <v>25</v>
      </c>
      <c r="N1185" t="s">
        <v>10693</v>
      </c>
      <c r="O1185" t="s">
        <v>25</v>
      </c>
      <c r="P1185" t="s">
        <v>10694</v>
      </c>
      <c r="Q1185" t="s">
        <v>29</v>
      </c>
      <c r="R1185" t="s">
        <v>10690</v>
      </c>
      <c r="S1185" t="s">
        <v>10691</v>
      </c>
    </row>
    <row r="1186" spans="1:19" x14ac:dyDescent="0.25">
      <c r="A1186" s="1">
        <v>1184</v>
      </c>
      <c r="B1186" t="str">
        <f>HYPERLINK("https://www.dasschnelle.at/redtenbacher-johann-mitterweng","Website")</f>
        <v>Website</v>
      </c>
      <c r="C1186" t="str">
        <f>HYPERLINK("http://www.moosgierler.at","Website")</f>
        <v>Website</v>
      </c>
      <c r="D1186" t="str">
        <f>HYPERLINK("http://www.google.com/maps/place/47.7083439,14.3597641","Location")</f>
        <v>Location</v>
      </c>
      <c r="E1186" t="s">
        <v>10695</v>
      </c>
      <c r="F1186" t="s">
        <v>10696</v>
      </c>
      <c r="G1186" t="s">
        <v>10636</v>
      </c>
      <c r="H1186" t="s">
        <v>10697</v>
      </c>
      <c r="I1186" t="s">
        <v>85</v>
      </c>
      <c r="J1186" t="s">
        <v>22</v>
      </c>
      <c r="K1186" t="s">
        <v>25</v>
      </c>
      <c r="L1186" t="s">
        <v>10700</v>
      </c>
      <c r="M1186" t="s">
        <v>25</v>
      </c>
      <c r="N1186" t="s">
        <v>10701</v>
      </c>
      <c r="O1186" t="s">
        <v>25</v>
      </c>
      <c r="P1186" t="s">
        <v>10702</v>
      </c>
      <c r="Q1186" t="s">
        <v>29</v>
      </c>
      <c r="R1186" t="s">
        <v>10698</v>
      </c>
      <c r="S1186" t="s">
        <v>10699</v>
      </c>
    </row>
    <row r="1187" spans="1:19" x14ac:dyDescent="0.25">
      <c r="A1187" s="1">
        <v>1185</v>
      </c>
      <c r="B1187" t="str">
        <f>HYPERLINK("https://www.dasschnelle.at/schnepfleitner-manfred-spital-am-pyhrn-weinmeisterstraße","Website")</f>
        <v>Website</v>
      </c>
      <c r="C1187" t="str">
        <f>HYPERLINK("http://www.maschmo.at","Website")</f>
        <v>Website</v>
      </c>
      <c r="D1187" t="str">
        <f>HYPERLINK("http://www.google.com/maps/place/47.66477,14.34494","Location")</f>
        <v>Location</v>
      </c>
      <c r="E1187" t="s">
        <v>10703</v>
      </c>
      <c r="F1187" t="s">
        <v>10704</v>
      </c>
      <c r="G1187" t="s">
        <v>10636</v>
      </c>
      <c r="H1187" t="s">
        <v>10637</v>
      </c>
      <c r="I1187" t="s">
        <v>85</v>
      </c>
      <c r="J1187" t="s">
        <v>22</v>
      </c>
      <c r="K1187" t="s">
        <v>10705</v>
      </c>
      <c r="L1187" t="s">
        <v>10708</v>
      </c>
      <c r="M1187" t="s">
        <v>25</v>
      </c>
      <c r="N1187" t="s">
        <v>10709</v>
      </c>
      <c r="O1187" t="s">
        <v>25</v>
      </c>
      <c r="P1187" t="s">
        <v>10710</v>
      </c>
      <c r="Q1187" t="s">
        <v>29</v>
      </c>
      <c r="R1187" t="s">
        <v>10706</v>
      </c>
      <c r="S1187" t="s">
        <v>10707</v>
      </c>
    </row>
    <row r="1188" spans="1:19" x14ac:dyDescent="0.25">
      <c r="A1188" s="1">
        <v>1186</v>
      </c>
      <c r="B1188" t="str">
        <f>HYPERLINK("https://www.dasschnelle.at/friseursalon-wilfing-windischgarsten-wehrstraße","Website")</f>
        <v>Website</v>
      </c>
      <c r="C1188" t="str">
        <f>HYPERLINK("https://www.dasschnelle.at/friseursalon-wilfing-windischgarsten-wehrstra%C3%9Fe","Website")</f>
        <v>Website</v>
      </c>
      <c r="D1188" t="str">
        <f>HYPERLINK("http://www.google.com/maps/place/47.7226,14.32794","Location")</f>
        <v>Location</v>
      </c>
      <c r="E1188" t="s">
        <v>10711</v>
      </c>
      <c r="F1188" t="s">
        <v>10712</v>
      </c>
      <c r="G1188" t="s">
        <v>10646</v>
      </c>
      <c r="H1188" t="s">
        <v>10647</v>
      </c>
      <c r="I1188" t="s">
        <v>85</v>
      </c>
      <c r="J1188" t="s">
        <v>22</v>
      </c>
      <c r="K1188" t="s">
        <v>10713</v>
      </c>
      <c r="L1188" t="s">
        <v>10716</v>
      </c>
      <c r="M1188" t="s">
        <v>25</v>
      </c>
      <c r="N1188" t="s">
        <v>10717</v>
      </c>
      <c r="O1188" t="s">
        <v>25</v>
      </c>
      <c r="P1188" t="s">
        <v>10718</v>
      </c>
      <c r="Q1188" t="s">
        <v>29</v>
      </c>
      <c r="R1188" t="s">
        <v>10714</v>
      </c>
      <c r="S1188" t="s">
        <v>10715</v>
      </c>
    </row>
    <row r="1189" spans="1:19" x14ac:dyDescent="0.25">
      <c r="A1189" s="1">
        <v>1187</v>
      </c>
      <c r="B1189" t="str">
        <f>HYPERLINK("https://www.dasschnelle.at/kaspar-notburga-gleinkerau-am-wur","Website")</f>
        <v>Website</v>
      </c>
      <c r="C1189" t="str">
        <f>HYPERLINK("http://www.gasthof-kaspar.at","Website")</f>
        <v>Website</v>
      </c>
      <c r="D1189" t="str">
        <f>HYPERLINK("http://www.google.com/maps/place/47.70094,14.34185","Location")</f>
        <v>Location</v>
      </c>
      <c r="E1189" t="s">
        <v>10719</v>
      </c>
      <c r="F1189" t="s">
        <v>10720</v>
      </c>
      <c r="G1189" t="s">
        <v>10636</v>
      </c>
      <c r="H1189" t="s">
        <v>10722</v>
      </c>
      <c r="I1189" t="s">
        <v>85</v>
      </c>
      <c r="J1189" t="s">
        <v>22</v>
      </c>
      <c r="K1189" t="s">
        <v>10721</v>
      </c>
      <c r="L1189" t="s">
        <v>10725</v>
      </c>
      <c r="M1189" t="s">
        <v>25</v>
      </c>
      <c r="N1189" t="s">
        <v>10726</v>
      </c>
      <c r="O1189" t="s">
        <v>25</v>
      </c>
      <c r="P1189" t="s">
        <v>10727</v>
      </c>
      <c r="Q1189" t="s">
        <v>29</v>
      </c>
      <c r="R1189" t="s">
        <v>10723</v>
      </c>
      <c r="S1189" t="s">
        <v>10724</v>
      </c>
    </row>
    <row r="1190" spans="1:19" x14ac:dyDescent="0.25">
      <c r="A1190" s="1">
        <v>1188</v>
      </c>
      <c r="B1190" t="str">
        <f>HYPERLINK("https://www.dasschnelle.at/knittl-frank-gmbh-zimmerei-sägewerk-hackl-vorderstoder","Website")</f>
        <v>Website</v>
      </c>
      <c r="C1190" t="str">
        <f>HYPERLINK("http://www.zimmerei-hackl.at","Website")</f>
        <v>Website</v>
      </c>
      <c r="D1190" t="str">
        <f>HYPERLINK("http://www.google.com/maps/place/47.7109689,14.2213141","Location")</f>
        <v>Location</v>
      </c>
      <c r="E1190" t="s">
        <v>10728</v>
      </c>
      <c r="F1190" t="s">
        <v>10729</v>
      </c>
      <c r="G1190" t="s">
        <v>10730</v>
      </c>
      <c r="H1190" t="s">
        <v>10731</v>
      </c>
      <c r="I1190" t="s">
        <v>85</v>
      </c>
      <c r="J1190" t="s">
        <v>22</v>
      </c>
      <c r="K1190" t="s">
        <v>25</v>
      </c>
      <c r="L1190" t="s">
        <v>10734</v>
      </c>
      <c r="M1190" t="s">
        <v>25</v>
      </c>
      <c r="N1190" t="s">
        <v>10735</v>
      </c>
      <c r="O1190" t="s">
        <v>25</v>
      </c>
      <c r="P1190" t="s">
        <v>10736</v>
      </c>
      <c r="Q1190" t="s">
        <v>29</v>
      </c>
      <c r="R1190" t="s">
        <v>10732</v>
      </c>
      <c r="S1190" t="s">
        <v>10733</v>
      </c>
    </row>
    <row r="1191" spans="1:19" x14ac:dyDescent="0.25">
      <c r="A1191" s="1">
        <v>1189</v>
      </c>
      <c r="B1191" t="str">
        <f>HYPERLINK("https://www.dasschnelle.at/rohregger-ingrid-vorderstoder-nr","Website")</f>
        <v>Website</v>
      </c>
      <c r="C1191" t="str">
        <f>HYPERLINK("http://www.rohregger-einrichtung.at","Website")</f>
        <v>Website</v>
      </c>
      <c r="D1191" t="str">
        <f>HYPERLINK("http://www.google.com/maps/place/47.7155231,14.2282380","Location")</f>
        <v>Location</v>
      </c>
      <c r="E1191" t="s">
        <v>10737</v>
      </c>
      <c r="F1191" t="s">
        <v>10738</v>
      </c>
      <c r="G1191" t="s">
        <v>10730</v>
      </c>
      <c r="H1191" t="s">
        <v>10731</v>
      </c>
      <c r="I1191" t="s">
        <v>85</v>
      </c>
      <c r="J1191" t="s">
        <v>22</v>
      </c>
      <c r="K1191" t="s">
        <v>10739</v>
      </c>
      <c r="L1191" t="s">
        <v>10742</v>
      </c>
      <c r="M1191" t="s">
        <v>25</v>
      </c>
      <c r="N1191" t="s">
        <v>10743</v>
      </c>
      <c r="O1191" t="s">
        <v>25</v>
      </c>
      <c r="P1191" t="s">
        <v>10744</v>
      </c>
      <c r="Q1191" t="s">
        <v>29</v>
      </c>
      <c r="R1191" t="s">
        <v>10740</v>
      </c>
      <c r="S1191" t="s">
        <v>10741</v>
      </c>
    </row>
    <row r="1192" spans="1:19" x14ac:dyDescent="0.25">
      <c r="A1192" s="1">
        <v>1190</v>
      </c>
      <c r="B1192" t="str">
        <f>HYPERLINK("https://www.dasschnelle.at/bernögger-nicole-windischgarsten-friedhofstraße","Website")</f>
        <v>Website</v>
      </c>
      <c r="C1192" t="str">
        <f>HYPERLINK("http://www.blumenkreativ.at","Website")</f>
        <v>Website</v>
      </c>
      <c r="D1192" t="str">
        <f>HYPERLINK("http://www.google.com/maps/place/47.71975,14.32827","Location")</f>
        <v>Location</v>
      </c>
      <c r="E1192" t="s">
        <v>10745</v>
      </c>
      <c r="F1192" t="s">
        <v>10746</v>
      </c>
      <c r="G1192" t="s">
        <v>10646</v>
      </c>
      <c r="H1192" t="s">
        <v>10647</v>
      </c>
      <c r="I1192" t="s">
        <v>85</v>
      </c>
      <c r="J1192" t="s">
        <v>22</v>
      </c>
      <c r="K1192" t="s">
        <v>10747</v>
      </c>
      <c r="L1192" t="s">
        <v>10750</v>
      </c>
      <c r="M1192" t="s">
        <v>25</v>
      </c>
      <c r="N1192" t="s">
        <v>10751</v>
      </c>
      <c r="O1192" t="s">
        <v>10752</v>
      </c>
      <c r="P1192" t="s">
        <v>10753</v>
      </c>
      <c r="Q1192" t="s">
        <v>29</v>
      </c>
      <c r="R1192" t="s">
        <v>10748</v>
      </c>
      <c r="S1192" t="s">
        <v>10749</v>
      </c>
    </row>
    <row r="1193" spans="1:19" x14ac:dyDescent="0.25">
      <c r="A1193" s="1">
        <v>1191</v>
      </c>
      <c r="B1193" t="str">
        <f>HYPERLINK("https://www.dasschnelle.at/regional-versicherungsbüro-gmbh-windischgarsten-schulstraße","Website")</f>
        <v>Website</v>
      </c>
      <c r="C1193" t="str">
        <f>HYPERLINK("http://www.regionalversicherung.at","Website")</f>
        <v>Website</v>
      </c>
      <c r="D1193" t="str">
        <f>HYPERLINK("http://www.google.com/maps/place/47.7208,14.32723","Location")</f>
        <v>Location</v>
      </c>
      <c r="E1193" t="s">
        <v>10754</v>
      </c>
      <c r="F1193" t="s">
        <v>10755</v>
      </c>
      <c r="G1193" t="s">
        <v>10646</v>
      </c>
      <c r="H1193" t="s">
        <v>10647</v>
      </c>
      <c r="I1193" t="s">
        <v>85</v>
      </c>
      <c r="J1193" t="s">
        <v>22</v>
      </c>
      <c r="K1193" t="s">
        <v>10756</v>
      </c>
      <c r="L1193" t="s">
        <v>10759</v>
      </c>
      <c r="M1193" t="s">
        <v>25</v>
      </c>
      <c r="N1193" t="s">
        <v>10760</v>
      </c>
      <c r="O1193" t="s">
        <v>25</v>
      </c>
      <c r="P1193" t="s">
        <v>10761</v>
      </c>
      <c r="Q1193" t="s">
        <v>29</v>
      </c>
      <c r="R1193" t="s">
        <v>10757</v>
      </c>
      <c r="S1193" t="s">
        <v>10758</v>
      </c>
    </row>
    <row r="1194" spans="1:19" x14ac:dyDescent="0.25">
      <c r="A1194" s="1">
        <v>1192</v>
      </c>
      <c r="B1194" t="str">
        <f>HYPERLINK("https://www.dasschnelle.at/sexlinger-herbert-hasenufer-heumairstraße","Website")</f>
        <v>Website</v>
      </c>
      <c r="C1194" t="str">
        <f>HYPERLINK("https://www.dasschnelle.at/sexlinger-herbert-hasenufer-heumairstra%C3%9Fe","Website")</f>
        <v>Website</v>
      </c>
      <c r="D1194" t="str">
        <f>HYPERLINK("http://www.google.com/maps/place/48.19701,14.21914","Location")</f>
        <v>Location</v>
      </c>
      <c r="E1194" t="s">
        <v>10762</v>
      </c>
      <c r="F1194" t="s">
        <v>10763</v>
      </c>
      <c r="G1194" t="s">
        <v>10256</v>
      </c>
      <c r="H1194" t="s">
        <v>10765</v>
      </c>
      <c r="I1194" t="s">
        <v>85</v>
      </c>
      <c r="J1194" t="s">
        <v>22</v>
      </c>
      <c r="K1194" t="s">
        <v>10764</v>
      </c>
      <c r="L1194" t="s">
        <v>10768</v>
      </c>
      <c r="M1194" t="s">
        <v>25</v>
      </c>
      <c r="N1194" t="s">
        <v>10769</v>
      </c>
      <c r="O1194" t="s">
        <v>25</v>
      </c>
      <c r="P1194" t="s">
        <v>10770</v>
      </c>
      <c r="Q1194" t="s">
        <v>29</v>
      </c>
      <c r="R1194" t="s">
        <v>10766</v>
      </c>
      <c r="S1194" t="s">
        <v>10767</v>
      </c>
    </row>
    <row r="1195" spans="1:19" x14ac:dyDescent="0.25">
      <c r="A1195" s="1">
        <v>1193</v>
      </c>
      <c r="B1195" t="str">
        <f>HYPERLINK("https://www.dasschnelle.at/bestattung-neuwirth-e-u-holzgassen-holzgassen","Website")</f>
        <v>Website</v>
      </c>
      <c r="C1195" t="str">
        <f>HYPERLINK("http://www.bestattung-neuwirth.at","Website")</f>
        <v>Website</v>
      </c>
      <c r="D1195" t="str">
        <f>HYPERLINK("http://www.google.com/maps/place/48.1455475,13.9351583","Location")</f>
        <v>Location</v>
      </c>
      <c r="E1195" t="s">
        <v>10771</v>
      </c>
      <c r="F1195" t="s">
        <v>10772</v>
      </c>
      <c r="G1195" t="s">
        <v>4780</v>
      </c>
      <c r="H1195" t="s">
        <v>10774</v>
      </c>
      <c r="I1195" t="s">
        <v>85</v>
      </c>
      <c r="J1195" t="s">
        <v>22</v>
      </c>
      <c r="K1195" t="s">
        <v>10773</v>
      </c>
      <c r="L1195" t="s">
        <v>10777</v>
      </c>
      <c r="M1195" t="s">
        <v>25</v>
      </c>
      <c r="N1195" t="s">
        <v>10778</v>
      </c>
      <c r="O1195" t="s">
        <v>25</v>
      </c>
      <c r="P1195" t="s">
        <v>10779</v>
      </c>
      <c r="Q1195" t="s">
        <v>29</v>
      </c>
      <c r="R1195" t="s">
        <v>10775</v>
      </c>
      <c r="S1195" t="s">
        <v>10776</v>
      </c>
    </row>
    <row r="1196" spans="1:19" x14ac:dyDescent="0.25">
      <c r="A1196" s="1">
        <v>1194</v>
      </c>
      <c r="B1196" t="str">
        <f>HYPERLINK("https://www.dasschnelle.at/steffner-andreas-mondsee-schönmühlweg","Website")</f>
        <v>Website</v>
      </c>
      <c r="C1196" t="str">
        <f>HYPERLINK("http://www.steffner.info/","Website")</f>
        <v>Website</v>
      </c>
      <c r="D1196" t="str">
        <f>HYPERLINK("http://www.google.com/maps/place/47.85457,13.34469","Location")</f>
        <v>Location</v>
      </c>
      <c r="E1196" t="s">
        <v>10780</v>
      </c>
      <c r="F1196" t="s">
        <v>10781</v>
      </c>
      <c r="G1196" t="s">
        <v>6543</v>
      </c>
      <c r="H1196" t="s">
        <v>6544</v>
      </c>
      <c r="I1196" t="s">
        <v>85</v>
      </c>
      <c r="J1196" t="s">
        <v>22</v>
      </c>
      <c r="K1196" t="s">
        <v>10782</v>
      </c>
      <c r="L1196" t="s">
        <v>10785</v>
      </c>
      <c r="M1196" t="s">
        <v>25</v>
      </c>
      <c r="N1196" t="s">
        <v>10786</v>
      </c>
      <c r="O1196" t="s">
        <v>25</v>
      </c>
      <c r="P1196" t="s">
        <v>10787</v>
      </c>
      <c r="Q1196" t="s">
        <v>29</v>
      </c>
      <c r="R1196" t="s">
        <v>10783</v>
      </c>
      <c r="S1196" t="s">
        <v>10784</v>
      </c>
    </row>
    <row r="1197" spans="1:19" x14ac:dyDescent="0.25">
      <c r="A1197" s="1">
        <v>1195</v>
      </c>
      <c r="B1197" t="str">
        <f>HYPERLINK("https://www.dasschnelle.at/thaller-robert-zwettl-franz-eigl-straße","Website")</f>
        <v>Website</v>
      </c>
      <c r="C1197" t="str">
        <f>HYPERLINK("http://www.hoflader-baumaschinen.at","Website")</f>
        <v>Website</v>
      </c>
      <c r="D1197" t="str">
        <f>HYPERLINK("http://www.google.com/maps/place/48.5997,15.18291","Location")</f>
        <v>Location</v>
      </c>
      <c r="E1197" t="s">
        <v>10788</v>
      </c>
      <c r="F1197" t="s">
        <v>10789</v>
      </c>
      <c r="G1197" t="s">
        <v>10518</v>
      </c>
      <c r="H1197" t="s">
        <v>10791</v>
      </c>
      <c r="I1197" t="s">
        <v>177</v>
      </c>
      <c r="J1197" t="s">
        <v>22</v>
      </c>
      <c r="K1197" t="s">
        <v>10790</v>
      </c>
      <c r="L1197" t="s">
        <v>10794</v>
      </c>
      <c r="M1197" t="s">
        <v>25</v>
      </c>
      <c r="N1197" t="s">
        <v>10795</v>
      </c>
      <c r="O1197" t="s">
        <v>25</v>
      </c>
      <c r="P1197" t="s">
        <v>10796</v>
      </c>
      <c r="Q1197" t="s">
        <v>29</v>
      </c>
      <c r="R1197" t="s">
        <v>10792</v>
      </c>
      <c r="S1197" t="s">
        <v>10793</v>
      </c>
    </row>
    <row r="1198" spans="1:19" x14ac:dyDescent="0.25">
      <c r="A1198" s="1">
        <v>1196</v>
      </c>
      <c r="B1198" t="str">
        <f>HYPERLINK("https://www.dasschnelle.at/wamicar-com-gmbh-rainbach-im-mühlkreis-marktplatz","Website")</f>
        <v>Website</v>
      </c>
      <c r="C1198" t="str">
        <f>HYPERLINK("http://www.wamicars.com","Website")</f>
        <v>Website</v>
      </c>
      <c r="D1198" t="str">
        <f>HYPERLINK("http://www.google.com/maps/place/48.55743,14.47757","Location")</f>
        <v>Location</v>
      </c>
      <c r="E1198" t="s">
        <v>10797</v>
      </c>
      <c r="F1198" t="s">
        <v>10798</v>
      </c>
      <c r="G1198" t="s">
        <v>10800</v>
      </c>
      <c r="H1198" t="s">
        <v>10801</v>
      </c>
      <c r="I1198" t="s">
        <v>85</v>
      </c>
      <c r="J1198" t="s">
        <v>22</v>
      </c>
      <c r="K1198" t="s">
        <v>10799</v>
      </c>
      <c r="L1198" t="s">
        <v>10804</v>
      </c>
      <c r="M1198" t="s">
        <v>25</v>
      </c>
      <c r="N1198" t="s">
        <v>10805</v>
      </c>
      <c r="O1198" t="s">
        <v>25</v>
      </c>
      <c r="P1198" t="s">
        <v>10806</v>
      </c>
      <c r="Q1198" t="s">
        <v>29</v>
      </c>
      <c r="R1198" t="s">
        <v>10802</v>
      </c>
      <c r="S1198" t="s">
        <v>10803</v>
      </c>
    </row>
    <row r="1199" spans="1:19" x14ac:dyDescent="0.25">
      <c r="A1199" s="1">
        <v>1197</v>
      </c>
      <c r="B1199" t="str">
        <f>HYPERLINK("https://www.dasschnelle.at/übermasser-landtechnik-freistadt-am-stieranger","Website")</f>
        <v>Website</v>
      </c>
      <c r="C1199" t="str">
        <f>HYPERLINK("http://www.uebermasser.at","Website")</f>
        <v>Website</v>
      </c>
      <c r="D1199" t="str">
        <f>HYPERLINK("http://www.google.com/maps/place/48.50602,14.50164","Location")</f>
        <v>Location</v>
      </c>
      <c r="E1199" t="s">
        <v>10807</v>
      </c>
      <c r="F1199" t="s">
        <v>10808</v>
      </c>
      <c r="G1199" t="s">
        <v>6891</v>
      </c>
      <c r="H1199" t="s">
        <v>6892</v>
      </c>
      <c r="I1199" t="s">
        <v>85</v>
      </c>
      <c r="J1199" t="s">
        <v>22</v>
      </c>
      <c r="K1199" t="s">
        <v>10809</v>
      </c>
      <c r="L1199" t="s">
        <v>10812</v>
      </c>
      <c r="M1199" t="s">
        <v>25</v>
      </c>
      <c r="N1199" t="s">
        <v>10813</v>
      </c>
      <c r="O1199" t="s">
        <v>25</v>
      </c>
      <c r="P1199" t="s">
        <v>10814</v>
      </c>
      <c r="Q1199" t="s">
        <v>29</v>
      </c>
      <c r="R1199" t="s">
        <v>10810</v>
      </c>
      <c r="S1199" t="s">
        <v>10811</v>
      </c>
    </row>
    <row r="1200" spans="1:19" x14ac:dyDescent="0.25">
      <c r="A1200" s="1">
        <v>1198</v>
      </c>
      <c r="B1200" t="str">
        <f>HYPERLINK("https://www.dasschnelle.at/forellenwirt-maurer-gundersdorf-gundersdorf","Website")</f>
        <v>Website</v>
      </c>
      <c r="C1200" t="str">
        <f>HYPERLINK("http://www.forellenwirt-maurer.at","Website")</f>
        <v>Website</v>
      </c>
      <c r="D1200" t="str">
        <f>HYPERLINK("http://www.google.com/maps/place/46.8483940,15.5877016","Location")</f>
        <v>Location</v>
      </c>
      <c r="E1200" t="s">
        <v>10815</v>
      </c>
      <c r="F1200" t="s">
        <v>10816</v>
      </c>
      <c r="G1200" t="s">
        <v>10818</v>
      </c>
      <c r="H1200" t="s">
        <v>10819</v>
      </c>
      <c r="I1200" t="s">
        <v>451</v>
      </c>
      <c r="J1200" t="s">
        <v>22</v>
      </c>
      <c r="K1200" t="s">
        <v>10817</v>
      </c>
      <c r="L1200" t="s">
        <v>10822</v>
      </c>
      <c r="M1200" t="s">
        <v>25</v>
      </c>
      <c r="N1200" t="s">
        <v>10823</v>
      </c>
      <c r="O1200" t="s">
        <v>25</v>
      </c>
      <c r="P1200" t="s">
        <v>10824</v>
      </c>
      <c r="Q1200" t="s">
        <v>29</v>
      </c>
      <c r="R1200" t="s">
        <v>10820</v>
      </c>
      <c r="S1200" t="s">
        <v>10821</v>
      </c>
    </row>
    <row r="1201" spans="1:19" x14ac:dyDescent="0.25">
      <c r="A1201" s="1">
        <v>1199</v>
      </c>
      <c r="B1201" t="str">
        <f>HYPERLINK("https://www.dasschnelle.at/vermessung-huber-partner-zt-gmbh-leibnitz-kada-gasse","Website")</f>
        <v>Website</v>
      </c>
      <c r="C1201" t="str">
        <f>HYPERLINK("http://leibnitz.dihuber.at","Website")</f>
        <v>Website</v>
      </c>
      <c r="D1201" t="str">
        <f>HYPERLINK("http://www.google.com/maps/place/46.77899,15.53874","Location")</f>
        <v>Location</v>
      </c>
      <c r="E1201" t="s">
        <v>10825</v>
      </c>
      <c r="F1201" t="s">
        <v>10826</v>
      </c>
      <c r="G1201" t="s">
        <v>1013</v>
      </c>
      <c r="H1201" t="s">
        <v>1023</v>
      </c>
      <c r="I1201" t="s">
        <v>451</v>
      </c>
      <c r="J1201" t="s">
        <v>22</v>
      </c>
      <c r="K1201" t="s">
        <v>10827</v>
      </c>
      <c r="L1201" t="s">
        <v>10830</v>
      </c>
      <c r="M1201" t="s">
        <v>25</v>
      </c>
      <c r="N1201" t="s">
        <v>10831</v>
      </c>
      <c r="O1201" t="s">
        <v>25</v>
      </c>
      <c r="P1201" t="s">
        <v>10832</v>
      </c>
      <c r="Q1201" t="s">
        <v>29</v>
      </c>
      <c r="R1201" t="s">
        <v>10828</v>
      </c>
      <c r="S1201" t="s">
        <v>10829</v>
      </c>
    </row>
    <row r="1202" spans="1:19" x14ac:dyDescent="0.25">
      <c r="A1202" s="1">
        <v>1200</v>
      </c>
      <c r="B1202" t="str">
        <f>HYPERLINK("https://www.dasschnelle.at/bestattung-strauss-gamlitz-obere-hauptstraße","Website")</f>
        <v>Website</v>
      </c>
      <c r="C1202" t="str">
        <f>HYPERLINK("https://www.dasschnelle.at/bestattung-strauss-gamlitz-obere-hauptstra%C3%9Fe","Website")</f>
        <v>Website</v>
      </c>
      <c r="D1202" t="str">
        <f>HYPERLINK("http://www.google.com/maps/place/46.72036,15.55208","Location")</f>
        <v>Location</v>
      </c>
      <c r="E1202" t="s">
        <v>10833</v>
      </c>
      <c r="F1202" t="s">
        <v>10834</v>
      </c>
      <c r="G1202" t="s">
        <v>10836</v>
      </c>
      <c r="H1202" t="s">
        <v>10837</v>
      </c>
      <c r="I1202" t="s">
        <v>451</v>
      </c>
      <c r="J1202" t="s">
        <v>22</v>
      </c>
      <c r="K1202" t="s">
        <v>10835</v>
      </c>
      <c r="L1202" t="s">
        <v>10840</v>
      </c>
      <c r="M1202" t="s">
        <v>25</v>
      </c>
      <c r="N1202" t="s">
        <v>10841</v>
      </c>
      <c r="O1202" t="s">
        <v>25</v>
      </c>
      <c r="P1202" t="s">
        <v>10842</v>
      </c>
      <c r="Q1202" t="s">
        <v>29</v>
      </c>
      <c r="R1202" t="s">
        <v>10838</v>
      </c>
      <c r="S1202" t="s">
        <v>10839</v>
      </c>
    </row>
    <row r="1203" spans="1:19" x14ac:dyDescent="0.25">
      <c r="A1203" s="1">
        <v>1201</v>
      </c>
      <c r="B1203" t="str">
        <f>HYPERLINK("https://www.dasschnelle.at/rlg-nutzfahrzeuge-gmbh-suben-st-marienkirchen-bei-schärding-andiesen","Website")</f>
        <v>Website</v>
      </c>
      <c r="C1203" t="str">
        <f>HYPERLINK("http://www.mtruck.at","Website")</f>
        <v>Website</v>
      </c>
      <c r="D1203" t="str">
        <f>HYPERLINK("http://www.google.com/maps/place/48.3955717,13.4260593","Location")</f>
        <v>Location</v>
      </c>
      <c r="E1203" t="s">
        <v>10843</v>
      </c>
      <c r="F1203" t="s">
        <v>10844</v>
      </c>
      <c r="G1203" t="s">
        <v>10846</v>
      </c>
      <c r="H1203" t="s">
        <v>10847</v>
      </c>
      <c r="I1203" t="s">
        <v>85</v>
      </c>
      <c r="J1203" t="s">
        <v>22</v>
      </c>
      <c r="K1203" t="s">
        <v>10845</v>
      </c>
      <c r="L1203" t="s">
        <v>10850</v>
      </c>
      <c r="M1203" t="s">
        <v>25</v>
      </c>
      <c r="N1203" t="s">
        <v>10851</v>
      </c>
      <c r="O1203" t="s">
        <v>10852</v>
      </c>
      <c r="P1203" t="s">
        <v>10853</v>
      </c>
      <c r="Q1203" t="s">
        <v>29</v>
      </c>
      <c r="R1203" t="s">
        <v>10848</v>
      </c>
      <c r="S1203" t="s">
        <v>10849</v>
      </c>
    </row>
    <row r="1204" spans="1:19" x14ac:dyDescent="0.25">
      <c r="A1204" s="1">
        <v>1202</v>
      </c>
      <c r="B1204" t="str">
        <f>HYPERLINK("https://www.dasschnelle.at/jk-beton-kirchweger-gmbh-st-pantaleon-klein-erla","Website")</f>
        <v>Website</v>
      </c>
      <c r="C1204" t="str">
        <f>HYPERLINK("http://www.jk-beton.at","Website")</f>
        <v>Website</v>
      </c>
      <c r="D1204" t="str">
        <f>HYPERLINK("http://www.google.com/maps/place/48.19244,14.54868","Location")</f>
        <v>Location</v>
      </c>
      <c r="E1204" t="s">
        <v>10854</v>
      </c>
      <c r="F1204" t="s">
        <v>10855</v>
      </c>
      <c r="G1204" t="s">
        <v>10857</v>
      </c>
      <c r="H1204" t="s">
        <v>10858</v>
      </c>
      <c r="I1204" t="s">
        <v>177</v>
      </c>
      <c r="J1204" t="s">
        <v>22</v>
      </c>
      <c r="K1204" t="s">
        <v>10856</v>
      </c>
      <c r="L1204" t="s">
        <v>10861</v>
      </c>
      <c r="M1204" t="s">
        <v>10862</v>
      </c>
      <c r="N1204" t="s">
        <v>10863</v>
      </c>
      <c r="O1204" t="s">
        <v>25</v>
      </c>
      <c r="P1204" t="s">
        <v>10864</v>
      </c>
      <c r="Q1204" t="s">
        <v>29</v>
      </c>
      <c r="R1204" t="s">
        <v>10859</v>
      </c>
      <c r="S1204" t="s">
        <v>10860</v>
      </c>
    </row>
    <row r="1205" spans="1:19" x14ac:dyDescent="0.25">
      <c r="A1205" s="1">
        <v>1203</v>
      </c>
      <c r="B1205" t="str">
        <f>HYPERLINK("https://www.dasschnelle.at/gutdeutsch-gmbh-himberg-wienerstraße","Website")</f>
        <v>Website</v>
      </c>
      <c r="C1205" t="str">
        <f>HYPERLINK("http://www.gutdeutsch.eu","Website")</f>
        <v>Website</v>
      </c>
      <c r="D1205" t="str">
        <f>HYPERLINK("http://www.google.com/maps/place/48.0898258,16.4264001","Location")</f>
        <v>Location</v>
      </c>
      <c r="E1205" t="s">
        <v>10865</v>
      </c>
      <c r="F1205" t="s">
        <v>10866</v>
      </c>
      <c r="G1205" t="s">
        <v>9710</v>
      </c>
      <c r="H1205" t="s">
        <v>9711</v>
      </c>
      <c r="I1205" t="s">
        <v>177</v>
      </c>
      <c r="J1205" t="s">
        <v>22</v>
      </c>
      <c r="K1205" t="s">
        <v>9729</v>
      </c>
      <c r="L1205" t="s">
        <v>10869</v>
      </c>
      <c r="M1205" t="s">
        <v>25</v>
      </c>
      <c r="N1205" t="s">
        <v>10870</v>
      </c>
      <c r="O1205" t="s">
        <v>25</v>
      </c>
      <c r="P1205" t="s">
        <v>10871</v>
      </c>
      <c r="Q1205" t="s">
        <v>29</v>
      </c>
      <c r="R1205" t="s">
        <v>10867</v>
      </c>
      <c r="S1205" t="s">
        <v>10868</v>
      </c>
    </row>
    <row r="1206" spans="1:19" x14ac:dyDescent="0.25">
      <c r="A1206" s="1">
        <v>1204</v>
      </c>
      <c r="B1206" t="str">
        <f>HYPERLINK("https://www.dasschnelle.at/bestattung-grünzweig-stadl-paura-bäckergasse","Website")</f>
        <v>Website</v>
      </c>
      <c r="C1206" t="str">
        <f>HYPERLINK("http://www.bestattung-gruenzweig.at","Website")</f>
        <v>Website</v>
      </c>
      <c r="D1206" t="str">
        <f>HYPERLINK("http://www.google.com/maps/place/48.07799,13.85961","Location")</f>
        <v>Location</v>
      </c>
      <c r="E1206" t="s">
        <v>10872</v>
      </c>
      <c r="F1206" t="s">
        <v>10873</v>
      </c>
      <c r="G1206" t="s">
        <v>10875</v>
      </c>
      <c r="H1206" t="s">
        <v>10876</v>
      </c>
      <c r="I1206" t="s">
        <v>85</v>
      </c>
      <c r="J1206" t="s">
        <v>22</v>
      </c>
      <c r="K1206" t="s">
        <v>10874</v>
      </c>
      <c r="L1206" t="s">
        <v>10879</v>
      </c>
      <c r="M1206" t="s">
        <v>10880</v>
      </c>
      <c r="N1206" t="s">
        <v>10881</v>
      </c>
      <c r="O1206" t="s">
        <v>25</v>
      </c>
      <c r="P1206" t="s">
        <v>10882</v>
      </c>
      <c r="Q1206" t="s">
        <v>29</v>
      </c>
      <c r="R1206" t="s">
        <v>10877</v>
      </c>
      <c r="S1206" t="s">
        <v>10878</v>
      </c>
    </row>
    <row r="1207" spans="1:19" x14ac:dyDescent="0.25">
      <c r="A1207" s="1">
        <v>1205</v>
      </c>
      <c r="B1207" t="str">
        <f>HYPERLINK("https://www.dasschnelle.at/h3-installationen-gmbh-steinerkirchen-an-der-traun-landstraße","Website")</f>
        <v>Website</v>
      </c>
      <c r="C1207" t="str">
        <f>HYPERLINK("http://www.h-drei.at","Website")</f>
        <v>Website</v>
      </c>
      <c r="D1207" t="str">
        <f>HYPERLINK("http://www.google.com/maps/place/48.07849,13.96951","Location")</f>
        <v>Location</v>
      </c>
      <c r="E1207" t="s">
        <v>10883</v>
      </c>
      <c r="F1207" t="s">
        <v>10884</v>
      </c>
      <c r="G1207" t="s">
        <v>10886</v>
      </c>
      <c r="H1207" t="s">
        <v>10887</v>
      </c>
      <c r="I1207" t="s">
        <v>85</v>
      </c>
      <c r="J1207" t="s">
        <v>22</v>
      </c>
      <c r="K1207" t="s">
        <v>10885</v>
      </c>
      <c r="L1207" t="s">
        <v>10890</v>
      </c>
      <c r="M1207" t="s">
        <v>25</v>
      </c>
      <c r="N1207" t="s">
        <v>10891</v>
      </c>
      <c r="O1207" t="s">
        <v>25</v>
      </c>
      <c r="P1207" t="s">
        <v>10892</v>
      </c>
      <c r="Q1207" t="s">
        <v>29</v>
      </c>
      <c r="R1207" t="s">
        <v>10888</v>
      </c>
      <c r="S1207" t="s">
        <v>10889</v>
      </c>
    </row>
    <row r="1208" spans="1:19" x14ac:dyDescent="0.25">
      <c r="A1208" s="1">
        <v>1206</v>
      </c>
      <c r="B1208" t="str">
        <f>HYPERLINK("https://www.dasschnelle.at/hunger-reinhard-sattledt-oberautal","Website")</f>
        <v>Website</v>
      </c>
      <c r="C1208" t="str">
        <f>HYPERLINK("https://www.dasschnelle.at/hunger-reinhard-sattledt-oberautal","Website")</f>
        <v>Website</v>
      </c>
      <c r="D1208" t="str">
        <f>HYPERLINK("http://www.google.com/maps/place/48.0616818,14.0221201","Location")</f>
        <v>Location</v>
      </c>
      <c r="E1208" t="s">
        <v>10893</v>
      </c>
      <c r="F1208" t="s">
        <v>10894</v>
      </c>
      <c r="G1208" t="s">
        <v>10896</v>
      </c>
      <c r="H1208" t="s">
        <v>10897</v>
      </c>
      <c r="I1208" t="s">
        <v>85</v>
      </c>
      <c r="J1208" t="s">
        <v>22</v>
      </c>
      <c r="K1208" t="s">
        <v>10895</v>
      </c>
      <c r="L1208" t="s">
        <v>10900</v>
      </c>
      <c r="M1208" t="s">
        <v>25</v>
      </c>
      <c r="N1208" t="s">
        <v>10901</v>
      </c>
      <c r="O1208" t="s">
        <v>25</v>
      </c>
      <c r="P1208" t="s">
        <v>10902</v>
      </c>
      <c r="Q1208" t="s">
        <v>29</v>
      </c>
      <c r="R1208" t="s">
        <v>10898</v>
      </c>
      <c r="S1208" t="s">
        <v>10899</v>
      </c>
    </row>
    <row r="1209" spans="1:19" x14ac:dyDescent="0.25">
      <c r="A1209" s="1">
        <v>1207</v>
      </c>
      <c r="B1209" t="str">
        <f>HYPERLINK("https://www.dasschnelle.at/brigittes-blumenland-steinerkirchen-an-der-traun-landstraße","Website")</f>
        <v>Website</v>
      </c>
      <c r="C1209" t="str">
        <f>HYPERLINK("http://www.brigittesblumenland.at","Website")</f>
        <v>Website</v>
      </c>
      <c r="D1209" t="str">
        <f>HYPERLINK("http://www.google.com/maps/place/48.0787,13.95876","Location")</f>
        <v>Location</v>
      </c>
      <c r="E1209" t="s">
        <v>10903</v>
      </c>
      <c r="F1209" t="s">
        <v>10904</v>
      </c>
      <c r="G1209" t="s">
        <v>10886</v>
      </c>
      <c r="H1209" t="s">
        <v>10887</v>
      </c>
      <c r="I1209" t="s">
        <v>85</v>
      </c>
      <c r="J1209" t="s">
        <v>22</v>
      </c>
      <c r="K1209" t="s">
        <v>10905</v>
      </c>
      <c r="L1209" t="s">
        <v>10908</v>
      </c>
      <c r="M1209" t="s">
        <v>25</v>
      </c>
      <c r="N1209" t="s">
        <v>10909</v>
      </c>
      <c r="O1209" t="s">
        <v>25</v>
      </c>
      <c r="P1209" t="s">
        <v>10910</v>
      </c>
      <c r="Q1209" t="s">
        <v>29</v>
      </c>
      <c r="R1209" t="s">
        <v>10906</v>
      </c>
      <c r="S1209" t="s">
        <v>10907</v>
      </c>
    </row>
    <row r="1210" spans="1:19" x14ac:dyDescent="0.25">
      <c r="A1210" s="1">
        <v>1208</v>
      </c>
      <c r="B1210" t="str">
        <f>HYPERLINK("https://www.dasschnelle.at/gruber-gmbh-steinerkirchen-gundersdorf","Website")</f>
        <v>Website</v>
      </c>
      <c r="C1210" t="str">
        <f>HYPERLINK("http://www.teamgruber.at","Website")</f>
        <v>Website</v>
      </c>
      <c r="D1210" t="str">
        <f>HYPERLINK("http://www.google.com/maps/place/48.0709007,14.0050564","Location")</f>
        <v>Location</v>
      </c>
      <c r="E1210" t="s">
        <v>10911</v>
      </c>
      <c r="F1210" t="s">
        <v>10912</v>
      </c>
      <c r="G1210" t="s">
        <v>10886</v>
      </c>
      <c r="H1210" t="s">
        <v>10914</v>
      </c>
      <c r="I1210" t="s">
        <v>85</v>
      </c>
      <c r="J1210" t="s">
        <v>22</v>
      </c>
      <c r="K1210" t="s">
        <v>10913</v>
      </c>
      <c r="L1210" t="s">
        <v>10917</v>
      </c>
      <c r="M1210" t="s">
        <v>25</v>
      </c>
      <c r="N1210" t="s">
        <v>10918</v>
      </c>
      <c r="O1210" t="s">
        <v>25</v>
      </c>
      <c r="P1210" t="s">
        <v>10919</v>
      </c>
      <c r="Q1210" t="s">
        <v>29</v>
      </c>
      <c r="R1210" t="s">
        <v>10915</v>
      </c>
      <c r="S1210" t="s">
        <v>10916</v>
      </c>
    </row>
    <row r="1211" spans="1:19" x14ac:dyDescent="0.25">
      <c r="A1211" s="1">
        <v>1209</v>
      </c>
      <c r="B1211" t="str">
        <f>HYPERLINK("https://www.dasschnelle.at/salon-hair-flair-koschka-maria-eberstalzell-welserstraße","Website")</f>
        <v>Website</v>
      </c>
      <c r="C1211" t="str">
        <f>HYPERLINK("https://www.dasschnelle.at/salon-hair-flair-koschka-maria-eberstalzell-welserstra%C3%9Fe","Website")</f>
        <v>Website</v>
      </c>
      <c r="D1211" t="str">
        <f>HYPERLINK("http://www.google.com/maps/place/48.0454,13.98419","Location")</f>
        <v>Location</v>
      </c>
      <c r="E1211" t="s">
        <v>10920</v>
      </c>
      <c r="F1211" t="s">
        <v>10921</v>
      </c>
      <c r="G1211" t="s">
        <v>10923</v>
      </c>
      <c r="H1211" t="s">
        <v>10924</v>
      </c>
      <c r="I1211" t="s">
        <v>85</v>
      </c>
      <c r="J1211" t="s">
        <v>22</v>
      </c>
      <c r="K1211" t="s">
        <v>10922</v>
      </c>
      <c r="L1211" t="s">
        <v>10927</v>
      </c>
      <c r="M1211" t="s">
        <v>25</v>
      </c>
      <c r="N1211" t="s">
        <v>10928</v>
      </c>
      <c r="O1211" t="s">
        <v>25</v>
      </c>
      <c r="P1211" t="s">
        <v>10929</v>
      </c>
      <c r="Q1211" t="s">
        <v>29</v>
      </c>
      <c r="R1211" t="s">
        <v>10925</v>
      </c>
      <c r="S1211" t="s">
        <v>10926</v>
      </c>
    </row>
    <row r="1212" spans="1:19" x14ac:dyDescent="0.25">
      <c r="A1212" s="1">
        <v>1210</v>
      </c>
      <c r="B1212" t="str">
        <f>HYPERLINK("https://www.dasschnelle.at/concept-real-vesta-immo-consulting-gmbh-traun-badergasse","Website")</f>
        <v>Website</v>
      </c>
      <c r="C1212" t="str">
        <f>HYPERLINK("http://www.concept-real.at","Website")</f>
        <v>Website</v>
      </c>
      <c r="D1212" t="str">
        <f>HYPERLINK("http://www.google.com/maps/place/48.22087,14.24065","Location")</f>
        <v>Location</v>
      </c>
      <c r="E1212" t="s">
        <v>10930</v>
      </c>
      <c r="F1212" t="s">
        <v>10931</v>
      </c>
      <c r="G1212" t="s">
        <v>10227</v>
      </c>
      <c r="H1212" t="s">
        <v>10228</v>
      </c>
      <c r="I1212" t="s">
        <v>85</v>
      </c>
      <c r="J1212" t="s">
        <v>22</v>
      </c>
      <c r="K1212" t="s">
        <v>10932</v>
      </c>
      <c r="L1212" t="s">
        <v>10935</v>
      </c>
      <c r="M1212" t="s">
        <v>25</v>
      </c>
      <c r="N1212" t="s">
        <v>10936</v>
      </c>
      <c r="O1212" t="s">
        <v>25</v>
      </c>
      <c r="P1212" t="s">
        <v>10937</v>
      </c>
      <c r="Q1212" t="s">
        <v>29</v>
      </c>
      <c r="R1212" t="s">
        <v>10933</v>
      </c>
      <c r="S1212" t="s">
        <v>10934</v>
      </c>
    </row>
    <row r="1213" spans="1:19" x14ac:dyDescent="0.25">
      <c r="A1213" s="1">
        <v>1211</v>
      </c>
      <c r="B1213" t="str">
        <f>HYPERLINK("https://www.dasschnelle.at/rainer-thomas-tr-elektrotechnik-gmbh-göriach-göriach","Website")</f>
        <v>Website</v>
      </c>
      <c r="C1213" t="str">
        <f>HYPERLINK("https://www.dasschnelle.at/rainer-thomas-tr-elektrotechnik-gmbh-g%C3%B6riach-g%C3%B6riach","Website")</f>
        <v>Website</v>
      </c>
      <c r="D1213" t="str">
        <f>HYPERLINK("http://www.google.com/maps/place/46.8533277,13.3832901","Location")</f>
        <v>Location</v>
      </c>
      <c r="E1213" t="s">
        <v>10938</v>
      </c>
      <c r="F1213" t="s">
        <v>10939</v>
      </c>
      <c r="G1213" t="s">
        <v>10941</v>
      </c>
      <c r="H1213" t="s">
        <v>10942</v>
      </c>
      <c r="I1213" t="s">
        <v>4130</v>
      </c>
      <c r="J1213" t="s">
        <v>22</v>
      </c>
      <c r="K1213" t="s">
        <v>10940</v>
      </c>
      <c r="L1213" t="s">
        <v>10945</v>
      </c>
      <c r="M1213" t="s">
        <v>25</v>
      </c>
      <c r="N1213" t="s">
        <v>10946</v>
      </c>
      <c r="O1213" t="s">
        <v>25</v>
      </c>
      <c r="P1213" t="s">
        <v>10947</v>
      </c>
      <c r="Q1213" t="s">
        <v>29</v>
      </c>
      <c r="R1213" t="s">
        <v>10943</v>
      </c>
      <c r="S1213" t="s">
        <v>10944</v>
      </c>
    </row>
    <row r="1214" spans="1:19" x14ac:dyDescent="0.25">
      <c r="A1214" s="1">
        <v>1212</v>
      </c>
      <c r="B1214" t="str">
        <f>HYPERLINK("https://www.dasschnelle.at/feuerstein-christine-mag-med-vet-schardenberg-bachmayrstraße","Website")</f>
        <v>Website</v>
      </c>
      <c r="C1214" t="str">
        <f>HYPERLINK("https://www.dasschnelle.at/feuerstein-christine-mag-med-vet-schardenberg-bachmayrstra%C3%9Fe","Website")</f>
        <v>Website</v>
      </c>
      <c r="D1214" t="str">
        <f>HYPERLINK("http://www.google.com/maps/place/48.51474,13.49337","Location")</f>
        <v>Location</v>
      </c>
      <c r="E1214" t="s">
        <v>10948</v>
      </c>
      <c r="F1214" t="s">
        <v>10949</v>
      </c>
      <c r="G1214" t="s">
        <v>10951</v>
      </c>
      <c r="H1214" t="s">
        <v>10952</v>
      </c>
      <c r="I1214" t="s">
        <v>85</v>
      </c>
      <c r="J1214" t="s">
        <v>22</v>
      </c>
      <c r="K1214" t="s">
        <v>10950</v>
      </c>
      <c r="L1214" t="s">
        <v>10955</v>
      </c>
      <c r="M1214" t="s">
        <v>25</v>
      </c>
      <c r="N1214" t="s">
        <v>25</v>
      </c>
      <c r="O1214" t="s">
        <v>25</v>
      </c>
      <c r="P1214" t="s">
        <v>10956</v>
      </c>
      <c r="Q1214" t="s">
        <v>29</v>
      </c>
      <c r="R1214" t="s">
        <v>10953</v>
      </c>
      <c r="S1214" t="s">
        <v>10954</v>
      </c>
    </row>
    <row r="1215" spans="1:19" x14ac:dyDescent="0.25">
      <c r="A1215" s="1">
        <v>1213</v>
      </c>
      <c r="B1215" t="str">
        <f>HYPERLINK("https://www.dasschnelle.at/schöller-kg-roiten-roiten","Website")</f>
        <v>Website</v>
      </c>
      <c r="C1215" t="str">
        <f>HYPERLINK("http://www.landtechnik-schoeller.at","Website")</f>
        <v>Website</v>
      </c>
      <c r="D1215" t="str">
        <f>HYPERLINK("http://www.google.com/maps/place/48.5329195,15.1269150","Location")</f>
        <v>Location</v>
      </c>
      <c r="E1215" t="s">
        <v>10957</v>
      </c>
      <c r="F1215" t="s">
        <v>10958</v>
      </c>
      <c r="G1215" t="s">
        <v>10960</v>
      </c>
      <c r="H1215" t="s">
        <v>10961</v>
      </c>
      <c r="I1215" t="s">
        <v>177</v>
      </c>
      <c r="J1215" t="s">
        <v>22</v>
      </c>
      <c r="K1215" t="s">
        <v>10959</v>
      </c>
      <c r="L1215" t="s">
        <v>10964</v>
      </c>
      <c r="M1215" t="s">
        <v>25</v>
      </c>
      <c r="N1215" t="s">
        <v>10965</v>
      </c>
      <c r="O1215" t="s">
        <v>25</v>
      </c>
      <c r="P1215" t="s">
        <v>10966</v>
      </c>
      <c r="Q1215" t="s">
        <v>29</v>
      </c>
      <c r="R1215" t="s">
        <v>10962</v>
      </c>
      <c r="S1215" t="s">
        <v>10963</v>
      </c>
    </row>
    <row r="1216" spans="1:19" x14ac:dyDescent="0.25">
      <c r="A1216" s="1">
        <v>1214</v>
      </c>
      <c r="B1216" t="str">
        <f>HYPERLINK("https://www.dasschnelle.at/thurner-herbert-schwertberg-aisttalstraße","Website")</f>
        <v>Website</v>
      </c>
      <c r="C1216" t="str">
        <f>HYPERLINK("http://www.thurnerbrot.at","Website")</f>
        <v>Website</v>
      </c>
      <c r="D1216" t="str">
        <f>HYPERLINK("http://www.google.com/maps/place/48.27568,14.58012","Location")</f>
        <v>Location</v>
      </c>
      <c r="E1216" t="s">
        <v>10967</v>
      </c>
      <c r="F1216" t="s">
        <v>10968</v>
      </c>
      <c r="G1216" t="s">
        <v>6415</v>
      </c>
      <c r="H1216" t="s">
        <v>6416</v>
      </c>
      <c r="I1216" t="s">
        <v>85</v>
      </c>
      <c r="J1216" t="s">
        <v>22</v>
      </c>
      <c r="K1216" t="s">
        <v>10969</v>
      </c>
      <c r="L1216" t="s">
        <v>10972</v>
      </c>
      <c r="M1216" t="s">
        <v>25</v>
      </c>
      <c r="N1216" t="s">
        <v>10973</v>
      </c>
      <c r="O1216" t="s">
        <v>25</v>
      </c>
      <c r="P1216" t="s">
        <v>10974</v>
      </c>
      <c r="Q1216" t="s">
        <v>29</v>
      </c>
      <c r="R1216" t="s">
        <v>10970</v>
      </c>
      <c r="S1216" t="s">
        <v>10971</v>
      </c>
    </row>
    <row r="1217" spans="1:19" x14ac:dyDescent="0.25">
      <c r="A1217" s="1">
        <v>1215</v>
      </c>
      <c r="B1217" t="str">
        <f>HYPERLINK("https://www.dasschnelle.at/aichhorn-thomas-unterach-rochuspoint","Website")</f>
        <v>Website</v>
      </c>
      <c r="C1217" t="str">
        <f>HYPERLINK("http://www.elektrotechnik-aichhorn.at","Website")</f>
        <v>Website</v>
      </c>
      <c r="D1217" t="str">
        <f>HYPERLINK("http://www.google.com/maps/place/47.80503,13.46896","Location")</f>
        <v>Location</v>
      </c>
      <c r="E1217" t="s">
        <v>10975</v>
      </c>
      <c r="F1217" t="s">
        <v>10976</v>
      </c>
      <c r="G1217" t="s">
        <v>10978</v>
      </c>
      <c r="H1217" t="s">
        <v>10979</v>
      </c>
      <c r="I1217" t="s">
        <v>85</v>
      </c>
      <c r="J1217" t="s">
        <v>22</v>
      </c>
      <c r="K1217" t="s">
        <v>10977</v>
      </c>
      <c r="L1217" t="s">
        <v>10982</v>
      </c>
      <c r="M1217" t="s">
        <v>25</v>
      </c>
      <c r="N1217" t="s">
        <v>10983</v>
      </c>
      <c r="O1217" t="s">
        <v>25</v>
      </c>
      <c r="P1217" t="s">
        <v>10984</v>
      </c>
      <c r="Q1217" t="s">
        <v>29</v>
      </c>
      <c r="R1217" t="s">
        <v>10980</v>
      </c>
      <c r="S1217" t="s">
        <v>10981</v>
      </c>
    </row>
    <row r="1218" spans="1:19" x14ac:dyDescent="0.25">
      <c r="A1218" s="1">
        <v>1216</v>
      </c>
      <c r="B1218" t="str">
        <f>HYPERLINK("https://www.dasschnelle.at/müllner-michael-mag-waidhofen-an-der-thaya-bahnhofstraße","Website")</f>
        <v>Website</v>
      </c>
      <c r="C1218" t="str">
        <f>HYPERLINK("http://www.notar-muellner.at","Website")</f>
        <v>Website</v>
      </c>
      <c r="D1218" t="str">
        <f>HYPERLINK("http://www.google.com/maps/place/48.8139,15.28245","Location")</f>
        <v>Location</v>
      </c>
      <c r="E1218" t="s">
        <v>10985</v>
      </c>
      <c r="F1218" t="s">
        <v>10986</v>
      </c>
      <c r="G1218" t="s">
        <v>10987</v>
      </c>
      <c r="H1218" t="s">
        <v>10988</v>
      </c>
      <c r="I1218" t="s">
        <v>177</v>
      </c>
      <c r="J1218" t="s">
        <v>22</v>
      </c>
      <c r="K1218" t="s">
        <v>5656</v>
      </c>
      <c r="L1218" t="s">
        <v>10991</v>
      </c>
      <c r="M1218" t="s">
        <v>25</v>
      </c>
      <c r="N1218" t="s">
        <v>10992</v>
      </c>
      <c r="O1218" t="s">
        <v>25</v>
      </c>
      <c r="P1218" t="s">
        <v>10993</v>
      </c>
      <c r="Q1218" t="s">
        <v>29</v>
      </c>
      <c r="R1218" t="s">
        <v>10989</v>
      </c>
      <c r="S1218" t="s">
        <v>10990</v>
      </c>
    </row>
    <row r="1219" spans="1:19" x14ac:dyDescent="0.25">
      <c r="A1219" s="1">
        <v>1217</v>
      </c>
      <c r="B1219" t="str">
        <f>HYPERLINK("https://www.dasschnelle.at/möseneder-gmbh-neumarkt-im-hausruckkreis-kallham","Website")</f>
        <v>Website</v>
      </c>
      <c r="C1219" t="str">
        <f>HYPERLINK("https://www.dasschnelle.at/m%C3%B6seneder-gmbh-neumarkt-im-hausruckkreis-kallham","Website")</f>
        <v>Website</v>
      </c>
      <c r="D1219" t="str">
        <f>HYPERLINK("http://www.google.com/maps/place/48.2839050,13.7214435","Location")</f>
        <v>Location</v>
      </c>
      <c r="E1219" t="s">
        <v>10994</v>
      </c>
      <c r="F1219" t="s">
        <v>10995</v>
      </c>
      <c r="G1219" t="s">
        <v>7220</v>
      </c>
      <c r="H1219" t="s">
        <v>7221</v>
      </c>
      <c r="I1219" t="s">
        <v>85</v>
      </c>
      <c r="J1219" t="s">
        <v>22</v>
      </c>
      <c r="K1219" t="s">
        <v>10996</v>
      </c>
      <c r="L1219" t="s">
        <v>10999</v>
      </c>
      <c r="M1219" t="s">
        <v>25</v>
      </c>
      <c r="N1219" t="s">
        <v>11000</v>
      </c>
      <c r="O1219" t="s">
        <v>11001</v>
      </c>
      <c r="P1219" t="s">
        <v>11002</v>
      </c>
      <c r="Q1219" t="s">
        <v>29</v>
      </c>
      <c r="R1219" t="s">
        <v>10997</v>
      </c>
      <c r="S1219" t="s">
        <v>10998</v>
      </c>
    </row>
    <row r="1220" spans="1:19" x14ac:dyDescent="0.25">
      <c r="A1220" s="1">
        <v>1218</v>
      </c>
      <c r="B1220" t="str">
        <f>HYPERLINK("https://www.dasschnelle.at/starkl-jürgen-dr-krems-an-der-donau-pfarrplatz","Website")</f>
        <v>Website</v>
      </c>
      <c r="C1220" t="str">
        <f>HYPERLINK("http://www.orthopaedie-starkl.at","Website")</f>
        <v>Website</v>
      </c>
      <c r="D1220" t="str">
        <f>HYPERLINK("http://www.google.com/maps/place/48.3544600,15.6176200","Location")</f>
        <v>Location</v>
      </c>
      <c r="E1220" t="s">
        <v>11003</v>
      </c>
      <c r="F1220" t="s">
        <v>11004</v>
      </c>
      <c r="G1220" t="s">
        <v>281</v>
      </c>
      <c r="H1220" t="s">
        <v>282</v>
      </c>
      <c r="I1220" t="s">
        <v>177</v>
      </c>
      <c r="J1220" t="s">
        <v>22</v>
      </c>
      <c r="K1220" t="s">
        <v>11005</v>
      </c>
      <c r="L1220" t="s">
        <v>11008</v>
      </c>
      <c r="M1220" t="s">
        <v>25</v>
      </c>
      <c r="N1220" t="s">
        <v>11009</v>
      </c>
      <c r="O1220" t="s">
        <v>25</v>
      </c>
      <c r="P1220" t="s">
        <v>697</v>
      </c>
      <c r="Q1220" t="s">
        <v>29</v>
      </c>
      <c r="R1220" t="s">
        <v>11006</v>
      </c>
      <c r="S1220" t="s">
        <v>11007</v>
      </c>
    </row>
    <row r="1221" spans="1:19" x14ac:dyDescent="0.25">
      <c r="A1221" s="1">
        <v>1219</v>
      </c>
      <c r="B1221" t="str">
        <f>HYPERLINK("https://www.dasschnelle.at/riedelsberger-harald-dr-grieskirchen-bahnhofstraße","Website")</f>
        <v>Website</v>
      </c>
      <c r="C1221" t="str">
        <f>HYPERLINK("https://www.dasschnelle.at/riedelsberger-harald-dr-grieskirchen-bahnhofstra%C3%9Fe","Website")</f>
        <v>Website</v>
      </c>
      <c r="D1221" t="str">
        <f>HYPERLINK("http://www.google.com/maps/place/48.2330542,13.8362662","Location")</f>
        <v>Location</v>
      </c>
      <c r="E1221" t="s">
        <v>11010</v>
      </c>
      <c r="F1221" t="s">
        <v>11011</v>
      </c>
      <c r="G1221" t="s">
        <v>4826</v>
      </c>
      <c r="H1221" t="s">
        <v>4827</v>
      </c>
      <c r="I1221" t="s">
        <v>85</v>
      </c>
      <c r="J1221" t="s">
        <v>22</v>
      </c>
      <c r="K1221" t="s">
        <v>4581</v>
      </c>
      <c r="L1221" t="s">
        <v>11014</v>
      </c>
      <c r="M1221" t="s">
        <v>25</v>
      </c>
      <c r="N1221" t="s">
        <v>11015</v>
      </c>
      <c r="O1221" t="s">
        <v>25</v>
      </c>
      <c r="P1221" t="s">
        <v>697</v>
      </c>
      <c r="Q1221" t="s">
        <v>29</v>
      </c>
      <c r="R1221" t="s">
        <v>11012</v>
      </c>
      <c r="S1221" t="s">
        <v>11013</v>
      </c>
    </row>
    <row r="1222" spans="1:19" x14ac:dyDescent="0.25">
      <c r="A1222" s="1">
        <v>1220</v>
      </c>
      <c r="B1222" t="str">
        <f>HYPERLINK("https://www.dasschnelle.at/gschwendtner-helga-grieskirchen-tollet","Website")</f>
        <v>Website</v>
      </c>
      <c r="C1222" t="str">
        <f>HYPERLINK("http://www.saegewerk-gschwendtner.at/","Website")</f>
        <v>Website</v>
      </c>
      <c r="D1222" t="str">
        <f>HYPERLINK("http://www.google.com/maps/place/48.2420201,13.8015553","Location")</f>
        <v>Location</v>
      </c>
      <c r="E1222" t="s">
        <v>11016</v>
      </c>
      <c r="F1222" t="s">
        <v>11017</v>
      </c>
      <c r="G1222" t="s">
        <v>4826</v>
      </c>
      <c r="H1222" t="s">
        <v>4827</v>
      </c>
      <c r="I1222" t="s">
        <v>85</v>
      </c>
      <c r="J1222" t="s">
        <v>22</v>
      </c>
      <c r="K1222" t="s">
        <v>11018</v>
      </c>
      <c r="L1222" t="s">
        <v>11021</v>
      </c>
      <c r="M1222" t="s">
        <v>25</v>
      </c>
      <c r="N1222" t="s">
        <v>11022</v>
      </c>
      <c r="O1222" t="s">
        <v>25</v>
      </c>
      <c r="P1222" t="s">
        <v>11023</v>
      </c>
      <c r="Q1222" t="s">
        <v>29</v>
      </c>
      <c r="R1222" t="s">
        <v>11019</v>
      </c>
      <c r="S1222" t="s">
        <v>11020</v>
      </c>
    </row>
    <row r="1223" spans="1:19" x14ac:dyDescent="0.25">
      <c r="A1223" s="1">
        <v>1221</v>
      </c>
      <c r="B1223" t="str">
        <f>HYPERLINK("https://www.dasschnelle.at/thönig-irene-fügen-hauptstraße","Website")</f>
        <v>Website</v>
      </c>
      <c r="C1223" t="str">
        <f>HYPERLINK("https://www.dasschnelle.at/th%C3%B6nig-irene-f%C3%BCgen-hauptstra%C3%9Fe","Website")</f>
        <v>Website</v>
      </c>
      <c r="D1223" t="str">
        <f>HYPERLINK("http://www.google.com/maps/place/47.3484,11.85003","Location")</f>
        <v>Location</v>
      </c>
      <c r="E1223" t="s">
        <v>11024</v>
      </c>
      <c r="F1223" t="s">
        <v>11025</v>
      </c>
      <c r="G1223" t="s">
        <v>4219</v>
      </c>
      <c r="H1223" t="s">
        <v>4220</v>
      </c>
      <c r="I1223" t="s">
        <v>21</v>
      </c>
      <c r="J1223" t="s">
        <v>22</v>
      </c>
      <c r="K1223" t="s">
        <v>4218</v>
      </c>
      <c r="L1223" t="s">
        <v>11026</v>
      </c>
      <c r="M1223" t="s">
        <v>25</v>
      </c>
      <c r="N1223" t="s">
        <v>25</v>
      </c>
      <c r="O1223" t="s">
        <v>25</v>
      </c>
      <c r="P1223" t="s">
        <v>11027</v>
      </c>
      <c r="Q1223" t="s">
        <v>29</v>
      </c>
      <c r="R1223" t="s">
        <v>4221</v>
      </c>
      <c r="S1223" t="s">
        <v>4222</v>
      </c>
    </row>
    <row r="1224" spans="1:19" x14ac:dyDescent="0.25">
      <c r="A1224" s="1">
        <v>1222</v>
      </c>
      <c r="B1224" t="str">
        <f>HYPERLINK("https://www.dasschnelle.at/scherz-andrea-dr-wiener-neustadt-reyergasse","Website")</f>
        <v>Website</v>
      </c>
      <c r="C1224" t="str">
        <f>HYPERLINK("https://www.dasschnelle.at/scherz-andrea-dr-wiener-neustadt-reyergasse","Website")</f>
        <v>Website</v>
      </c>
      <c r="D1224" t="str">
        <f>HYPERLINK("http://www.google.com/maps/place/47.81516,16.24035","Location")</f>
        <v>Location</v>
      </c>
      <c r="E1224" t="s">
        <v>11028</v>
      </c>
      <c r="F1224" t="s">
        <v>11029</v>
      </c>
      <c r="G1224" t="s">
        <v>3962</v>
      </c>
      <c r="H1224" t="s">
        <v>3982</v>
      </c>
      <c r="I1224" t="s">
        <v>177</v>
      </c>
      <c r="J1224" t="s">
        <v>22</v>
      </c>
      <c r="K1224" t="s">
        <v>11030</v>
      </c>
      <c r="L1224" t="s">
        <v>11033</v>
      </c>
      <c r="M1224" t="s">
        <v>25</v>
      </c>
      <c r="N1224" t="s">
        <v>25</v>
      </c>
      <c r="O1224" t="s">
        <v>25</v>
      </c>
      <c r="P1224" t="s">
        <v>11034</v>
      </c>
      <c r="Q1224" t="s">
        <v>29</v>
      </c>
      <c r="R1224" t="s">
        <v>11031</v>
      </c>
      <c r="S1224" t="s">
        <v>11032</v>
      </c>
    </row>
    <row r="1225" spans="1:19" x14ac:dyDescent="0.25">
      <c r="A1225" s="1">
        <v>1223</v>
      </c>
      <c r="B1225" t="str">
        <f>HYPERLINK("https://www.dasschnelle.at/wolkenreich-gmbh-gralla-fassoldweg","Website")</f>
        <v>Website</v>
      </c>
      <c r="C1225" t="str">
        <f>HYPERLINK("http://www.wolkenreich.at","Website")</f>
        <v>Website</v>
      </c>
      <c r="D1225" t="str">
        <f>HYPERLINK("http://www.google.com/maps/place/46.8045209,15.5648245","Location")</f>
        <v>Location</v>
      </c>
      <c r="E1225" t="s">
        <v>11035</v>
      </c>
      <c r="F1225" t="s">
        <v>11036</v>
      </c>
      <c r="G1225" t="s">
        <v>11038</v>
      </c>
      <c r="H1225" t="s">
        <v>11039</v>
      </c>
      <c r="I1225" t="s">
        <v>451</v>
      </c>
      <c r="J1225" t="s">
        <v>22</v>
      </c>
      <c r="K1225" t="s">
        <v>11037</v>
      </c>
      <c r="L1225" t="s">
        <v>11042</v>
      </c>
      <c r="M1225" t="s">
        <v>25</v>
      </c>
      <c r="N1225" t="s">
        <v>11043</v>
      </c>
      <c r="O1225" t="s">
        <v>25</v>
      </c>
      <c r="P1225" t="s">
        <v>11044</v>
      </c>
      <c r="Q1225" t="s">
        <v>29</v>
      </c>
      <c r="R1225" t="s">
        <v>11040</v>
      </c>
      <c r="S1225" t="s">
        <v>11041</v>
      </c>
    </row>
    <row r="1226" spans="1:19" x14ac:dyDescent="0.25">
      <c r="A1226" s="1">
        <v>1224</v>
      </c>
      <c r="B1226" t="str">
        <f>HYPERLINK("https://www.dasschnelle.at/buchschartner-erdbau-abbruch-gmbh-mondsee-herzog-odilo-straße","Website")</f>
        <v>Website</v>
      </c>
      <c r="C1226" t="str">
        <f>HYPERLINK("http://www.fbuchschartner.at","Website")</f>
        <v>Website</v>
      </c>
      <c r="D1226" t="str">
        <f>HYPERLINK("http://www.google.com/maps/place/47.86665,13.33299","Location")</f>
        <v>Location</v>
      </c>
      <c r="E1226" t="s">
        <v>11045</v>
      </c>
      <c r="F1226" t="s">
        <v>11046</v>
      </c>
      <c r="G1226" t="s">
        <v>6543</v>
      </c>
      <c r="H1226" t="s">
        <v>6544</v>
      </c>
      <c r="I1226" t="s">
        <v>85</v>
      </c>
      <c r="J1226" t="s">
        <v>22</v>
      </c>
      <c r="K1226" t="s">
        <v>11047</v>
      </c>
      <c r="L1226" t="s">
        <v>11050</v>
      </c>
      <c r="M1226" t="s">
        <v>25</v>
      </c>
      <c r="N1226" t="s">
        <v>11051</v>
      </c>
      <c r="O1226" t="s">
        <v>11052</v>
      </c>
      <c r="P1226" t="s">
        <v>11053</v>
      </c>
      <c r="Q1226" t="s">
        <v>29</v>
      </c>
      <c r="R1226" t="s">
        <v>11048</v>
      </c>
      <c r="S1226" t="s">
        <v>11049</v>
      </c>
    </row>
    <row r="1227" spans="1:19" x14ac:dyDescent="0.25">
      <c r="A1227" s="1">
        <v>1225</v>
      </c>
      <c r="B1227" t="str">
        <f>HYPERLINK("https://www.dasschnelle.at/buchsteiner-marion-haus-kaiblingstraße","Website")</f>
        <v>Website</v>
      </c>
      <c r="C1227" t="str">
        <f>HYPERLINK("http://www.trachtenwerkstatt-buchsteiner.at","Website")</f>
        <v>Website</v>
      </c>
      <c r="D1227" t="str">
        <f>HYPERLINK("http://www.google.com/maps/place/47.40887,13.76652","Location")</f>
        <v>Location</v>
      </c>
      <c r="E1227" t="s">
        <v>11054</v>
      </c>
      <c r="F1227" t="s">
        <v>11055</v>
      </c>
      <c r="G1227" t="s">
        <v>8922</v>
      </c>
      <c r="H1227" t="s">
        <v>8923</v>
      </c>
      <c r="I1227" t="s">
        <v>451</v>
      </c>
      <c r="J1227" t="s">
        <v>22</v>
      </c>
      <c r="K1227" t="s">
        <v>11056</v>
      </c>
      <c r="L1227" t="s">
        <v>11059</v>
      </c>
      <c r="M1227" t="s">
        <v>25</v>
      </c>
      <c r="N1227" t="s">
        <v>11060</v>
      </c>
      <c r="O1227" t="s">
        <v>25</v>
      </c>
      <c r="P1227" t="s">
        <v>11061</v>
      </c>
      <c r="Q1227" t="s">
        <v>29</v>
      </c>
      <c r="R1227" t="s">
        <v>11057</v>
      </c>
      <c r="S1227" t="s">
        <v>11058</v>
      </c>
    </row>
    <row r="1228" spans="1:19" x14ac:dyDescent="0.25">
      <c r="A1228" s="1">
        <v>1226</v>
      </c>
      <c r="B1228" t="str">
        <f>HYPERLINK("https://www.dasschnelle.at/diensthuber-martin-gmunden-linzerstraße","Website")</f>
        <v>Website</v>
      </c>
      <c r="C1228" t="str">
        <f>HYPERLINK("https://www.dasschnelle.at/diensthuber-martin-gmunden-linzerstra%C3%9Fe","Website")</f>
        <v>Website</v>
      </c>
      <c r="D1228" t="str">
        <f>HYPERLINK("http://www.google.com/maps/place/47.92218,13.80444","Location")</f>
        <v>Location</v>
      </c>
      <c r="E1228" t="s">
        <v>11062</v>
      </c>
      <c r="F1228" t="s">
        <v>11063</v>
      </c>
      <c r="G1228" t="s">
        <v>6951</v>
      </c>
      <c r="H1228" t="s">
        <v>6952</v>
      </c>
      <c r="I1228" t="s">
        <v>85</v>
      </c>
      <c r="J1228" t="s">
        <v>22</v>
      </c>
      <c r="K1228" t="s">
        <v>11064</v>
      </c>
      <c r="L1228" t="s">
        <v>11067</v>
      </c>
      <c r="M1228" t="s">
        <v>25</v>
      </c>
      <c r="N1228" t="s">
        <v>11068</v>
      </c>
      <c r="O1228" t="s">
        <v>11069</v>
      </c>
      <c r="P1228" t="s">
        <v>11070</v>
      </c>
      <c r="Q1228" t="s">
        <v>29</v>
      </c>
      <c r="R1228" t="s">
        <v>11065</v>
      </c>
      <c r="S1228" t="s">
        <v>11066</v>
      </c>
    </row>
    <row r="1229" spans="1:19" x14ac:dyDescent="0.25">
      <c r="A1229" s="1">
        <v>1227</v>
      </c>
      <c r="B1229" t="str">
        <f>HYPERLINK("https://www.dasschnelle.at/reininger-gmbh-pinsdorf-gmundner-straße","Website")</f>
        <v>Website</v>
      </c>
      <c r="C1229" t="str">
        <f>HYPERLINK("http://www.reiningergroup.at","Website")</f>
        <v>Website</v>
      </c>
      <c r="D1229" t="str">
        <f>HYPERLINK("http://www.google.com/maps/place/47.9301883,13.7716572","Location")</f>
        <v>Location</v>
      </c>
      <c r="E1229" t="s">
        <v>11071</v>
      </c>
      <c r="F1229" t="s">
        <v>11072</v>
      </c>
      <c r="G1229" t="s">
        <v>6981</v>
      </c>
      <c r="H1229" t="s">
        <v>6982</v>
      </c>
      <c r="I1229" t="s">
        <v>85</v>
      </c>
      <c r="J1229" t="s">
        <v>22</v>
      </c>
      <c r="K1229" t="s">
        <v>11073</v>
      </c>
      <c r="L1229" t="s">
        <v>11076</v>
      </c>
      <c r="M1229" t="s">
        <v>25</v>
      </c>
      <c r="N1229" t="s">
        <v>11077</v>
      </c>
      <c r="O1229" t="s">
        <v>11078</v>
      </c>
      <c r="P1229" t="s">
        <v>11079</v>
      </c>
      <c r="Q1229" t="s">
        <v>29</v>
      </c>
      <c r="R1229" t="s">
        <v>11074</v>
      </c>
      <c r="S1229" t="s">
        <v>11075</v>
      </c>
    </row>
    <row r="1230" spans="1:19" x14ac:dyDescent="0.25">
      <c r="A1230" s="1">
        <v>1228</v>
      </c>
      <c r="B1230" t="str">
        <f>HYPERLINK("https://www.dasschnelle.at/dietachmair-alois-sierning-simsenpoint","Website")</f>
        <v>Website</v>
      </c>
      <c r="C1230" t="str">
        <f>HYPERLINK("https://www.dasschnelle.at/dietachmair-alois-sierning-simsenpoint","Website")</f>
        <v>Website</v>
      </c>
      <c r="D1230" t="str">
        <f>HYPERLINK("http://www.google.com/maps/place/48.06016,14.30303","Location")</f>
        <v>Location</v>
      </c>
      <c r="E1230" t="s">
        <v>11080</v>
      </c>
      <c r="F1230" t="s">
        <v>11081</v>
      </c>
      <c r="G1230" t="s">
        <v>11083</v>
      </c>
      <c r="H1230" t="s">
        <v>11084</v>
      </c>
      <c r="I1230" t="s">
        <v>85</v>
      </c>
      <c r="J1230" t="s">
        <v>22</v>
      </c>
      <c r="K1230" t="s">
        <v>11082</v>
      </c>
      <c r="L1230" t="s">
        <v>11087</v>
      </c>
      <c r="M1230" t="s">
        <v>25</v>
      </c>
      <c r="N1230" t="s">
        <v>11088</v>
      </c>
      <c r="O1230" t="s">
        <v>25</v>
      </c>
      <c r="P1230" t="s">
        <v>11089</v>
      </c>
      <c r="Q1230" t="s">
        <v>29</v>
      </c>
      <c r="R1230" t="s">
        <v>11085</v>
      </c>
      <c r="S1230" t="s">
        <v>11086</v>
      </c>
    </row>
    <row r="1231" spans="1:19" x14ac:dyDescent="0.25">
      <c r="A1231" s="1">
        <v>1229</v>
      </c>
      <c r="B1231" t="str">
        <f>HYPERLINK("https://www.dasschnelle.at/taxi-schiffer-sierning-bahnhofstraße","Website")</f>
        <v>Website</v>
      </c>
      <c r="C1231" t="str">
        <f>HYPERLINK("http://www.hc-schiffer.at","Website")</f>
        <v>Website</v>
      </c>
      <c r="D1231" t="str">
        <f>HYPERLINK("http://www.google.com/maps/place/48.04218,14.31123","Location")</f>
        <v>Location</v>
      </c>
      <c r="E1231" t="s">
        <v>11090</v>
      </c>
      <c r="F1231" t="s">
        <v>11091</v>
      </c>
      <c r="G1231" t="s">
        <v>11083</v>
      </c>
      <c r="H1231" t="s">
        <v>11084</v>
      </c>
      <c r="I1231" t="s">
        <v>85</v>
      </c>
      <c r="J1231" t="s">
        <v>22</v>
      </c>
      <c r="K1231" t="s">
        <v>11092</v>
      </c>
      <c r="L1231" t="s">
        <v>11095</v>
      </c>
      <c r="M1231" t="s">
        <v>25</v>
      </c>
      <c r="N1231" t="s">
        <v>11096</v>
      </c>
      <c r="O1231" t="s">
        <v>25</v>
      </c>
      <c r="P1231" t="s">
        <v>11097</v>
      </c>
      <c r="Q1231" t="s">
        <v>29</v>
      </c>
      <c r="R1231" t="s">
        <v>11093</v>
      </c>
      <c r="S1231" t="s">
        <v>11094</v>
      </c>
    </row>
    <row r="1232" spans="1:19" x14ac:dyDescent="0.25">
      <c r="A1232" s="1">
        <v>1230</v>
      </c>
      <c r="B1232" t="str">
        <f>HYPERLINK("https://www.dasschnelle.at/vitalzentrum-sierning-franz-streer-weg","Website")</f>
        <v>Website</v>
      </c>
      <c r="C1232" t="str">
        <f>HYPERLINK("http://www.vitalzentrum.at","Website")</f>
        <v>Website</v>
      </c>
      <c r="D1232" t="str">
        <f>HYPERLINK("http://www.google.com/maps/place/48.04234,14.31254","Location")</f>
        <v>Location</v>
      </c>
      <c r="E1232" t="s">
        <v>11098</v>
      </c>
      <c r="F1232" t="s">
        <v>11099</v>
      </c>
      <c r="G1232" t="s">
        <v>11083</v>
      </c>
      <c r="H1232" t="s">
        <v>11084</v>
      </c>
      <c r="I1232" t="s">
        <v>85</v>
      </c>
      <c r="J1232" t="s">
        <v>22</v>
      </c>
      <c r="K1232" t="s">
        <v>11100</v>
      </c>
      <c r="L1232" t="s">
        <v>11103</v>
      </c>
      <c r="M1232" t="s">
        <v>25</v>
      </c>
      <c r="N1232" t="s">
        <v>11104</v>
      </c>
      <c r="O1232" t="s">
        <v>25</v>
      </c>
      <c r="P1232" t="s">
        <v>11105</v>
      </c>
      <c r="Q1232" t="s">
        <v>29</v>
      </c>
      <c r="R1232" t="s">
        <v>11101</v>
      </c>
      <c r="S1232" t="s">
        <v>11102</v>
      </c>
    </row>
    <row r="1233" spans="1:19" x14ac:dyDescent="0.25">
      <c r="A1233" s="1">
        <v>1231</v>
      </c>
      <c r="B1233" t="str">
        <f>HYPERLINK("https://www.dasschnelle.at/ömmer-johannes-neuzeug-hubstraße","Website")</f>
        <v>Website</v>
      </c>
      <c r="C1233" t="str">
        <f>HYPERLINK("http://www.oemmer-kfz.at","Website")</f>
        <v>Website</v>
      </c>
      <c r="D1233" t="str">
        <f>HYPERLINK("http://www.google.com/maps/place/48.0595670,14.3286066","Location")</f>
        <v>Location</v>
      </c>
      <c r="E1233" t="s">
        <v>11106</v>
      </c>
      <c r="F1233" t="s">
        <v>11107</v>
      </c>
      <c r="G1233" t="s">
        <v>11109</v>
      </c>
      <c r="H1233" t="s">
        <v>11110</v>
      </c>
      <c r="I1233" t="s">
        <v>85</v>
      </c>
      <c r="J1233" t="s">
        <v>22</v>
      </c>
      <c r="K1233" t="s">
        <v>11108</v>
      </c>
      <c r="L1233" t="s">
        <v>11113</v>
      </c>
      <c r="M1233" t="s">
        <v>25</v>
      </c>
      <c r="N1233" t="s">
        <v>11114</v>
      </c>
      <c r="O1233" t="s">
        <v>25</v>
      </c>
      <c r="P1233" t="s">
        <v>11115</v>
      </c>
      <c r="Q1233" t="s">
        <v>29</v>
      </c>
      <c r="R1233" t="s">
        <v>11111</v>
      </c>
      <c r="S1233" t="s">
        <v>11112</v>
      </c>
    </row>
    <row r="1234" spans="1:19" x14ac:dyDescent="0.25">
      <c r="A1234" s="1">
        <v>1232</v>
      </c>
      <c r="B1234" t="str">
        <f>HYPERLINK("https://www.dasschnelle.at/käfer-jürgen-neuzeug-quellenweg","Website")</f>
        <v>Website</v>
      </c>
      <c r="C1234" t="str">
        <f>HYPERLINK("http://www.kaefer-humanenergie.at","Website")</f>
        <v>Website</v>
      </c>
      <c r="D1234" t="str">
        <f>HYPERLINK("http://www.google.com/maps/place/48.0563851,14.3415428","Location")</f>
        <v>Location</v>
      </c>
      <c r="E1234" t="s">
        <v>11116</v>
      </c>
      <c r="F1234" t="s">
        <v>11117</v>
      </c>
      <c r="G1234" t="s">
        <v>11109</v>
      </c>
      <c r="H1234" t="s">
        <v>11110</v>
      </c>
      <c r="I1234" t="s">
        <v>85</v>
      </c>
      <c r="J1234" t="s">
        <v>22</v>
      </c>
      <c r="K1234" t="s">
        <v>11118</v>
      </c>
      <c r="L1234" t="s">
        <v>11121</v>
      </c>
      <c r="M1234" t="s">
        <v>25</v>
      </c>
      <c r="N1234" t="s">
        <v>11122</v>
      </c>
      <c r="O1234" t="s">
        <v>25</v>
      </c>
      <c r="P1234" t="s">
        <v>11123</v>
      </c>
      <c r="Q1234" t="s">
        <v>29</v>
      </c>
      <c r="R1234" t="s">
        <v>11119</v>
      </c>
      <c r="S1234" t="s">
        <v>11120</v>
      </c>
    </row>
    <row r="1235" spans="1:19" x14ac:dyDescent="0.25">
      <c r="A1235" s="1">
        <v>1233</v>
      </c>
      <c r="B1235" t="str">
        <f>HYPERLINK("https://www.dasschnelle.at/deisl-christian-sierning-steyrer-straße","Website")</f>
        <v>Website</v>
      </c>
      <c r="C1235" t="str">
        <f>HYPERLINK("http://www.friseur-deisl.at","Website")</f>
        <v>Website</v>
      </c>
      <c r="D1235" t="str">
        <f>HYPERLINK("http://www.google.com/maps/place/48.04454,14.31188","Location")</f>
        <v>Location</v>
      </c>
      <c r="E1235" t="s">
        <v>11124</v>
      </c>
      <c r="F1235" t="s">
        <v>11125</v>
      </c>
      <c r="G1235" t="s">
        <v>11083</v>
      </c>
      <c r="H1235" t="s">
        <v>11084</v>
      </c>
      <c r="I1235" t="s">
        <v>85</v>
      </c>
      <c r="J1235" t="s">
        <v>22</v>
      </c>
      <c r="K1235" t="s">
        <v>11126</v>
      </c>
      <c r="L1235" t="s">
        <v>11129</v>
      </c>
      <c r="M1235" t="s">
        <v>11130</v>
      </c>
      <c r="N1235" t="s">
        <v>11131</v>
      </c>
      <c r="O1235" t="s">
        <v>25</v>
      </c>
      <c r="P1235" t="s">
        <v>11132</v>
      </c>
      <c r="Q1235" t="s">
        <v>29</v>
      </c>
      <c r="R1235" t="s">
        <v>11127</v>
      </c>
      <c r="S1235" t="s">
        <v>11128</v>
      </c>
    </row>
    <row r="1236" spans="1:19" x14ac:dyDescent="0.25">
      <c r="A1236" s="1">
        <v>1234</v>
      </c>
      <c r="B1236" t="str">
        <f>HYPERLINK("https://www.dasschnelle.at/lengauer-melanie-neuzeug-gärtnerweg","Website")</f>
        <v>Website</v>
      </c>
      <c r="C1236" t="str">
        <f>HYPERLINK("https://www.dasschnelle.at/lengauer-melanie-neuzeug-g%C3%A4rtnerweg","Website")</f>
        <v>Website</v>
      </c>
      <c r="D1236" t="str">
        <f>HYPERLINK("http://www.google.com/maps/place/48.05421,14.35269","Location")</f>
        <v>Location</v>
      </c>
      <c r="E1236" t="s">
        <v>11133</v>
      </c>
      <c r="F1236" t="s">
        <v>11134</v>
      </c>
      <c r="G1236" t="s">
        <v>11109</v>
      </c>
      <c r="H1236" t="s">
        <v>11110</v>
      </c>
      <c r="I1236" t="s">
        <v>85</v>
      </c>
      <c r="J1236" t="s">
        <v>22</v>
      </c>
      <c r="K1236" t="s">
        <v>11135</v>
      </c>
      <c r="L1236" t="s">
        <v>11138</v>
      </c>
      <c r="M1236" t="s">
        <v>25</v>
      </c>
      <c r="N1236" t="s">
        <v>11139</v>
      </c>
      <c r="O1236" t="s">
        <v>25</v>
      </c>
      <c r="P1236" t="s">
        <v>11140</v>
      </c>
      <c r="Q1236" t="s">
        <v>29</v>
      </c>
      <c r="R1236" t="s">
        <v>11136</v>
      </c>
      <c r="S1236" t="s">
        <v>11137</v>
      </c>
    </row>
    <row r="1237" spans="1:19" x14ac:dyDescent="0.25">
      <c r="A1237" s="1">
        <v>1235</v>
      </c>
      <c r="B1237" t="str">
        <f>HYPERLINK("https://www.dasschnelle.at/schiller-manuela-sierning-bahnhofstraße","Website")</f>
        <v>Website</v>
      </c>
      <c r="C1237" t="str">
        <f>HYPERLINK("https://www.dasschnelle.at/schiller-manuela-sierning-bahnhofstra%C3%9Fe","Website")</f>
        <v>Website</v>
      </c>
      <c r="D1237" t="str">
        <f>HYPERLINK("http://www.google.com/maps/place/48.0412800,14.3124200","Location")</f>
        <v>Location</v>
      </c>
      <c r="E1237" t="s">
        <v>11141</v>
      </c>
      <c r="F1237" t="s">
        <v>11142</v>
      </c>
      <c r="G1237" t="s">
        <v>11083</v>
      </c>
      <c r="H1237" t="s">
        <v>11084</v>
      </c>
      <c r="I1237" t="s">
        <v>85</v>
      </c>
      <c r="J1237" t="s">
        <v>22</v>
      </c>
      <c r="K1237" t="s">
        <v>11143</v>
      </c>
      <c r="L1237" t="s">
        <v>11146</v>
      </c>
      <c r="M1237" t="s">
        <v>25</v>
      </c>
      <c r="N1237" t="s">
        <v>11147</v>
      </c>
      <c r="O1237" t="s">
        <v>25</v>
      </c>
      <c r="P1237" t="s">
        <v>11148</v>
      </c>
      <c r="Q1237" t="s">
        <v>29</v>
      </c>
      <c r="R1237" t="s">
        <v>11144</v>
      </c>
      <c r="S1237" t="s">
        <v>11145</v>
      </c>
    </row>
    <row r="1238" spans="1:19" x14ac:dyDescent="0.25">
      <c r="A1238" s="1">
        <v>1236</v>
      </c>
      <c r="B1238" t="str">
        <f>HYPERLINK("https://www.dasschnelle.at/bestattungsanstalt-d-marktgemeinde-sierning-sierning-kirchenplatz","Website")</f>
        <v>Website</v>
      </c>
      <c r="C1238" t="str">
        <f>HYPERLINK("http://www.sierning.at","Website")</f>
        <v>Website</v>
      </c>
      <c r="D1238" t="str">
        <f>HYPERLINK("http://www.google.com/maps/place/48.045,14.30932","Location")</f>
        <v>Location</v>
      </c>
      <c r="E1238" t="s">
        <v>11149</v>
      </c>
      <c r="F1238" t="s">
        <v>11150</v>
      </c>
      <c r="G1238" t="s">
        <v>11083</v>
      </c>
      <c r="H1238" t="s">
        <v>11084</v>
      </c>
      <c r="I1238" t="s">
        <v>85</v>
      </c>
      <c r="J1238" t="s">
        <v>22</v>
      </c>
      <c r="K1238" t="s">
        <v>11151</v>
      </c>
      <c r="L1238" t="s">
        <v>11154</v>
      </c>
      <c r="M1238" t="s">
        <v>25</v>
      </c>
      <c r="N1238" t="s">
        <v>11155</v>
      </c>
      <c r="O1238" t="s">
        <v>25</v>
      </c>
      <c r="P1238" t="s">
        <v>11156</v>
      </c>
      <c r="Q1238" t="s">
        <v>29</v>
      </c>
      <c r="R1238" t="s">
        <v>11152</v>
      </c>
      <c r="S1238" t="s">
        <v>11153</v>
      </c>
    </row>
    <row r="1239" spans="1:19" x14ac:dyDescent="0.25">
      <c r="A1239" s="1">
        <v>1237</v>
      </c>
      <c r="B1239" t="str">
        <f>HYPERLINK("https://www.dasschnelle.at/wezlbacher-glas-rizvanovic-midhad-sierning-neustraße","Website")</f>
        <v>Website</v>
      </c>
      <c r="C1239" t="str">
        <f>HYPERLINK("http://www.wezlbacher.at","Website")</f>
        <v>Website</v>
      </c>
      <c r="D1239" t="str">
        <f>HYPERLINK("http://www.google.com/maps/place/48.04374,14.3086","Location")</f>
        <v>Location</v>
      </c>
      <c r="E1239" t="s">
        <v>11157</v>
      </c>
      <c r="F1239" t="s">
        <v>11158</v>
      </c>
      <c r="G1239" t="s">
        <v>11083</v>
      </c>
      <c r="H1239" t="s">
        <v>11084</v>
      </c>
      <c r="I1239" t="s">
        <v>85</v>
      </c>
      <c r="J1239" t="s">
        <v>22</v>
      </c>
      <c r="K1239" t="s">
        <v>11159</v>
      </c>
      <c r="L1239" t="s">
        <v>11162</v>
      </c>
      <c r="M1239" t="s">
        <v>25</v>
      </c>
      <c r="N1239" t="s">
        <v>11163</v>
      </c>
      <c r="O1239" t="s">
        <v>25</v>
      </c>
      <c r="P1239" t="s">
        <v>11164</v>
      </c>
      <c r="Q1239" t="s">
        <v>29</v>
      </c>
      <c r="R1239" t="s">
        <v>11160</v>
      </c>
      <c r="S1239" t="s">
        <v>11161</v>
      </c>
    </row>
    <row r="1240" spans="1:19" x14ac:dyDescent="0.25">
      <c r="A1240" s="1">
        <v>1238</v>
      </c>
      <c r="B1240" t="str">
        <f>HYPERLINK("https://www.dasschnelle.at/oppeneder-gerhard-mühltal-herrengasse","Website")</f>
        <v>Website</v>
      </c>
      <c r="C1240" t="str">
        <f>HYPERLINK("http://www.openeder.at","Website")</f>
        <v>Website</v>
      </c>
      <c r="D1240" t="str">
        <f>HYPERLINK("http://www.google.com/maps/place/48.02069,13.93609","Location")</f>
        <v>Location</v>
      </c>
      <c r="E1240" t="s">
        <v>11165</v>
      </c>
      <c r="F1240" t="s">
        <v>11166</v>
      </c>
      <c r="G1240" t="s">
        <v>6960</v>
      </c>
      <c r="H1240" t="s">
        <v>11168</v>
      </c>
      <c r="I1240" t="s">
        <v>85</v>
      </c>
      <c r="J1240" t="s">
        <v>22</v>
      </c>
      <c r="K1240" t="s">
        <v>11167</v>
      </c>
      <c r="L1240" t="s">
        <v>11171</v>
      </c>
      <c r="M1240" t="s">
        <v>25</v>
      </c>
      <c r="N1240" t="s">
        <v>11172</v>
      </c>
      <c r="O1240" t="s">
        <v>25</v>
      </c>
      <c r="P1240" t="s">
        <v>11173</v>
      </c>
      <c r="Q1240" t="s">
        <v>29</v>
      </c>
      <c r="R1240" t="s">
        <v>11169</v>
      </c>
      <c r="S1240" t="s">
        <v>11170</v>
      </c>
    </row>
    <row r="1241" spans="1:19" x14ac:dyDescent="0.25">
      <c r="A1241" s="1">
        <v>1239</v>
      </c>
      <c r="B1241" t="str">
        <f>HYPERLINK("https://www.dasschnelle.at/probst-rainer-vorchdorf-lambacherstraße","Website")</f>
        <v>Website</v>
      </c>
      <c r="C1241" t="str">
        <f>HYPERLINK("https://www.dasschnelle.at/probst-rainer-vorchdorf-lambacherstra%C3%9Fe","Website")</f>
        <v>Website</v>
      </c>
      <c r="D1241" t="str">
        <f>HYPERLINK("http://www.google.com/maps/place/48.0043100,13.9211500","Location")</f>
        <v>Location</v>
      </c>
      <c r="E1241" t="s">
        <v>11174</v>
      </c>
      <c r="F1241" t="s">
        <v>11175</v>
      </c>
      <c r="G1241" t="s">
        <v>6960</v>
      </c>
      <c r="H1241" t="s">
        <v>6961</v>
      </c>
      <c r="I1241" t="s">
        <v>85</v>
      </c>
      <c r="J1241" t="s">
        <v>22</v>
      </c>
      <c r="K1241" t="s">
        <v>11176</v>
      </c>
      <c r="L1241" t="s">
        <v>11179</v>
      </c>
      <c r="M1241" t="s">
        <v>25</v>
      </c>
      <c r="N1241" t="s">
        <v>11180</v>
      </c>
      <c r="O1241" t="s">
        <v>25</v>
      </c>
      <c r="P1241" t="s">
        <v>11181</v>
      </c>
      <c r="Q1241" t="s">
        <v>29</v>
      </c>
      <c r="R1241" t="s">
        <v>11177</v>
      </c>
      <c r="S1241" t="s">
        <v>11178</v>
      </c>
    </row>
    <row r="1242" spans="1:19" x14ac:dyDescent="0.25">
      <c r="A1242" s="1">
        <v>1240</v>
      </c>
      <c r="B1242" t="str">
        <f>HYPERLINK("https://www.dasschnelle.at/klinkert-mary-dr-vorchdorf-schulstraße","Website")</f>
        <v>Website</v>
      </c>
      <c r="C1242" t="str">
        <f>HYPERLINK("https://www.dasschnelle.at/klinkert-mary-dr-vorchdorf-schulstra%C3%9Fe","Website")</f>
        <v>Website</v>
      </c>
      <c r="D1242" t="str">
        <f>HYPERLINK("http://www.google.com/maps/place/48.00675,13.92393","Location")</f>
        <v>Location</v>
      </c>
      <c r="E1242" t="s">
        <v>11182</v>
      </c>
      <c r="F1242" t="s">
        <v>11183</v>
      </c>
      <c r="G1242" t="s">
        <v>6960</v>
      </c>
      <c r="H1242" t="s">
        <v>6961</v>
      </c>
      <c r="I1242" t="s">
        <v>85</v>
      </c>
      <c r="J1242" t="s">
        <v>22</v>
      </c>
      <c r="K1242" t="s">
        <v>11184</v>
      </c>
      <c r="L1242" t="s">
        <v>11187</v>
      </c>
      <c r="M1242" t="s">
        <v>25</v>
      </c>
      <c r="N1242" t="s">
        <v>11188</v>
      </c>
      <c r="O1242" t="s">
        <v>25</v>
      </c>
      <c r="P1242" t="s">
        <v>11189</v>
      </c>
      <c r="Q1242" t="s">
        <v>29</v>
      </c>
      <c r="R1242" t="s">
        <v>11185</v>
      </c>
      <c r="S1242" t="s">
        <v>11186</v>
      </c>
    </row>
    <row r="1243" spans="1:19" x14ac:dyDescent="0.25">
      <c r="A1243" s="1">
        <v>1241</v>
      </c>
      <c r="B1243" t="str">
        <f>HYPERLINK("https://www.dasschnelle.at/elektro-klamert-e-u-gainbrunn-gainbrunn","Website")</f>
        <v>Website</v>
      </c>
      <c r="C1243" t="str">
        <f>HYPERLINK("http://www.elektro-klamert.at","Website")</f>
        <v>Website</v>
      </c>
      <c r="D1243" t="str">
        <f>HYPERLINK("http://www.google.com/maps/place/48.4861790,15.2723505","Location")</f>
        <v>Location</v>
      </c>
      <c r="E1243" t="s">
        <v>11190</v>
      </c>
      <c r="F1243" t="s">
        <v>11191</v>
      </c>
      <c r="G1243" t="s">
        <v>11193</v>
      </c>
      <c r="H1243" t="s">
        <v>11194</v>
      </c>
      <c r="I1243" t="s">
        <v>177</v>
      </c>
      <c r="J1243" t="s">
        <v>22</v>
      </c>
      <c r="K1243" t="s">
        <v>11192</v>
      </c>
      <c r="L1243" t="s">
        <v>11197</v>
      </c>
      <c r="M1243" t="s">
        <v>25</v>
      </c>
      <c r="N1243" t="s">
        <v>11198</v>
      </c>
      <c r="O1243" t="s">
        <v>25</v>
      </c>
      <c r="P1243" t="s">
        <v>697</v>
      </c>
      <c r="Q1243" t="s">
        <v>29</v>
      </c>
      <c r="R1243" t="s">
        <v>11195</v>
      </c>
      <c r="S1243" t="s">
        <v>11196</v>
      </c>
    </row>
    <row r="1244" spans="1:19" x14ac:dyDescent="0.25">
      <c r="A1244" s="1">
        <v>1242</v>
      </c>
      <c r="B1244" t="str">
        <f>HYPERLINK("https://www.dasschnelle.at/kolm-franz-teichmanns-teichmanns","Website")</f>
        <v>Website</v>
      </c>
      <c r="C1244" t="str">
        <f>HYPERLINK("http://www.tischlerei-kolm.at","Website")</f>
        <v>Website</v>
      </c>
      <c r="D1244" t="str">
        <f>HYPERLINK("http://www.google.com/maps/place/48.4218315,15.2546848","Location")</f>
        <v>Location</v>
      </c>
      <c r="E1244" t="s">
        <v>11199</v>
      </c>
      <c r="F1244" t="s">
        <v>11200</v>
      </c>
      <c r="G1244" t="s">
        <v>11202</v>
      </c>
      <c r="H1244" t="s">
        <v>11203</v>
      </c>
      <c r="I1244" t="s">
        <v>177</v>
      </c>
      <c r="J1244" t="s">
        <v>22</v>
      </c>
      <c r="K1244" t="s">
        <v>11201</v>
      </c>
      <c r="L1244" t="s">
        <v>11206</v>
      </c>
      <c r="M1244" t="s">
        <v>11207</v>
      </c>
      <c r="N1244" t="s">
        <v>11208</v>
      </c>
      <c r="O1244" t="s">
        <v>25</v>
      </c>
      <c r="P1244" t="s">
        <v>11209</v>
      </c>
      <c r="Q1244" t="s">
        <v>29</v>
      </c>
      <c r="R1244" t="s">
        <v>11204</v>
      </c>
      <c r="S1244" t="s">
        <v>11205</v>
      </c>
    </row>
    <row r="1245" spans="1:19" x14ac:dyDescent="0.25">
      <c r="A1245" s="1">
        <v>1243</v>
      </c>
      <c r="B1245" t="str">
        <f>HYPERLINK("https://www.dasschnelle.at/melanie-s-gänseblümchen-grafenschlag-meierhofweg","Website")</f>
        <v>Website</v>
      </c>
      <c r="C1245" t="str">
        <f>HYPERLINK("http://www.melaniesgaensebluemchen.com","Website")</f>
        <v>Website</v>
      </c>
      <c r="D1245" t="str">
        <f>HYPERLINK("http://www.google.com/maps/place/48.5025,15.16692","Location")</f>
        <v>Location</v>
      </c>
      <c r="E1245" t="s">
        <v>11210</v>
      </c>
      <c r="F1245" t="s">
        <v>11211</v>
      </c>
      <c r="G1245" t="s">
        <v>11213</v>
      </c>
      <c r="H1245" t="s">
        <v>11214</v>
      </c>
      <c r="I1245" t="s">
        <v>177</v>
      </c>
      <c r="J1245" t="s">
        <v>22</v>
      </c>
      <c r="K1245" t="s">
        <v>11212</v>
      </c>
      <c r="L1245" t="s">
        <v>11217</v>
      </c>
      <c r="M1245" t="s">
        <v>25</v>
      </c>
      <c r="N1245" t="s">
        <v>11218</v>
      </c>
      <c r="O1245" t="s">
        <v>11219</v>
      </c>
      <c r="P1245" t="s">
        <v>11220</v>
      </c>
      <c r="Q1245" t="s">
        <v>29</v>
      </c>
      <c r="R1245" t="s">
        <v>11215</v>
      </c>
      <c r="S1245" t="s">
        <v>11216</v>
      </c>
    </row>
    <row r="1246" spans="1:19" x14ac:dyDescent="0.25">
      <c r="A1246" s="1">
        <v>1244</v>
      </c>
      <c r="B1246" t="str">
        <f>HYPERLINK("https://www.dasschnelle.at/harry-s-thayaquellenhof-gmbh-schweiggers-hauptplatz","Website")</f>
        <v>Website</v>
      </c>
      <c r="C1246" t="str">
        <f>HYPERLINK("http://www.facebook.com/thayaquellenhof.at","Website")</f>
        <v>Website</v>
      </c>
      <c r="D1246" t="str">
        <f>HYPERLINK("http://www.google.com/maps/place/48.66831,15.06261","Location")</f>
        <v>Location</v>
      </c>
      <c r="E1246" t="s">
        <v>11221</v>
      </c>
      <c r="F1246" t="s">
        <v>11222</v>
      </c>
      <c r="G1246" t="s">
        <v>11224</v>
      </c>
      <c r="H1246" t="s">
        <v>11225</v>
      </c>
      <c r="I1246" t="s">
        <v>177</v>
      </c>
      <c r="J1246" t="s">
        <v>22</v>
      </c>
      <c r="K1246" t="s">
        <v>11223</v>
      </c>
      <c r="L1246" t="s">
        <v>11228</v>
      </c>
      <c r="M1246" t="s">
        <v>25</v>
      </c>
      <c r="N1246" t="s">
        <v>11229</v>
      </c>
      <c r="O1246" t="s">
        <v>25</v>
      </c>
      <c r="P1246" t="s">
        <v>11230</v>
      </c>
      <c r="Q1246" t="s">
        <v>29</v>
      </c>
      <c r="R1246" t="s">
        <v>11226</v>
      </c>
      <c r="S1246" t="s">
        <v>11227</v>
      </c>
    </row>
    <row r="1247" spans="1:19" x14ac:dyDescent="0.25">
      <c r="A1247" s="1">
        <v>1245</v>
      </c>
      <c r="B1247" t="str">
        <f>HYPERLINK("https://www.dasschnelle.at/penz-daniela-zwettl-landstraße","Website")</f>
        <v>Website</v>
      </c>
      <c r="C1247" t="str">
        <f>HYPERLINK("http://www.himmelbettundzwirn.at","Website")</f>
        <v>Website</v>
      </c>
      <c r="D1247" t="str">
        <f>HYPERLINK("http://www.google.com/maps/place/48.60649,15.1658","Location")</f>
        <v>Location</v>
      </c>
      <c r="E1247" t="s">
        <v>11231</v>
      </c>
      <c r="F1247" t="s">
        <v>11232</v>
      </c>
      <c r="G1247" t="s">
        <v>10518</v>
      </c>
      <c r="H1247" t="s">
        <v>10791</v>
      </c>
      <c r="I1247" t="s">
        <v>177</v>
      </c>
      <c r="J1247" t="s">
        <v>22</v>
      </c>
      <c r="K1247" t="s">
        <v>11233</v>
      </c>
      <c r="L1247" t="s">
        <v>11236</v>
      </c>
      <c r="M1247" t="s">
        <v>25</v>
      </c>
      <c r="N1247" t="s">
        <v>11237</v>
      </c>
      <c r="O1247" t="s">
        <v>25</v>
      </c>
      <c r="P1247" t="s">
        <v>11238</v>
      </c>
      <c r="Q1247" t="s">
        <v>29</v>
      </c>
      <c r="R1247" t="s">
        <v>11234</v>
      </c>
      <c r="S1247" t="s">
        <v>11235</v>
      </c>
    </row>
    <row r="1248" spans="1:19" x14ac:dyDescent="0.25">
      <c r="A1248" s="1">
        <v>1246</v>
      </c>
      <c r="B1248" t="str">
        <f>HYPERLINK("https://www.dasschnelle.at/traxler-ferdinand-antenfeinhöfe-antenfeinhöfe","Website")</f>
        <v>Website</v>
      </c>
      <c r="C1248" t="str">
        <f>HYPERLINK("https://www.dasschnelle.at/traxler-ferdinand-antenfeinh%C3%B6fe-antenfeinh%C3%B6fe","Website")</f>
        <v>Website</v>
      </c>
      <c r="D1248" t="str">
        <f>HYPERLINK("http://www.google.com/maps/place/48.5284529,14.9009857","Location")</f>
        <v>Location</v>
      </c>
      <c r="E1248" t="s">
        <v>11239</v>
      </c>
      <c r="F1248" t="s">
        <v>11240</v>
      </c>
      <c r="G1248" t="s">
        <v>11242</v>
      </c>
      <c r="H1248" t="s">
        <v>11243</v>
      </c>
      <c r="I1248" t="s">
        <v>177</v>
      </c>
      <c r="J1248" t="s">
        <v>22</v>
      </c>
      <c r="K1248" t="s">
        <v>11241</v>
      </c>
      <c r="L1248" t="s">
        <v>11246</v>
      </c>
      <c r="M1248" t="s">
        <v>25</v>
      </c>
      <c r="N1248" t="s">
        <v>11247</v>
      </c>
      <c r="O1248" t="s">
        <v>25</v>
      </c>
      <c r="P1248" t="s">
        <v>11248</v>
      </c>
      <c r="Q1248" t="s">
        <v>29</v>
      </c>
      <c r="R1248" t="s">
        <v>11244</v>
      </c>
      <c r="S1248" t="s">
        <v>11245</v>
      </c>
    </row>
    <row r="1249" spans="1:19" x14ac:dyDescent="0.25">
      <c r="A1249" s="1">
        <v>1247</v>
      </c>
      <c r="B1249" t="str">
        <f>HYPERLINK("https://www.dasschnelle.at/wolff-jörn-groß-gerungs-dr-julius-sturm-straße","Website")</f>
        <v>Website</v>
      </c>
      <c r="C1249" t="str">
        <f>HYPERLINK("https://www.dasschnelle.at/wolff-j%C3%B6rn-gro%C3%9F-gerungs-dr-julius-sturm-stra%C3%9Fe","Website")</f>
        <v>Website</v>
      </c>
      <c r="D1249" t="str">
        <f>HYPERLINK("http://www.google.com/maps/place/48.57191,14.9549","Location")</f>
        <v>Location</v>
      </c>
      <c r="E1249" t="s">
        <v>11249</v>
      </c>
      <c r="F1249" t="s">
        <v>11250</v>
      </c>
      <c r="G1249" t="s">
        <v>11242</v>
      </c>
      <c r="H1249" t="s">
        <v>11252</v>
      </c>
      <c r="I1249" t="s">
        <v>177</v>
      </c>
      <c r="J1249" t="s">
        <v>22</v>
      </c>
      <c r="K1249" t="s">
        <v>11251</v>
      </c>
      <c r="L1249" t="s">
        <v>11255</v>
      </c>
      <c r="M1249" t="s">
        <v>25</v>
      </c>
      <c r="N1249" t="s">
        <v>11256</v>
      </c>
      <c r="O1249" t="s">
        <v>25</v>
      </c>
      <c r="P1249" t="s">
        <v>11257</v>
      </c>
      <c r="Q1249" t="s">
        <v>29</v>
      </c>
      <c r="R1249" t="s">
        <v>11253</v>
      </c>
      <c r="S1249" t="s">
        <v>11254</v>
      </c>
    </row>
    <row r="1250" spans="1:19" x14ac:dyDescent="0.25">
      <c r="A1250" s="1">
        <v>1248</v>
      </c>
      <c r="B1250" t="str">
        <f>HYPERLINK("https://www.dasschnelle.at/grill-barbara-nah-und-frisch-göpfritz-an-der-wild-hauptstraße","Website")</f>
        <v>Website</v>
      </c>
      <c r="C1250" t="str">
        <f>HYPERLINK("http://www.nahundfrisch.at/de/kaufmann/grill","Website")</f>
        <v>Website</v>
      </c>
      <c r="D1250" t="str">
        <f>HYPERLINK("http://www.google.com/maps/place/48.72453,15.40051","Location")</f>
        <v>Location</v>
      </c>
      <c r="E1250" t="s">
        <v>11258</v>
      </c>
      <c r="F1250" t="s">
        <v>11259</v>
      </c>
      <c r="G1250" t="s">
        <v>11261</v>
      </c>
      <c r="H1250" t="s">
        <v>11262</v>
      </c>
      <c r="I1250" t="s">
        <v>177</v>
      </c>
      <c r="J1250" t="s">
        <v>22</v>
      </c>
      <c r="K1250" t="s">
        <v>11260</v>
      </c>
      <c r="L1250" t="s">
        <v>11265</v>
      </c>
      <c r="M1250" t="s">
        <v>25</v>
      </c>
      <c r="N1250" t="s">
        <v>11266</v>
      </c>
      <c r="O1250" t="s">
        <v>25</v>
      </c>
      <c r="P1250" t="s">
        <v>11267</v>
      </c>
      <c r="Q1250" t="s">
        <v>29</v>
      </c>
      <c r="R1250" t="s">
        <v>11263</v>
      </c>
      <c r="S1250" t="s">
        <v>11264</v>
      </c>
    </row>
    <row r="1251" spans="1:19" x14ac:dyDescent="0.25">
      <c r="A1251" s="1">
        <v>1249</v>
      </c>
      <c r="B1251" t="str">
        <f>HYPERLINK("https://www.dasschnelle.at/karosserie-kormesser-gmbh-zwettl-moidrams","Website")</f>
        <v>Website</v>
      </c>
      <c r="C1251" t="str">
        <f>HYPERLINK("http://www.karosserie-kormesser.at","Website")</f>
        <v>Website</v>
      </c>
      <c r="D1251" t="str">
        <f>HYPERLINK("http://www.google.com/maps/place/48.5984354,15.1519127","Location")</f>
        <v>Location</v>
      </c>
      <c r="E1251" t="s">
        <v>11268</v>
      </c>
      <c r="F1251" t="s">
        <v>11269</v>
      </c>
      <c r="G1251" t="s">
        <v>10518</v>
      </c>
      <c r="H1251" t="s">
        <v>10791</v>
      </c>
      <c r="I1251" t="s">
        <v>177</v>
      </c>
      <c r="J1251" t="s">
        <v>22</v>
      </c>
      <c r="K1251" t="s">
        <v>11270</v>
      </c>
      <c r="L1251" t="s">
        <v>11273</v>
      </c>
      <c r="M1251" t="s">
        <v>11274</v>
      </c>
      <c r="N1251" t="s">
        <v>11275</v>
      </c>
      <c r="O1251" t="s">
        <v>25</v>
      </c>
      <c r="P1251" t="s">
        <v>11276</v>
      </c>
      <c r="Q1251" t="s">
        <v>29</v>
      </c>
      <c r="R1251" t="s">
        <v>11271</v>
      </c>
      <c r="S1251" t="s">
        <v>11272</v>
      </c>
    </row>
    <row r="1252" spans="1:19" x14ac:dyDescent="0.25">
      <c r="A1252" s="1">
        <v>1250</v>
      </c>
      <c r="B1252" t="str">
        <f>HYPERLINK("https://www.dasschnelle.at/bucher-andreas-groß-gerungs-linzer-straße","Website")</f>
        <v>Website</v>
      </c>
      <c r="C1252" t="str">
        <f>HYPERLINK("http://www.traumausstatter.at","Website")</f>
        <v>Website</v>
      </c>
      <c r="D1252" t="str">
        <f>HYPERLINK("http://www.google.com/maps/place/48.5740900,14.9545100","Location")</f>
        <v>Location</v>
      </c>
      <c r="E1252" t="s">
        <v>11277</v>
      </c>
      <c r="F1252" t="s">
        <v>11278</v>
      </c>
      <c r="G1252" t="s">
        <v>11242</v>
      </c>
      <c r="H1252" t="s">
        <v>11252</v>
      </c>
      <c r="I1252" t="s">
        <v>177</v>
      </c>
      <c r="J1252" t="s">
        <v>22</v>
      </c>
      <c r="K1252" t="s">
        <v>11279</v>
      </c>
      <c r="L1252" t="s">
        <v>11282</v>
      </c>
      <c r="M1252" t="s">
        <v>25</v>
      </c>
      <c r="N1252" t="s">
        <v>11283</v>
      </c>
      <c r="O1252" t="s">
        <v>25</v>
      </c>
      <c r="P1252" t="s">
        <v>11284</v>
      </c>
      <c r="Q1252" t="s">
        <v>29</v>
      </c>
      <c r="R1252" t="s">
        <v>11280</v>
      </c>
      <c r="S1252" t="s">
        <v>11281</v>
      </c>
    </row>
    <row r="1253" spans="1:19" x14ac:dyDescent="0.25">
      <c r="A1253" s="1">
        <v>1251</v>
      </c>
      <c r="B1253" t="str">
        <f>HYPERLINK("https://www.dasschnelle.at/hölzl-daniel-schweiggers-sallingstadt","Website")</f>
        <v>Website</v>
      </c>
      <c r="C1253" t="str">
        <f>HYPERLINK("http://www.metalltechnik-hoelzl.at","Website")</f>
        <v>Website</v>
      </c>
      <c r="D1253" t="str">
        <f>HYPERLINK("http://www.google.com/maps/place/48.6812769,15.1051136","Location")</f>
        <v>Location</v>
      </c>
      <c r="E1253" t="s">
        <v>11285</v>
      </c>
      <c r="F1253" t="s">
        <v>11286</v>
      </c>
      <c r="G1253" t="s">
        <v>11224</v>
      </c>
      <c r="H1253" t="s">
        <v>11225</v>
      </c>
      <c r="I1253" t="s">
        <v>177</v>
      </c>
      <c r="J1253" t="s">
        <v>22</v>
      </c>
      <c r="K1253" t="s">
        <v>11287</v>
      </c>
      <c r="L1253" t="s">
        <v>11290</v>
      </c>
      <c r="M1253" t="s">
        <v>25</v>
      </c>
      <c r="N1253" t="s">
        <v>11291</v>
      </c>
      <c r="O1253" t="s">
        <v>25</v>
      </c>
      <c r="P1253" t="s">
        <v>11292</v>
      </c>
      <c r="Q1253" t="s">
        <v>29</v>
      </c>
      <c r="R1253" t="s">
        <v>11288</v>
      </c>
      <c r="S1253" t="s">
        <v>11289</v>
      </c>
    </row>
    <row r="1254" spans="1:19" x14ac:dyDescent="0.25">
      <c r="A1254" s="1">
        <v>1252</v>
      </c>
      <c r="B1254" t="str">
        <f>HYPERLINK("https://www.dasschnelle.at/winkler-andreas-gmbh-ottenschlag-oberer-markt","Website")</f>
        <v>Website</v>
      </c>
      <c r="C1254" t="str">
        <f>HYPERLINK("http://www.winkler-raumausstatter.at","Website")</f>
        <v>Website</v>
      </c>
      <c r="D1254" t="str">
        <f>HYPERLINK("http://www.google.com/maps/place/48.42437,15.22076","Location")</f>
        <v>Location</v>
      </c>
      <c r="E1254" t="s">
        <v>11293</v>
      </c>
      <c r="F1254" t="s">
        <v>11294</v>
      </c>
      <c r="G1254" t="s">
        <v>11296</v>
      </c>
      <c r="H1254" t="s">
        <v>11297</v>
      </c>
      <c r="I1254" t="s">
        <v>177</v>
      </c>
      <c r="J1254" t="s">
        <v>22</v>
      </c>
      <c r="K1254" t="s">
        <v>11295</v>
      </c>
      <c r="L1254" t="s">
        <v>11300</v>
      </c>
      <c r="M1254" t="s">
        <v>11301</v>
      </c>
      <c r="N1254" t="s">
        <v>11302</v>
      </c>
      <c r="O1254" t="s">
        <v>25</v>
      </c>
      <c r="P1254" t="s">
        <v>11303</v>
      </c>
      <c r="Q1254" t="s">
        <v>29</v>
      </c>
      <c r="R1254" t="s">
        <v>11298</v>
      </c>
      <c r="S1254" t="s">
        <v>11299</v>
      </c>
    </row>
    <row r="1255" spans="1:19" x14ac:dyDescent="0.25">
      <c r="A1255" s="1">
        <v>1253</v>
      </c>
      <c r="B1255" t="str">
        <f>HYPERLINK("https://www.dasschnelle.at/gasthof-hirsch-gmbh-groß-gerungs-hauptplatz","Website")</f>
        <v>Website</v>
      </c>
      <c r="C1255" t="str">
        <f>HYPERLINK("http://www.hirsch-gerungs.at","Website")</f>
        <v>Website</v>
      </c>
      <c r="D1255" t="str">
        <f>HYPERLINK("http://www.google.com/maps/place/48.5745,14.95855","Location")</f>
        <v>Location</v>
      </c>
      <c r="E1255" t="s">
        <v>11304</v>
      </c>
      <c r="F1255" t="s">
        <v>11305</v>
      </c>
      <c r="G1255" t="s">
        <v>11242</v>
      </c>
      <c r="H1255" t="s">
        <v>11252</v>
      </c>
      <c r="I1255" t="s">
        <v>177</v>
      </c>
      <c r="J1255" t="s">
        <v>22</v>
      </c>
      <c r="K1255" t="s">
        <v>11306</v>
      </c>
      <c r="L1255" t="s">
        <v>11309</v>
      </c>
      <c r="M1255" t="s">
        <v>25</v>
      </c>
      <c r="N1255" t="s">
        <v>11310</v>
      </c>
      <c r="O1255" t="s">
        <v>11311</v>
      </c>
      <c r="P1255" t="s">
        <v>11312</v>
      </c>
      <c r="Q1255" t="s">
        <v>29</v>
      </c>
      <c r="R1255" t="s">
        <v>11307</v>
      </c>
      <c r="S1255" t="s">
        <v>11308</v>
      </c>
    </row>
    <row r="1256" spans="1:19" x14ac:dyDescent="0.25">
      <c r="A1256" s="1">
        <v>1254</v>
      </c>
      <c r="B1256" t="str">
        <f>HYPERLINK("https://www.dasschnelle.at/der-spengler-prinz-inh-andreas-heinzl-schweiggers-gewerbestraße","Website")</f>
        <v>Website</v>
      </c>
      <c r="C1256" t="str">
        <f>HYPERLINK("http://www.spenglerprinz.at","Website")</f>
        <v>Website</v>
      </c>
      <c r="D1256" t="str">
        <f>HYPERLINK("http://www.google.com/maps/place/48.67176,15.06691","Location")</f>
        <v>Location</v>
      </c>
      <c r="E1256" t="s">
        <v>11313</v>
      </c>
      <c r="F1256" t="s">
        <v>11314</v>
      </c>
      <c r="G1256" t="s">
        <v>11224</v>
      </c>
      <c r="H1256" t="s">
        <v>11225</v>
      </c>
      <c r="I1256" t="s">
        <v>177</v>
      </c>
      <c r="J1256" t="s">
        <v>22</v>
      </c>
      <c r="K1256" t="s">
        <v>11315</v>
      </c>
      <c r="L1256" t="s">
        <v>11318</v>
      </c>
      <c r="M1256" t="s">
        <v>25</v>
      </c>
      <c r="N1256" t="s">
        <v>11319</v>
      </c>
      <c r="O1256" t="s">
        <v>25</v>
      </c>
      <c r="P1256" t="s">
        <v>11320</v>
      </c>
      <c r="Q1256" t="s">
        <v>29</v>
      </c>
      <c r="R1256" t="s">
        <v>11316</v>
      </c>
      <c r="S1256" t="s">
        <v>11317</v>
      </c>
    </row>
    <row r="1257" spans="1:19" x14ac:dyDescent="0.25">
      <c r="A1257" s="1">
        <v>1255</v>
      </c>
      <c r="B1257" t="str">
        <f>HYPERLINK("https://www.dasschnelle.at/zahrl-gesmbh-groß-gerungs-schulgasse","Website")</f>
        <v>Website</v>
      </c>
      <c r="C1257" t="str">
        <f>HYPERLINK("http://www.zahrldach.at","Website")</f>
        <v>Website</v>
      </c>
      <c r="D1257" t="str">
        <f>HYPERLINK("http://www.google.com/maps/place/48.57223,14.96054","Location")</f>
        <v>Location</v>
      </c>
      <c r="E1257" t="s">
        <v>11321</v>
      </c>
      <c r="F1257" t="s">
        <v>11322</v>
      </c>
      <c r="G1257" t="s">
        <v>11242</v>
      </c>
      <c r="H1257" t="s">
        <v>11252</v>
      </c>
      <c r="I1257" t="s">
        <v>177</v>
      </c>
      <c r="J1257" t="s">
        <v>22</v>
      </c>
      <c r="K1257" t="s">
        <v>11323</v>
      </c>
      <c r="L1257" t="s">
        <v>11326</v>
      </c>
      <c r="M1257" t="s">
        <v>11327</v>
      </c>
      <c r="N1257" t="s">
        <v>11328</v>
      </c>
      <c r="O1257" t="s">
        <v>25</v>
      </c>
      <c r="P1257" t="s">
        <v>11329</v>
      </c>
      <c r="Q1257" t="s">
        <v>29</v>
      </c>
      <c r="R1257" t="s">
        <v>11324</v>
      </c>
      <c r="S1257" t="s">
        <v>11325</v>
      </c>
    </row>
    <row r="1258" spans="1:19" x14ac:dyDescent="0.25">
      <c r="A1258" s="1">
        <v>1256</v>
      </c>
      <c r="B1258" t="str">
        <f>HYPERLINK("https://www.dasschnelle.at/klein-natascha-groß-gerungs-siebenberg","Website")</f>
        <v>Website</v>
      </c>
      <c r="C1258" t="str">
        <f>HYPERLINK("http://www.hairstyle-natascha.at","Website")</f>
        <v>Website</v>
      </c>
      <c r="D1258" t="str">
        <f>HYPERLINK("http://www.google.com/maps/place/48.6035320,14.9087487","Location")</f>
        <v>Location</v>
      </c>
      <c r="E1258" t="s">
        <v>11330</v>
      </c>
      <c r="F1258" t="s">
        <v>11331</v>
      </c>
      <c r="G1258" t="s">
        <v>11242</v>
      </c>
      <c r="H1258" t="s">
        <v>11252</v>
      </c>
      <c r="I1258" t="s">
        <v>177</v>
      </c>
      <c r="J1258" t="s">
        <v>22</v>
      </c>
      <c r="K1258" t="s">
        <v>11332</v>
      </c>
      <c r="L1258" t="s">
        <v>11335</v>
      </c>
      <c r="M1258" t="s">
        <v>25</v>
      </c>
      <c r="N1258" t="s">
        <v>11336</v>
      </c>
      <c r="O1258" t="s">
        <v>25</v>
      </c>
      <c r="P1258" t="s">
        <v>11337</v>
      </c>
      <c r="Q1258" t="s">
        <v>29</v>
      </c>
      <c r="R1258" t="s">
        <v>11333</v>
      </c>
      <c r="S1258" t="s">
        <v>11334</v>
      </c>
    </row>
    <row r="1259" spans="1:19" x14ac:dyDescent="0.25">
      <c r="A1259" s="1">
        <v>1257</v>
      </c>
      <c r="B1259" t="str">
        <f>HYPERLINK("https://www.dasschnelle.at/niesl-andreas-maria-rojach-dachberg","Website")</f>
        <v>Website</v>
      </c>
      <c r="C1259" t="str">
        <f>HYPERLINK("http://www.haustechnik-niesl.at","Website")</f>
        <v>Website</v>
      </c>
      <c r="D1259" t="str">
        <f>HYPERLINK("http://www.google.com/maps/place/46.7416342,14.8671849","Location")</f>
        <v>Location</v>
      </c>
      <c r="E1259" t="s">
        <v>11338</v>
      </c>
      <c r="F1259" t="s">
        <v>11339</v>
      </c>
      <c r="G1259" t="s">
        <v>11341</v>
      </c>
      <c r="H1259" t="s">
        <v>11342</v>
      </c>
      <c r="I1259" t="s">
        <v>4130</v>
      </c>
      <c r="J1259" t="s">
        <v>22</v>
      </c>
      <c r="K1259" t="s">
        <v>11340</v>
      </c>
      <c r="L1259" t="s">
        <v>11345</v>
      </c>
      <c r="M1259" t="s">
        <v>25</v>
      </c>
      <c r="N1259" t="s">
        <v>11346</v>
      </c>
      <c r="O1259" t="s">
        <v>11347</v>
      </c>
      <c r="P1259" t="s">
        <v>11348</v>
      </c>
      <c r="Q1259" t="s">
        <v>29</v>
      </c>
      <c r="R1259" t="s">
        <v>11343</v>
      </c>
      <c r="S1259" t="s">
        <v>11344</v>
      </c>
    </row>
    <row r="1260" spans="1:19" x14ac:dyDescent="0.25">
      <c r="A1260" s="1">
        <v>1258</v>
      </c>
      <c r="B1260" t="str">
        <f>HYPERLINK("https://www.dasschnelle.at/pajnik-elektro-gmbh-st-paul-im-lavanttal-bahnhofstraße","Website")</f>
        <v>Website</v>
      </c>
      <c r="C1260" t="str">
        <f>HYPERLINK("http://www.ep-pajnik.at","Website")</f>
        <v>Website</v>
      </c>
      <c r="D1260" t="str">
        <f>HYPERLINK("http://www.google.com/maps/place/46.7058478,14.8671270","Location")</f>
        <v>Location</v>
      </c>
      <c r="E1260" t="s">
        <v>11349</v>
      </c>
      <c r="F1260" t="s">
        <v>11350</v>
      </c>
      <c r="G1260" t="s">
        <v>11352</v>
      </c>
      <c r="H1260" t="s">
        <v>11353</v>
      </c>
      <c r="I1260" t="s">
        <v>4130</v>
      </c>
      <c r="J1260" t="s">
        <v>22</v>
      </c>
      <c r="K1260" t="s">
        <v>11351</v>
      </c>
      <c r="L1260" t="s">
        <v>11356</v>
      </c>
      <c r="M1260" t="s">
        <v>25</v>
      </c>
      <c r="N1260" t="s">
        <v>11357</v>
      </c>
      <c r="O1260" t="s">
        <v>11358</v>
      </c>
      <c r="P1260" t="s">
        <v>11359</v>
      </c>
      <c r="Q1260" t="s">
        <v>29</v>
      </c>
      <c r="R1260" t="s">
        <v>11354</v>
      </c>
      <c r="S1260" t="s">
        <v>11355</v>
      </c>
    </row>
    <row r="1261" spans="1:19" x14ac:dyDescent="0.25">
      <c r="A1261" s="1">
        <v>1259</v>
      </c>
      <c r="B1261" t="str">
        <f>HYPERLINK("https://www.dasschnelle.at/malliga-erwin-dr-med-univ-gries-mozartstraße","Website")</f>
        <v>Website</v>
      </c>
      <c r="C1261" t="str">
        <f>HYPERLINK("https://www.dasschnelle.at/malliga-erwin-dr-med-univ-gries-mozartstra%C3%9Fe","Website")</f>
        <v>Website</v>
      </c>
      <c r="D1261" t="str">
        <f>HYPERLINK("http://www.google.com/maps/place/46.83465,14.84802","Location")</f>
        <v>Location</v>
      </c>
      <c r="E1261" t="s">
        <v>11360</v>
      </c>
      <c r="F1261" t="s">
        <v>11361</v>
      </c>
      <c r="G1261" t="s">
        <v>11363</v>
      </c>
      <c r="H1261" t="s">
        <v>9920</v>
      </c>
      <c r="I1261" t="s">
        <v>4130</v>
      </c>
      <c r="J1261" t="s">
        <v>22</v>
      </c>
      <c r="K1261" t="s">
        <v>11362</v>
      </c>
      <c r="L1261" t="s">
        <v>11366</v>
      </c>
      <c r="M1261" t="s">
        <v>11367</v>
      </c>
      <c r="N1261" t="s">
        <v>25</v>
      </c>
      <c r="O1261" t="s">
        <v>25</v>
      </c>
      <c r="P1261" t="s">
        <v>11368</v>
      </c>
      <c r="Q1261" t="s">
        <v>29</v>
      </c>
      <c r="R1261" t="s">
        <v>11364</v>
      </c>
      <c r="S1261" t="s">
        <v>11365</v>
      </c>
    </row>
    <row r="1262" spans="1:19" x14ac:dyDescent="0.25">
      <c r="A1262" s="1">
        <v>1260</v>
      </c>
      <c r="B1262" t="str">
        <f>HYPERLINK("https://www.dasschnelle.at/hairzlich-treffer-elisabeth-katharina-st-stefan-hauptstraße","Website")</f>
        <v>Website</v>
      </c>
      <c r="C1262" t="str">
        <f>HYPERLINK("https://www.dasschnelle.at/hairzlich-treffer-elisabeth-katharina-st-stefan-hauptstra%C3%9Fe","Website")</f>
        <v>Website</v>
      </c>
      <c r="D1262" t="str">
        <f>HYPERLINK("http://www.google.com/maps/place/46.81293,14.85016","Location")</f>
        <v>Location</v>
      </c>
      <c r="E1262" t="s">
        <v>11369</v>
      </c>
      <c r="F1262" t="s">
        <v>11370</v>
      </c>
      <c r="G1262" t="s">
        <v>11372</v>
      </c>
      <c r="H1262" t="s">
        <v>11373</v>
      </c>
      <c r="I1262" t="s">
        <v>4130</v>
      </c>
      <c r="J1262" t="s">
        <v>22</v>
      </c>
      <c r="K1262" t="s">
        <v>11371</v>
      </c>
      <c r="L1262" t="s">
        <v>11376</v>
      </c>
      <c r="M1262" t="s">
        <v>25</v>
      </c>
      <c r="N1262" t="s">
        <v>25</v>
      </c>
      <c r="O1262" t="s">
        <v>25</v>
      </c>
      <c r="P1262" t="s">
        <v>11377</v>
      </c>
      <c r="Q1262" t="s">
        <v>29</v>
      </c>
      <c r="R1262" t="s">
        <v>11374</v>
      </c>
      <c r="S1262" t="s">
        <v>11375</v>
      </c>
    </row>
    <row r="1263" spans="1:19" x14ac:dyDescent="0.25">
      <c r="A1263" s="1">
        <v>1261</v>
      </c>
      <c r="B1263" t="str">
        <f>HYPERLINK("https://www.dasschnelle.at/gönitzer-christoph-karl-st-andrä-jakling","Website")</f>
        <v>Website</v>
      </c>
      <c r="C1263" t="str">
        <f>HYPERLINK("http://www.fassaden-goenitzer.at","Website")</f>
        <v>Website</v>
      </c>
      <c r="D1263" t="str">
        <f>HYPERLINK("http://www.google.com/maps/place/46.7635493,14.8380216","Location")</f>
        <v>Location</v>
      </c>
      <c r="E1263" t="s">
        <v>11378</v>
      </c>
      <c r="F1263" t="s">
        <v>11379</v>
      </c>
      <c r="G1263" t="s">
        <v>11381</v>
      </c>
      <c r="H1263" t="s">
        <v>11382</v>
      </c>
      <c r="I1263" t="s">
        <v>4130</v>
      </c>
      <c r="J1263" t="s">
        <v>22</v>
      </c>
      <c r="K1263" t="s">
        <v>11380</v>
      </c>
      <c r="L1263" t="s">
        <v>11385</v>
      </c>
      <c r="M1263" t="s">
        <v>25</v>
      </c>
      <c r="N1263" t="s">
        <v>11386</v>
      </c>
      <c r="O1263" t="s">
        <v>25</v>
      </c>
      <c r="P1263" t="s">
        <v>11387</v>
      </c>
      <c r="Q1263" t="s">
        <v>29</v>
      </c>
      <c r="R1263" t="s">
        <v>11383</v>
      </c>
      <c r="S1263" t="s">
        <v>11384</v>
      </c>
    </row>
    <row r="1264" spans="1:19" x14ac:dyDescent="0.25">
      <c r="A1264" s="1">
        <v>1262</v>
      </c>
      <c r="B1264" t="str">
        <f>HYPERLINK("https://www.dasschnelle.at/hanschitz-hans-dieter-dr-wolfsberg-reckturmweg","Website")</f>
        <v>Website</v>
      </c>
      <c r="C1264" t="str">
        <f>HYPERLINK("http://www.drhanschitz.com","Website")</f>
        <v>Website</v>
      </c>
      <c r="D1264" t="str">
        <f>HYPERLINK("http://www.google.com/maps/place/46.83767,14.84696","Location")</f>
        <v>Location</v>
      </c>
      <c r="E1264" t="s">
        <v>11388</v>
      </c>
      <c r="F1264" t="s">
        <v>11389</v>
      </c>
      <c r="G1264" t="s">
        <v>11363</v>
      </c>
      <c r="H1264" t="s">
        <v>11391</v>
      </c>
      <c r="I1264" t="s">
        <v>4130</v>
      </c>
      <c r="J1264" t="s">
        <v>22</v>
      </c>
      <c r="K1264" t="s">
        <v>11390</v>
      </c>
      <c r="L1264" t="s">
        <v>11394</v>
      </c>
      <c r="M1264" t="s">
        <v>25</v>
      </c>
      <c r="N1264" t="s">
        <v>11395</v>
      </c>
      <c r="O1264" t="s">
        <v>25</v>
      </c>
      <c r="P1264" t="s">
        <v>11396</v>
      </c>
      <c r="Q1264" t="s">
        <v>29</v>
      </c>
      <c r="R1264" t="s">
        <v>11392</v>
      </c>
      <c r="S1264" t="s">
        <v>11393</v>
      </c>
    </row>
    <row r="1265" spans="1:19" x14ac:dyDescent="0.25">
      <c r="A1265" s="1">
        <v>1263</v>
      </c>
      <c r="B1265" t="str">
        <f>HYPERLINK("https://www.dasschnelle.at/blumen-silvia-st-paul-hauptstrasse","Website")</f>
        <v>Website</v>
      </c>
      <c r="C1265" t="str">
        <f>HYPERLINK("https://blumen-silvia.stadtausstellung.at/","Website")</f>
        <v>Website</v>
      </c>
      <c r="D1265" t="str">
        <f>HYPERLINK("http://www.google.com/maps/place/46.7005715,14.8697997","Location")</f>
        <v>Location</v>
      </c>
      <c r="E1265" t="s">
        <v>11397</v>
      </c>
      <c r="F1265" t="s">
        <v>11398</v>
      </c>
      <c r="G1265" t="s">
        <v>11352</v>
      </c>
      <c r="H1265" t="s">
        <v>11400</v>
      </c>
      <c r="I1265" t="s">
        <v>4130</v>
      </c>
      <c r="J1265" t="s">
        <v>22</v>
      </c>
      <c r="K1265" t="s">
        <v>11399</v>
      </c>
      <c r="L1265" t="s">
        <v>11403</v>
      </c>
      <c r="M1265" t="s">
        <v>25</v>
      </c>
      <c r="N1265" t="s">
        <v>11404</v>
      </c>
      <c r="O1265" t="s">
        <v>25</v>
      </c>
      <c r="P1265" t="s">
        <v>11405</v>
      </c>
      <c r="Q1265" t="s">
        <v>29</v>
      </c>
      <c r="R1265" t="s">
        <v>11401</v>
      </c>
      <c r="S1265" t="s">
        <v>11402</v>
      </c>
    </row>
    <row r="1266" spans="1:19" x14ac:dyDescent="0.25">
      <c r="A1266" s="1">
        <v>1264</v>
      </c>
      <c r="B1266" t="str">
        <f>HYPERLINK("https://www.dasschnelle.at/welwich-gmbh-st-stefan-klagenfurterstraße","Website")</f>
        <v>Website</v>
      </c>
      <c r="C1266" t="str">
        <f>HYPERLINK("http://www.welwich.plusservice.at","Website")</f>
        <v>Website</v>
      </c>
      <c r="D1266" t="str">
        <f>HYPERLINK("http://www.google.com/maps/place/46.81144,14.83217","Location")</f>
        <v>Location</v>
      </c>
      <c r="E1266" t="s">
        <v>11406</v>
      </c>
      <c r="F1266" t="s">
        <v>11407</v>
      </c>
      <c r="G1266" t="s">
        <v>11372</v>
      </c>
      <c r="H1266" t="s">
        <v>11373</v>
      </c>
      <c r="I1266" t="s">
        <v>4130</v>
      </c>
      <c r="J1266" t="s">
        <v>22</v>
      </c>
      <c r="K1266" t="s">
        <v>11408</v>
      </c>
      <c r="L1266" t="s">
        <v>11411</v>
      </c>
      <c r="M1266" t="s">
        <v>25</v>
      </c>
      <c r="N1266" t="s">
        <v>25</v>
      </c>
      <c r="O1266" t="s">
        <v>25</v>
      </c>
      <c r="P1266" t="s">
        <v>11412</v>
      </c>
      <c r="Q1266" t="s">
        <v>29</v>
      </c>
      <c r="R1266" t="s">
        <v>11409</v>
      </c>
      <c r="S1266" t="s">
        <v>11410</v>
      </c>
    </row>
    <row r="1267" spans="1:19" x14ac:dyDescent="0.25">
      <c r="A1267" s="1">
        <v>1265</v>
      </c>
      <c r="B1267" t="str">
        <f>HYPERLINK("https://www.dasschnelle.at/alfred-pansy-spenglerei-und-dachdeckerei-gmbh-messensach-messensach","Website")</f>
        <v>Website</v>
      </c>
      <c r="C1267" t="str">
        <f>HYPERLINK("https://www.dasschnelle.at/alfred-pansy-spenglerei-und-dachdeckerei-gmbh-messensach-messensach","Website")</f>
        <v>Website</v>
      </c>
      <c r="D1267" t="str">
        <f>HYPERLINK("http://www.google.com/maps/place/46.7482714,14.8559844","Location")</f>
        <v>Location</v>
      </c>
      <c r="E1267" t="s">
        <v>11413</v>
      </c>
      <c r="F1267" t="s">
        <v>11414</v>
      </c>
      <c r="G1267" t="s">
        <v>11381</v>
      </c>
      <c r="H1267" t="s">
        <v>11416</v>
      </c>
      <c r="I1267" t="s">
        <v>4130</v>
      </c>
      <c r="J1267" t="s">
        <v>22</v>
      </c>
      <c r="K1267" t="s">
        <v>11415</v>
      </c>
      <c r="L1267" t="s">
        <v>11419</v>
      </c>
      <c r="M1267" t="s">
        <v>25</v>
      </c>
      <c r="N1267" t="s">
        <v>11420</v>
      </c>
      <c r="O1267" t="s">
        <v>11421</v>
      </c>
      <c r="P1267" t="s">
        <v>697</v>
      </c>
      <c r="Q1267" t="s">
        <v>29</v>
      </c>
      <c r="R1267" t="s">
        <v>11417</v>
      </c>
      <c r="S1267" t="s">
        <v>11418</v>
      </c>
    </row>
    <row r="1268" spans="1:19" x14ac:dyDescent="0.25">
      <c r="A1268" s="1">
        <v>1266</v>
      </c>
      <c r="B1268" t="str">
        <f>HYPERLINK("https://www.dasschnelle.at/edler-günther-sankt-paul-im-lavanttal-sankt-paul-im-lavanttal","Website")</f>
        <v>Website</v>
      </c>
      <c r="C1268" t="str">
        <f>HYPERLINK("https://www.dasschnelle.at/edler-g%C3%BCnther-sankt-paul-im-lavanttal-sankt-paul-im-lavanttal","Website")</f>
        <v>Website</v>
      </c>
      <c r="D1268" t="str">
        <f>HYPERLINK("http://www.google.com/maps/place/46.6836412,14.8379489","Location")</f>
        <v>Location</v>
      </c>
      <c r="E1268" t="s">
        <v>11422</v>
      </c>
      <c r="F1268" t="s">
        <v>11423</v>
      </c>
      <c r="G1268" t="s">
        <v>11352</v>
      </c>
      <c r="H1268" t="s">
        <v>11425</v>
      </c>
      <c r="I1268" t="s">
        <v>4130</v>
      </c>
      <c r="J1268" t="s">
        <v>22</v>
      </c>
      <c r="K1268" t="s">
        <v>11424</v>
      </c>
      <c r="L1268" t="s">
        <v>11428</v>
      </c>
      <c r="M1268" t="s">
        <v>25</v>
      </c>
      <c r="N1268" t="s">
        <v>11429</v>
      </c>
      <c r="O1268" t="s">
        <v>25</v>
      </c>
      <c r="P1268" t="s">
        <v>11430</v>
      </c>
      <c r="Q1268" t="s">
        <v>29</v>
      </c>
      <c r="R1268" t="s">
        <v>11426</v>
      </c>
      <c r="S1268" t="s">
        <v>11427</v>
      </c>
    </row>
    <row r="1269" spans="1:19" x14ac:dyDescent="0.25">
      <c r="A1269" s="1">
        <v>1267</v>
      </c>
      <c r="B1269" t="str">
        <f>HYPERLINK("https://www.dasschnelle.at/stratznig-bau-st-andrä-burgstall","Website")</f>
        <v>Website</v>
      </c>
      <c r="C1269" t="str">
        <f>HYPERLINK("http://www.stratznig-bau.at","Website")</f>
        <v>Website</v>
      </c>
      <c r="D1269" t="str">
        <f>HYPERLINK("http://www.google.com/maps/place/46.7587722,14.8209855","Location")</f>
        <v>Location</v>
      </c>
      <c r="E1269" t="s">
        <v>11431</v>
      </c>
      <c r="F1269" t="s">
        <v>11432</v>
      </c>
      <c r="G1269" t="s">
        <v>11381</v>
      </c>
      <c r="H1269" t="s">
        <v>11382</v>
      </c>
      <c r="I1269" t="s">
        <v>4130</v>
      </c>
      <c r="J1269" t="s">
        <v>22</v>
      </c>
      <c r="K1269" t="s">
        <v>11433</v>
      </c>
      <c r="L1269" t="s">
        <v>11436</v>
      </c>
      <c r="M1269" t="s">
        <v>11437</v>
      </c>
      <c r="N1269" t="s">
        <v>11438</v>
      </c>
      <c r="O1269" t="s">
        <v>25</v>
      </c>
      <c r="P1269" t="s">
        <v>11439</v>
      </c>
      <c r="Q1269" t="s">
        <v>29</v>
      </c>
      <c r="R1269" t="s">
        <v>11434</v>
      </c>
      <c r="S1269" t="s">
        <v>11435</v>
      </c>
    </row>
    <row r="1270" spans="1:19" x14ac:dyDescent="0.25">
      <c r="A1270" s="1">
        <v>1268</v>
      </c>
      <c r="B1270" t="str">
        <f>HYPERLINK("https://www.dasschnelle.at/jölli-glas-gmbh-st-paul-im-lavanttal-bahnhofstraße","Website")</f>
        <v>Website</v>
      </c>
      <c r="C1270" t="str">
        <f>HYPERLINK("http://www.joelli-glas.at","Website")</f>
        <v>Website</v>
      </c>
      <c r="D1270" t="str">
        <f>HYPERLINK("http://www.google.com/maps/place/46.7037481,14.8695831","Location")</f>
        <v>Location</v>
      </c>
      <c r="E1270" t="s">
        <v>11440</v>
      </c>
      <c r="F1270" t="s">
        <v>11441</v>
      </c>
      <c r="G1270" t="s">
        <v>11352</v>
      </c>
      <c r="H1270" t="s">
        <v>11353</v>
      </c>
      <c r="I1270" t="s">
        <v>4130</v>
      </c>
      <c r="J1270" t="s">
        <v>22</v>
      </c>
      <c r="K1270" t="s">
        <v>4581</v>
      </c>
      <c r="L1270" t="s">
        <v>11444</v>
      </c>
      <c r="M1270" t="s">
        <v>25</v>
      </c>
      <c r="N1270" t="s">
        <v>11445</v>
      </c>
      <c r="O1270" t="s">
        <v>11446</v>
      </c>
      <c r="P1270" t="s">
        <v>11447</v>
      </c>
      <c r="Q1270" t="s">
        <v>29</v>
      </c>
      <c r="R1270" t="s">
        <v>11442</v>
      </c>
      <c r="S1270" t="s">
        <v>11443</v>
      </c>
    </row>
    <row r="1271" spans="1:19" x14ac:dyDescent="0.25">
      <c r="A1271" s="1">
        <v>1269</v>
      </c>
      <c r="B1271" t="str">
        <f>HYPERLINK("https://www.dasschnelle.at/hotel-gasthof-stoff-gmbh-st-margarethen-im-lavanttal-weißenbachstraße","Website")</f>
        <v>Website</v>
      </c>
      <c r="C1271" t="str">
        <f>HYPERLINK("http://www.hotel-stoff.at","Website")</f>
        <v>Website</v>
      </c>
      <c r="D1271" t="str">
        <f>HYPERLINK("http://www.google.com/maps/place/46.8535,14.80779","Location")</f>
        <v>Location</v>
      </c>
      <c r="E1271" t="s">
        <v>11448</v>
      </c>
      <c r="F1271" t="s">
        <v>11449</v>
      </c>
      <c r="G1271" t="s">
        <v>11451</v>
      </c>
      <c r="H1271" t="s">
        <v>11452</v>
      </c>
      <c r="I1271" t="s">
        <v>4130</v>
      </c>
      <c r="J1271" t="s">
        <v>22</v>
      </c>
      <c r="K1271" t="s">
        <v>11450</v>
      </c>
      <c r="L1271" t="s">
        <v>11455</v>
      </c>
      <c r="M1271" t="s">
        <v>25</v>
      </c>
      <c r="N1271" t="s">
        <v>11456</v>
      </c>
      <c r="O1271" t="s">
        <v>25</v>
      </c>
      <c r="P1271" t="s">
        <v>11457</v>
      </c>
      <c r="Q1271" t="s">
        <v>29</v>
      </c>
      <c r="R1271" t="s">
        <v>11453</v>
      </c>
      <c r="S1271" t="s">
        <v>11454</v>
      </c>
    </row>
    <row r="1272" spans="1:19" x14ac:dyDescent="0.25">
      <c r="A1272" s="1">
        <v>1270</v>
      </c>
      <c r="B1272" t="str">
        <f>HYPERLINK("https://www.dasschnelle.at/baldauf-christian-st-margarethen-im-lavanttal-forst","Website")</f>
        <v>Website</v>
      </c>
      <c r="C1272" t="str">
        <f>HYPERLINK("https://www.dasschnelle.at/baldauf-christian-st-margarethen-im-lavanttal-forst","Website")</f>
        <v>Website</v>
      </c>
      <c r="D1272" t="str">
        <f>HYPERLINK("http://www.google.com/maps/place/46.8661511,14.7643907","Location")</f>
        <v>Location</v>
      </c>
      <c r="E1272" t="s">
        <v>11458</v>
      </c>
      <c r="F1272" t="s">
        <v>11459</v>
      </c>
      <c r="G1272" t="s">
        <v>11451</v>
      </c>
      <c r="H1272" t="s">
        <v>11452</v>
      </c>
      <c r="I1272" t="s">
        <v>4130</v>
      </c>
      <c r="J1272" t="s">
        <v>22</v>
      </c>
      <c r="K1272" t="s">
        <v>11460</v>
      </c>
      <c r="L1272" t="s">
        <v>11463</v>
      </c>
      <c r="M1272" t="s">
        <v>25</v>
      </c>
      <c r="N1272" t="s">
        <v>11464</v>
      </c>
      <c r="O1272" t="s">
        <v>25</v>
      </c>
      <c r="P1272" t="s">
        <v>11465</v>
      </c>
      <c r="Q1272" t="s">
        <v>29</v>
      </c>
      <c r="R1272" t="s">
        <v>11461</v>
      </c>
      <c r="S1272" t="s">
        <v>11462</v>
      </c>
    </row>
    <row r="1273" spans="1:19" x14ac:dyDescent="0.25">
      <c r="A1273" s="1">
        <v>1271</v>
      </c>
      <c r="B1273" t="str">
        <f>HYPERLINK("https://www.dasschnelle.at/zmollnig-hubert-gemmersdorf-gemmersdorf","Website")</f>
        <v>Website</v>
      </c>
      <c r="C1273" t="str">
        <f>HYPERLINK("https://www.dasschnelle.at/zmollnig-hubert-gemmersdorf-gemmersdorf","Website")</f>
        <v>Website</v>
      </c>
      <c r="D1273" t="str">
        <f>HYPERLINK("http://www.google.com/maps/place/46.7612637,14.9011707","Location")</f>
        <v>Location</v>
      </c>
      <c r="E1273" t="s">
        <v>11466</v>
      </c>
      <c r="F1273" t="s">
        <v>11467</v>
      </c>
      <c r="G1273" t="s">
        <v>11469</v>
      </c>
      <c r="H1273" t="s">
        <v>11470</v>
      </c>
      <c r="I1273" t="s">
        <v>4130</v>
      </c>
      <c r="J1273" t="s">
        <v>22</v>
      </c>
      <c r="K1273" t="s">
        <v>11468</v>
      </c>
      <c r="L1273" t="s">
        <v>11473</v>
      </c>
      <c r="M1273" t="s">
        <v>25</v>
      </c>
      <c r="N1273" t="s">
        <v>11474</v>
      </c>
      <c r="O1273" t="s">
        <v>25</v>
      </c>
      <c r="P1273" t="s">
        <v>11475</v>
      </c>
      <c r="Q1273" t="s">
        <v>29</v>
      </c>
      <c r="R1273" t="s">
        <v>11471</v>
      </c>
      <c r="S1273" t="s">
        <v>11472</v>
      </c>
    </row>
    <row r="1274" spans="1:19" x14ac:dyDescent="0.25">
      <c r="A1274" s="1">
        <v>1272</v>
      </c>
      <c r="B1274" t="str">
        <f>HYPERLINK("https://www.dasschnelle.at/hinteregger-friedrich-granitztal-st-paul-granitztal-st-paul","Website")</f>
        <v>Website</v>
      </c>
      <c r="C1274" t="str">
        <f>HYPERLINK("https://saegewerk-hinteregger.stadtausstellung.at/","Website")</f>
        <v>Website</v>
      </c>
      <c r="D1274" t="str">
        <f>HYPERLINK("http://www.google.com/maps/place/46.6922187,14.8331416","Location")</f>
        <v>Location</v>
      </c>
      <c r="E1274" t="s">
        <v>11476</v>
      </c>
      <c r="F1274" t="s">
        <v>11477</v>
      </c>
      <c r="G1274" t="s">
        <v>11352</v>
      </c>
      <c r="H1274" t="s">
        <v>11479</v>
      </c>
      <c r="I1274" t="s">
        <v>4130</v>
      </c>
      <c r="J1274" t="s">
        <v>22</v>
      </c>
      <c r="K1274" t="s">
        <v>11478</v>
      </c>
      <c r="L1274" t="s">
        <v>11482</v>
      </c>
      <c r="M1274" t="s">
        <v>25</v>
      </c>
      <c r="N1274" t="s">
        <v>11483</v>
      </c>
      <c r="O1274" t="s">
        <v>25</v>
      </c>
      <c r="P1274" t="s">
        <v>11484</v>
      </c>
      <c r="Q1274" t="s">
        <v>29</v>
      </c>
      <c r="R1274" t="s">
        <v>11480</v>
      </c>
      <c r="S1274" t="s">
        <v>11481</v>
      </c>
    </row>
    <row r="1275" spans="1:19" x14ac:dyDescent="0.25">
      <c r="A1275" s="1">
        <v>1273</v>
      </c>
      <c r="B1275" t="str">
        <f>HYPERLINK("https://www.dasschnelle.at/sturmer-claudia-wolfsberg-johann-offner-straße","Website")</f>
        <v>Website</v>
      </c>
      <c r="C1275" t="str">
        <f>HYPERLINK("http://www.claudias-hairstyle.at","Website")</f>
        <v>Website</v>
      </c>
      <c r="D1275" t="str">
        <f>HYPERLINK("http://www.google.com/maps/place/46.83687,14.84587","Location")</f>
        <v>Location</v>
      </c>
      <c r="E1275" t="s">
        <v>11485</v>
      </c>
      <c r="F1275" t="s">
        <v>11486</v>
      </c>
      <c r="G1275" t="s">
        <v>11363</v>
      </c>
      <c r="H1275" t="s">
        <v>11391</v>
      </c>
      <c r="I1275" t="s">
        <v>4130</v>
      </c>
      <c r="J1275" t="s">
        <v>22</v>
      </c>
      <c r="K1275" t="s">
        <v>11487</v>
      </c>
      <c r="L1275" t="s">
        <v>11490</v>
      </c>
      <c r="M1275" t="s">
        <v>25</v>
      </c>
      <c r="N1275" t="s">
        <v>11491</v>
      </c>
      <c r="O1275" t="s">
        <v>25</v>
      </c>
      <c r="P1275" t="s">
        <v>11492</v>
      </c>
      <c r="Q1275" t="s">
        <v>29</v>
      </c>
      <c r="R1275" t="s">
        <v>11488</v>
      </c>
      <c r="S1275" t="s">
        <v>11489</v>
      </c>
    </row>
    <row r="1276" spans="1:19" x14ac:dyDescent="0.25">
      <c r="A1276" s="1">
        <v>1274</v>
      </c>
      <c r="B1276" t="str">
        <f>HYPERLINK("https://www.dasschnelle.at/petra-stückler-eitweg-eitweg","Website")</f>
        <v>Website</v>
      </c>
      <c r="C1276" t="str">
        <f>HYPERLINK("https://www.dasschnelle.at/petra-st%C3%BCckler-eitweg-eitweg","Website")</f>
        <v>Website</v>
      </c>
      <c r="D1276" t="str">
        <f>HYPERLINK("http://www.google.com/maps/place/46.7752324,14.8807696","Location")</f>
        <v>Location</v>
      </c>
      <c r="E1276" t="s">
        <v>11493</v>
      </c>
      <c r="F1276" t="s">
        <v>11494</v>
      </c>
      <c r="G1276" t="s">
        <v>11469</v>
      </c>
      <c r="H1276" t="s">
        <v>11496</v>
      </c>
      <c r="I1276" t="s">
        <v>4130</v>
      </c>
      <c r="J1276" t="s">
        <v>22</v>
      </c>
      <c r="K1276" t="s">
        <v>11495</v>
      </c>
      <c r="L1276" t="s">
        <v>11499</v>
      </c>
      <c r="M1276" t="s">
        <v>25</v>
      </c>
      <c r="N1276" t="s">
        <v>25</v>
      </c>
      <c r="O1276" t="s">
        <v>25</v>
      </c>
      <c r="P1276" t="s">
        <v>11500</v>
      </c>
      <c r="Q1276" t="s">
        <v>29</v>
      </c>
      <c r="R1276" t="s">
        <v>11497</v>
      </c>
      <c r="S1276" t="s">
        <v>11498</v>
      </c>
    </row>
    <row r="1277" spans="1:19" x14ac:dyDescent="0.25">
      <c r="A1277" s="1">
        <v>1275</v>
      </c>
      <c r="B1277" t="str">
        <f>HYPERLINK("https://www.dasschnelle.at/morianz-gmbh-st-andrä-framrach","Website")</f>
        <v>Website</v>
      </c>
      <c r="C1277" t="str">
        <f>HYPERLINK("http://www.morianz.at","Website")</f>
        <v>Website</v>
      </c>
      <c r="D1277" t="str">
        <f>HYPERLINK("http://www.google.com/maps/place/46.7482892,14.8235126","Location")</f>
        <v>Location</v>
      </c>
      <c r="E1277" t="s">
        <v>11501</v>
      </c>
      <c r="F1277" t="s">
        <v>11502</v>
      </c>
      <c r="G1277" t="s">
        <v>11381</v>
      </c>
      <c r="H1277" t="s">
        <v>11382</v>
      </c>
      <c r="I1277" t="s">
        <v>4130</v>
      </c>
      <c r="J1277" t="s">
        <v>22</v>
      </c>
      <c r="K1277" t="s">
        <v>11503</v>
      </c>
      <c r="L1277" t="s">
        <v>11506</v>
      </c>
      <c r="M1277" t="s">
        <v>25</v>
      </c>
      <c r="N1277" t="s">
        <v>11507</v>
      </c>
      <c r="O1277" t="s">
        <v>25</v>
      </c>
      <c r="P1277" t="s">
        <v>11508</v>
      </c>
      <c r="Q1277" t="s">
        <v>29</v>
      </c>
      <c r="R1277" t="s">
        <v>11504</v>
      </c>
      <c r="S1277" t="s">
        <v>11505</v>
      </c>
    </row>
    <row r="1278" spans="1:19" x14ac:dyDescent="0.25">
      <c r="A1278" s="1">
        <v>1276</v>
      </c>
      <c r="B1278" t="str">
        <f>HYPERLINK("https://www.dasschnelle.at/brunner-gmbh-framrach-framrach","Website")</f>
        <v>Website</v>
      </c>
      <c r="C1278" t="str">
        <f>HYPERLINK("http://www.brunner-dach.at","Website")</f>
        <v>Website</v>
      </c>
      <c r="D1278" t="str">
        <f>HYPERLINK("http://www.google.com/maps/place/46.7457881,14.8190624","Location")</f>
        <v>Location</v>
      </c>
      <c r="E1278" t="s">
        <v>11509</v>
      </c>
      <c r="F1278" t="s">
        <v>11510</v>
      </c>
      <c r="G1278" t="s">
        <v>11381</v>
      </c>
      <c r="H1278" t="s">
        <v>11512</v>
      </c>
      <c r="I1278" t="s">
        <v>4130</v>
      </c>
      <c r="J1278" t="s">
        <v>22</v>
      </c>
      <c r="K1278" t="s">
        <v>11511</v>
      </c>
      <c r="L1278" t="s">
        <v>11515</v>
      </c>
      <c r="M1278" t="s">
        <v>25</v>
      </c>
      <c r="N1278" t="s">
        <v>11516</v>
      </c>
      <c r="O1278" t="s">
        <v>11517</v>
      </c>
      <c r="P1278" t="s">
        <v>11518</v>
      </c>
      <c r="Q1278" t="s">
        <v>29</v>
      </c>
      <c r="R1278" t="s">
        <v>11513</v>
      </c>
      <c r="S1278" t="s">
        <v>11514</v>
      </c>
    </row>
    <row r="1279" spans="1:19" x14ac:dyDescent="0.25">
      <c r="A1279" s="1">
        <v>1277</v>
      </c>
      <c r="B1279" t="str">
        <f>HYPERLINK("https://www.dasschnelle.at/schiefer-hubert-tamsweg-mörtelsdorf","Website")</f>
        <v>Website</v>
      </c>
      <c r="C1279" t="str">
        <f>HYPERLINK("http://www.malermeister-schiefer.at","Website")</f>
        <v>Website</v>
      </c>
      <c r="D1279" t="str">
        <f>HYPERLINK("http://www.google.com/maps/place/47.1320859,13.7886391","Location")</f>
        <v>Location</v>
      </c>
      <c r="E1279" t="s">
        <v>11519</v>
      </c>
      <c r="F1279" t="s">
        <v>11520</v>
      </c>
      <c r="G1279" t="s">
        <v>11522</v>
      </c>
      <c r="H1279" t="s">
        <v>11523</v>
      </c>
      <c r="I1279" t="s">
        <v>2239</v>
      </c>
      <c r="J1279" t="s">
        <v>22</v>
      </c>
      <c r="K1279" t="s">
        <v>11521</v>
      </c>
      <c r="L1279" t="s">
        <v>11526</v>
      </c>
      <c r="M1279" t="s">
        <v>25</v>
      </c>
      <c r="N1279" t="s">
        <v>11527</v>
      </c>
      <c r="O1279" t="s">
        <v>11528</v>
      </c>
      <c r="P1279" t="s">
        <v>11529</v>
      </c>
      <c r="Q1279" t="s">
        <v>29</v>
      </c>
      <c r="R1279" t="s">
        <v>11524</v>
      </c>
      <c r="S1279" t="s">
        <v>11525</v>
      </c>
    </row>
    <row r="1280" spans="1:19" x14ac:dyDescent="0.25">
      <c r="A1280" s="1">
        <v>1278</v>
      </c>
      <c r="B1280" t="str">
        <f>HYPERLINK("https://www.dasschnelle.at/koller-adalbert-e-u-sankt-michael-im-lungau-oberweißburg","Website")</f>
        <v>Website</v>
      </c>
      <c r="C1280" t="str">
        <f>HYPERLINK("https://www.dasschnelle.at/koller-adalbert-e-u-sankt-michael-im-lungau-oberwei%C3%9Fburg","Website")</f>
        <v>Website</v>
      </c>
      <c r="D1280" t="str">
        <f>HYPERLINK("http://www.google.com/maps/place/47.1043964,13.5927452","Location")</f>
        <v>Location</v>
      </c>
      <c r="E1280" t="s">
        <v>11530</v>
      </c>
      <c r="F1280" t="s">
        <v>11531</v>
      </c>
      <c r="G1280" t="s">
        <v>11533</v>
      </c>
      <c r="H1280" t="s">
        <v>11534</v>
      </c>
      <c r="I1280" t="s">
        <v>2239</v>
      </c>
      <c r="J1280" t="s">
        <v>22</v>
      </c>
      <c r="K1280" t="s">
        <v>11532</v>
      </c>
      <c r="L1280" t="s">
        <v>11537</v>
      </c>
      <c r="M1280" t="s">
        <v>25</v>
      </c>
      <c r="N1280" t="s">
        <v>11538</v>
      </c>
      <c r="O1280" t="s">
        <v>11539</v>
      </c>
      <c r="P1280" t="s">
        <v>11540</v>
      </c>
      <c r="Q1280" t="s">
        <v>29</v>
      </c>
      <c r="R1280" t="s">
        <v>11535</v>
      </c>
      <c r="S1280" t="s">
        <v>11536</v>
      </c>
    </row>
    <row r="1281" spans="1:19" x14ac:dyDescent="0.25">
      <c r="A1281" s="1">
        <v>1279</v>
      </c>
      <c r="B1281" t="str">
        <f>HYPERLINK("https://www.dasschnelle.at/lüftenegger-cornelia-mauterndorf-liftstraße","Website")</f>
        <v>Website</v>
      </c>
      <c r="C1281" t="str">
        <f>HYPERLINK("https://www.dasschnelle.at/l%C3%BCftenegger-cornelia-mauterndorf-liftstra%C3%9Fe","Website")</f>
        <v>Website</v>
      </c>
      <c r="D1281" t="str">
        <f>HYPERLINK("http://www.google.com/maps/place/47.13347,13.67779","Location")</f>
        <v>Location</v>
      </c>
      <c r="E1281" t="s">
        <v>11541</v>
      </c>
      <c r="F1281" t="s">
        <v>11542</v>
      </c>
      <c r="G1281" t="s">
        <v>11544</v>
      </c>
      <c r="H1281" t="s">
        <v>11545</v>
      </c>
      <c r="I1281" t="s">
        <v>2239</v>
      </c>
      <c r="J1281" t="s">
        <v>22</v>
      </c>
      <c r="K1281" t="s">
        <v>11543</v>
      </c>
      <c r="L1281" t="s">
        <v>11548</v>
      </c>
      <c r="M1281" t="s">
        <v>25</v>
      </c>
      <c r="N1281" t="s">
        <v>25</v>
      </c>
      <c r="O1281" t="s">
        <v>25</v>
      </c>
      <c r="P1281" t="s">
        <v>11549</v>
      </c>
      <c r="Q1281" t="s">
        <v>29</v>
      </c>
      <c r="R1281" t="s">
        <v>11546</v>
      </c>
      <c r="S1281" t="s">
        <v>11547</v>
      </c>
    </row>
    <row r="1282" spans="1:19" x14ac:dyDescent="0.25">
      <c r="A1282" s="1">
        <v>1280</v>
      </c>
      <c r="B1282" t="str">
        <f>HYPERLINK("https://www.dasschnelle.at/malermeister-gautsch-gmbh-sankt-andrä-wölting","Website")</f>
        <v>Website</v>
      </c>
      <c r="C1282" t="str">
        <f>HYPERLINK("http://www.malerei-gautsch.at","Website")</f>
        <v>Website</v>
      </c>
      <c r="D1282" t="str">
        <f>HYPERLINK("http://www.google.com/maps/place/47.1454032,13.8077736","Location")</f>
        <v>Location</v>
      </c>
      <c r="E1282" t="s">
        <v>11550</v>
      </c>
      <c r="F1282" t="s">
        <v>11551</v>
      </c>
      <c r="G1282" t="s">
        <v>11553</v>
      </c>
      <c r="H1282" t="s">
        <v>11554</v>
      </c>
      <c r="I1282" t="s">
        <v>2239</v>
      </c>
      <c r="J1282" t="s">
        <v>22</v>
      </c>
      <c r="K1282" t="s">
        <v>11552</v>
      </c>
      <c r="L1282" t="s">
        <v>11557</v>
      </c>
      <c r="M1282" t="s">
        <v>25</v>
      </c>
      <c r="N1282" t="s">
        <v>11558</v>
      </c>
      <c r="O1282" t="s">
        <v>25</v>
      </c>
      <c r="P1282" t="s">
        <v>11559</v>
      </c>
      <c r="Q1282" t="s">
        <v>29</v>
      </c>
      <c r="R1282" t="s">
        <v>11555</v>
      </c>
      <c r="S1282" t="s">
        <v>11556</v>
      </c>
    </row>
    <row r="1283" spans="1:19" x14ac:dyDescent="0.25">
      <c r="A1283" s="1">
        <v>1281</v>
      </c>
      <c r="B1283" t="str">
        <f>HYPERLINK("https://www.dasschnelle.at/skerlec-ernst-mariapfarr-lintschnig","Website")</f>
        <v>Website</v>
      </c>
      <c r="C1283" t="str">
        <f>HYPERLINK("http://www.pizzeria-ernesto.at","Website")</f>
        <v>Website</v>
      </c>
      <c r="D1283" t="str">
        <f>HYPERLINK("http://www.google.com/maps/place/47.1470464,13.7587268","Location")</f>
        <v>Location</v>
      </c>
      <c r="E1283" t="s">
        <v>11560</v>
      </c>
      <c r="F1283" t="s">
        <v>11561</v>
      </c>
      <c r="G1283" t="s">
        <v>11563</v>
      </c>
      <c r="H1283" t="s">
        <v>11564</v>
      </c>
      <c r="I1283" t="s">
        <v>2239</v>
      </c>
      <c r="J1283" t="s">
        <v>22</v>
      </c>
      <c r="K1283" t="s">
        <v>11562</v>
      </c>
      <c r="L1283" t="s">
        <v>11567</v>
      </c>
      <c r="M1283" t="s">
        <v>25</v>
      </c>
      <c r="N1283" t="s">
        <v>11568</v>
      </c>
      <c r="O1283" t="s">
        <v>25</v>
      </c>
      <c r="P1283" t="s">
        <v>11569</v>
      </c>
      <c r="Q1283" t="s">
        <v>29</v>
      </c>
      <c r="R1283" t="s">
        <v>11565</v>
      </c>
      <c r="S1283" t="s">
        <v>11566</v>
      </c>
    </row>
    <row r="1284" spans="1:19" x14ac:dyDescent="0.25">
      <c r="A1284" s="1">
        <v>1282</v>
      </c>
      <c r="B1284" t="str">
        <f>HYPERLINK("https://www.dasschnelle.at/ehrenreich-corinna-mauterndorf-markt","Website")</f>
        <v>Website</v>
      </c>
      <c r="C1284" t="str">
        <f>HYPERLINK("http://www.headwork-hairdresser.at","Website")</f>
        <v>Website</v>
      </c>
      <c r="D1284" t="str">
        <f>HYPERLINK("http://www.google.com/maps/place/47.1326,13.68337","Location")</f>
        <v>Location</v>
      </c>
      <c r="E1284" t="s">
        <v>11570</v>
      </c>
      <c r="F1284" t="s">
        <v>11571</v>
      </c>
      <c r="G1284" t="s">
        <v>11544</v>
      </c>
      <c r="H1284" t="s">
        <v>11545</v>
      </c>
      <c r="I1284" t="s">
        <v>2239</v>
      </c>
      <c r="J1284" t="s">
        <v>22</v>
      </c>
      <c r="K1284" t="s">
        <v>11572</v>
      </c>
      <c r="L1284" t="s">
        <v>11575</v>
      </c>
      <c r="M1284" t="s">
        <v>25</v>
      </c>
      <c r="N1284" t="s">
        <v>25</v>
      </c>
      <c r="O1284" t="s">
        <v>25</v>
      </c>
      <c r="P1284" t="s">
        <v>11576</v>
      </c>
      <c r="Q1284" t="s">
        <v>29</v>
      </c>
      <c r="R1284" t="s">
        <v>11573</v>
      </c>
      <c r="S1284" t="s">
        <v>11574</v>
      </c>
    </row>
    <row r="1285" spans="1:19" x14ac:dyDescent="0.25">
      <c r="A1285" s="1">
        <v>1283</v>
      </c>
      <c r="B1285" t="str">
        <f>HYPERLINK("https://www.dasschnelle.at/santner-johannes-tamsweg-schwimmschulgasse","Website")</f>
        <v>Website</v>
      </c>
      <c r="C1285" t="str">
        <f>HYPERLINK("https://www.dasschnelle.at/santner-johannes-tamsweg-schwimmschulgasse","Website")</f>
        <v>Website</v>
      </c>
      <c r="D1285" t="str">
        <f>HYPERLINK("http://www.google.com/maps/place/47.13012,13.81618","Location")</f>
        <v>Location</v>
      </c>
      <c r="E1285" t="s">
        <v>11577</v>
      </c>
      <c r="F1285" t="s">
        <v>11578</v>
      </c>
      <c r="G1285" t="s">
        <v>11522</v>
      </c>
      <c r="H1285" t="s">
        <v>11523</v>
      </c>
      <c r="I1285" t="s">
        <v>2239</v>
      </c>
      <c r="J1285" t="s">
        <v>22</v>
      </c>
      <c r="K1285" t="s">
        <v>11579</v>
      </c>
      <c r="L1285" t="s">
        <v>11582</v>
      </c>
      <c r="M1285" t="s">
        <v>25</v>
      </c>
      <c r="N1285" t="s">
        <v>11583</v>
      </c>
      <c r="O1285" t="s">
        <v>25</v>
      </c>
      <c r="P1285" t="s">
        <v>11584</v>
      </c>
      <c r="Q1285" t="s">
        <v>29</v>
      </c>
      <c r="R1285" t="s">
        <v>11580</v>
      </c>
      <c r="S1285" t="s">
        <v>11581</v>
      </c>
    </row>
    <row r="1286" spans="1:19" x14ac:dyDescent="0.25">
      <c r="A1286" s="1">
        <v>1284</v>
      </c>
      <c r="B1286" t="str">
        <f>HYPERLINK("https://www.dasschnelle.at/lassacher-christoph-tamsweg-griesgasse","Website")</f>
        <v>Website</v>
      </c>
      <c r="C1286" t="str">
        <f>HYPERLINK("http://www.kunstschmiede-lassacher.at","Website")</f>
        <v>Website</v>
      </c>
      <c r="D1286" t="str">
        <f>HYPERLINK("http://www.google.com/maps/place/47.12945,13.81059","Location")</f>
        <v>Location</v>
      </c>
      <c r="E1286" t="s">
        <v>11585</v>
      </c>
      <c r="F1286" t="s">
        <v>11586</v>
      </c>
      <c r="G1286" t="s">
        <v>11522</v>
      </c>
      <c r="H1286" t="s">
        <v>11523</v>
      </c>
      <c r="I1286" t="s">
        <v>2239</v>
      </c>
      <c r="J1286" t="s">
        <v>22</v>
      </c>
      <c r="K1286" t="s">
        <v>11587</v>
      </c>
      <c r="L1286" t="s">
        <v>11590</v>
      </c>
      <c r="M1286" t="s">
        <v>25</v>
      </c>
      <c r="N1286" t="s">
        <v>11591</v>
      </c>
      <c r="O1286" t="s">
        <v>25</v>
      </c>
      <c r="P1286" t="s">
        <v>11592</v>
      </c>
      <c r="Q1286" t="s">
        <v>29</v>
      </c>
      <c r="R1286" t="s">
        <v>11588</v>
      </c>
      <c r="S1286" t="s">
        <v>11589</v>
      </c>
    </row>
    <row r="1287" spans="1:19" x14ac:dyDescent="0.25">
      <c r="A1287" s="1">
        <v>1285</v>
      </c>
      <c r="B1287" t="str">
        <f>HYPERLINK("https://www.dasschnelle.at/radfux-zweiradcenter-tamsweg-tamsweg-gartengasse","Website")</f>
        <v>Website</v>
      </c>
      <c r="C1287" t="str">
        <f>HYPERLINK("http://www.radfux.at","Website")</f>
        <v>Website</v>
      </c>
      <c r="D1287" t="str">
        <f>HYPERLINK("http://www.google.com/maps/place/47.12537,13.81067","Location")</f>
        <v>Location</v>
      </c>
      <c r="E1287" t="s">
        <v>11593</v>
      </c>
      <c r="F1287" t="s">
        <v>11594</v>
      </c>
      <c r="G1287" t="s">
        <v>11522</v>
      </c>
      <c r="H1287" t="s">
        <v>11523</v>
      </c>
      <c r="I1287" t="s">
        <v>2239</v>
      </c>
      <c r="J1287" t="s">
        <v>22</v>
      </c>
      <c r="K1287" t="s">
        <v>11595</v>
      </c>
      <c r="L1287" t="s">
        <v>11598</v>
      </c>
      <c r="M1287" t="s">
        <v>25</v>
      </c>
      <c r="N1287" t="s">
        <v>11599</v>
      </c>
      <c r="O1287" t="s">
        <v>25</v>
      </c>
      <c r="P1287" t="s">
        <v>11600</v>
      </c>
      <c r="Q1287" t="s">
        <v>29</v>
      </c>
      <c r="R1287" t="s">
        <v>11596</v>
      </c>
      <c r="S1287" t="s">
        <v>11597</v>
      </c>
    </row>
    <row r="1288" spans="1:19" x14ac:dyDescent="0.25">
      <c r="A1288" s="1">
        <v>1286</v>
      </c>
      <c r="B1288" t="str">
        <f>HYPERLINK("https://www.dasschnelle.at/schmuckkastl-e-u-tamsweg-kirchengasse","Website")</f>
        <v>Website</v>
      </c>
      <c r="C1288" t="str">
        <f>HYPERLINK("http://www.schmuckkastl.com","Website")</f>
        <v>Website</v>
      </c>
      <c r="D1288" t="str">
        <f>HYPERLINK("http://www.google.com/maps/place/47.1278700,13.8105000","Location")</f>
        <v>Location</v>
      </c>
      <c r="E1288" t="s">
        <v>11601</v>
      </c>
      <c r="F1288" t="s">
        <v>11602</v>
      </c>
      <c r="G1288" t="s">
        <v>11522</v>
      </c>
      <c r="H1288" t="s">
        <v>11523</v>
      </c>
      <c r="I1288" t="s">
        <v>2239</v>
      </c>
      <c r="J1288" t="s">
        <v>22</v>
      </c>
      <c r="K1288" t="s">
        <v>11603</v>
      </c>
      <c r="L1288" t="s">
        <v>11606</v>
      </c>
      <c r="M1288" t="s">
        <v>25</v>
      </c>
      <c r="N1288" t="s">
        <v>11607</v>
      </c>
      <c r="O1288" t="s">
        <v>25</v>
      </c>
      <c r="P1288" t="s">
        <v>11608</v>
      </c>
      <c r="Q1288" t="s">
        <v>29</v>
      </c>
      <c r="R1288" t="s">
        <v>11604</v>
      </c>
      <c r="S1288" t="s">
        <v>11605</v>
      </c>
    </row>
    <row r="1289" spans="1:19" x14ac:dyDescent="0.25">
      <c r="A1289" s="1">
        <v>1287</v>
      </c>
      <c r="B1289" t="str">
        <f>HYPERLINK("https://www.dasschnelle.at/klein-resi-woll-u-handarbeitsstube-tamsweg-murgasse","Website")</f>
        <v>Website</v>
      </c>
      <c r="C1289" t="str">
        <f>HYPERLINK("https://www.dasschnelle.at/klein-resi-woll-u-handarbeitsstube-tamsweg-murgasse","Website")</f>
        <v>Website</v>
      </c>
      <c r="D1289" t="str">
        <f>HYPERLINK("http://www.google.com/maps/place/47.12507,13.80855","Location")</f>
        <v>Location</v>
      </c>
      <c r="E1289" t="s">
        <v>11609</v>
      </c>
      <c r="F1289" t="s">
        <v>11610</v>
      </c>
      <c r="G1289" t="s">
        <v>11522</v>
      </c>
      <c r="H1289" t="s">
        <v>11523</v>
      </c>
      <c r="I1289" t="s">
        <v>2239</v>
      </c>
      <c r="J1289" t="s">
        <v>22</v>
      </c>
      <c r="K1289" t="s">
        <v>11611</v>
      </c>
      <c r="L1289" t="s">
        <v>11614</v>
      </c>
      <c r="M1289" t="s">
        <v>25</v>
      </c>
      <c r="N1289" t="s">
        <v>11615</v>
      </c>
      <c r="O1289" t="s">
        <v>25</v>
      </c>
      <c r="P1289" t="s">
        <v>11616</v>
      </c>
      <c r="Q1289" t="s">
        <v>29</v>
      </c>
      <c r="R1289" t="s">
        <v>11612</v>
      </c>
      <c r="S1289" t="s">
        <v>11613</v>
      </c>
    </row>
    <row r="1290" spans="1:19" x14ac:dyDescent="0.25">
      <c r="A1290" s="1">
        <v>1288</v>
      </c>
      <c r="B1290" t="str">
        <f>HYPERLINK("https://www.dasschnelle.at/könig-franz-tamsweg-bröllsteig","Website")</f>
        <v>Website</v>
      </c>
      <c r="C1290" t="str">
        <f>HYPERLINK("http://www.mein-tischler.cc","Website")</f>
        <v>Website</v>
      </c>
      <c r="D1290" t="str">
        <f>HYPERLINK("http://www.google.com/maps/place/47.13172,13.80498","Location")</f>
        <v>Location</v>
      </c>
      <c r="E1290" t="s">
        <v>11617</v>
      </c>
      <c r="F1290" t="s">
        <v>11618</v>
      </c>
      <c r="G1290" t="s">
        <v>11522</v>
      </c>
      <c r="H1290" t="s">
        <v>11523</v>
      </c>
      <c r="I1290" t="s">
        <v>2239</v>
      </c>
      <c r="J1290" t="s">
        <v>22</v>
      </c>
      <c r="K1290" t="s">
        <v>11619</v>
      </c>
      <c r="L1290" t="s">
        <v>11622</v>
      </c>
      <c r="M1290" t="s">
        <v>25</v>
      </c>
      <c r="N1290" t="s">
        <v>11623</v>
      </c>
      <c r="O1290" t="s">
        <v>25</v>
      </c>
      <c r="P1290" t="s">
        <v>11624</v>
      </c>
      <c r="Q1290" t="s">
        <v>29</v>
      </c>
      <c r="R1290" t="s">
        <v>11620</v>
      </c>
      <c r="S1290" t="s">
        <v>11621</v>
      </c>
    </row>
    <row r="1291" spans="1:19" x14ac:dyDescent="0.25">
      <c r="A1291" s="1">
        <v>1289</v>
      </c>
      <c r="B1291" t="str">
        <f>HYPERLINK("https://www.dasschnelle.at/wieland-gesmbh-tamsweg-gewerbepark","Website")</f>
        <v>Website</v>
      </c>
      <c r="C1291" t="str">
        <f>HYPERLINK("http://www.wieland.at","Website")</f>
        <v>Website</v>
      </c>
      <c r="D1291" t="str">
        <f>HYPERLINK("http://www.google.com/maps/place/47.1317168,13.7937640","Location")</f>
        <v>Location</v>
      </c>
      <c r="E1291" t="s">
        <v>11625</v>
      </c>
      <c r="F1291" t="s">
        <v>11626</v>
      </c>
      <c r="G1291" t="s">
        <v>11522</v>
      </c>
      <c r="H1291" t="s">
        <v>11523</v>
      </c>
      <c r="I1291" t="s">
        <v>2239</v>
      </c>
      <c r="J1291" t="s">
        <v>22</v>
      </c>
      <c r="K1291" t="s">
        <v>11627</v>
      </c>
      <c r="L1291" t="s">
        <v>11630</v>
      </c>
      <c r="M1291" t="s">
        <v>25</v>
      </c>
      <c r="N1291" t="s">
        <v>11631</v>
      </c>
      <c r="O1291" t="s">
        <v>25</v>
      </c>
      <c r="P1291" t="s">
        <v>11632</v>
      </c>
      <c r="Q1291" t="s">
        <v>29</v>
      </c>
      <c r="R1291" t="s">
        <v>11628</v>
      </c>
      <c r="S1291" t="s">
        <v>11629</v>
      </c>
    </row>
    <row r="1292" spans="1:19" x14ac:dyDescent="0.25">
      <c r="A1292" s="1">
        <v>1290</v>
      </c>
      <c r="B1292" t="str">
        <f>HYPERLINK("https://www.dasschnelle.at/moser-josef-tamsweg-lenzenkreuzweg","Website")</f>
        <v>Website</v>
      </c>
      <c r="C1292" t="str">
        <f>HYPERLINK("http://fliesen-tamsweg.at","Website")</f>
        <v>Website</v>
      </c>
      <c r="D1292" t="str">
        <f>HYPERLINK("http://www.google.com/maps/place/47.1374,13.80604","Location")</f>
        <v>Location</v>
      </c>
      <c r="E1292" t="s">
        <v>11633</v>
      </c>
      <c r="F1292" t="s">
        <v>11634</v>
      </c>
      <c r="G1292" t="s">
        <v>11522</v>
      </c>
      <c r="H1292" t="s">
        <v>11523</v>
      </c>
      <c r="I1292" t="s">
        <v>2239</v>
      </c>
      <c r="J1292" t="s">
        <v>22</v>
      </c>
      <c r="K1292" t="s">
        <v>11635</v>
      </c>
      <c r="L1292" t="s">
        <v>11638</v>
      </c>
      <c r="M1292" t="s">
        <v>25</v>
      </c>
      <c r="N1292" t="s">
        <v>11639</v>
      </c>
      <c r="O1292" t="s">
        <v>25</v>
      </c>
      <c r="P1292" t="s">
        <v>11640</v>
      </c>
      <c r="Q1292" t="s">
        <v>29</v>
      </c>
      <c r="R1292" t="s">
        <v>11636</v>
      </c>
      <c r="S1292" t="s">
        <v>11637</v>
      </c>
    </row>
    <row r="1293" spans="1:19" x14ac:dyDescent="0.25">
      <c r="A1293" s="1">
        <v>1291</v>
      </c>
      <c r="B1293" t="str">
        <f>HYPERLINK("https://www.dasschnelle.at/kremser-alfred-pichl-gröbendorf","Website")</f>
        <v>Website</v>
      </c>
      <c r="C1293" t="str">
        <f>HYPERLINK("http://www.kremser-steinundfliese.at","Website")</f>
        <v>Website</v>
      </c>
      <c r="D1293" t="str">
        <f>HYPERLINK("http://www.google.com/maps/place/47.13731,13.71989","Location")</f>
        <v>Location</v>
      </c>
      <c r="E1293" t="s">
        <v>11641</v>
      </c>
      <c r="F1293" t="s">
        <v>11642</v>
      </c>
      <c r="G1293" t="s">
        <v>11563</v>
      </c>
      <c r="H1293" t="s">
        <v>11644</v>
      </c>
      <c r="I1293" t="s">
        <v>2239</v>
      </c>
      <c r="J1293" t="s">
        <v>22</v>
      </c>
      <c r="K1293" t="s">
        <v>11643</v>
      </c>
      <c r="L1293" t="s">
        <v>11647</v>
      </c>
      <c r="M1293" t="s">
        <v>25</v>
      </c>
      <c r="N1293" t="s">
        <v>11648</v>
      </c>
      <c r="O1293" t="s">
        <v>25</v>
      </c>
      <c r="P1293" t="s">
        <v>11649</v>
      </c>
      <c r="Q1293" t="s">
        <v>29</v>
      </c>
      <c r="R1293" t="s">
        <v>11645</v>
      </c>
      <c r="S1293" t="s">
        <v>11646</v>
      </c>
    </row>
    <row r="1294" spans="1:19" x14ac:dyDescent="0.25">
      <c r="A1294" s="1">
        <v>1292</v>
      </c>
      <c r="B1294" t="str">
        <f>HYPERLINK("https://www.dasschnelle.at/gössl-gwand-gmbh-tamsweg-marktplatz","Website")</f>
        <v>Website</v>
      </c>
      <c r="C1294" t="str">
        <f>HYPERLINK("http://www.goessl.com","Website")</f>
        <v>Website</v>
      </c>
      <c r="D1294" t="str">
        <f>HYPERLINK("http://www.google.com/maps/place/47.1257,13.81017","Location")</f>
        <v>Location</v>
      </c>
      <c r="E1294" t="s">
        <v>11650</v>
      </c>
      <c r="F1294" t="s">
        <v>11651</v>
      </c>
      <c r="G1294" t="s">
        <v>11522</v>
      </c>
      <c r="H1294" t="s">
        <v>11523</v>
      </c>
      <c r="I1294" t="s">
        <v>2239</v>
      </c>
      <c r="J1294" t="s">
        <v>22</v>
      </c>
      <c r="K1294" t="s">
        <v>11652</v>
      </c>
      <c r="L1294" t="s">
        <v>11655</v>
      </c>
      <c r="M1294" t="s">
        <v>25</v>
      </c>
      <c r="N1294" t="s">
        <v>11656</v>
      </c>
      <c r="O1294" t="s">
        <v>25</v>
      </c>
      <c r="P1294" t="s">
        <v>11657</v>
      </c>
      <c r="Q1294" t="s">
        <v>29</v>
      </c>
      <c r="R1294" t="s">
        <v>11653</v>
      </c>
      <c r="S1294" t="s">
        <v>11654</v>
      </c>
    </row>
    <row r="1295" spans="1:19" x14ac:dyDescent="0.25">
      <c r="A1295" s="1">
        <v>1293</v>
      </c>
      <c r="B1295" t="str">
        <f>HYPERLINK("https://www.dasschnelle.at/kendlbacher-leonhard-gmbh-sankt-michael-im-lungau-oberweißburg","Website")</f>
        <v>Website</v>
      </c>
      <c r="C1295" t="str">
        <f>HYPERLINK("https://www.dasschnelle.at/kendlbacher-leonhard-gmbh-sankt-michael-im-lungau-oberwei%C3%9Fburg","Website")</f>
        <v>Website</v>
      </c>
      <c r="D1295" t="str">
        <f>HYPERLINK("http://www.google.com/maps/place/47.1062715,13.5937688","Location")</f>
        <v>Location</v>
      </c>
      <c r="E1295" t="s">
        <v>11658</v>
      </c>
      <c r="F1295" t="s">
        <v>11659</v>
      </c>
      <c r="G1295" t="s">
        <v>11533</v>
      </c>
      <c r="H1295" t="s">
        <v>11534</v>
      </c>
      <c r="I1295" t="s">
        <v>2239</v>
      </c>
      <c r="J1295" t="s">
        <v>22</v>
      </c>
      <c r="K1295" t="s">
        <v>11660</v>
      </c>
      <c r="L1295" t="s">
        <v>11663</v>
      </c>
      <c r="M1295" t="s">
        <v>25</v>
      </c>
      <c r="N1295" t="s">
        <v>11664</v>
      </c>
      <c r="O1295" t="s">
        <v>25</v>
      </c>
      <c r="P1295" t="s">
        <v>11665</v>
      </c>
      <c r="Q1295" t="s">
        <v>29</v>
      </c>
      <c r="R1295" t="s">
        <v>11661</v>
      </c>
      <c r="S1295" t="s">
        <v>11662</v>
      </c>
    </row>
    <row r="1296" spans="1:19" x14ac:dyDescent="0.25">
      <c r="A1296" s="1">
        <v>1294</v>
      </c>
      <c r="B1296" t="str">
        <f>HYPERLINK("https://www.dasschnelle.at/bogensperger-reinfried-tamsweg-zinsgasse","Website")</f>
        <v>Website</v>
      </c>
      <c r="C1296" t="str">
        <f>HYPERLINK("http://www.reinis-tischlerei.at","Website")</f>
        <v>Website</v>
      </c>
      <c r="D1296" t="str">
        <f>HYPERLINK("http://www.google.com/maps/place/47.12989,13.80928","Location")</f>
        <v>Location</v>
      </c>
      <c r="E1296" t="s">
        <v>11666</v>
      </c>
      <c r="F1296" t="s">
        <v>11667</v>
      </c>
      <c r="G1296" t="s">
        <v>11522</v>
      </c>
      <c r="H1296" t="s">
        <v>11523</v>
      </c>
      <c r="I1296" t="s">
        <v>2239</v>
      </c>
      <c r="J1296" t="s">
        <v>22</v>
      </c>
      <c r="K1296" t="s">
        <v>11668</v>
      </c>
      <c r="L1296" t="s">
        <v>11671</v>
      </c>
      <c r="M1296" t="s">
        <v>25</v>
      </c>
      <c r="N1296" t="s">
        <v>11672</v>
      </c>
      <c r="O1296" t="s">
        <v>25</v>
      </c>
      <c r="P1296" t="s">
        <v>11673</v>
      </c>
      <c r="Q1296" t="s">
        <v>29</v>
      </c>
      <c r="R1296" t="s">
        <v>11669</v>
      </c>
      <c r="S1296" t="s">
        <v>11670</v>
      </c>
    </row>
    <row r="1297" spans="1:19" x14ac:dyDescent="0.25">
      <c r="A1297" s="1">
        <v>1295</v>
      </c>
      <c r="B1297" t="str">
        <f>HYPERLINK("https://www.dasschnelle.at/koessler-ingomar-sankt-michael-im-lungau-litzldorfer-gasse","Website")</f>
        <v>Website</v>
      </c>
      <c r="C1297" t="str">
        <f>HYPERLINK("http://www.sefra.at","Website")</f>
        <v>Website</v>
      </c>
      <c r="D1297" t="str">
        <f>HYPERLINK("http://www.google.com/maps/place/47.10063,13.64618","Location")</f>
        <v>Location</v>
      </c>
      <c r="E1297" t="s">
        <v>11674</v>
      </c>
      <c r="F1297" t="s">
        <v>11675</v>
      </c>
      <c r="G1297" t="s">
        <v>11533</v>
      </c>
      <c r="H1297" t="s">
        <v>11534</v>
      </c>
      <c r="I1297" t="s">
        <v>2239</v>
      </c>
      <c r="J1297" t="s">
        <v>22</v>
      </c>
      <c r="K1297" t="s">
        <v>11676</v>
      </c>
      <c r="L1297" t="s">
        <v>11679</v>
      </c>
      <c r="M1297" t="s">
        <v>25</v>
      </c>
      <c r="N1297" t="s">
        <v>11680</v>
      </c>
      <c r="O1297" t="s">
        <v>11681</v>
      </c>
      <c r="P1297" t="s">
        <v>11682</v>
      </c>
      <c r="Q1297" t="s">
        <v>29</v>
      </c>
      <c r="R1297" t="s">
        <v>11677</v>
      </c>
      <c r="S1297" t="s">
        <v>11678</v>
      </c>
    </row>
    <row r="1298" spans="1:19" x14ac:dyDescent="0.25">
      <c r="A1298" s="1">
        <v>1296</v>
      </c>
      <c r="B1298" t="str">
        <f>HYPERLINK("https://www.dasschnelle.at/bernhofer-christian-tamsweg-st-leonhard-gasse","Website")</f>
        <v>Website</v>
      </c>
      <c r="C1298" t="str">
        <f>HYPERLINK("http://www.brandschutz-bernhofer.stadtausstellung.at","Website")</f>
        <v>Website</v>
      </c>
      <c r="D1298" t="str">
        <f>HYPERLINK("http://www.google.com/maps/place/47.12585,13.80826","Location")</f>
        <v>Location</v>
      </c>
      <c r="E1298" t="s">
        <v>11683</v>
      </c>
      <c r="F1298" t="s">
        <v>11684</v>
      </c>
      <c r="G1298" t="s">
        <v>11522</v>
      </c>
      <c r="H1298" t="s">
        <v>11523</v>
      </c>
      <c r="I1298" t="s">
        <v>2239</v>
      </c>
      <c r="J1298" t="s">
        <v>22</v>
      </c>
      <c r="K1298" t="s">
        <v>11685</v>
      </c>
      <c r="L1298" t="s">
        <v>11688</v>
      </c>
      <c r="M1298" t="s">
        <v>25</v>
      </c>
      <c r="N1298" t="s">
        <v>11689</v>
      </c>
      <c r="O1298" t="s">
        <v>25</v>
      </c>
      <c r="P1298" t="s">
        <v>11690</v>
      </c>
      <c r="Q1298" t="s">
        <v>29</v>
      </c>
      <c r="R1298" t="s">
        <v>11686</v>
      </c>
      <c r="S1298" t="s">
        <v>11687</v>
      </c>
    </row>
    <row r="1299" spans="1:19" x14ac:dyDescent="0.25">
      <c r="A1299" s="1">
        <v>1297</v>
      </c>
      <c r="B1299" t="str">
        <f>HYPERLINK("https://www.dasschnelle.at/lerchner-erwin-tamsweg-mörtelsdorf","Website")</f>
        <v>Website</v>
      </c>
      <c r="C1299" t="str">
        <f>HYPERLINK("http://www.malerei-boeden-lerchner.at","Website")</f>
        <v>Website</v>
      </c>
      <c r="D1299" t="str">
        <f>HYPERLINK("http://www.google.com/maps/place/47.1282245,13.7891434","Location")</f>
        <v>Location</v>
      </c>
      <c r="E1299" t="s">
        <v>11691</v>
      </c>
      <c r="F1299" t="s">
        <v>11692</v>
      </c>
      <c r="G1299" t="s">
        <v>11522</v>
      </c>
      <c r="H1299" t="s">
        <v>11523</v>
      </c>
      <c r="I1299" t="s">
        <v>2239</v>
      </c>
      <c r="J1299" t="s">
        <v>22</v>
      </c>
      <c r="K1299" t="s">
        <v>11693</v>
      </c>
      <c r="L1299" t="s">
        <v>11696</v>
      </c>
      <c r="M1299" t="s">
        <v>25</v>
      </c>
      <c r="N1299" t="s">
        <v>11697</v>
      </c>
      <c r="O1299" t="s">
        <v>11698</v>
      </c>
      <c r="P1299" t="s">
        <v>11699</v>
      </c>
      <c r="Q1299" t="s">
        <v>29</v>
      </c>
      <c r="R1299" t="s">
        <v>11694</v>
      </c>
      <c r="S1299" t="s">
        <v>11695</v>
      </c>
    </row>
    <row r="1300" spans="1:19" x14ac:dyDescent="0.25">
      <c r="A1300" s="1">
        <v>1298</v>
      </c>
      <c r="B1300" t="str">
        <f>HYPERLINK("https://www.dasschnelle.at/moser-dagmar-mariapfarr-pfarrstraße","Website")</f>
        <v>Website</v>
      </c>
      <c r="C1300" t="str">
        <f>HYPERLINK("http://www.aenderungsschneiderei-moser.jimdofree.com/","Website")</f>
        <v>Website</v>
      </c>
      <c r="D1300" t="str">
        <f>HYPERLINK("http://www.google.com/maps/place/47.15028,13.74283","Location")</f>
        <v>Location</v>
      </c>
      <c r="E1300" t="s">
        <v>11700</v>
      </c>
      <c r="F1300" t="s">
        <v>11701</v>
      </c>
      <c r="G1300" t="s">
        <v>11563</v>
      </c>
      <c r="H1300" t="s">
        <v>11564</v>
      </c>
      <c r="I1300" t="s">
        <v>2239</v>
      </c>
      <c r="J1300" t="s">
        <v>22</v>
      </c>
      <c r="K1300" t="s">
        <v>11702</v>
      </c>
      <c r="L1300" t="s">
        <v>11705</v>
      </c>
      <c r="M1300" t="s">
        <v>25</v>
      </c>
      <c r="N1300" t="s">
        <v>11706</v>
      </c>
      <c r="O1300" t="s">
        <v>25</v>
      </c>
      <c r="P1300" t="s">
        <v>11707</v>
      </c>
      <c r="Q1300" t="s">
        <v>29</v>
      </c>
      <c r="R1300" t="s">
        <v>11703</v>
      </c>
      <c r="S1300" t="s">
        <v>11704</v>
      </c>
    </row>
    <row r="1301" spans="1:19" x14ac:dyDescent="0.25">
      <c r="A1301" s="1">
        <v>1299</v>
      </c>
      <c r="B1301" t="str">
        <f>HYPERLINK("https://www.dasschnelle.at/elektro-franz-schlick-gmbh-sankt-michael-im-lungau-marktstraße","Website")</f>
        <v>Website</v>
      </c>
      <c r="C1301" t="str">
        <f>HYPERLINK("http://www.epschlick.at","Website")</f>
        <v>Website</v>
      </c>
      <c r="D1301" t="str">
        <f>HYPERLINK("http://www.google.com/maps/place/47.09692,13.63848","Location")</f>
        <v>Location</v>
      </c>
      <c r="E1301" t="s">
        <v>11708</v>
      </c>
      <c r="F1301" t="s">
        <v>11709</v>
      </c>
      <c r="G1301" t="s">
        <v>11533</v>
      </c>
      <c r="H1301" t="s">
        <v>11534</v>
      </c>
      <c r="I1301" t="s">
        <v>2239</v>
      </c>
      <c r="J1301" t="s">
        <v>22</v>
      </c>
      <c r="K1301" t="s">
        <v>11710</v>
      </c>
      <c r="L1301" t="s">
        <v>11713</v>
      </c>
      <c r="M1301" t="s">
        <v>25</v>
      </c>
      <c r="N1301" t="s">
        <v>11714</v>
      </c>
      <c r="O1301" t="s">
        <v>25</v>
      </c>
      <c r="P1301" t="s">
        <v>11715</v>
      </c>
      <c r="Q1301" t="s">
        <v>29</v>
      </c>
      <c r="R1301" t="s">
        <v>11711</v>
      </c>
      <c r="S1301" t="s">
        <v>11712</v>
      </c>
    </row>
    <row r="1302" spans="1:19" x14ac:dyDescent="0.25">
      <c r="A1302" s="1">
        <v>1300</v>
      </c>
      <c r="B1302" t="str">
        <f>HYPERLINK("https://www.dasschnelle.at/pock-elisabeth-straden-hof-bei-straden","Website")</f>
        <v>Website</v>
      </c>
      <c r="C1302" t="str">
        <f>HYPERLINK("https://www.dasschnelle.at/pock-elisabeth-straden-hof-bei-straden","Website")</f>
        <v>Website</v>
      </c>
      <c r="D1302" t="str">
        <f>HYPERLINK("http://www.google.com/maps/place/46.7989213,15.8991735","Location")</f>
        <v>Location</v>
      </c>
      <c r="E1302" t="s">
        <v>11716</v>
      </c>
      <c r="F1302" t="s">
        <v>11717</v>
      </c>
      <c r="G1302" t="s">
        <v>460</v>
      </c>
      <c r="H1302" t="s">
        <v>461</v>
      </c>
      <c r="I1302" t="s">
        <v>451</v>
      </c>
      <c r="J1302" t="s">
        <v>22</v>
      </c>
      <c r="K1302" t="s">
        <v>11718</v>
      </c>
      <c r="L1302" t="s">
        <v>11721</v>
      </c>
      <c r="M1302" t="s">
        <v>25</v>
      </c>
      <c r="N1302" t="s">
        <v>11722</v>
      </c>
      <c r="O1302" t="s">
        <v>25</v>
      </c>
      <c r="P1302" t="s">
        <v>11723</v>
      </c>
      <c r="Q1302" t="s">
        <v>29</v>
      </c>
      <c r="R1302" t="s">
        <v>11719</v>
      </c>
      <c r="S1302" t="s">
        <v>11720</v>
      </c>
    </row>
    <row r="1303" spans="1:19" x14ac:dyDescent="0.25">
      <c r="A1303" s="1">
        <v>1301</v>
      </c>
      <c r="B1303" t="str">
        <f>HYPERLINK("https://www.dasschnelle.at/maller-erdbau-mureck-oberrakitsch","Website")</f>
        <v>Website</v>
      </c>
      <c r="C1303" t="str">
        <f>HYPERLINK("https://www.dasschnelle.at/maller-erdbau-mureck-oberrakitsch","Website")</f>
        <v>Website</v>
      </c>
      <c r="D1303" t="str">
        <f>HYPERLINK("http://www.google.com/maps/place/46.7353309,15.7399192","Location")</f>
        <v>Location</v>
      </c>
      <c r="E1303" t="s">
        <v>11724</v>
      </c>
      <c r="F1303" t="s">
        <v>11725</v>
      </c>
      <c r="G1303" t="s">
        <v>11727</v>
      </c>
      <c r="H1303" t="s">
        <v>11728</v>
      </c>
      <c r="I1303" t="s">
        <v>451</v>
      </c>
      <c r="J1303" t="s">
        <v>22</v>
      </c>
      <c r="K1303" t="s">
        <v>11726</v>
      </c>
      <c r="L1303" t="s">
        <v>11731</v>
      </c>
      <c r="M1303" t="s">
        <v>25</v>
      </c>
      <c r="N1303" t="s">
        <v>11732</v>
      </c>
      <c r="O1303" t="s">
        <v>25</v>
      </c>
      <c r="P1303" t="s">
        <v>11733</v>
      </c>
      <c r="Q1303" t="s">
        <v>29</v>
      </c>
      <c r="R1303" t="s">
        <v>11729</v>
      </c>
      <c r="S1303" t="s">
        <v>11730</v>
      </c>
    </row>
    <row r="1304" spans="1:19" x14ac:dyDescent="0.25">
      <c r="A1304" s="1">
        <v>1302</v>
      </c>
      <c r="B1304" t="str">
        <f>HYPERLINK("https://www.dasschnelle.at/altenpflegeheim-jauschowetz-gmbh-unterpurkla-oberpurkla","Website")</f>
        <v>Website</v>
      </c>
      <c r="C1304" t="str">
        <f>HYPERLINK("http://www.pflegeheim-jauschowetz.at","Website")</f>
        <v>Website</v>
      </c>
      <c r="D1304" t="str">
        <f>HYPERLINK("http://www.google.com/maps/place/46.7468218,15.9115886","Location")</f>
        <v>Location</v>
      </c>
      <c r="E1304" t="s">
        <v>11734</v>
      </c>
      <c r="F1304" t="s">
        <v>11735</v>
      </c>
      <c r="G1304" t="s">
        <v>11737</v>
      </c>
      <c r="H1304" t="s">
        <v>11738</v>
      </c>
      <c r="I1304" t="s">
        <v>451</v>
      </c>
      <c r="J1304" t="s">
        <v>22</v>
      </c>
      <c r="K1304" t="s">
        <v>11736</v>
      </c>
      <c r="L1304" t="s">
        <v>11741</v>
      </c>
      <c r="M1304" t="s">
        <v>11742</v>
      </c>
      <c r="N1304" t="s">
        <v>11743</v>
      </c>
      <c r="O1304" t="s">
        <v>11744</v>
      </c>
      <c r="P1304" t="s">
        <v>11745</v>
      </c>
      <c r="Q1304" t="s">
        <v>29</v>
      </c>
      <c r="R1304" t="s">
        <v>11739</v>
      </c>
      <c r="S1304" t="s">
        <v>11740</v>
      </c>
    </row>
    <row r="1305" spans="1:19" x14ac:dyDescent="0.25">
      <c r="A1305" s="1">
        <v>1303</v>
      </c>
      <c r="B1305" t="str">
        <f>HYPERLINK("https://www.dasschnelle.at/pachernegg-josefine-mureck-grazer-straße","Website")</f>
        <v>Website</v>
      </c>
      <c r="C1305" t="str">
        <f>HYPERLINK("http://www.bluetenreich-mureck.at","Website")</f>
        <v>Website</v>
      </c>
      <c r="D1305" t="str">
        <f>HYPERLINK("http://www.google.com/maps/place/46.70793,15.76956","Location")</f>
        <v>Location</v>
      </c>
      <c r="E1305" t="s">
        <v>11746</v>
      </c>
      <c r="F1305" t="s">
        <v>11747</v>
      </c>
      <c r="G1305" t="s">
        <v>11727</v>
      </c>
      <c r="H1305" t="s">
        <v>11728</v>
      </c>
      <c r="I1305" t="s">
        <v>451</v>
      </c>
      <c r="J1305" t="s">
        <v>22</v>
      </c>
      <c r="K1305" t="s">
        <v>11748</v>
      </c>
      <c r="L1305" t="s">
        <v>11751</v>
      </c>
      <c r="M1305" t="s">
        <v>11752</v>
      </c>
      <c r="N1305" t="s">
        <v>11753</v>
      </c>
      <c r="O1305" t="s">
        <v>25</v>
      </c>
      <c r="P1305" t="s">
        <v>11754</v>
      </c>
      <c r="Q1305" t="s">
        <v>29</v>
      </c>
      <c r="R1305" t="s">
        <v>11749</v>
      </c>
      <c r="S1305" t="s">
        <v>11750</v>
      </c>
    </row>
    <row r="1306" spans="1:19" x14ac:dyDescent="0.25">
      <c r="A1306" s="1">
        <v>1304</v>
      </c>
      <c r="B1306" t="str">
        <f>HYPERLINK("https://www.dasschnelle.at/gabeljic-haustechnik-gmbh-mureck-gosdorf","Website")</f>
        <v>Website</v>
      </c>
      <c r="C1306" t="str">
        <f>HYPERLINK("http://www.haustechnik-gabeljic.at","Website")</f>
        <v>Website</v>
      </c>
      <c r="D1306" t="str">
        <f>HYPERLINK("http://www.google.com/maps/place/46.7250784,15.7973417","Location")</f>
        <v>Location</v>
      </c>
      <c r="E1306" t="s">
        <v>11755</v>
      </c>
      <c r="F1306" t="s">
        <v>11756</v>
      </c>
      <c r="G1306" t="s">
        <v>11727</v>
      </c>
      <c r="H1306" t="s">
        <v>11728</v>
      </c>
      <c r="I1306" t="s">
        <v>451</v>
      </c>
      <c r="J1306" t="s">
        <v>22</v>
      </c>
      <c r="K1306" t="s">
        <v>11757</v>
      </c>
      <c r="L1306" t="s">
        <v>11760</v>
      </c>
      <c r="M1306" t="s">
        <v>25</v>
      </c>
      <c r="N1306" t="s">
        <v>11761</v>
      </c>
      <c r="O1306" t="s">
        <v>25</v>
      </c>
      <c r="P1306" t="s">
        <v>11762</v>
      </c>
      <c r="Q1306" t="s">
        <v>29</v>
      </c>
      <c r="R1306" t="s">
        <v>11758</v>
      </c>
      <c r="S1306" t="s">
        <v>11759</v>
      </c>
    </row>
    <row r="1307" spans="1:19" x14ac:dyDescent="0.25">
      <c r="A1307" s="1">
        <v>1305</v>
      </c>
      <c r="B1307" t="str">
        <f>HYPERLINK("https://www.dasschnelle.at/sixt-markus-mureck-oberrakitsch","Website")</f>
        <v>Website</v>
      </c>
      <c r="C1307" t="str">
        <f>HYPERLINK("https://www.dasschnelle.at/sixt-markus-mureck-oberrakitsch","Website")</f>
        <v>Website</v>
      </c>
      <c r="D1307" t="str">
        <f>HYPERLINK("http://www.google.com/maps/place/46.7382251,15.7458999","Location")</f>
        <v>Location</v>
      </c>
      <c r="E1307" t="s">
        <v>11763</v>
      </c>
      <c r="F1307" t="s">
        <v>11764</v>
      </c>
      <c r="G1307" t="s">
        <v>11727</v>
      </c>
      <c r="H1307" t="s">
        <v>11728</v>
      </c>
      <c r="I1307" t="s">
        <v>451</v>
      </c>
      <c r="J1307" t="s">
        <v>22</v>
      </c>
      <c r="K1307" t="s">
        <v>11765</v>
      </c>
      <c r="L1307" t="s">
        <v>11768</v>
      </c>
      <c r="M1307" t="s">
        <v>25</v>
      </c>
      <c r="N1307" t="s">
        <v>11769</v>
      </c>
      <c r="O1307" t="s">
        <v>25</v>
      </c>
      <c r="P1307" t="s">
        <v>11770</v>
      </c>
      <c r="Q1307" t="s">
        <v>29</v>
      </c>
      <c r="R1307" t="s">
        <v>11766</v>
      </c>
      <c r="S1307" t="s">
        <v>11767</v>
      </c>
    </row>
    <row r="1308" spans="1:19" x14ac:dyDescent="0.25">
      <c r="A1308" s="1">
        <v>1306</v>
      </c>
      <c r="B1308" t="str">
        <f>HYPERLINK("https://www.dasschnelle.at/mencigar-markus-laafeld","Website")</f>
        <v>Website</v>
      </c>
      <c r="C1308" t="str">
        <f>HYPERLINK("http://www.hoamathaus.at","Website")</f>
        <v>Website</v>
      </c>
      <c r="D1308" t="str">
        <f>HYPERLINK("http://www.google.com/maps/place/46.6906350,16.0067131","Location")</f>
        <v>Location</v>
      </c>
      <c r="E1308" t="s">
        <v>11771</v>
      </c>
      <c r="F1308" t="s">
        <v>11772</v>
      </c>
      <c r="G1308" t="s">
        <v>11773</v>
      </c>
      <c r="H1308" t="s">
        <v>11774</v>
      </c>
      <c r="I1308" t="s">
        <v>451</v>
      </c>
      <c r="J1308" t="s">
        <v>22</v>
      </c>
      <c r="K1308" t="s">
        <v>25</v>
      </c>
      <c r="L1308" t="s">
        <v>11777</v>
      </c>
      <c r="M1308" t="s">
        <v>25</v>
      </c>
      <c r="N1308" t="s">
        <v>11778</v>
      </c>
      <c r="O1308" t="s">
        <v>25</v>
      </c>
      <c r="P1308" t="s">
        <v>11779</v>
      </c>
      <c r="Q1308" t="s">
        <v>29</v>
      </c>
      <c r="R1308" t="s">
        <v>11775</v>
      </c>
      <c r="S1308" t="s">
        <v>11776</v>
      </c>
    </row>
    <row r="1309" spans="1:19" x14ac:dyDescent="0.25">
      <c r="A1309" s="1">
        <v>1307</v>
      </c>
      <c r="B1309" t="str">
        <f>HYPERLINK("https://www.dasschnelle.at/hüttler-kern-kerstin-mureck-oberrakitsch","Website")</f>
        <v>Website</v>
      </c>
      <c r="C1309" t="str">
        <f>HYPERLINK("http://www.salon-kerstin.at","Website")</f>
        <v>Website</v>
      </c>
      <c r="D1309" t="str">
        <f>HYPERLINK("http://www.google.com/maps/place/46.7360343,15.7400234","Location")</f>
        <v>Location</v>
      </c>
      <c r="E1309" t="s">
        <v>11780</v>
      </c>
      <c r="F1309" t="s">
        <v>11781</v>
      </c>
      <c r="G1309" t="s">
        <v>11727</v>
      </c>
      <c r="H1309" t="s">
        <v>11728</v>
      </c>
      <c r="I1309" t="s">
        <v>451</v>
      </c>
      <c r="J1309" t="s">
        <v>22</v>
      </c>
      <c r="K1309" t="s">
        <v>11782</v>
      </c>
      <c r="L1309" t="s">
        <v>11785</v>
      </c>
      <c r="M1309" t="s">
        <v>25</v>
      </c>
      <c r="N1309" t="s">
        <v>11786</v>
      </c>
      <c r="O1309" t="s">
        <v>25</v>
      </c>
      <c r="P1309" t="s">
        <v>11787</v>
      </c>
      <c r="Q1309" t="s">
        <v>29</v>
      </c>
      <c r="R1309" t="s">
        <v>11783</v>
      </c>
      <c r="S1309" t="s">
        <v>11784</v>
      </c>
    </row>
    <row r="1310" spans="1:19" x14ac:dyDescent="0.25">
      <c r="A1310" s="1">
        <v>1308</v>
      </c>
      <c r="B1310" t="str">
        <f>HYPERLINK("https://www.dasschnelle.at/spenglerei-potzinger-bad-radkersburg-pfarrsdorf","Website")</f>
        <v>Website</v>
      </c>
      <c r="C1310" t="str">
        <f>HYPERLINK("https://www.dasschnelle.at/spenglerei-potzinger-bad-radkersburg-pfarrsdorf","Website")</f>
        <v>Website</v>
      </c>
      <c r="D1310" t="str">
        <f>HYPERLINK("http://www.google.com/maps/place/46.7071800,15.9649700","Location")</f>
        <v>Location</v>
      </c>
      <c r="E1310" t="s">
        <v>11788</v>
      </c>
      <c r="F1310" t="s">
        <v>11789</v>
      </c>
      <c r="G1310" t="s">
        <v>11773</v>
      </c>
      <c r="H1310" t="s">
        <v>11791</v>
      </c>
      <c r="I1310" t="s">
        <v>451</v>
      </c>
      <c r="J1310" t="s">
        <v>22</v>
      </c>
      <c r="K1310" t="s">
        <v>11790</v>
      </c>
      <c r="L1310" t="s">
        <v>11794</v>
      </c>
      <c r="M1310" t="s">
        <v>25</v>
      </c>
      <c r="N1310" t="s">
        <v>11795</v>
      </c>
      <c r="O1310" t="s">
        <v>25</v>
      </c>
      <c r="P1310" t="s">
        <v>11796</v>
      </c>
      <c r="Q1310" t="s">
        <v>29</v>
      </c>
      <c r="R1310" t="s">
        <v>11792</v>
      </c>
      <c r="S1310" t="s">
        <v>11793</v>
      </c>
    </row>
    <row r="1311" spans="1:19" x14ac:dyDescent="0.25">
      <c r="A1311" s="1">
        <v>1309</v>
      </c>
      <c r="B1311" t="str">
        <f>HYPERLINK("https://www.dasschnelle.at/murrer-a-möbel-gmbh-sankt-peter-am-ottersbach-entschendorf-am-ottersbach","Website")</f>
        <v>Website</v>
      </c>
      <c r="C1311" t="str">
        <f>HYPERLINK("http://www.tischlerei-murrer.at","Website")</f>
        <v>Website</v>
      </c>
      <c r="D1311" t="str">
        <f>HYPERLINK("http://www.google.com/maps/place/46.8023030,15.7591484","Location")</f>
        <v>Location</v>
      </c>
      <c r="E1311" t="s">
        <v>11797</v>
      </c>
      <c r="F1311" t="s">
        <v>11798</v>
      </c>
      <c r="G1311" t="s">
        <v>11800</v>
      </c>
      <c r="H1311" t="s">
        <v>11801</v>
      </c>
      <c r="I1311" t="s">
        <v>451</v>
      </c>
      <c r="J1311" t="s">
        <v>22</v>
      </c>
      <c r="K1311" t="s">
        <v>11799</v>
      </c>
      <c r="L1311" t="s">
        <v>11804</v>
      </c>
      <c r="M1311" t="s">
        <v>25</v>
      </c>
      <c r="N1311" t="s">
        <v>11805</v>
      </c>
      <c r="O1311" t="s">
        <v>25</v>
      </c>
      <c r="P1311" t="s">
        <v>11806</v>
      </c>
      <c r="Q1311" t="s">
        <v>29</v>
      </c>
      <c r="R1311" t="s">
        <v>11802</v>
      </c>
      <c r="S1311" t="s">
        <v>11803</v>
      </c>
    </row>
    <row r="1312" spans="1:19" x14ac:dyDescent="0.25">
      <c r="A1312" s="1">
        <v>1310</v>
      </c>
      <c r="B1312" t="str">
        <f>HYPERLINK("https://www.dasschnelle.at/installationen-christian-reisacher-mureck-miselsdorf","Website")</f>
        <v>Website</v>
      </c>
      <c r="C1312" t="str">
        <f>HYPERLINK("http://www.haustechnik-reisacher.at","Website")</f>
        <v>Website</v>
      </c>
      <c r="D1312" t="str">
        <f>HYPERLINK("http://www.google.com/maps/place/46.7148639,15.7909732","Location")</f>
        <v>Location</v>
      </c>
      <c r="E1312" t="s">
        <v>11807</v>
      </c>
      <c r="F1312" t="s">
        <v>11808</v>
      </c>
      <c r="G1312" t="s">
        <v>11727</v>
      </c>
      <c r="H1312" t="s">
        <v>11728</v>
      </c>
      <c r="I1312" t="s">
        <v>451</v>
      </c>
      <c r="J1312" t="s">
        <v>22</v>
      </c>
      <c r="K1312" t="s">
        <v>11809</v>
      </c>
      <c r="L1312" t="s">
        <v>11812</v>
      </c>
      <c r="M1312" t="s">
        <v>25</v>
      </c>
      <c r="N1312" t="s">
        <v>11813</v>
      </c>
      <c r="O1312" t="s">
        <v>25</v>
      </c>
      <c r="P1312" t="s">
        <v>11814</v>
      </c>
      <c r="Q1312" t="s">
        <v>29</v>
      </c>
      <c r="R1312" t="s">
        <v>11810</v>
      </c>
      <c r="S1312" t="s">
        <v>11811</v>
      </c>
    </row>
    <row r="1313" spans="1:19" x14ac:dyDescent="0.25">
      <c r="A1313" s="1">
        <v>1311</v>
      </c>
      <c r="B1313" t="str">
        <f>HYPERLINK("https://www.dasschnelle.at/allianz-elementar-versicherungs-ag-völkermarkt-griffner-straße","Website")</f>
        <v>Website</v>
      </c>
      <c r="C1313" t="str">
        <f>HYPERLINK("http://www.allianz.at","Website")</f>
        <v>Website</v>
      </c>
      <c r="D1313" t="str">
        <f>HYPERLINK("http://www.google.com/maps/place/46.6635,14.63798","Location")</f>
        <v>Location</v>
      </c>
      <c r="E1313" t="s">
        <v>11815</v>
      </c>
      <c r="F1313" t="s">
        <v>11816</v>
      </c>
      <c r="G1313" t="s">
        <v>5079</v>
      </c>
      <c r="H1313" t="s">
        <v>5080</v>
      </c>
      <c r="I1313" t="s">
        <v>4130</v>
      </c>
      <c r="J1313" t="s">
        <v>22</v>
      </c>
      <c r="K1313" t="s">
        <v>11817</v>
      </c>
      <c r="L1313" t="s">
        <v>11820</v>
      </c>
      <c r="M1313" t="s">
        <v>11821</v>
      </c>
      <c r="N1313" t="s">
        <v>11822</v>
      </c>
      <c r="O1313" t="s">
        <v>25</v>
      </c>
      <c r="P1313" t="s">
        <v>11823</v>
      </c>
      <c r="Q1313" t="s">
        <v>29</v>
      </c>
      <c r="R1313" t="s">
        <v>11818</v>
      </c>
      <c r="S1313" t="s">
        <v>11819</v>
      </c>
    </row>
    <row r="1314" spans="1:19" x14ac:dyDescent="0.25">
      <c r="A1314" s="1">
        <v>1312</v>
      </c>
      <c r="B1314" t="str">
        <f>HYPERLINK("https://www.dasschnelle.at/bauer-senioren-lodge-mureck-oberrakitsch","Website")</f>
        <v>Website</v>
      </c>
      <c r="C1314" t="str">
        <f>HYPERLINK("http://www.bauerseniorenlodge.at","Website")</f>
        <v>Website</v>
      </c>
      <c r="D1314" t="str">
        <f>HYPERLINK("http://www.google.com/maps/place/46.7348391,15.7435383","Location")</f>
        <v>Location</v>
      </c>
      <c r="E1314" t="s">
        <v>11824</v>
      </c>
      <c r="F1314" t="s">
        <v>11825</v>
      </c>
      <c r="G1314" t="s">
        <v>11727</v>
      </c>
      <c r="H1314" t="s">
        <v>11728</v>
      </c>
      <c r="I1314" t="s">
        <v>451</v>
      </c>
      <c r="J1314" t="s">
        <v>22</v>
      </c>
      <c r="K1314" t="s">
        <v>11826</v>
      </c>
      <c r="L1314" t="s">
        <v>11829</v>
      </c>
      <c r="M1314" t="s">
        <v>25</v>
      </c>
      <c r="N1314" t="s">
        <v>11830</v>
      </c>
      <c r="O1314" t="s">
        <v>11831</v>
      </c>
      <c r="P1314" t="s">
        <v>11832</v>
      </c>
      <c r="Q1314" t="s">
        <v>29</v>
      </c>
      <c r="R1314" t="s">
        <v>11827</v>
      </c>
      <c r="S1314" t="s">
        <v>11828</v>
      </c>
    </row>
    <row r="1315" spans="1:19" x14ac:dyDescent="0.25">
      <c r="A1315" s="1">
        <v>1313</v>
      </c>
      <c r="B1315" t="str">
        <f>HYPERLINK("https://www.dasschnelle.at/autohaus-moik-gmbh-und-co-kg-straden-karbach","Website")</f>
        <v>Website</v>
      </c>
      <c r="C1315" t="str">
        <f>HYPERLINK("http://www.auto-moik.at","Website")</f>
        <v>Website</v>
      </c>
      <c r="D1315" t="str">
        <f>HYPERLINK("http://www.google.com/maps/place/46.8130948,15.8941235","Location")</f>
        <v>Location</v>
      </c>
      <c r="E1315" t="s">
        <v>11833</v>
      </c>
      <c r="F1315" t="s">
        <v>11834</v>
      </c>
      <c r="G1315" t="s">
        <v>460</v>
      </c>
      <c r="H1315" t="s">
        <v>461</v>
      </c>
      <c r="I1315" t="s">
        <v>451</v>
      </c>
      <c r="J1315" t="s">
        <v>22</v>
      </c>
      <c r="K1315" t="s">
        <v>11835</v>
      </c>
      <c r="L1315" t="s">
        <v>11838</v>
      </c>
      <c r="M1315" t="s">
        <v>11839</v>
      </c>
      <c r="N1315" t="s">
        <v>11840</v>
      </c>
      <c r="O1315" t="s">
        <v>25</v>
      </c>
      <c r="P1315" t="s">
        <v>11841</v>
      </c>
      <c r="Q1315" t="s">
        <v>29</v>
      </c>
      <c r="R1315" t="s">
        <v>11836</v>
      </c>
      <c r="S1315" t="s">
        <v>11837</v>
      </c>
    </row>
    <row r="1316" spans="1:19" x14ac:dyDescent="0.25">
      <c r="A1316" s="1">
        <v>1314</v>
      </c>
      <c r="B1316" t="str">
        <f>HYPERLINK("https://www.dasschnelle.at/schneewittchen-f-zwerge-kathrin-payreder-e-u-perg-schulrat-stöckler-straße","Website")</f>
        <v>Website</v>
      </c>
      <c r="C1316" t="str">
        <f>HYPERLINK("http://www.schneewittchen-zwerge.at","Website")</f>
        <v>Website</v>
      </c>
      <c r="D1316" t="str">
        <f>HYPERLINK("http://www.google.com/maps/place/48.2495600,14.6302500","Location")</f>
        <v>Location</v>
      </c>
      <c r="E1316" t="s">
        <v>11842</v>
      </c>
      <c r="F1316" t="s">
        <v>11843</v>
      </c>
      <c r="G1316" t="s">
        <v>6379</v>
      </c>
      <c r="H1316" t="s">
        <v>6380</v>
      </c>
      <c r="I1316" t="s">
        <v>85</v>
      </c>
      <c r="J1316" t="s">
        <v>22</v>
      </c>
      <c r="K1316" t="s">
        <v>11844</v>
      </c>
      <c r="L1316" t="s">
        <v>11847</v>
      </c>
      <c r="M1316" t="s">
        <v>25</v>
      </c>
      <c r="N1316" t="s">
        <v>11848</v>
      </c>
      <c r="O1316" t="s">
        <v>11849</v>
      </c>
      <c r="P1316" t="s">
        <v>697</v>
      </c>
      <c r="Q1316" t="s">
        <v>29</v>
      </c>
      <c r="R1316" t="s">
        <v>11845</v>
      </c>
      <c r="S1316" t="s">
        <v>11846</v>
      </c>
    </row>
    <row r="1317" spans="1:19" x14ac:dyDescent="0.25">
      <c r="A1317" s="1">
        <v>1315</v>
      </c>
      <c r="B1317" t="str">
        <f>HYPERLINK("https://www.dasschnelle.at/mddr-koren-raphaela-hermagor-rotkreuzgasse","Website")</f>
        <v>Website</v>
      </c>
      <c r="C1317" t="str">
        <f>HYPERLINK("https://www.dasschnelle.at/mddr-koren-raphaela-hermagor-rotkreuzgasse","Website")</f>
        <v>Website</v>
      </c>
      <c r="D1317" t="str">
        <f>HYPERLINK("http://www.google.com/maps/place/46.6265355,13.3732753","Location")</f>
        <v>Location</v>
      </c>
      <c r="E1317" t="s">
        <v>11850</v>
      </c>
      <c r="F1317" t="s">
        <v>11851</v>
      </c>
      <c r="G1317" t="s">
        <v>9153</v>
      </c>
      <c r="H1317" t="s">
        <v>9154</v>
      </c>
      <c r="I1317" t="s">
        <v>4130</v>
      </c>
      <c r="J1317" t="s">
        <v>22</v>
      </c>
      <c r="K1317" t="s">
        <v>11852</v>
      </c>
      <c r="L1317" t="s">
        <v>11855</v>
      </c>
      <c r="M1317" t="s">
        <v>25</v>
      </c>
      <c r="N1317" t="s">
        <v>25</v>
      </c>
      <c r="O1317" t="s">
        <v>25</v>
      </c>
      <c r="P1317" t="s">
        <v>11856</v>
      </c>
      <c r="Q1317" t="s">
        <v>29</v>
      </c>
      <c r="R1317" t="s">
        <v>11853</v>
      </c>
      <c r="S1317" t="s">
        <v>11854</v>
      </c>
    </row>
    <row r="1318" spans="1:19" x14ac:dyDescent="0.25">
      <c r="A1318" s="1">
        <v>1316</v>
      </c>
      <c r="B1318" t="str">
        <f>HYPERLINK("https://www.dasschnelle.at/tierklinik-lilienfeld-lilienfeld-babenbergerstraße","Website")</f>
        <v>Website</v>
      </c>
      <c r="C1318" t="str">
        <f>HYPERLINK("http://www.tierklinik-lilienfeld.at","Website")</f>
        <v>Website</v>
      </c>
      <c r="D1318" t="str">
        <f>HYPERLINK("http://www.google.com/maps/place/48.01693,15.59715","Location")</f>
        <v>Location</v>
      </c>
      <c r="E1318" t="s">
        <v>11857</v>
      </c>
      <c r="F1318" t="s">
        <v>11858</v>
      </c>
      <c r="G1318" t="s">
        <v>11860</v>
      </c>
      <c r="H1318" t="s">
        <v>11861</v>
      </c>
      <c r="I1318" t="s">
        <v>177</v>
      </c>
      <c r="J1318" t="s">
        <v>22</v>
      </c>
      <c r="K1318" t="s">
        <v>11859</v>
      </c>
      <c r="L1318" t="s">
        <v>11864</v>
      </c>
      <c r="M1318" t="s">
        <v>25</v>
      </c>
      <c r="N1318" t="s">
        <v>11865</v>
      </c>
      <c r="O1318" t="s">
        <v>25</v>
      </c>
      <c r="P1318" t="s">
        <v>11866</v>
      </c>
      <c r="Q1318" t="s">
        <v>29</v>
      </c>
      <c r="R1318" t="s">
        <v>11862</v>
      </c>
      <c r="S1318" t="s">
        <v>11863</v>
      </c>
    </row>
    <row r="1319" spans="1:19" x14ac:dyDescent="0.25">
      <c r="A1319" s="1">
        <v>1317</v>
      </c>
      <c r="B1319" t="str">
        <f>HYPERLINK("https://www.dasschnelle.at/energie-klima-gmbh-spitz-hauptstraße","Website")</f>
        <v>Website</v>
      </c>
      <c r="C1319" t="str">
        <f>HYPERLINK("http://www.energie-klima.at","Website")</f>
        <v>Website</v>
      </c>
      <c r="D1319" t="str">
        <f>HYPERLINK("http://www.google.com/maps/place/48.36137,15.41315","Location")</f>
        <v>Location</v>
      </c>
      <c r="E1319" t="s">
        <v>11867</v>
      </c>
      <c r="F1319" t="s">
        <v>11868</v>
      </c>
      <c r="G1319" t="s">
        <v>11870</v>
      </c>
      <c r="H1319" t="s">
        <v>11871</v>
      </c>
      <c r="I1319" t="s">
        <v>177</v>
      </c>
      <c r="J1319" t="s">
        <v>22</v>
      </c>
      <c r="K1319" t="s">
        <v>11869</v>
      </c>
      <c r="L1319" t="s">
        <v>11874</v>
      </c>
      <c r="M1319" t="s">
        <v>25</v>
      </c>
      <c r="N1319" t="s">
        <v>11875</v>
      </c>
      <c r="O1319" t="s">
        <v>25</v>
      </c>
      <c r="P1319" t="s">
        <v>11876</v>
      </c>
      <c r="Q1319" t="s">
        <v>29</v>
      </c>
      <c r="R1319" t="s">
        <v>11872</v>
      </c>
      <c r="S1319" t="s">
        <v>11873</v>
      </c>
    </row>
    <row r="1320" spans="1:19" x14ac:dyDescent="0.25">
      <c r="A1320" s="1">
        <v>1318</v>
      </c>
      <c r="B1320" t="str">
        <f>HYPERLINK("https://www.dasschnelle.at/bracco-jeanette-ddr-fulpmes-riehlstraße","Website")</f>
        <v>Website</v>
      </c>
      <c r="C1320" t="str">
        <f>HYPERLINK("http://www.ddr-bracco.at","Website")</f>
        <v>Website</v>
      </c>
      <c r="D1320" t="str">
        <f>HYPERLINK("http://www.google.com/maps/place/47.15297,11.34877","Location")</f>
        <v>Location</v>
      </c>
      <c r="E1320" t="s">
        <v>11877</v>
      </c>
      <c r="F1320" t="s">
        <v>11878</v>
      </c>
      <c r="G1320" t="s">
        <v>5273</v>
      </c>
      <c r="H1320" t="s">
        <v>5274</v>
      </c>
      <c r="I1320" t="s">
        <v>21</v>
      </c>
      <c r="J1320" t="s">
        <v>22</v>
      </c>
      <c r="K1320" t="s">
        <v>5272</v>
      </c>
      <c r="L1320" t="s">
        <v>11879</v>
      </c>
      <c r="M1320" t="s">
        <v>11880</v>
      </c>
      <c r="N1320" t="s">
        <v>11881</v>
      </c>
      <c r="O1320" t="s">
        <v>11882</v>
      </c>
      <c r="P1320" t="s">
        <v>11883</v>
      </c>
      <c r="Q1320" t="s">
        <v>29</v>
      </c>
      <c r="R1320" t="s">
        <v>5275</v>
      </c>
      <c r="S1320" t="s">
        <v>5276</v>
      </c>
    </row>
    <row r="1321" spans="1:19" x14ac:dyDescent="0.25">
      <c r="A1321" s="1">
        <v>1319</v>
      </c>
      <c r="B1321" t="str">
        <f>HYPERLINK("https://www.dasschnelle.at/rotter-josef-tribuswinkel-bründelgasse","Website")</f>
        <v>Website</v>
      </c>
      <c r="C1321" t="str">
        <f>HYPERLINK("https://www.dasschnelle.at/rotter-josef-tribuswinkel-br%C3%BCndelgasse","Website")</f>
        <v>Website</v>
      </c>
      <c r="D1321" t="str">
        <f>HYPERLINK("http://www.google.com/maps/place/47.99,16.28173","Location")</f>
        <v>Location</v>
      </c>
      <c r="E1321" t="s">
        <v>11884</v>
      </c>
      <c r="F1321" t="s">
        <v>11885</v>
      </c>
      <c r="G1321" t="s">
        <v>2032</v>
      </c>
      <c r="H1321" t="s">
        <v>2033</v>
      </c>
      <c r="I1321" t="s">
        <v>177</v>
      </c>
      <c r="J1321" t="s">
        <v>22</v>
      </c>
      <c r="K1321" t="s">
        <v>11886</v>
      </c>
      <c r="L1321" t="s">
        <v>11889</v>
      </c>
      <c r="M1321" t="s">
        <v>25</v>
      </c>
      <c r="N1321" t="s">
        <v>25</v>
      </c>
      <c r="O1321" t="s">
        <v>25</v>
      </c>
      <c r="P1321" t="s">
        <v>11890</v>
      </c>
      <c r="Q1321" t="s">
        <v>29</v>
      </c>
      <c r="R1321" t="s">
        <v>11887</v>
      </c>
      <c r="S1321" t="s">
        <v>11888</v>
      </c>
    </row>
    <row r="1322" spans="1:19" x14ac:dyDescent="0.25">
      <c r="A1322" s="1">
        <v>1320</v>
      </c>
      <c r="B1322" t="str">
        <f>HYPERLINK("https://www.dasschnelle.at/kastner-christoph-kötschach-mauthen-mauthen","Website")</f>
        <v>Website</v>
      </c>
      <c r="C1322" t="str">
        <f>HYPERLINK("http://www.kastner.fleischerei.at","Website")</f>
        <v>Website</v>
      </c>
      <c r="D1322" t="str">
        <f>HYPERLINK("http://www.google.com/maps/place/46.6641184,13.0001730","Location")</f>
        <v>Location</v>
      </c>
      <c r="E1322" t="s">
        <v>11891</v>
      </c>
      <c r="F1322" t="s">
        <v>11892</v>
      </c>
      <c r="G1322" t="s">
        <v>9163</v>
      </c>
      <c r="H1322" t="s">
        <v>9164</v>
      </c>
      <c r="I1322" t="s">
        <v>4130</v>
      </c>
      <c r="J1322" t="s">
        <v>22</v>
      </c>
      <c r="K1322" t="s">
        <v>11893</v>
      </c>
      <c r="L1322" t="s">
        <v>11896</v>
      </c>
      <c r="M1322" t="s">
        <v>25</v>
      </c>
      <c r="N1322" t="s">
        <v>11897</v>
      </c>
      <c r="O1322" t="s">
        <v>25</v>
      </c>
      <c r="P1322" t="s">
        <v>11898</v>
      </c>
      <c r="Q1322" t="s">
        <v>29</v>
      </c>
      <c r="R1322" t="s">
        <v>11894</v>
      </c>
      <c r="S1322" t="s">
        <v>11895</v>
      </c>
    </row>
    <row r="1323" spans="1:19" x14ac:dyDescent="0.25">
      <c r="A1323" s="1">
        <v>1321</v>
      </c>
      <c r="B1323" t="str">
        <f>HYPERLINK("https://www.dasschnelle.at/handle-cornelia-mag-ing-landeck-urichstraße","Website")</f>
        <v>Website</v>
      </c>
      <c r="C1323" t="str">
        <f>HYPERLINK("http://www.praxis-handle.at","Website")</f>
        <v>Website</v>
      </c>
      <c r="D1323" t="str">
        <f>HYPERLINK("http://www.google.com/maps/place/47.14319,10.57229","Location")</f>
        <v>Location</v>
      </c>
      <c r="E1323" t="s">
        <v>11899</v>
      </c>
      <c r="F1323" t="s">
        <v>11900</v>
      </c>
      <c r="G1323" t="s">
        <v>1279</v>
      </c>
      <c r="H1323" t="s">
        <v>1280</v>
      </c>
      <c r="I1323" t="s">
        <v>21</v>
      </c>
      <c r="J1323" t="s">
        <v>22</v>
      </c>
      <c r="K1323" t="s">
        <v>11901</v>
      </c>
      <c r="L1323" t="s">
        <v>11904</v>
      </c>
      <c r="M1323" t="s">
        <v>25</v>
      </c>
      <c r="N1323" t="s">
        <v>11905</v>
      </c>
      <c r="O1323" t="s">
        <v>11906</v>
      </c>
      <c r="P1323" t="s">
        <v>11907</v>
      </c>
      <c r="Q1323" t="s">
        <v>29</v>
      </c>
      <c r="R1323" t="s">
        <v>11902</v>
      </c>
      <c r="S1323" t="s">
        <v>11903</v>
      </c>
    </row>
    <row r="1324" spans="1:19" x14ac:dyDescent="0.25">
      <c r="A1324" s="1">
        <v>1322</v>
      </c>
      <c r="B1324" t="str">
        <f>HYPERLINK("https://www.dasschnelle.at/kfz-tilg-gmbh-pettneu-am-arlberg-bahnhofstraße","Website")</f>
        <v>Website</v>
      </c>
      <c r="C1324" t="str">
        <f>HYPERLINK("https://www.dasschnelle.at/kfz-tilg-gmbh-pettneu-am-arlberg-bahnhofstra%C3%9Fe","Website")</f>
        <v>Website</v>
      </c>
      <c r="D1324" t="str">
        <f>HYPERLINK("http://www.google.com/maps/place/47.1474009,10.3368570","Location")</f>
        <v>Location</v>
      </c>
      <c r="E1324" t="s">
        <v>11908</v>
      </c>
      <c r="F1324" t="s">
        <v>11909</v>
      </c>
      <c r="G1324" t="s">
        <v>11911</v>
      </c>
      <c r="H1324" t="s">
        <v>11912</v>
      </c>
      <c r="I1324" t="s">
        <v>21</v>
      </c>
      <c r="J1324" t="s">
        <v>22</v>
      </c>
      <c r="K1324" t="s">
        <v>11910</v>
      </c>
      <c r="L1324" t="s">
        <v>11915</v>
      </c>
      <c r="M1324" t="s">
        <v>25</v>
      </c>
      <c r="N1324" t="s">
        <v>11916</v>
      </c>
      <c r="O1324" t="s">
        <v>25</v>
      </c>
      <c r="P1324" t="s">
        <v>11917</v>
      </c>
      <c r="Q1324" t="s">
        <v>29</v>
      </c>
      <c r="R1324" t="s">
        <v>11913</v>
      </c>
      <c r="S1324" t="s">
        <v>11914</v>
      </c>
    </row>
    <row r="1325" spans="1:19" x14ac:dyDescent="0.25">
      <c r="A1325" s="1">
        <v>1323</v>
      </c>
      <c r="B1325" t="str">
        <f>HYPERLINK("https://www.dasschnelle.at/kieslinger-gesmbh-sigharting-grubstraße","Website")</f>
        <v>Website</v>
      </c>
      <c r="C1325" t="str">
        <f>HYPERLINK("http://www.kieslinger.at","Website")</f>
        <v>Website</v>
      </c>
      <c r="D1325" t="str">
        <f>HYPERLINK("http://www.google.com/maps/place/48.39739,13.60104","Location")</f>
        <v>Location</v>
      </c>
      <c r="E1325" t="s">
        <v>11918</v>
      </c>
      <c r="F1325" t="s">
        <v>11919</v>
      </c>
      <c r="G1325" t="s">
        <v>11921</v>
      </c>
      <c r="H1325" t="s">
        <v>11922</v>
      </c>
      <c r="I1325" t="s">
        <v>85</v>
      </c>
      <c r="J1325" t="s">
        <v>22</v>
      </c>
      <c r="K1325" t="s">
        <v>11920</v>
      </c>
      <c r="L1325" t="s">
        <v>11925</v>
      </c>
      <c r="M1325" t="s">
        <v>25</v>
      </c>
      <c r="N1325" t="s">
        <v>11926</v>
      </c>
      <c r="O1325" t="s">
        <v>25</v>
      </c>
      <c r="P1325" t="s">
        <v>11927</v>
      </c>
      <c r="Q1325" t="s">
        <v>29</v>
      </c>
      <c r="R1325" t="s">
        <v>11923</v>
      </c>
      <c r="S1325" t="s">
        <v>11924</v>
      </c>
    </row>
    <row r="1326" spans="1:19" x14ac:dyDescent="0.25">
      <c r="A1326" s="1">
        <v>1324</v>
      </c>
      <c r="B1326" t="str">
        <f>HYPERLINK("https://www.dasschnelle.at/holzbau-vogler-weitra-reinprechts","Website")</f>
        <v>Website</v>
      </c>
      <c r="C1326" t="str">
        <f>HYPERLINK("https://www.dasschnelle.at/holzbau-vogler-weitra-reinprechts","Website")</f>
        <v>Website</v>
      </c>
      <c r="D1326" t="str">
        <f>HYPERLINK("http://www.google.com/maps/place/48.7140806,14.8455164","Location")</f>
        <v>Location</v>
      </c>
      <c r="E1326" t="s">
        <v>11928</v>
      </c>
      <c r="F1326" t="s">
        <v>11929</v>
      </c>
      <c r="G1326" t="s">
        <v>11931</v>
      </c>
      <c r="H1326" t="s">
        <v>11932</v>
      </c>
      <c r="I1326" t="s">
        <v>177</v>
      </c>
      <c r="J1326" t="s">
        <v>22</v>
      </c>
      <c r="K1326" t="s">
        <v>11930</v>
      </c>
      <c r="L1326" t="s">
        <v>11935</v>
      </c>
      <c r="M1326" t="s">
        <v>25</v>
      </c>
      <c r="N1326" t="s">
        <v>11936</v>
      </c>
      <c r="O1326" t="s">
        <v>25</v>
      </c>
      <c r="P1326" t="s">
        <v>11937</v>
      </c>
      <c r="Q1326" t="s">
        <v>29</v>
      </c>
      <c r="R1326" t="s">
        <v>11933</v>
      </c>
      <c r="S1326" t="s">
        <v>11934</v>
      </c>
    </row>
    <row r="1327" spans="1:19" x14ac:dyDescent="0.25">
      <c r="A1327" s="1">
        <v>1325</v>
      </c>
      <c r="B1327" t="str">
        <f>HYPERLINK("https://www.dasschnelle.at/peschek-marcus-klosterneuburg-hauptstraße","Website")</f>
        <v>Website</v>
      </c>
      <c r="C1327" t="str">
        <f>HYPERLINK("https://www.dasschnelle.at/peschek-marcus-klosterneuburg-hauptstra%C3%9Fe","Website")</f>
        <v>Website</v>
      </c>
      <c r="D1327" t="str">
        <f>HYPERLINK("http://www.google.com/maps/place/48.31482,16.2403","Location")</f>
        <v>Location</v>
      </c>
      <c r="E1327" t="s">
        <v>11938</v>
      </c>
      <c r="F1327" t="s">
        <v>11939</v>
      </c>
      <c r="G1327" t="s">
        <v>10308</v>
      </c>
      <c r="H1327" t="s">
        <v>10317</v>
      </c>
      <c r="I1327" t="s">
        <v>177</v>
      </c>
      <c r="J1327" t="s">
        <v>22</v>
      </c>
      <c r="K1327" t="s">
        <v>11940</v>
      </c>
      <c r="L1327" t="s">
        <v>11943</v>
      </c>
      <c r="M1327" t="s">
        <v>25</v>
      </c>
      <c r="N1327" t="s">
        <v>11944</v>
      </c>
      <c r="O1327" t="s">
        <v>25</v>
      </c>
      <c r="P1327" t="s">
        <v>11945</v>
      </c>
      <c r="Q1327" t="s">
        <v>29</v>
      </c>
      <c r="R1327" t="s">
        <v>11941</v>
      </c>
      <c r="S1327" t="s">
        <v>11942</v>
      </c>
    </row>
    <row r="1328" spans="1:19" x14ac:dyDescent="0.25">
      <c r="A1328" s="1">
        <v>1326</v>
      </c>
      <c r="B1328" t="str">
        <f>HYPERLINK("https://www.dasschnelle.at/viertler-lucia-dr-rohrbach-hanriederstraße","Website")</f>
        <v>Website</v>
      </c>
      <c r="C1328" t="str">
        <f>HYPERLINK("http://www.viertler.eu","Website")</f>
        <v>Website</v>
      </c>
      <c r="D1328" t="str">
        <f>HYPERLINK("http://www.google.com/maps/place/48.5723138,13.9897171","Location")</f>
        <v>Location</v>
      </c>
      <c r="E1328" t="s">
        <v>11946</v>
      </c>
      <c r="F1328" t="s">
        <v>11947</v>
      </c>
      <c r="G1328" t="s">
        <v>8561</v>
      </c>
      <c r="H1328" t="s">
        <v>8562</v>
      </c>
      <c r="I1328" t="s">
        <v>85</v>
      </c>
      <c r="J1328" t="s">
        <v>22</v>
      </c>
      <c r="K1328" t="s">
        <v>11948</v>
      </c>
      <c r="L1328" t="s">
        <v>11951</v>
      </c>
      <c r="M1328" t="s">
        <v>25</v>
      </c>
      <c r="N1328" t="s">
        <v>11952</v>
      </c>
      <c r="O1328" t="s">
        <v>25</v>
      </c>
      <c r="P1328" t="s">
        <v>11953</v>
      </c>
      <c r="Q1328" t="s">
        <v>29</v>
      </c>
      <c r="R1328" t="s">
        <v>11949</v>
      </c>
      <c r="S1328" t="s">
        <v>11950</v>
      </c>
    </row>
    <row r="1329" spans="1:19" x14ac:dyDescent="0.25">
      <c r="A1329" s="1">
        <v>1327</v>
      </c>
      <c r="B1329" t="str">
        <f>HYPERLINK("https://www.dasschnelle.at/kantor-judith-mag-korneuburg-wiener-ring","Website")</f>
        <v>Website</v>
      </c>
      <c r="C1329" t="str">
        <f>HYPERLINK("http://www.psychotherapie-kantor.at","Website")</f>
        <v>Website</v>
      </c>
      <c r="D1329" t="str">
        <f>HYPERLINK("http://www.google.com/maps/place/48.34261,16.33515","Location")</f>
        <v>Location</v>
      </c>
      <c r="E1329" t="s">
        <v>11954</v>
      </c>
      <c r="F1329" t="s">
        <v>11955</v>
      </c>
      <c r="G1329" t="s">
        <v>440</v>
      </c>
      <c r="H1329" t="s">
        <v>441</v>
      </c>
      <c r="I1329" t="s">
        <v>177</v>
      </c>
      <c r="J1329" t="s">
        <v>22</v>
      </c>
      <c r="K1329" t="s">
        <v>11956</v>
      </c>
      <c r="L1329" t="s">
        <v>11959</v>
      </c>
      <c r="M1329" t="s">
        <v>25</v>
      </c>
      <c r="N1329" t="s">
        <v>11960</v>
      </c>
      <c r="O1329" t="s">
        <v>25</v>
      </c>
      <c r="P1329" t="s">
        <v>11961</v>
      </c>
      <c r="Q1329" t="s">
        <v>29</v>
      </c>
      <c r="R1329" t="s">
        <v>11957</v>
      </c>
      <c r="S1329" t="s">
        <v>11958</v>
      </c>
    </row>
    <row r="1330" spans="1:19" x14ac:dyDescent="0.25">
      <c r="A1330" s="1">
        <v>1328</v>
      </c>
      <c r="B1330" t="str">
        <f>HYPERLINK("https://www.dasschnelle.at/kurz-johann-schweiggers-hauptplatz","Website")</f>
        <v>Website</v>
      </c>
      <c r="C1330" t="str">
        <f>HYPERLINK("http://www.kfz-kurz.at","Website")</f>
        <v>Website</v>
      </c>
      <c r="D1330" t="str">
        <f>HYPERLINK("http://www.google.com/maps/place/48.66794,15.06309","Location")</f>
        <v>Location</v>
      </c>
      <c r="E1330" t="s">
        <v>11962</v>
      </c>
      <c r="F1330" t="s">
        <v>11963</v>
      </c>
      <c r="G1330" t="s">
        <v>11224</v>
      </c>
      <c r="H1330" t="s">
        <v>11225</v>
      </c>
      <c r="I1330" t="s">
        <v>177</v>
      </c>
      <c r="J1330" t="s">
        <v>22</v>
      </c>
      <c r="K1330" t="s">
        <v>11964</v>
      </c>
      <c r="L1330" t="s">
        <v>11967</v>
      </c>
      <c r="M1330" t="s">
        <v>25</v>
      </c>
      <c r="N1330" t="s">
        <v>11968</v>
      </c>
      <c r="O1330" t="s">
        <v>25</v>
      </c>
      <c r="P1330" t="s">
        <v>11969</v>
      </c>
      <c r="Q1330" t="s">
        <v>29</v>
      </c>
      <c r="R1330" t="s">
        <v>11965</v>
      </c>
      <c r="S1330" t="s">
        <v>11966</v>
      </c>
    </row>
    <row r="1331" spans="1:19" x14ac:dyDescent="0.25">
      <c r="A1331" s="1">
        <v>1329</v>
      </c>
      <c r="B1331" t="str">
        <f>HYPERLINK("https://www.dasschnelle.at/autohaus-ortner-gmbh-wartberg-scheiben","Website")</f>
        <v>Website</v>
      </c>
      <c r="C1331" t="str">
        <f>HYPERLINK("http://www.autoortner.at","Website")</f>
        <v>Website</v>
      </c>
      <c r="D1331" t="str">
        <f>HYPERLINK("http://www.google.com/maps/place/48.3597098,14.5018755","Location")</f>
        <v>Location</v>
      </c>
      <c r="E1331" t="s">
        <v>11970</v>
      </c>
      <c r="F1331" t="s">
        <v>11971</v>
      </c>
      <c r="G1331" t="s">
        <v>11973</v>
      </c>
      <c r="H1331" t="s">
        <v>11974</v>
      </c>
      <c r="I1331" t="s">
        <v>85</v>
      </c>
      <c r="J1331" t="s">
        <v>22</v>
      </c>
      <c r="K1331" t="s">
        <v>11972</v>
      </c>
      <c r="L1331" t="s">
        <v>11977</v>
      </c>
      <c r="M1331" t="s">
        <v>25</v>
      </c>
      <c r="N1331" t="s">
        <v>11978</v>
      </c>
      <c r="O1331" t="s">
        <v>25</v>
      </c>
      <c r="P1331" t="s">
        <v>11979</v>
      </c>
      <c r="Q1331" t="s">
        <v>29</v>
      </c>
      <c r="R1331" t="s">
        <v>11975</v>
      </c>
      <c r="S1331" t="s">
        <v>11976</v>
      </c>
    </row>
    <row r="1332" spans="1:19" x14ac:dyDescent="0.25">
      <c r="A1332" s="1">
        <v>1330</v>
      </c>
      <c r="B1332" t="str">
        <f>HYPERLINK("https://www.dasschnelle.at/feichtinger-gmbh-und-co-kg-eisenbirn-eisenbirn","Website")</f>
        <v>Website</v>
      </c>
      <c r="C1332" t="str">
        <f>HYPERLINK("http://www.nissan-feichtinger.at","Website")</f>
        <v>Website</v>
      </c>
      <c r="D1332" t="str">
        <f>HYPERLINK("http://www.google.com/maps/place/48.4737000,13.5614400","Location")</f>
        <v>Location</v>
      </c>
      <c r="E1332" t="s">
        <v>11980</v>
      </c>
      <c r="F1332" t="s">
        <v>11981</v>
      </c>
      <c r="G1332" t="s">
        <v>11983</v>
      </c>
      <c r="H1332" t="s">
        <v>11984</v>
      </c>
      <c r="I1332" t="s">
        <v>85</v>
      </c>
      <c r="J1332" t="s">
        <v>22</v>
      </c>
      <c r="K1332" t="s">
        <v>11982</v>
      </c>
      <c r="L1332" t="s">
        <v>11987</v>
      </c>
      <c r="M1332" t="s">
        <v>11988</v>
      </c>
      <c r="N1332" t="s">
        <v>11989</v>
      </c>
      <c r="O1332" t="s">
        <v>25</v>
      </c>
      <c r="P1332" t="s">
        <v>11990</v>
      </c>
      <c r="Q1332" t="s">
        <v>29</v>
      </c>
      <c r="R1332" t="s">
        <v>11985</v>
      </c>
      <c r="S1332" t="s">
        <v>11986</v>
      </c>
    </row>
    <row r="1333" spans="1:19" x14ac:dyDescent="0.25">
      <c r="A1333" s="1">
        <v>1331</v>
      </c>
      <c r="B1333" t="str">
        <f>HYPERLINK("https://www.dasschnelle.at/änderungsatelier-leibnitz-grazergasse","Website")</f>
        <v>Website</v>
      </c>
      <c r="C1333" t="str">
        <f>HYPERLINK("http://www.zvezis-atelier.at","Website")</f>
        <v>Website</v>
      </c>
      <c r="D1333" t="str">
        <f>HYPERLINK("http://www.google.com/maps/place/46.79051,15.53978","Location")</f>
        <v>Location</v>
      </c>
      <c r="E1333" t="s">
        <v>11991</v>
      </c>
      <c r="F1333" t="s">
        <v>11992</v>
      </c>
      <c r="G1333" t="s">
        <v>1013</v>
      </c>
      <c r="H1333" t="s">
        <v>1023</v>
      </c>
      <c r="I1333" t="s">
        <v>451</v>
      </c>
      <c r="J1333" t="s">
        <v>22</v>
      </c>
      <c r="K1333" t="s">
        <v>11993</v>
      </c>
      <c r="L1333" t="s">
        <v>11996</v>
      </c>
      <c r="M1333" t="s">
        <v>25</v>
      </c>
      <c r="N1333" t="s">
        <v>11997</v>
      </c>
      <c r="O1333" t="s">
        <v>25</v>
      </c>
      <c r="P1333" t="s">
        <v>11998</v>
      </c>
      <c r="Q1333" t="s">
        <v>29</v>
      </c>
      <c r="R1333" t="s">
        <v>11994</v>
      </c>
      <c r="S1333" t="s">
        <v>11995</v>
      </c>
    </row>
    <row r="1334" spans="1:19" x14ac:dyDescent="0.25">
      <c r="A1334" s="1">
        <v>1332</v>
      </c>
      <c r="B1334" t="str">
        <f>HYPERLINK("https://www.dasschnelle.at/starkl-brigitte-mag-schrems-schulgasse","Website")</f>
        <v>Website</v>
      </c>
      <c r="C1334" t="str">
        <f>HYPERLINK("https://www.dasschnelle.at/starkl-brigitte-mag-schrems-schulgasse","Website")</f>
        <v>Website</v>
      </c>
      <c r="D1334" t="str">
        <f>HYPERLINK("http://www.google.com/maps/place/48.7927071,15.0651809","Location")</f>
        <v>Location</v>
      </c>
      <c r="E1334" t="s">
        <v>11999</v>
      </c>
      <c r="F1334" t="s">
        <v>12000</v>
      </c>
      <c r="G1334" t="s">
        <v>7200</v>
      </c>
      <c r="H1334" t="s">
        <v>7201</v>
      </c>
      <c r="I1334" t="s">
        <v>177</v>
      </c>
      <c r="J1334" t="s">
        <v>22</v>
      </c>
      <c r="K1334" t="s">
        <v>12001</v>
      </c>
      <c r="L1334" t="s">
        <v>12004</v>
      </c>
      <c r="M1334" t="s">
        <v>25</v>
      </c>
      <c r="N1334" t="s">
        <v>12005</v>
      </c>
      <c r="O1334" t="s">
        <v>25</v>
      </c>
      <c r="P1334" t="s">
        <v>12006</v>
      </c>
      <c r="Q1334" t="s">
        <v>29</v>
      </c>
      <c r="R1334" t="s">
        <v>12002</v>
      </c>
      <c r="S1334" t="s">
        <v>12003</v>
      </c>
    </row>
    <row r="1335" spans="1:19" x14ac:dyDescent="0.25">
      <c r="A1335" s="1">
        <v>1333</v>
      </c>
      <c r="B1335" t="str">
        <f>HYPERLINK("https://www.dasschnelle.at/noè-nordberg-mautner-rechtsanwälte-og-waidhofen-an-der-thaya-hamernikgasse","Website")</f>
        <v>Website</v>
      </c>
      <c r="C1335" t="str">
        <f>HYPERLINK("http://www.noe-nordberg.at","Website")</f>
        <v>Website</v>
      </c>
      <c r="D1335" t="str">
        <f>HYPERLINK("http://www.google.com/maps/place/48.81479,15.28177","Location")</f>
        <v>Location</v>
      </c>
      <c r="E1335" t="s">
        <v>12007</v>
      </c>
      <c r="F1335" t="s">
        <v>12008</v>
      </c>
      <c r="G1335" t="s">
        <v>10987</v>
      </c>
      <c r="H1335" t="s">
        <v>10988</v>
      </c>
      <c r="I1335" t="s">
        <v>177</v>
      </c>
      <c r="J1335" t="s">
        <v>22</v>
      </c>
      <c r="K1335" t="s">
        <v>12009</v>
      </c>
      <c r="L1335" t="s">
        <v>12012</v>
      </c>
      <c r="M1335" t="s">
        <v>25</v>
      </c>
      <c r="N1335" t="s">
        <v>12013</v>
      </c>
      <c r="O1335" t="s">
        <v>25</v>
      </c>
      <c r="P1335" t="s">
        <v>12014</v>
      </c>
      <c r="Q1335" t="s">
        <v>29</v>
      </c>
      <c r="R1335" t="s">
        <v>12010</v>
      </c>
      <c r="S1335" t="s">
        <v>12011</v>
      </c>
    </row>
    <row r="1336" spans="1:19" x14ac:dyDescent="0.25">
      <c r="A1336" s="1">
        <v>1334</v>
      </c>
      <c r="B1336" t="str">
        <f>HYPERLINK("https://www.dasschnelle.at/haberecker-sandra-pehendorf-pehendorf","Website")</f>
        <v>Website</v>
      </c>
      <c r="C1336" t="str">
        <f>HYPERLINK("http://www.fusspflege-haberecker.at","Website")</f>
        <v>Website</v>
      </c>
      <c r="D1336" t="str">
        <f>HYPERLINK("http://www.google.com/maps/place/48.4899176,15.0431964","Location")</f>
        <v>Location</v>
      </c>
      <c r="E1336" t="s">
        <v>12015</v>
      </c>
      <c r="F1336" t="s">
        <v>12016</v>
      </c>
      <c r="G1336" t="s">
        <v>10960</v>
      </c>
      <c r="H1336" t="s">
        <v>12018</v>
      </c>
      <c r="I1336" t="s">
        <v>177</v>
      </c>
      <c r="J1336" t="s">
        <v>22</v>
      </c>
      <c r="K1336" t="s">
        <v>12017</v>
      </c>
      <c r="L1336" t="s">
        <v>12021</v>
      </c>
      <c r="M1336" t="s">
        <v>25</v>
      </c>
      <c r="N1336" t="s">
        <v>12022</v>
      </c>
      <c r="O1336" t="s">
        <v>12023</v>
      </c>
      <c r="P1336" t="s">
        <v>12024</v>
      </c>
      <c r="Q1336" t="s">
        <v>29</v>
      </c>
      <c r="R1336" t="s">
        <v>12019</v>
      </c>
      <c r="S1336" t="s">
        <v>12020</v>
      </c>
    </row>
    <row r="1337" spans="1:19" x14ac:dyDescent="0.25">
      <c r="A1337" s="1">
        <v>1335</v>
      </c>
      <c r="B1337" t="str">
        <f>HYPERLINK("https://www.dasschnelle.at/stöckl-christian-predlitz-predlitzwinkel","Website")</f>
        <v>Website</v>
      </c>
      <c r="C1337" t="str">
        <f>HYPERLINK("http://www.cs-powermetall.com","Website")</f>
        <v>Website</v>
      </c>
      <c r="D1337" t="str">
        <f>HYPERLINK("http://www.google.com/maps/place/47.06386,13.90823","Location")</f>
        <v>Location</v>
      </c>
      <c r="E1337" t="s">
        <v>12025</v>
      </c>
      <c r="F1337" t="s">
        <v>12026</v>
      </c>
      <c r="G1337" t="s">
        <v>12028</v>
      </c>
      <c r="H1337" t="s">
        <v>12029</v>
      </c>
      <c r="I1337" t="s">
        <v>451</v>
      </c>
      <c r="J1337" t="s">
        <v>22</v>
      </c>
      <c r="K1337" t="s">
        <v>12027</v>
      </c>
      <c r="L1337" t="s">
        <v>12032</v>
      </c>
      <c r="M1337" t="s">
        <v>25</v>
      </c>
      <c r="N1337" t="s">
        <v>12033</v>
      </c>
      <c r="O1337" t="s">
        <v>12034</v>
      </c>
      <c r="P1337" t="s">
        <v>12035</v>
      </c>
      <c r="Q1337" t="s">
        <v>29</v>
      </c>
      <c r="R1337" t="s">
        <v>12030</v>
      </c>
      <c r="S1337" t="s">
        <v>12031</v>
      </c>
    </row>
    <row r="1338" spans="1:19" x14ac:dyDescent="0.25">
      <c r="A1338" s="1">
        <v>1336</v>
      </c>
      <c r="B1338" t="str">
        <f>HYPERLINK("https://www.dasschnelle.at/kogler-bischof-ges-n-b-r-krakauhintermühlen","Website")</f>
        <v>Website</v>
      </c>
      <c r="C1338" t="str">
        <f>HYPERLINK("http://www.kogler-putz.at","Website")</f>
        <v>Website</v>
      </c>
      <c r="D1338" t="str">
        <f>HYPERLINK("http://www.google.com/maps/place/47.1877233,13.9806988","Location")</f>
        <v>Location</v>
      </c>
      <c r="E1338" t="s">
        <v>12036</v>
      </c>
      <c r="F1338" t="s">
        <v>12037</v>
      </c>
      <c r="G1338" t="s">
        <v>12039</v>
      </c>
      <c r="H1338" t="s">
        <v>12040</v>
      </c>
      <c r="I1338" t="s">
        <v>451</v>
      </c>
      <c r="J1338" t="s">
        <v>22</v>
      </c>
      <c r="K1338" t="s">
        <v>12038</v>
      </c>
      <c r="L1338" t="s">
        <v>12043</v>
      </c>
      <c r="M1338" t="s">
        <v>25</v>
      </c>
      <c r="N1338" t="s">
        <v>12044</v>
      </c>
      <c r="O1338" t="s">
        <v>12045</v>
      </c>
      <c r="P1338" t="s">
        <v>12046</v>
      </c>
      <c r="Q1338" t="s">
        <v>29</v>
      </c>
      <c r="R1338" t="s">
        <v>12041</v>
      </c>
      <c r="S1338" t="s">
        <v>12042</v>
      </c>
    </row>
    <row r="1339" spans="1:19" x14ac:dyDescent="0.25">
      <c r="A1339" s="1">
        <v>1337</v>
      </c>
      <c r="B1339" t="str">
        <f>HYPERLINK("https://www.dasschnelle.at/ritzinger-arnold-mariahof-mariahof","Website")</f>
        <v>Website</v>
      </c>
      <c r="C1339" t="str">
        <f>HYPERLINK("http://www.erdbauritzinger.at","Website")</f>
        <v>Website</v>
      </c>
      <c r="D1339" t="str">
        <f>HYPERLINK("http://www.google.com/maps/place/47.0992994,14.3991761","Location")</f>
        <v>Location</v>
      </c>
      <c r="E1339" t="s">
        <v>12047</v>
      </c>
      <c r="F1339" t="s">
        <v>12048</v>
      </c>
      <c r="G1339" t="s">
        <v>12050</v>
      </c>
      <c r="H1339" t="s">
        <v>12051</v>
      </c>
      <c r="I1339" t="s">
        <v>451</v>
      </c>
      <c r="J1339" t="s">
        <v>22</v>
      </c>
      <c r="K1339" t="s">
        <v>12049</v>
      </c>
      <c r="L1339" t="s">
        <v>12054</v>
      </c>
      <c r="M1339" t="s">
        <v>25</v>
      </c>
      <c r="N1339" t="s">
        <v>12055</v>
      </c>
      <c r="O1339" t="s">
        <v>25</v>
      </c>
      <c r="P1339" t="s">
        <v>12056</v>
      </c>
      <c r="Q1339" t="s">
        <v>29</v>
      </c>
      <c r="R1339" t="s">
        <v>12052</v>
      </c>
      <c r="S1339" t="s">
        <v>12053</v>
      </c>
    </row>
    <row r="1340" spans="1:19" x14ac:dyDescent="0.25">
      <c r="A1340" s="1">
        <v>1338</v>
      </c>
      <c r="B1340" t="str">
        <f>HYPERLINK("https://www.dasschnelle.at/sport-maier-sankt-lambrecht-thajagraben","Website")</f>
        <v>Website</v>
      </c>
      <c r="C1340" t="str">
        <f>HYPERLINK("http://www.sport-maier.at","Website")</f>
        <v>Website</v>
      </c>
      <c r="D1340" t="str">
        <f>HYPERLINK("http://www.google.com/maps/place/47.08605,14.3173","Location")</f>
        <v>Location</v>
      </c>
      <c r="E1340" t="s">
        <v>12057</v>
      </c>
      <c r="F1340" t="s">
        <v>12058</v>
      </c>
      <c r="G1340" t="s">
        <v>12060</v>
      </c>
      <c r="H1340" t="s">
        <v>12061</v>
      </c>
      <c r="I1340" t="s">
        <v>451</v>
      </c>
      <c r="J1340" t="s">
        <v>22</v>
      </c>
      <c r="K1340" t="s">
        <v>12059</v>
      </c>
      <c r="L1340" t="s">
        <v>12064</v>
      </c>
      <c r="M1340" t="s">
        <v>25</v>
      </c>
      <c r="N1340" t="s">
        <v>12065</v>
      </c>
      <c r="O1340" t="s">
        <v>25</v>
      </c>
      <c r="P1340" t="s">
        <v>12066</v>
      </c>
      <c r="Q1340" t="s">
        <v>29</v>
      </c>
      <c r="R1340" t="s">
        <v>12062</v>
      </c>
      <c r="S1340" t="s">
        <v>12063</v>
      </c>
    </row>
    <row r="1341" spans="1:19" x14ac:dyDescent="0.25">
      <c r="A1341" s="1">
        <v>1339</v>
      </c>
      <c r="B1341" t="str">
        <f>HYPERLINK("https://www.dasschnelle.at/hotel-kornock-turrach-turracherhöhe","Website")</f>
        <v>Website</v>
      </c>
      <c r="C1341" t="str">
        <f>HYPERLINK("http://www.kornock.at","Website")</f>
        <v>Website</v>
      </c>
      <c r="D1341" t="str">
        <f>HYPERLINK("http://www.google.com/maps/place/46.92297,13.8708","Location")</f>
        <v>Location</v>
      </c>
      <c r="E1341" t="s">
        <v>12067</v>
      </c>
      <c r="F1341" t="s">
        <v>12068</v>
      </c>
      <c r="G1341" t="s">
        <v>12070</v>
      </c>
      <c r="H1341" t="s">
        <v>12071</v>
      </c>
      <c r="I1341" t="s">
        <v>451</v>
      </c>
      <c r="J1341" t="s">
        <v>22</v>
      </c>
      <c r="K1341" t="s">
        <v>12069</v>
      </c>
      <c r="L1341" t="s">
        <v>12074</v>
      </c>
      <c r="M1341" t="s">
        <v>12075</v>
      </c>
      <c r="N1341" t="s">
        <v>12076</v>
      </c>
      <c r="O1341" t="s">
        <v>12077</v>
      </c>
      <c r="P1341" t="s">
        <v>12078</v>
      </c>
      <c r="Q1341" t="s">
        <v>29</v>
      </c>
      <c r="R1341" t="s">
        <v>12072</v>
      </c>
      <c r="S1341" t="s">
        <v>12073</v>
      </c>
    </row>
    <row r="1342" spans="1:19" x14ac:dyDescent="0.25">
      <c r="A1342" s="1">
        <v>1340</v>
      </c>
      <c r="B1342" t="str">
        <f>HYPERLINK("https://www.dasschnelle.at/em-möbel-gmbh-stadl-mur-stadl-mur","Website")</f>
        <v>Website</v>
      </c>
      <c r="C1342" t="str">
        <f>HYPERLINK("http://www.em-moebel.at","Website")</f>
        <v>Website</v>
      </c>
      <c r="D1342" t="str">
        <f>HYPERLINK("http://www.google.com/maps/place/47.0910534,13.9894412","Location")</f>
        <v>Location</v>
      </c>
      <c r="E1342" t="s">
        <v>12079</v>
      </c>
      <c r="F1342" t="s">
        <v>12080</v>
      </c>
      <c r="G1342" t="s">
        <v>12082</v>
      </c>
      <c r="H1342" t="s">
        <v>12083</v>
      </c>
      <c r="I1342" t="s">
        <v>451</v>
      </c>
      <c r="J1342" t="s">
        <v>22</v>
      </c>
      <c r="K1342" t="s">
        <v>12081</v>
      </c>
      <c r="L1342" t="s">
        <v>12086</v>
      </c>
      <c r="M1342" t="s">
        <v>25</v>
      </c>
      <c r="N1342" t="s">
        <v>12087</v>
      </c>
      <c r="O1342" t="s">
        <v>25</v>
      </c>
      <c r="P1342" t="s">
        <v>12088</v>
      </c>
      <c r="Q1342" t="s">
        <v>29</v>
      </c>
      <c r="R1342" t="s">
        <v>12084</v>
      </c>
      <c r="S1342" t="s">
        <v>12085</v>
      </c>
    </row>
    <row r="1343" spans="1:19" x14ac:dyDescent="0.25">
      <c r="A1343" s="1">
        <v>1341</v>
      </c>
      <c r="B1343" t="str">
        <f>HYPERLINK("https://www.dasschnelle.at/stojcevic-marco-zeltweg-bundestraße","Website")</f>
        <v>Website</v>
      </c>
      <c r="C1343" t="str">
        <f>HYPERLINK("http://www.marco-stojcevic.at","Website")</f>
        <v>Website</v>
      </c>
      <c r="D1343" t="str">
        <f>HYPERLINK("http://www.google.com/maps/place/47.0674902,14.2993422","Location")</f>
        <v>Location</v>
      </c>
      <c r="E1343" t="s">
        <v>12089</v>
      </c>
      <c r="F1343" t="s">
        <v>12090</v>
      </c>
      <c r="G1343" t="s">
        <v>12092</v>
      </c>
      <c r="H1343" t="s">
        <v>12093</v>
      </c>
      <c r="I1343" t="s">
        <v>451</v>
      </c>
      <c r="J1343" t="s">
        <v>22</v>
      </c>
      <c r="K1343" t="s">
        <v>12091</v>
      </c>
      <c r="L1343" t="s">
        <v>12096</v>
      </c>
      <c r="M1343" t="s">
        <v>25</v>
      </c>
      <c r="N1343" t="s">
        <v>12097</v>
      </c>
      <c r="O1343" t="s">
        <v>12098</v>
      </c>
      <c r="P1343" t="s">
        <v>12099</v>
      </c>
      <c r="Q1343" t="s">
        <v>29</v>
      </c>
      <c r="R1343" t="s">
        <v>12094</v>
      </c>
      <c r="S1343" t="s">
        <v>12095</v>
      </c>
    </row>
    <row r="1344" spans="1:19" x14ac:dyDescent="0.25">
      <c r="A1344" s="1">
        <v>1342</v>
      </c>
      <c r="B1344" t="str">
        <f>HYPERLINK("https://www.dasschnelle.at/reßmann-elke-vorstadt","Website")</f>
        <v>Website</v>
      </c>
      <c r="C1344" t="str">
        <f>HYPERLINK("http://www.blumen-ressmann.at","Website")</f>
        <v>Website</v>
      </c>
      <c r="D1344" t="str">
        <f>HYPERLINK("http://www.google.com/maps/place/47.2019465,14.2795895","Location")</f>
        <v>Location</v>
      </c>
      <c r="E1344" t="s">
        <v>12100</v>
      </c>
      <c r="F1344" t="s">
        <v>12101</v>
      </c>
      <c r="G1344" t="s">
        <v>12102</v>
      </c>
      <c r="H1344" t="s">
        <v>12103</v>
      </c>
      <c r="I1344" t="s">
        <v>451</v>
      </c>
      <c r="J1344" t="s">
        <v>22</v>
      </c>
      <c r="K1344" t="s">
        <v>25</v>
      </c>
      <c r="L1344" t="s">
        <v>12106</v>
      </c>
      <c r="M1344" t="s">
        <v>25</v>
      </c>
      <c r="N1344" t="s">
        <v>12107</v>
      </c>
      <c r="O1344" t="s">
        <v>25</v>
      </c>
      <c r="P1344" t="s">
        <v>12108</v>
      </c>
      <c r="Q1344" t="s">
        <v>29</v>
      </c>
      <c r="R1344" t="s">
        <v>12104</v>
      </c>
      <c r="S1344" t="s">
        <v>12105</v>
      </c>
    </row>
    <row r="1345" spans="1:19" x14ac:dyDescent="0.25">
      <c r="A1345" s="1">
        <v>1343</v>
      </c>
      <c r="B1345" t="str">
        <f>HYPERLINK("https://www.dasschnelle.at/leitner-daniela-gabriele-murau-keltensiedlung","Website")</f>
        <v>Website</v>
      </c>
      <c r="C1345" t="str">
        <f>HYPERLINK("http://www.haar-kult.at","Website")</f>
        <v>Website</v>
      </c>
      <c r="D1345" t="str">
        <f>HYPERLINK("http://www.google.com/maps/place/47.11286,14.18001","Location")</f>
        <v>Location</v>
      </c>
      <c r="E1345" t="s">
        <v>12109</v>
      </c>
      <c r="F1345" t="s">
        <v>12110</v>
      </c>
      <c r="G1345" t="s">
        <v>12112</v>
      </c>
      <c r="H1345" t="s">
        <v>12113</v>
      </c>
      <c r="I1345" t="s">
        <v>451</v>
      </c>
      <c r="J1345" t="s">
        <v>22</v>
      </c>
      <c r="K1345" t="s">
        <v>12111</v>
      </c>
      <c r="L1345" t="s">
        <v>12116</v>
      </c>
      <c r="M1345" t="s">
        <v>25</v>
      </c>
      <c r="N1345" t="s">
        <v>12117</v>
      </c>
      <c r="O1345" t="s">
        <v>25</v>
      </c>
      <c r="P1345" t="s">
        <v>12118</v>
      </c>
      <c r="Q1345" t="s">
        <v>29</v>
      </c>
      <c r="R1345" t="s">
        <v>12114</v>
      </c>
      <c r="S1345" t="s">
        <v>12115</v>
      </c>
    </row>
    <row r="1346" spans="1:19" x14ac:dyDescent="0.25">
      <c r="A1346" s="1">
        <v>1344</v>
      </c>
      <c r="B1346" t="str">
        <f>HYPERLINK("https://www.dasschnelle.at/elektro-kotnig-gesmbh-oberwölz-stadt-stadt","Website")</f>
        <v>Website</v>
      </c>
      <c r="C1346" t="str">
        <f>HYPERLINK("https://www.dasschnelle.at/elektro-kotnig-gesmbh-oberw%C3%B6lz-stadt-stadt","Website")</f>
        <v>Website</v>
      </c>
      <c r="D1346" t="str">
        <f>HYPERLINK("http://www.google.com/maps/place/47.20419,14.28198","Location")</f>
        <v>Location</v>
      </c>
      <c r="E1346" t="s">
        <v>12119</v>
      </c>
      <c r="F1346" t="s">
        <v>12120</v>
      </c>
      <c r="G1346" t="s">
        <v>12102</v>
      </c>
      <c r="H1346" t="s">
        <v>12122</v>
      </c>
      <c r="I1346" t="s">
        <v>451</v>
      </c>
      <c r="J1346" t="s">
        <v>22</v>
      </c>
      <c r="K1346" t="s">
        <v>12121</v>
      </c>
      <c r="L1346" t="s">
        <v>12125</v>
      </c>
      <c r="M1346" t="s">
        <v>12126</v>
      </c>
      <c r="N1346" t="s">
        <v>12127</v>
      </c>
      <c r="O1346" t="s">
        <v>25</v>
      </c>
      <c r="P1346" t="s">
        <v>12128</v>
      </c>
      <c r="Q1346" t="s">
        <v>29</v>
      </c>
      <c r="R1346" t="s">
        <v>12123</v>
      </c>
      <c r="S1346" t="s">
        <v>12124</v>
      </c>
    </row>
    <row r="1347" spans="1:19" x14ac:dyDescent="0.25">
      <c r="A1347" s="1">
        <v>1345</v>
      </c>
      <c r="B1347" t="str">
        <f>HYPERLINK("https://www.dasschnelle.at/leypold-gastronomie-og-murau-sankt-egidi","Website")</f>
        <v>Website</v>
      </c>
      <c r="C1347" t="str">
        <f>HYPERLINK("http://www.egidiwirt.at","Website")</f>
        <v>Website</v>
      </c>
      <c r="D1347" t="str">
        <f>HYPERLINK("http://www.google.com/maps/place/47.1115878,14.1874209","Location")</f>
        <v>Location</v>
      </c>
      <c r="E1347" t="s">
        <v>12129</v>
      </c>
      <c r="F1347" t="s">
        <v>12130</v>
      </c>
      <c r="G1347" t="s">
        <v>12112</v>
      </c>
      <c r="H1347" t="s">
        <v>12113</v>
      </c>
      <c r="I1347" t="s">
        <v>451</v>
      </c>
      <c r="J1347" t="s">
        <v>22</v>
      </c>
      <c r="K1347" t="s">
        <v>12131</v>
      </c>
      <c r="L1347" t="s">
        <v>12134</v>
      </c>
      <c r="M1347" t="s">
        <v>25</v>
      </c>
      <c r="N1347" t="s">
        <v>12135</v>
      </c>
      <c r="O1347" t="s">
        <v>25</v>
      </c>
      <c r="P1347" t="s">
        <v>12136</v>
      </c>
      <c r="Q1347" t="s">
        <v>29</v>
      </c>
      <c r="R1347" t="s">
        <v>12132</v>
      </c>
      <c r="S1347" t="s">
        <v>12133</v>
      </c>
    </row>
    <row r="1348" spans="1:19" x14ac:dyDescent="0.25">
      <c r="A1348" s="1">
        <v>1346</v>
      </c>
      <c r="B1348" t="str">
        <f>HYPERLINK("https://www.dasschnelle.at/apolloner-alexandra-zur-blume-stadl-an-der-mur-stadl-an-der-mur","Website")</f>
        <v>Website</v>
      </c>
      <c r="C1348" t="str">
        <f>HYPERLINK("http://www.zurblume.at","Website")</f>
        <v>Website</v>
      </c>
      <c r="D1348" t="str">
        <f>HYPERLINK("http://www.google.com/maps/place/47.0865114,13.9795368","Location")</f>
        <v>Location</v>
      </c>
      <c r="E1348" t="s">
        <v>12137</v>
      </c>
      <c r="F1348" t="s">
        <v>12138</v>
      </c>
      <c r="G1348" t="s">
        <v>12082</v>
      </c>
      <c r="H1348" t="s">
        <v>12140</v>
      </c>
      <c r="I1348" t="s">
        <v>451</v>
      </c>
      <c r="J1348" t="s">
        <v>22</v>
      </c>
      <c r="K1348" t="s">
        <v>12139</v>
      </c>
      <c r="L1348" t="s">
        <v>12143</v>
      </c>
      <c r="M1348" t="s">
        <v>25</v>
      </c>
      <c r="N1348" t="s">
        <v>12144</v>
      </c>
      <c r="O1348" t="s">
        <v>25</v>
      </c>
      <c r="P1348" t="s">
        <v>12145</v>
      </c>
      <c r="Q1348" t="s">
        <v>29</v>
      </c>
      <c r="R1348" t="s">
        <v>12141</v>
      </c>
      <c r="S1348" t="s">
        <v>12142</v>
      </c>
    </row>
    <row r="1349" spans="1:19" x14ac:dyDescent="0.25">
      <c r="A1349" s="1">
        <v>1347</v>
      </c>
      <c r="B1349" t="str">
        <f>HYPERLINK("https://www.dasschnelle.at/steiner-erich-steiner-baukunst-ranten-seebach","Website")</f>
        <v>Website</v>
      </c>
      <c r="C1349" t="str">
        <f>HYPERLINK("http://www.steiner-baukunst.at","Website")</f>
        <v>Website</v>
      </c>
      <c r="D1349" t="str">
        <f>HYPERLINK("http://www.google.com/maps/place/47.1638428,13.9667635","Location")</f>
        <v>Location</v>
      </c>
      <c r="E1349" t="s">
        <v>12146</v>
      </c>
      <c r="F1349" t="s">
        <v>12147</v>
      </c>
      <c r="G1349" t="s">
        <v>12149</v>
      </c>
      <c r="H1349" t="s">
        <v>12150</v>
      </c>
      <c r="I1349" t="s">
        <v>451</v>
      </c>
      <c r="J1349" t="s">
        <v>22</v>
      </c>
      <c r="K1349" t="s">
        <v>12148</v>
      </c>
      <c r="L1349" t="s">
        <v>12153</v>
      </c>
      <c r="M1349" t="s">
        <v>25</v>
      </c>
      <c r="N1349" t="s">
        <v>12154</v>
      </c>
      <c r="O1349" t="s">
        <v>25</v>
      </c>
      <c r="P1349" t="s">
        <v>12155</v>
      </c>
      <c r="Q1349" t="s">
        <v>29</v>
      </c>
      <c r="R1349" t="s">
        <v>12151</v>
      </c>
      <c r="S1349" t="s">
        <v>12152</v>
      </c>
    </row>
    <row r="1350" spans="1:19" x14ac:dyDescent="0.25">
      <c r="A1350" s="1">
        <v>1348</v>
      </c>
      <c r="B1350" t="str">
        <f>HYPERLINK("https://www.dasschnelle.at/fliesen-kaiser-gmbh-frojach-puxerboden","Website")</f>
        <v>Website</v>
      </c>
      <c r="C1350" t="str">
        <f>HYPERLINK("http://www.fliesen-kaiser.at","Website")</f>
        <v>Website</v>
      </c>
      <c r="D1350" t="str">
        <f>HYPERLINK("http://www.google.com/maps/place/47.13467,14.33314","Location")</f>
        <v>Location</v>
      </c>
      <c r="E1350" t="s">
        <v>12156</v>
      </c>
      <c r="F1350" t="s">
        <v>12157</v>
      </c>
      <c r="G1350" t="s">
        <v>12159</v>
      </c>
      <c r="H1350" t="s">
        <v>12160</v>
      </c>
      <c r="I1350" t="s">
        <v>451</v>
      </c>
      <c r="J1350" t="s">
        <v>22</v>
      </c>
      <c r="K1350" t="s">
        <v>12158</v>
      </c>
      <c r="L1350" t="s">
        <v>12163</v>
      </c>
      <c r="M1350" t="s">
        <v>12164</v>
      </c>
      <c r="N1350" t="s">
        <v>12165</v>
      </c>
      <c r="O1350" t="s">
        <v>25</v>
      </c>
      <c r="P1350" t="s">
        <v>12166</v>
      </c>
      <c r="Q1350" t="s">
        <v>29</v>
      </c>
      <c r="R1350" t="s">
        <v>12161</v>
      </c>
      <c r="S1350" t="s">
        <v>12162</v>
      </c>
    </row>
    <row r="1351" spans="1:19" x14ac:dyDescent="0.25">
      <c r="A1351" s="1">
        <v>1349</v>
      </c>
      <c r="B1351" t="str">
        <f>HYPERLINK("https://www.dasschnelle.at/et-könig-gmbh-lind-bei-scheifling-lindbergstraße","Website")</f>
        <v>Website</v>
      </c>
      <c r="C1351" t="str">
        <f>HYPERLINK("http://www.et-koenig.at","Website")</f>
        <v>Website</v>
      </c>
      <c r="D1351" t="str">
        <f>HYPERLINK("http://www.google.com/maps/place/47.15893,14.39773","Location")</f>
        <v>Location</v>
      </c>
      <c r="E1351" t="s">
        <v>12167</v>
      </c>
      <c r="F1351" t="s">
        <v>12168</v>
      </c>
      <c r="G1351" t="s">
        <v>12170</v>
      </c>
      <c r="H1351" t="s">
        <v>12171</v>
      </c>
      <c r="I1351" t="s">
        <v>451</v>
      </c>
      <c r="J1351" t="s">
        <v>22</v>
      </c>
      <c r="K1351" t="s">
        <v>12169</v>
      </c>
      <c r="L1351" t="s">
        <v>12174</v>
      </c>
      <c r="M1351" t="s">
        <v>25</v>
      </c>
      <c r="N1351" t="s">
        <v>12175</v>
      </c>
      <c r="O1351" t="s">
        <v>12176</v>
      </c>
      <c r="P1351" t="s">
        <v>12177</v>
      </c>
      <c r="Q1351" t="s">
        <v>29</v>
      </c>
      <c r="R1351" t="s">
        <v>12172</v>
      </c>
      <c r="S1351" t="s">
        <v>12173</v>
      </c>
    </row>
    <row r="1352" spans="1:19" x14ac:dyDescent="0.25">
      <c r="A1352" s="1">
        <v>1350</v>
      </c>
      <c r="B1352" t="str">
        <f>HYPERLINK("https://www.dasschnelle.at/brunner-walter-teufenbach-bundesstraße","Website")</f>
        <v>Website</v>
      </c>
      <c r="C1352" t="str">
        <f>HYPERLINK("http://www.forst-brunner.at","Website")</f>
        <v>Website</v>
      </c>
      <c r="D1352" t="str">
        <f>HYPERLINK("http://www.google.com/maps/place/47.1359,14.3637","Location")</f>
        <v>Location</v>
      </c>
      <c r="E1352" t="s">
        <v>12178</v>
      </c>
      <c r="F1352" t="s">
        <v>12179</v>
      </c>
      <c r="G1352" t="s">
        <v>12181</v>
      </c>
      <c r="H1352" t="s">
        <v>12182</v>
      </c>
      <c r="I1352" t="s">
        <v>451</v>
      </c>
      <c r="J1352" t="s">
        <v>22</v>
      </c>
      <c r="K1352" t="s">
        <v>12180</v>
      </c>
      <c r="L1352" t="s">
        <v>12185</v>
      </c>
      <c r="M1352" t="s">
        <v>12186</v>
      </c>
      <c r="N1352" t="s">
        <v>12187</v>
      </c>
      <c r="O1352" t="s">
        <v>25</v>
      </c>
      <c r="P1352" t="s">
        <v>12188</v>
      </c>
      <c r="Q1352" t="s">
        <v>29</v>
      </c>
      <c r="R1352" t="s">
        <v>12183</v>
      </c>
      <c r="S1352" t="s">
        <v>12184</v>
      </c>
    </row>
    <row r="1353" spans="1:19" x14ac:dyDescent="0.25">
      <c r="A1353" s="1">
        <v>1351</v>
      </c>
      <c r="B1353" t="str">
        <f>HYPERLINK("https://www.dasschnelle.at/kirchmoar-sankt-blasen-hinterbach","Website")</f>
        <v>Website</v>
      </c>
      <c r="C1353" t="str">
        <f>HYPERLINK("http://www.kirchmoar.at","Website")</f>
        <v>Website</v>
      </c>
      <c r="D1353" t="str">
        <f>HYPERLINK("http://www.google.com/maps/place/47.09389,14.30204","Location")</f>
        <v>Location</v>
      </c>
      <c r="E1353" t="s">
        <v>12189</v>
      </c>
      <c r="F1353" t="s">
        <v>12190</v>
      </c>
      <c r="G1353" t="s">
        <v>12060</v>
      </c>
      <c r="H1353" t="s">
        <v>12192</v>
      </c>
      <c r="I1353" t="s">
        <v>451</v>
      </c>
      <c r="J1353" t="s">
        <v>22</v>
      </c>
      <c r="K1353" t="s">
        <v>12191</v>
      </c>
      <c r="L1353" t="s">
        <v>12195</v>
      </c>
      <c r="M1353" t="s">
        <v>25</v>
      </c>
      <c r="N1353" t="s">
        <v>12196</v>
      </c>
      <c r="O1353" t="s">
        <v>25</v>
      </c>
      <c r="P1353" t="s">
        <v>12197</v>
      </c>
      <c r="Q1353" t="s">
        <v>29</v>
      </c>
      <c r="R1353" t="s">
        <v>12193</v>
      </c>
      <c r="S1353" t="s">
        <v>12194</v>
      </c>
    </row>
    <row r="1354" spans="1:19" x14ac:dyDescent="0.25">
      <c r="A1354" s="1">
        <v>1352</v>
      </c>
      <c r="B1354" t="str">
        <f>HYPERLINK("https://www.dasschnelle.at/wallner-brigitte-gasthof-seeblick-zeutschach","Website")</f>
        <v>Website</v>
      </c>
      <c r="C1354" t="str">
        <f>HYPERLINK("http://www.haus-seeblick.at","Website")</f>
        <v>Website</v>
      </c>
      <c r="D1354" t="str">
        <f>HYPERLINK("http://www.google.com/maps/place/47.0741722,14.3751878","Location")</f>
        <v>Location</v>
      </c>
      <c r="E1354" t="s">
        <v>12198</v>
      </c>
      <c r="F1354" t="s">
        <v>12199</v>
      </c>
      <c r="G1354" t="s">
        <v>12200</v>
      </c>
      <c r="H1354" t="s">
        <v>12201</v>
      </c>
      <c r="I1354" t="s">
        <v>451</v>
      </c>
      <c r="J1354" t="s">
        <v>22</v>
      </c>
      <c r="K1354" t="s">
        <v>25</v>
      </c>
      <c r="L1354" t="s">
        <v>12204</v>
      </c>
      <c r="M1354" t="s">
        <v>25</v>
      </c>
      <c r="N1354" t="s">
        <v>12205</v>
      </c>
      <c r="O1354" t="s">
        <v>25</v>
      </c>
      <c r="P1354" t="s">
        <v>12206</v>
      </c>
      <c r="Q1354" t="s">
        <v>29</v>
      </c>
      <c r="R1354" t="s">
        <v>12202</v>
      </c>
      <c r="S1354" t="s">
        <v>12203</v>
      </c>
    </row>
    <row r="1355" spans="1:19" x14ac:dyDescent="0.25">
      <c r="A1355" s="1">
        <v>1353</v>
      </c>
      <c r="B1355" t="str">
        <f>HYPERLINK("https://www.dasschnelle.at/st-fliesenverlegung-und-ofenbau-gmbh-murau-bundesstraße","Website")</f>
        <v>Website</v>
      </c>
      <c r="C1355" t="str">
        <f>HYPERLINK("http://www.st-fliesen.at","Website")</f>
        <v>Website</v>
      </c>
      <c r="D1355" t="str">
        <f>HYPERLINK("http://www.google.com/maps/place/47.11443,14.17234","Location")</f>
        <v>Location</v>
      </c>
      <c r="E1355" t="s">
        <v>12207</v>
      </c>
      <c r="F1355" t="s">
        <v>12208</v>
      </c>
      <c r="G1355" t="s">
        <v>12112</v>
      </c>
      <c r="H1355" t="s">
        <v>12113</v>
      </c>
      <c r="I1355" t="s">
        <v>451</v>
      </c>
      <c r="J1355" t="s">
        <v>22</v>
      </c>
      <c r="K1355" t="s">
        <v>12209</v>
      </c>
      <c r="L1355" t="s">
        <v>12212</v>
      </c>
      <c r="M1355" t="s">
        <v>12213</v>
      </c>
      <c r="N1355" t="s">
        <v>12214</v>
      </c>
      <c r="O1355" t="s">
        <v>25</v>
      </c>
      <c r="P1355" t="s">
        <v>12215</v>
      </c>
      <c r="Q1355" t="s">
        <v>29</v>
      </c>
      <c r="R1355" t="s">
        <v>12210</v>
      </c>
      <c r="S1355" t="s">
        <v>12211</v>
      </c>
    </row>
    <row r="1356" spans="1:19" x14ac:dyDescent="0.25">
      <c r="A1356" s="1">
        <v>1354</v>
      </c>
      <c r="B1356" t="str">
        <f>HYPERLINK("https://www.dasschnelle.at/neumann-stefan-mariahof-diemersdorf","Website")</f>
        <v>Website</v>
      </c>
      <c r="C1356" t="str">
        <f>HYPERLINK("https://www.dasschnelle.at/neumann-stefan-mariahof-diemersdorf","Website")</f>
        <v>Website</v>
      </c>
      <c r="D1356" t="str">
        <f>HYPERLINK("http://www.google.com/maps/place/47.0871542,14.4291344","Location")</f>
        <v>Location</v>
      </c>
      <c r="E1356" t="s">
        <v>12216</v>
      </c>
      <c r="F1356" t="s">
        <v>12217</v>
      </c>
      <c r="G1356" t="s">
        <v>12050</v>
      </c>
      <c r="H1356" t="s">
        <v>12051</v>
      </c>
      <c r="I1356" t="s">
        <v>451</v>
      </c>
      <c r="J1356" t="s">
        <v>22</v>
      </c>
      <c r="K1356" t="s">
        <v>12218</v>
      </c>
      <c r="L1356" t="s">
        <v>12221</v>
      </c>
      <c r="M1356" t="s">
        <v>25</v>
      </c>
      <c r="N1356" t="s">
        <v>12222</v>
      </c>
      <c r="O1356" t="s">
        <v>25</v>
      </c>
      <c r="P1356" t="s">
        <v>12223</v>
      </c>
      <c r="Q1356" t="s">
        <v>29</v>
      </c>
      <c r="R1356" t="s">
        <v>12219</v>
      </c>
      <c r="S1356" t="s">
        <v>12220</v>
      </c>
    </row>
    <row r="1357" spans="1:19" x14ac:dyDescent="0.25">
      <c r="A1357" s="1">
        <v>1355</v>
      </c>
      <c r="B1357" t="str">
        <f>HYPERLINK("https://www.dasschnelle.at/weinberger-oswald-neumarkt-schwimmbadstraße","Website")</f>
        <v>Website</v>
      </c>
      <c r="C1357" t="str">
        <f>HYPERLINK("https://www.dasschnelle.at/weinberger-oswald-neumarkt-schwimmbadstra%C3%9Fe","Website")</f>
        <v>Website</v>
      </c>
      <c r="D1357" t="str">
        <f>HYPERLINK("http://www.google.com/maps/place/47.0728323,14.4288474","Location")</f>
        <v>Location</v>
      </c>
      <c r="E1357" t="s">
        <v>12224</v>
      </c>
      <c r="F1357" t="s">
        <v>12225</v>
      </c>
      <c r="G1357" t="s">
        <v>12200</v>
      </c>
      <c r="H1357" t="s">
        <v>12227</v>
      </c>
      <c r="I1357" t="s">
        <v>451</v>
      </c>
      <c r="J1357" t="s">
        <v>22</v>
      </c>
      <c r="K1357" t="s">
        <v>12226</v>
      </c>
      <c r="L1357" t="s">
        <v>12230</v>
      </c>
      <c r="M1357" t="s">
        <v>25</v>
      </c>
      <c r="N1357" t="s">
        <v>12231</v>
      </c>
      <c r="O1357" t="s">
        <v>25</v>
      </c>
      <c r="P1357" t="s">
        <v>12232</v>
      </c>
      <c r="Q1357" t="s">
        <v>29</v>
      </c>
      <c r="R1357" t="s">
        <v>12228</v>
      </c>
      <c r="S1357" t="s">
        <v>12229</v>
      </c>
    </row>
    <row r="1358" spans="1:19" x14ac:dyDescent="0.25">
      <c r="A1358" s="1">
        <v>1356</v>
      </c>
      <c r="B1358" t="str">
        <f>HYPERLINK("https://www.dasschnelle.at/silke-s-beautysalon-neumarkt-wiener-straße","Website")</f>
        <v>Website</v>
      </c>
      <c r="C1358" t="str">
        <f>HYPERLINK("https://www.dasschnelle.at/silke-s-beautysalon-neumarkt-wiener-stra%C3%9Fe","Website")</f>
        <v>Website</v>
      </c>
      <c r="D1358" t="str">
        <f>HYPERLINK("http://www.google.com/maps/place/47.0659458,14.4312476","Location")</f>
        <v>Location</v>
      </c>
      <c r="E1358" t="s">
        <v>12233</v>
      </c>
      <c r="F1358" t="s">
        <v>12234</v>
      </c>
      <c r="G1358" t="s">
        <v>12200</v>
      </c>
      <c r="H1358" t="s">
        <v>12227</v>
      </c>
      <c r="I1358" t="s">
        <v>451</v>
      </c>
      <c r="J1358" t="s">
        <v>22</v>
      </c>
      <c r="K1358" t="s">
        <v>12235</v>
      </c>
      <c r="L1358" t="s">
        <v>12238</v>
      </c>
      <c r="M1358" t="s">
        <v>25</v>
      </c>
      <c r="N1358" t="s">
        <v>12239</v>
      </c>
      <c r="O1358" t="s">
        <v>25</v>
      </c>
      <c r="P1358" t="s">
        <v>12240</v>
      </c>
      <c r="Q1358" t="s">
        <v>29</v>
      </c>
      <c r="R1358" t="s">
        <v>12236</v>
      </c>
      <c r="S1358" t="s">
        <v>12237</v>
      </c>
    </row>
    <row r="1359" spans="1:19" x14ac:dyDescent="0.25">
      <c r="A1359" s="1">
        <v>1357</v>
      </c>
      <c r="B1359" t="str">
        <f>HYPERLINK("https://www.dasschnelle.at/elektro-markolin-gmbh-neumarkt-altenbach","Website")</f>
        <v>Website</v>
      </c>
      <c r="C1359" t="str">
        <f>HYPERLINK("http://www.markolin.at","Website")</f>
        <v>Website</v>
      </c>
      <c r="D1359" t="str">
        <f>HYPERLINK("http://www.google.com/maps/place/47.0799565,14.4258482","Location")</f>
        <v>Location</v>
      </c>
      <c r="E1359" t="s">
        <v>12241</v>
      </c>
      <c r="F1359" t="s">
        <v>12242</v>
      </c>
      <c r="G1359" t="s">
        <v>12200</v>
      </c>
      <c r="H1359" t="s">
        <v>12227</v>
      </c>
      <c r="I1359" t="s">
        <v>451</v>
      </c>
      <c r="J1359" t="s">
        <v>22</v>
      </c>
      <c r="K1359" t="s">
        <v>12243</v>
      </c>
      <c r="L1359" t="s">
        <v>12246</v>
      </c>
      <c r="M1359" t="s">
        <v>25</v>
      </c>
      <c r="N1359" t="s">
        <v>12247</v>
      </c>
      <c r="O1359" t="s">
        <v>25</v>
      </c>
      <c r="P1359" t="s">
        <v>12248</v>
      </c>
      <c r="Q1359" t="s">
        <v>29</v>
      </c>
      <c r="R1359" t="s">
        <v>12244</v>
      </c>
      <c r="S1359" t="s">
        <v>12245</v>
      </c>
    </row>
    <row r="1360" spans="1:19" x14ac:dyDescent="0.25">
      <c r="A1360" s="1">
        <v>1358</v>
      </c>
      <c r="B1360" t="str">
        <f>HYPERLINK("https://www.dasschnelle.at/waffen-gruber-kg-murau-anna-neumann-straße","Website")</f>
        <v>Website</v>
      </c>
      <c r="C1360" t="str">
        <f>HYPERLINK("http://www.waffengruber.at","Website")</f>
        <v>Website</v>
      </c>
      <c r="D1360" t="str">
        <f>HYPERLINK("http://www.google.com/maps/place/47.11026,14.16845","Location")</f>
        <v>Location</v>
      </c>
      <c r="E1360" t="s">
        <v>12249</v>
      </c>
      <c r="F1360" t="s">
        <v>12250</v>
      </c>
      <c r="G1360" t="s">
        <v>12112</v>
      </c>
      <c r="H1360" t="s">
        <v>12113</v>
      </c>
      <c r="I1360" t="s">
        <v>451</v>
      </c>
      <c r="J1360" t="s">
        <v>22</v>
      </c>
      <c r="K1360" t="s">
        <v>12251</v>
      </c>
      <c r="L1360" t="s">
        <v>12254</v>
      </c>
      <c r="M1360" t="s">
        <v>12255</v>
      </c>
      <c r="N1360" t="s">
        <v>12256</v>
      </c>
      <c r="O1360" t="s">
        <v>12257</v>
      </c>
      <c r="P1360" t="s">
        <v>12258</v>
      </c>
      <c r="Q1360" t="s">
        <v>29</v>
      </c>
      <c r="R1360" t="s">
        <v>12252</v>
      </c>
      <c r="S1360" t="s">
        <v>12253</v>
      </c>
    </row>
    <row r="1361" spans="1:19" x14ac:dyDescent="0.25">
      <c r="A1361" s="1">
        <v>1359</v>
      </c>
      <c r="B1361" t="str">
        <f>HYPERLINK("https://www.dasschnelle.at/far-janos-murau-schillerplatz","Website")</f>
        <v>Website</v>
      </c>
      <c r="C1361" t="str">
        <f>HYPERLINK("http://www.platzhirschmurau.at","Website")</f>
        <v>Website</v>
      </c>
      <c r="D1361" t="str">
        <f>HYPERLINK("http://www.google.com/maps/place/47.11047,14.17225","Location")</f>
        <v>Location</v>
      </c>
      <c r="E1361" t="s">
        <v>12259</v>
      </c>
      <c r="F1361" t="s">
        <v>12260</v>
      </c>
      <c r="G1361" t="s">
        <v>12112</v>
      </c>
      <c r="H1361" t="s">
        <v>12113</v>
      </c>
      <c r="I1361" t="s">
        <v>451</v>
      </c>
      <c r="J1361" t="s">
        <v>22</v>
      </c>
      <c r="K1361" t="s">
        <v>12261</v>
      </c>
      <c r="L1361" t="s">
        <v>12264</v>
      </c>
      <c r="M1361" t="s">
        <v>25</v>
      </c>
      <c r="N1361" t="s">
        <v>12265</v>
      </c>
      <c r="O1361" t="s">
        <v>25</v>
      </c>
      <c r="P1361" t="s">
        <v>697</v>
      </c>
      <c r="Q1361" t="s">
        <v>29</v>
      </c>
      <c r="R1361" t="s">
        <v>12262</v>
      </c>
      <c r="S1361" t="s">
        <v>12263</v>
      </c>
    </row>
    <row r="1362" spans="1:19" x14ac:dyDescent="0.25">
      <c r="A1362" s="1">
        <v>1360</v>
      </c>
      <c r="B1362" t="str">
        <f>HYPERLINK("https://www.dasschnelle.at/prodinger-gmbh-predlitz-pirning","Website")</f>
        <v>Website</v>
      </c>
      <c r="C1362" t="str">
        <f>HYPERLINK("https://www.dasschnelle.at/prodinger-gmbh-predlitz-pirning","Website")</f>
        <v>Website</v>
      </c>
      <c r="D1362" t="str">
        <f>HYPERLINK("http://www.google.com/maps/place/47.07239,13.91602","Location")</f>
        <v>Location</v>
      </c>
      <c r="E1362" t="s">
        <v>12266</v>
      </c>
      <c r="F1362" t="s">
        <v>12267</v>
      </c>
      <c r="G1362" t="s">
        <v>12028</v>
      </c>
      <c r="H1362" t="s">
        <v>12029</v>
      </c>
      <c r="I1362" t="s">
        <v>451</v>
      </c>
      <c r="J1362" t="s">
        <v>22</v>
      </c>
      <c r="K1362" t="s">
        <v>12268</v>
      </c>
      <c r="L1362" t="s">
        <v>12271</v>
      </c>
      <c r="M1362" t="s">
        <v>25</v>
      </c>
      <c r="N1362" t="s">
        <v>12272</v>
      </c>
      <c r="O1362" t="s">
        <v>25</v>
      </c>
      <c r="P1362" t="s">
        <v>12273</v>
      </c>
      <c r="Q1362" t="s">
        <v>29</v>
      </c>
      <c r="R1362" t="s">
        <v>12269</v>
      </c>
      <c r="S1362" t="s">
        <v>12270</v>
      </c>
    </row>
    <row r="1363" spans="1:19" x14ac:dyDescent="0.25">
      <c r="A1363" s="1">
        <v>1361</v>
      </c>
      <c r="B1363" t="str">
        <f>HYPERLINK("https://www.dasschnelle.at/fliesen-debelak-st-peter-am-kammersberg-st-peter-am-kammersberg","Website")</f>
        <v>Website</v>
      </c>
      <c r="C1363" t="str">
        <f>HYPERLINK("https://www.dasschnelle.at/fliesen-debelak-st-peter-am-kammersberg-st-peter-am-kammersberg","Website")</f>
        <v>Website</v>
      </c>
      <c r="D1363" t="str">
        <f>HYPERLINK("http://www.google.com/maps/place/47.1895973,14.2094112","Location")</f>
        <v>Location</v>
      </c>
      <c r="E1363" t="s">
        <v>12274</v>
      </c>
      <c r="F1363" t="s">
        <v>12275</v>
      </c>
      <c r="G1363" t="s">
        <v>12277</v>
      </c>
      <c r="H1363" t="s">
        <v>12278</v>
      </c>
      <c r="I1363" t="s">
        <v>451</v>
      </c>
      <c r="J1363" t="s">
        <v>22</v>
      </c>
      <c r="K1363" t="s">
        <v>12276</v>
      </c>
      <c r="L1363" t="s">
        <v>12281</v>
      </c>
      <c r="M1363" t="s">
        <v>25</v>
      </c>
      <c r="N1363" t="s">
        <v>12282</v>
      </c>
      <c r="O1363" t="s">
        <v>12283</v>
      </c>
      <c r="P1363" t="s">
        <v>12284</v>
      </c>
      <c r="Q1363" t="s">
        <v>29</v>
      </c>
      <c r="R1363" t="s">
        <v>12279</v>
      </c>
      <c r="S1363" t="s">
        <v>12280</v>
      </c>
    </row>
    <row r="1364" spans="1:19" x14ac:dyDescent="0.25">
      <c r="A1364" s="1">
        <v>1362</v>
      </c>
      <c r="B1364" t="str">
        <f>HYPERLINK("https://www.dasschnelle.at/real-wohn-center-oberes-murtal-murau-murau-schillerplatz","Website")</f>
        <v>Website</v>
      </c>
      <c r="C1364" t="str">
        <f>HYPERLINK("http://www.sreal.at","Website")</f>
        <v>Website</v>
      </c>
      <c r="D1364" t="str">
        <f>HYPERLINK("http://www.google.com/maps/place/47.11034,14.17166","Location")</f>
        <v>Location</v>
      </c>
      <c r="E1364" t="s">
        <v>12285</v>
      </c>
      <c r="F1364" t="s">
        <v>12286</v>
      </c>
      <c r="G1364" t="s">
        <v>12112</v>
      </c>
      <c r="H1364" t="s">
        <v>12113</v>
      </c>
      <c r="I1364" t="s">
        <v>451</v>
      </c>
      <c r="J1364" t="s">
        <v>22</v>
      </c>
      <c r="K1364" t="s">
        <v>12287</v>
      </c>
      <c r="L1364" t="s">
        <v>12290</v>
      </c>
      <c r="M1364" t="s">
        <v>12291</v>
      </c>
      <c r="N1364" t="s">
        <v>12292</v>
      </c>
      <c r="O1364" t="s">
        <v>25</v>
      </c>
      <c r="P1364" t="s">
        <v>12293</v>
      </c>
      <c r="Q1364" t="s">
        <v>29</v>
      </c>
      <c r="R1364" t="s">
        <v>12288</v>
      </c>
      <c r="S1364" t="s">
        <v>12289</v>
      </c>
    </row>
    <row r="1365" spans="1:19" x14ac:dyDescent="0.25">
      <c r="A1365" s="1">
        <v>1363</v>
      </c>
      <c r="B1365" t="str">
        <f>HYPERLINK("https://www.dasschnelle.at/zechner-christian-neumarkt-in-der-steiermark-sankt-georgen-bei-neumarkt","Website")</f>
        <v>Website</v>
      </c>
      <c r="C1365" t="str">
        <f>HYPERLINK("http://www.schotter-zechner.at","Website")</f>
        <v>Website</v>
      </c>
      <c r="D1365" t="str">
        <f>HYPERLINK("http://www.google.com/maps/place/47.0748444,14.4846396","Location")</f>
        <v>Location</v>
      </c>
      <c r="E1365" t="s">
        <v>12294</v>
      </c>
      <c r="F1365" t="s">
        <v>12295</v>
      </c>
      <c r="G1365" t="s">
        <v>12200</v>
      </c>
      <c r="H1365" t="s">
        <v>12297</v>
      </c>
      <c r="I1365" t="s">
        <v>451</v>
      </c>
      <c r="J1365" t="s">
        <v>22</v>
      </c>
      <c r="K1365" t="s">
        <v>12296</v>
      </c>
      <c r="L1365" t="s">
        <v>12300</v>
      </c>
      <c r="M1365" t="s">
        <v>25</v>
      </c>
      <c r="N1365" t="s">
        <v>12301</v>
      </c>
      <c r="O1365" t="s">
        <v>25</v>
      </c>
      <c r="P1365" t="s">
        <v>12302</v>
      </c>
      <c r="Q1365" t="s">
        <v>29</v>
      </c>
      <c r="R1365" t="s">
        <v>12298</v>
      </c>
      <c r="S1365" t="s">
        <v>12299</v>
      </c>
    </row>
    <row r="1366" spans="1:19" x14ac:dyDescent="0.25">
      <c r="A1366" s="1">
        <v>1364</v>
      </c>
      <c r="B1366" t="str">
        <f>HYPERLINK("https://www.dasschnelle.at/watzl-thomas-kirchdorf-an-der-krems-bahnhofstraße","Website")</f>
        <v>Website</v>
      </c>
      <c r="C1366" t="str">
        <f>HYPERLINK("http://www.tischlerei-watzl.at","Website")</f>
        <v>Website</v>
      </c>
      <c r="D1366" t="str">
        <f>HYPERLINK("http://www.google.com/maps/place/47.90478,14.11811","Location")</f>
        <v>Location</v>
      </c>
      <c r="E1366" t="s">
        <v>12303</v>
      </c>
      <c r="F1366" t="s">
        <v>12304</v>
      </c>
      <c r="G1366" t="s">
        <v>12306</v>
      </c>
      <c r="H1366" t="s">
        <v>12307</v>
      </c>
      <c r="I1366" t="s">
        <v>85</v>
      </c>
      <c r="J1366" t="s">
        <v>22</v>
      </c>
      <c r="K1366" t="s">
        <v>12305</v>
      </c>
      <c r="L1366" t="s">
        <v>12310</v>
      </c>
      <c r="M1366" t="s">
        <v>25</v>
      </c>
      <c r="N1366" t="s">
        <v>12311</v>
      </c>
      <c r="O1366" t="s">
        <v>25</v>
      </c>
      <c r="P1366" t="s">
        <v>12312</v>
      </c>
      <c r="Q1366" t="s">
        <v>29</v>
      </c>
      <c r="R1366" t="s">
        <v>12308</v>
      </c>
      <c r="S1366" t="s">
        <v>12309</v>
      </c>
    </row>
    <row r="1367" spans="1:19" x14ac:dyDescent="0.25">
      <c r="A1367" s="1">
        <v>1365</v>
      </c>
      <c r="B1367" t="str">
        <f>HYPERLINK("https://www.dasschnelle.at/pension-jageredt-minichmair-martina-nußbach-jageredt","Website")</f>
        <v>Website</v>
      </c>
      <c r="C1367" t="str">
        <f>HYPERLINK("http://www.pension-jageredt.at","Website")</f>
        <v>Website</v>
      </c>
      <c r="D1367" t="str">
        <f>HYPERLINK("http://www.google.com/maps/place/47.9597917,14.1338317","Location")</f>
        <v>Location</v>
      </c>
      <c r="E1367" t="s">
        <v>12313</v>
      </c>
      <c r="F1367" t="s">
        <v>12314</v>
      </c>
      <c r="G1367" t="s">
        <v>12316</v>
      </c>
      <c r="H1367" t="s">
        <v>12317</v>
      </c>
      <c r="I1367" t="s">
        <v>85</v>
      </c>
      <c r="J1367" t="s">
        <v>22</v>
      </c>
      <c r="K1367" t="s">
        <v>12315</v>
      </c>
      <c r="L1367" t="s">
        <v>12320</v>
      </c>
      <c r="M1367" t="s">
        <v>12321</v>
      </c>
      <c r="N1367" t="s">
        <v>12322</v>
      </c>
      <c r="O1367" t="s">
        <v>12323</v>
      </c>
      <c r="P1367" t="s">
        <v>12324</v>
      </c>
      <c r="Q1367" t="s">
        <v>29</v>
      </c>
      <c r="R1367" t="s">
        <v>12318</v>
      </c>
      <c r="S1367" t="s">
        <v>12319</v>
      </c>
    </row>
    <row r="1368" spans="1:19" x14ac:dyDescent="0.25">
      <c r="A1368" s="1">
        <v>1366</v>
      </c>
      <c r="B1368" t="str">
        <f>HYPERLINK("https://www.dasschnelle.at/schmidberger-og-molln-schmiedstraße","Website")</f>
        <v>Website</v>
      </c>
      <c r="C1368" t="str">
        <f>HYPERLINK("http://www.schmiede-schmidberger.at","Website")</f>
        <v>Website</v>
      </c>
      <c r="D1368" t="str">
        <f>HYPERLINK("http://www.google.com/maps/place/47.88171,14.26475","Location")</f>
        <v>Location</v>
      </c>
      <c r="E1368" t="s">
        <v>12325</v>
      </c>
      <c r="F1368" t="s">
        <v>12326</v>
      </c>
      <c r="G1368" t="s">
        <v>12328</v>
      </c>
      <c r="H1368" t="s">
        <v>12329</v>
      </c>
      <c r="I1368" t="s">
        <v>85</v>
      </c>
      <c r="J1368" t="s">
        <v>22</v>
      </c>
      <c r="K1368" t="s">
        <v>12327</v>
      </c>
      <c r="L1368" t="s">
        <v>12332</v>
      </c>
      <c r="M1368" t="s">
        <v>25</v>
      </c>
      <c r="N1368" t="s">
        <v>12333</v>
      </c>
      <c r="O1368" t="s">
        <v>12334</v>
      </c>
      <c r="P1368" t="s">
        <v>12335</v>
      </c>
      <c r="Q1368" t="s">
        <v>29</v>
      </c>
      <c r="R1368" t="s">
        <v>12330</v>
      </c>
      <c r="S1368" t="s">
        <v>12331</v>
      </c>
    </row>
    <row r="1369" spans="1:19" x14ac:dyDescent="0.25">
      <c r="A1369" s="1">
        <v>1367</v>
      </c>
      <c r="B1369" t="str">
        <f>HYPERLINK("https://www.dasschnelle.at/dachdeckerei-spenglerei-baldauf-pfundbauer-gmbh-molln-zimeck","Website")</f>
        <v>Website</v>
      </c>
      <c r="C1369" t="str">
        <f>HYPERLINK("http://www.dachdeckerei-baldauf.at","Website")</f>
        <v>Website</v>
      </c>
      <c r="D1369" t="str">
        <f>HYPERLINK("http://www.google.com/maps/place/47.88548,14.24476","Location")</f>
        <v>Location</v>
      </c>
      <c r="E1369" t="s">
        <v>12336</v>
      </c>
      <c r="F1369" t="s">
        <v>12337</v>
      </c>
      <c r="G1369" t="s">
        <v>12328</v>
      </c>
      <c r="H1369" t="s">
        <v>12329</v>
      </c>
      <c r="I1369" t="s">
        <v>85</v>
      </c>
      <c r="J1369" t="s">
        <v>22</v>
      </c>
      <c r="K1369" t="s">
        <v>12338</v>
      </c>
      <c r="L1369" t="s">
        <v>12341</v>
      </c>
      <c r="M1369" t="s">
        <v>25</v>
      </c>
      <c r="N1369" t="s">
        <v>12342</v>
      </c>
      <c r="O1369" t="s">
        <v>25</v>
      </c>
      <c r="P1369" t="s">
        <v>12343</v>
      </c>
      <c r="Q1369" t="s">
        <v>29</v>
      </c>
      <c r="R1369" t="s">
        <v>12339</v>
      </c>
      <c r="S1369" t="s">
        <v>12340</v>
      </c>
    </row>
    <row r="1370" spans="1:19" x14ac:dyDescent="0.25">
      <c r="A1370" s="1">
        <v>1368</v>
      </c>
      <c r="B1370" t="str">
        <f>HYPERLINK("https://www.dasschnelle.at/la-belle-das-nagelstudio-molln-parkstraße","Website")</f>
        <v>Website</v>
      </c>
      <c r="C1370" t="str">
        <f>HYPERLINK("https://www.dasschnelle.at/la-belle-das-nagelstudio-molln-parkstra%C3%9Fe","Website")</f>
        <v>Website</v>
      </c>
      <c r="D1370" t="str">
        <f>HYPERLINK("http://www.google.com/maps/place/47.88832,14.26086","Location")</f>
        <v>Location</v>
      </c>
      <c r="E1370" t="s">
        <v>12344</v>
      </c>
      <c r="F1370" t="s">
        <v>12345</v>
      </c>
      <c r="G1370" t="s">
        <v>12328</v>
      </c>
      <c r="H1370" t="s">
        <v>12329</v>
      </c>
      <c r="I1370" t="s">
        <v>85</v>
      </c>
      <c r="J1370" t="s">
        <v>22</v>
      </c>
      <c r="K1370" t="s">
        <v>12346</v>
      </c>
      <c r="L1370" t="s">
        <v>12349</v>
      </c>
      <c r="M1370" t="s">
        <v>25</v>
      </c>
      <c r="N1370" t="s">
        <v>12350</v>
      </c>
      <c r="O1370" t="s">
        <v>25</v>
      </c>
      <c r="P1370" t="s">
        <v>12351</v>
      </c>
      <c r="Q1370" t="s">
        <v>29</v>
      </c>
      <c r="R1370" t="s">
        <v>12347</v>
      </c>
      <c r="S1370" t="s">
        <v>12348</v>
      </c>
    </row>
    <row r="1371" spans="1:19" x14ac:dyDescent="0.25">
      <c r="A1371" s="1">
        <v>1369</v>
      </c>
      <c r="B1371" t="str">
        <f>HYPERLINK("https://www.dasschnelle.at/polsterer-harald-schlierbach-georg-platzer-weg","Website")</f>
        <v>Website</v>
      </c>
      <c r="C1371" t="str">
        <f>HYPERLINK("https://www.dasschnelle.at/polsterer-harald-schlierbach-georg-platzer-weg","Website")</f>
        <v>Website</v>
      </c>
      <c r="D1371" t="str">
        <f>HYPERLINK("http://www.google.com/maps/place/47.9445,14.12899","Location")</f>
        <v>Location</v>
      </c>
      <c r="E1371" t="s">
        <v>12352</v>
      </c>
      <c r="F1371" t="s">
        <v>12353</v>
      </c>
      <c r="G1371" t="s">
        <v>12355</v>
      </c>
      <c r="H1371" t="s">
        <v>12356</v>
      </c>
      <c r="I1371" t="s">
        <v>85</v>
      </c>
      <c r="J1371" t="s">
        <v>22</v>
      </c>
      <c r="K1371" t="s">
        <v>12354</v>
      </c>
      <c r="L1371" t="s">
        <v>12359</v>
      </c>
      <c r="M1371" t="s">
        <v>25</v>
      </c>
      <c r="N1371" t="s">
        <v>12360</v>
      </c>
      <c r="O1371" t="s">
        <v>25</v>
      </c>
      <c r="P1371" t="s">
        <v>12361</v>
      </c>
      <c r="Q1371" t="s">
        <v>29</v>
      </c>
      <c r="R1371" t="s">
        <v>12357</v>
      </c>
      <c r="S1371" t="s">
        <v>12358</v>
      </c>
    </row>
    <row r="1372" spans="1:19" x14ac:dyDescent="0.25">
      <c r="A1372" s="1">
        <v>1370</v>
      </c>
      <c r="B1372" t="str">
        <f>HYPERLINK("https://www.dasschnelle.at/wagner-otmar-molln-dr-bauer-straße","Website")</f>
        <v>Website</v>
      </c>
      <c r="C1372" t="str">
        <f>HYPERLINK("http://www.kfzwagner-molln.at","Website")</f>
        <v>Website</v>
      </c>
      <c r="D1372" t="str">
        <f>HYPERLINK("http://www.google.com/maps/place/47.88731,14.26423","Location")</f>
        <v>Location</v>
      </c>
      <c r="E1372" t="s">
        <v>12362</v>
      </c>
      <c r="F1372" t="s">
        <v>12363</v>
      </c>
      <c r="G1372" t="s">
        <v>12328</v>
      </c>
      <c r="H1372" t="s">
        <v>12329</v>
      </c>
      <c r="I1372" t="s">
        <v>85</v>
      </c>
      <c r="J1372" t="s">
        <v>22</v>
      </c>
      <c r="K1372" t="s">
        <v>12364</v>
      </c>
      <c r="L1372" t="s">
        <v>12367</v>
      </c>
      <c r="M1372" t="s">
        <v>12368</v>
      </c>
      <c r="N1372" t="s">
        <v>12369</v>
      </c>
      <c r="O1372" t="s">
        <v>25</v>
      </c>
      <c r="P1372" t="s">
        <v>12370</v>
      </c>
      <c r="Q1372" t="s">
        <v>29</v>
      </c>
      <c r="R1372" t="s">
        <v>12365</v>
      </c>
      <c r="S1372" t="s">
        <v>12366</v>
      </c>
    </row>
    <row r="1373" spans="1:19" x14ac:dyDescent="0.25">
      <c r="A1373" s="1">
        <v>1371</v>
      </c>
      <c r="B1373" t="str">
        <f>HYPERLINK("https://www.dasschnelle.at/pauzenberger-c-dr-kirchdorf-an-der-krems-krankenhausstraße","Website")</f>
        <v>Website</v>
      </c>
      <c r="C1373" t="str">
        <f>HYPERLINK("https://www.dasschnelle.at/pauzenberger-c-dr-kirchdorf-an-der-krems-krankenhausstra%C3%9Fe","Website")</f>
        <v>Website</v>
      </c>
      <c r="D1373" t="str">
        <f>HYPERLINK("http://www.google.com/maps/place/47.90755,14.12364","Location")</f>
        <v>Location</v>
      </c>
      <c r="E1373" t="s">
        <v>12371</v>
      </c>
      <c r="F1373" t="s">
        <v>12372</v>
      </c>
      <c r="G1373" t="s">
        <v>12306</v>
      </c>
      <c r="H1373" t="s">
        <v>12307</v>
      </c>
      <c r="I1373" t="s">
        <v>85</v>
      </c>
      <c r="J1373" t="s">
        <v>22</v>
      </c>
      <c r="K1373" t="s">
        <v>12373</v>
      </c>
      <c r="L1373" t="s">
        <v>12376</v>
      </c>
      <c r="M1373" t="s">
        <v>25</v>
      </c>
      <c r="N1373" t="s">
        <v>25</v>
      </c>
      <c r="O1373" t="s">
        <v>25</v>
      </c>
      <c r="P1373" t="s">
        <v>12377</v>
      </c>
      <c r="Q1373" t="s">
        <v>29</v>
      </c>
      <c r="R1373" t="s">
        <v>12374</v>
      </c>
      <c r="S1373" t="s">
        <v>12375</v>
      </c>
    </row>
    <row r="1374" spans="1:19" x14ac:dyDescent="0.25">
      <c r="A1374" s="1">
        <v>1372</v>
      </c>
      <c r="B1374" t="str">
        <f>HYPERLINK("https://www.dasschnelle.at/hauer-hubmer-gmbh-wartberg-an-der-krems-hauptstraße","Website")</f>
        <v>Website</v>
      </c>
      <c r="C1374" t="str">
        <f>HYPERLINK("http://www.hauer1a.at","Website")</f>
        <v>Website</v>
      </c>
      <c r="D1374" t="str">
        <f>HYPERLINK("http://www.google.com/maps/place/47.9883024,14.1157435","Location")</f>
        <v>Location</v>
      </c>
      <c r="E1374" t="s">
        <v>12378</v>
      </c>
      <c r="F1374" t="s">
        <v>12379</v>
      </c>
      <c r="G1374" t="s">
        <v>12381</v>
      </c>
      <c r="H1374" t="s">
        <v>12382</v>
      </c>
      <c r="I1374" t="s">
        <v>85</v>
      </c>
      <c r="J1374" t="s">
        <v>22</v>
      </c>
      <c r="K1374" t="s">
        <v>12380</v>
      </c>
      <c r="L1374" t="s">
        <v>12385</v>
      </c>
      <c r="M1374" t="s">
        <v>25</v>
      </c>
      <c r="N1374" t="s">
        <v>12386</v>
      </c>
      <c r="O1374" t="s">
        <v>25</v>
      </c>
      <c r="P1374" t="s">
        <v>12387</v>
      </c>
      <c r="Q1374" t="s">
        <v>29</v>
      </c>
      <c r="R1374" t="s">
        <v>12383</v>
      </c>
      <c r="S1374" t="s">
        <v>12384</v>
      </c>
    </row>
    <row r="1375" spans="1:19" x14ac:dyDescent="0.25">
      <c r="A1375" s="1">
        <v>1373</v>
      </c>
      <c r="B1375" t="str">
        <f>HYPERLINK("https://www.dasschnelle.at/wittmann-kg-schlierbach-sauternstraße","Website")</f>
        <v>Website</v>
      </c>
      <c r="C1375" t="str">
        <f>HYPERLINK("http://www.einrichtung-wittmann.at","Website")</f>
        <v>Website</v>
      </c>
      <c r="D1375" t="str">
        <f>HYPERLINK("http://www.google.com/maps/place/47.94904,14.11232","Location")</f>
        <v>Location</v>
      </c>
      <c r="E1375" t="s">
        <v>12388</v>
      </c>
      <c r="F1375" t="s">
        <v>12389</v>
      </c>
      <c r="G1375" t="s">
        <v>12355</v>
      </c>
      <c r="H1375" t="s">
        <v>12356</v>
      </c>
      <c r="I1375" t="s">
        <v>85</v>
      </c>
      <c r="J1375" t="s">
        <v>22</v>
      </c>
      <c r="K1375" t="s">
        <v>12390</v>
      </c>
      <c r="L1375" t="s">
        <v>12393</v>
      </c>
      <c r="M1375" t="s">
        <v>25</v>
      </c>
      <c r="N1375" t="s">
        <v>12394</v>
      </c>
      <c r="O1375" t="s">
        <v>25</v>
      </c>
      <c r="P1375" t="s">
        <v>12395</v>
      </c>
      <c r="Q1375" t="s">
        <v>29</v>
      </c>
      <c r="R1375" t="s">
        <v>12391</v>
      </c>
      <c r="S1375" t="s">
        <v>12392</v>
      </c>
    </row>
    <row r="1376" spans="1:19" x14ac:dyDescent="0.25">
      <c r="A1376" s="1">
        <v>1374</v>
      </c>
      <c r="B1376" t="str">
        <f>HYPERLINK("https://www.dasschnelle.at/strutzenberger-stefan-micheldorf-hammersteinsiedlung","Website")</f>
        <v>Website</v>
      </c>
      <c r="C1376" t="str">
        <f>HYPERLINK("http://www.strutzenberger-bau.at","Website")</f>
        <v>Website</v>
      </c>
      <c r="D1376" t="str">
        <f>HYPERLINK("http://www.google.com/maps/place/47.8807194,14.1219059","Location")</f>
        <v>Location</v>
      </c>
      <c r="E1376" t="s">
        <v>12396</v>
      </c>
      <c r="F1376" t="s">
        <v>12397</v>
      </c>
      <c r="G1376" t="s">
        <v>12399</v>
      </c>
      <c r="H1376" t="s">
        <v>12400</v>
      </c>
      <c r="I1376" t="s">
        <v>85</v>
      </c>
      <c r="J1376" t="s">
        <v>22</v>
      </c>
      <c r="K1376" t="s">
        <v>12398</v>
      </c>
      <c r="L1376" t="s">
        <v>12403</v>
      </c>
      <c r="M1376" t="s">
        <v>25</v>
      </c>
      <c r="N1376" t="s">
        <v>12404</v>
      </c>
      <c r="O1376" t="s">
        <v>25</v>
      </c>
      <c r="P1376" t="s">
        <v>12405</v>
      </c>
      <c r="Q1376" t="s">
        <v>29</v>
      </c>
      <c r="R1376" t="s">
        <v>12401</v>
      </c>
      <c r="S1376" t="s">
        <v>12402</v>
      </c>
    </row>
    <row r="1377" spans="1:19" x14ac:dyDescent="0.25">
      <c r="A1377" s="1">
        <v>1375</v>
      </c>
      <c r="B1377" t="str">
        <f>HYPERLINK("https://www.dasschnelle.at/biobauernladen-kremstal-gmbh-kirchdorf-an-der-krems-s-redtenbacher-platz","Website")</f>
        <v>Website</v>
      </c>
      <c r="C1377" t="str">
        <f>HYPERLINK("http://www.biobauernladen-kremstal.at","Website")</f>
        <v>Website</v>
      </c>
      <c r="D1377" t="str">
        <f>HYPERLINK("http://www.google.com/maps/place/47.9063803,14.1212250","Location")</f>
        <v>Location</v>
      </c>
      <c r="E1377" t="s">
        <v>12406</v>
      </c>
      <c r="F1377" t="s">
        <v>12407</v>
      </c>
      <c r="G1377" t="s">
        <v>12306</v>
      </c>
      <c r="H1377" t="s">
        <v>12307</v>
      </c>
      <c r="I1377" t="s">
        <v>85</v>
      </c>
      <c r="J1377" t="s">
        <v>22</v>
      </c>
      <c r="K1377" t="s">
        <v>12408</v>
      </c>
      <c r="L1377" t="s">
        <v>12411</v>
      </c>
      <c r="M1377" t="s">
        <v>25</v>
      </c>
      <c r="N1377" t="s">
        <v>12412</v>
      </c>
      <c r="O1377" t="s">
        <v>25</v>
      </c>
      <c r="P1377" t="s">
        <v>12413</v>
      </c>
      <c r="Q1377" t="s">
        <v>29</v>
      </c>
      <c r="R1377" t="s">
        <v>12409</v>
      </c>
      <c r="S1377" t="s">
        <v>12410</v>
      </c>
    </row>
    <row r="1378" spans="1:19" x14ac:dyDescent="0.25">
      <c r="A1378" s="1">
        <v>1376</v>
      </c>
      <c r="B1378" t="str">
        <f>HYPERLINK("https://www.dasschnelle.at/akm-müller-christian-klaus-an-der-pyhrnbahn-gewerbepark-klaus","Website")</f>
        <v>Website</v>
      </c>
      <c r="C1378" t="str">
        <f>HYPERLINK("http://www.autokosmetik-mueller.at","Website")</f>
        <v>Website</v>
      </c>
      <c r="D1378" t="str">
        <f>HYPERLINK("http://www.google.com/maps/place/47.8432160,14.1659743","Location")</f>
        <v>Location</v>
      </c>
      <c r="E1378" t="s">
        <v>12414</v>
      </c>
      <c r="F1378" t="s">
        <v>12415</v>
      </c>
      <c r="G1378" t="s">
        <v>12417</v>
      </c>
      <c r="H1378" t="s">
        <v>12418</v>
      </c>
      <c r="I1378" t="s">
        <v>85</v>
      </c>
      <c r="J1378" t="s">
        <v>22</v>
      </c>
      <c r="K1378" t="s">
        <v>12416</v>
      </c>
      <c r="L1378" t="s">
        <v>12421</v>
      </c>
      <c r="M1378" t="s">
        <v>25</v>
      </c>
      <c r="N1378" t="s">
        <v>12422</v>
      </c>
      <c r="O1378" t="s">
        <v>25</v>
      </c>
      <c r="P1378" t="s">
        <v>12423</v>
      </c>
      <c r="Q1378" t="s">
        <v>29</v>
      </c>
      <c r="R1378" t="s">
        <v>12419</v>
      </c>
      <c r="S1378" t="s">
        <v>12420</v>
      </c>
    </row>
    <row r="1379" spans="1:19" x14ac:dyDescent="0.25">
      <c r="A1379" s="1">
        <v>1377</v>
      </c>
      <c r="B1379" t="str">
        <f>HYPERLINK("https://www.dasschnelle.at/milic-dragoslav-micheldorf-micheldorf-hans-brudl-strasse","Website")</f>
        <v>Website</v>
      </c>
      <c r="C1379" t="str">
        <f>HYPERLINK("http://www.milic-installationen.at","Website")</f>
        <v>Website</v>
      </c>
      <c r="D1379" t="str">
        <f>HYPERLINK("http://www.google.com/maps/place/47.8890380,14.1324165","Location")</f>
        <v>Location</v>
      </c>
      <c r="E1379" t="s">
        <v>12424</v>
      </c>
      <c r="F1379" t="s">
        <v>12425</v>
      </c>
      <c r="G1379" t="s">
        <v>12399</v>
      </c>
      <c r="H1379" t="s">
        <v>12400</v>
      </c>
      <c r="I1379" t="s">
        <v>85</v>
      </c>
      <c r="J1379" t="s">
        <v>22</v>
      </c>
      <c r="K1379" t="s">
        <v>12426</v>
      </c>
      <c r="L1379" t="s">
        <v>12429</v>
      </c>
      <c r="M1379" t="s">
        <v>25</v>
      </c>
      <c r="N1379" t="s">
        <v>12430</v>
      </c>
      <c r="O1379" t="s">
        <v>25</v>
      </c>
      <c r="P1379" t="s">
        <v>12431</v>
      </c>
      <c r="Q1379" t="s">
        <v>29</v>
      </c>
      <c r="R1379" t="s">
        <v>12427</v>
      </c>
      <c r="S1379" t="s">
        <v>12428</v>
      </c>
    </row>
    <row r="1380" spans="1:19" x14ac:dyDescent="0.25">
      <c r="A1380" s="1">
        <v>1378</v>
      </c>
      <c r="B1380" t="str">
        <f>HYPERLINK("https://www.dasschnelle.at/gartenservice-garstenauer-steyr-aichetgasse","Website")</f>
        <v>Website</v>
      </c>
      <c r="C1380" t="str">
        <f>HYPERLINK("https://www.dasschnelle.at/gartenservice-garstenauer-steyr-aichetgasse","Website")</f>
        <v>Website</v>
      </c>
      <c r="D1380" t="str">
        <f>HYPERLINK("http://www.google.com/maps/place/47.94989,14.25033","Location")</f>
        <v>Location</v>
      </c>
      <c r="E1380" t="s">
        <v>12432</v>
      </c>
      <c r="F1380" t="s">
        <v>12433</v>
      </c>
      <c r="G1380" t="s">
        <v>95</v>
      </c>
      <c r="H1380" t="s">
        <v>96</v>
      </c>
      <c r="I1380" t="s">
        <v>85</v>
      </c>
      <c r="J1380" t="s">
        <v>22</v>
      </c>
      <c r="K1380" t="s">
        <v>12434</v>
      </c>
      <c r="L1380" t="s">
        <v>12437</v>
      </c>
      <c r="M1380" t="s">
        <v>25</v>
      </c>
      <c r="N1380" t="s">
        <v>12438</v>
      </c>
      <c r="O1380" t="s">
        <v>25</v>
      </c>
      <c r="P1380" t="s">
        <v>12439</v>
      </c>
      <c r="Q1380" t="s">
        <v>29</v>
      </c>
      <c r="R1380" t="s">
        <v>12435</v>
      </c>
      <c r="S1380" t="s">
        <v>12436</v>
      </c>
    </row>
    <row r="1381" spans="1:19" x14ac:dyDescent="0.25">
      <c r="A1381" s="1">
        <v>1379</v>
      </c>
      <c r="B1381" t="str">
        <f>HYPERLINK("https://www.dasschnelle.at/nironorm-e-u-nußbach-gewerbestraße","Website")</f>
        <v>Website</v>
      </c>
      <c r="C1381" t="str">
        <f>HYPERLINK("http://www.nironorm.at","Website")</f>
        <v>Website</v>
      </c>
      <c r="D1381" t="str">
        <f>HYPERLINK("http://www.google.com/maps/place/47.97155,14.17118","Location")</f>
        <v>Location</v>
      </c>
      <c r="E1381" t="s">
        <v>12440</v>
      </c>
      <c r="F1381" t="s">
        <v>12441</v>
      </c>
      <c r="G1381" t="s">
        <v>12316</v>
      </c>
      <c r="H1381" t="s">
        <v>12317</v>
      </c>
      <c r="I1381" t="s">
        <v>85</v>
      </c>
      <c r="J1381" t="s">
        <v>22</v>
      </c>
      <c r="K1381" t="s">
        <v>12442</v>
      </c>
      <c r="L1381" t="s">
        <v>12445</v>
      </c>
      <c r="M1381" t="s">
        <v>25</v>
      </c>
      <c r="N1381" t="s">
        <v>12446</v>
      </c>
      <c r="O1381" t="s">
        <v>12447</v>
      </c>
      <c r="P1381" t="s">
        <v>12448</v>
      </c>
      <c r="Q1381" t="s">
        <v>29</v>
      </c>
      <c r="R1381" t="s">
        <v>12443</v>
      </c>
      <c r="S1381" t="s">
        <v>12444</v>
      </c>
    </row>
    <row r="1382" spans="1:19" x14ac:dyDescent="0.25">
      <c r="A1382" s="1">
        <v>1380</v>
      </c>
      <c r="B1382" t="str">
        <f>HYPERLINK("https://www.dasschnelle.at/zöchling-thomas-annaberg-annarotte","Website")</f>
        <v>Website</v>
      </c>
      <c r="C1382" t="str">
        <f>HYPERLINK("https://www.dasschnelle.at/z%C3%B6chling-thomas-annaberg-annarotte","Website")</f>
        <v>Website</v>
      </c>
      <c r="D1382" t="str">
        <f>HYPERLINK("http://www.google.com/maps/place/47.8716662,15.3610215","Location")</f>
        <v>Location</v>
      </c>
      <c r="E1382" t="s">
        <v>12449</v>
      </c>
      <c r="F1382" t="s">
        <v>12450</v>
      </c>
      <c r="G1382" t="s">
        <v>12452</v>
      </c>
      <c r="H1382" t="s">
        <v>12453</v>
      </c>
      <c r="I1382" t="s">
        <v>177</v>
      </c>
      <c r="J1382" t="s">
        <v>22</v>
      </c>
      <c r="K1382" t="s">
        <v>12451</v>
      </c>
      <c r="L1382" t="s">
        <v>12456</v>
      </c>
      <c r="M1382" t="s">
        <v>25</v>
      </c>
      <c r="N1382" t="s">
        <v>12457</v>
      </c>
      <c r="O1382" t="s">
        <v>25</v>
      </c>
      <c r="P1382" t="s">
        <v>12458</v>
      </c>
      <c r="Q1382" t="s">
        <v>29</v>
      </c>
      <c r="R1382" t="s">
        <v>12454</v>
      </c>
      <c r="S1382" t="s">
        <v>12455</v>
      </c>
    </row>
    <row r="1383" spans="1:19" x14ac:dyDescent="0.25">
      <c r="A1383" s="1">
        <v>1381</v>
      </c>
      <c r="B1383" t="str">
        <f>HYPERLINK("https://www.dasschnelle.at/haarwerk-by-manuela-schalko-hohenberg-alte-hauptstrasse","Website")</f>
        <v>Website</v>
      </c>
      <c r="C1383" t="str">
        <f>HYPERLINK("http://www.haarwerk-hohenberg.at","Website")</f>
        <v>Website</v>
      </c>
      <c r="D1383" t="str">
        <f>HYPERLINK("http://www.google.com/maps/place/47.91123,15.61853","Location")</f>
        <v>Location</v>
      </c>
      <c r="E1383" t="s">
        <v>12459</v>
      </c>
      <c r="F1383" t="s">
        <v>12460</v>
      </c>
      <c r="G1383" t="s">
        <v>12462</v>
      </c>
      <c r="H1383" t="s">
        <v>12463</v>
      </c>
      <c r="I1383" t="s">
        <v>177</v>
      </c>
      <c r="J1383" t="s">
        <v>22</v>
      </c>
      <c r="K1383" t="s">
        <v>12461</v>
      </c>
      <c r="L1383" t="s">
        <v>12466</v>
      </c>
      <c r="M1383" t="s">
        <v>25</v>
      </c>
      <c r="N1383" t="s">
        <v>12467</v>
      </c>
      <c r="O1383" t="s">
        <v>25</v>
      </c>
      <c r="P1383" t="s">
        <v>12468</v>
      </c>
      <c r="Q1383" t="s">
        <v>29</v>
      </c>
      <c r="R1383" t="s">
        <v>12464</v>
      </c>
      <c r="S1383" t="s">
        <v>12465</v>
      </c>
    </row>
    <row r="1384" spans="1:19" x14ac:dyDescent="0.25">
      <c r="A1384" s="1">
        <v>1382</v>
      </c>
      <c r="B1384" t="str">
        <f>HYPERLINK("https://www.dasschnelle.at/hairstyle-regina-gusswerk-hauptstrasse","Website")</f>
        <v>Website</v>
      </c>
      <c r="C1384" t="str">
        <f>HYPERLINK("http://www.haarstyle-regina.at","Website")</f>
        <v>Website</v>
      </c>
      <c r="D1384" t="str">
        <f>HYPERLINK("http://www.google.com/maps/place/47.74101,15.3099","Location")</f>
        <v>Location</v>
      </c>
      <c r="E1384" t="s">
        <v>12469</v>
      </c>
      <c r="F1384" t="s">
        <v>12470</v>
      </c>
      <c r="G1384" t="s">
        <v>12472</v>
      </c>
      <c r="H1384" t="s">
        <v>12473</v>
      </c>
      <c r="I1384" t="s">
        <v>451</v>
      </c>
      <c r="J1384" t="s">
        <v>22</v>
      </c>
      <c r="K1384" t="s">
        <v>12471</v>
      </c>
      <c r="L1384" t="s">
        <v>12476</v>
      </c>
      <c r="M1384" t="s">
        <v>25</v>
      </c>
      <c r="N1384" t="s">
        <v>25</v>
      </c>
      <c r="O1384" t="s">
        <v>25</v>
      </c>
      <c r="P1384" t="s">
        <v>12477</v>
      </c>
      <c r="Q1384" t="s">
        <v>29</v>
      </c>
      <c r="R1384" t="s">
        <v>12474</v>
      </c>
      <c r="S1384" t="s">
        <v>12475</v>
      </c>
    </row>
    <row r="1385" spans="1:19" x14ac:dyDescent="0.25">
      <c r="A1385" s="1">
        <v>1383</v>
      </c>
      <c r="B1385" t="str">
        <f>HYPERLINK("https://www.dasschnelle.at/grafeneder-hubert-hohenberg-am-schanzel","Website")</f>
        <v>Website</v>
      </c>
      <c r="C1385" t="str">
        <f>HYPERLINK("https://www.dasschnelle.at/grafeneder-hubert-hohenberg-am-schanzel","Website")</f>
        <v>Website</v>
      </c>
      <c r="D1385" t="str">
        <f>HYPERLINK("http://www.google.com/maps/place/47.91688,15.61865","Location")</f>
        <v>Location</v>
      </c>
      <c r="E1385" t="s">
        <v>12478</v>
      </c>
      <c r="F1385" t="s">
        <v>12479</v>
      </c>
      <c r="G1385" t="s">
        <v>12462</v>
      </c>
      <c r="H1385" t="s">
        <v>12463</v>
      </c>
      <c r="I1385" t="s">
        <v>177</v>
      </c>
      <c r="J1385" t="s">
        <v>22</v>
      </c>
      <c r="K1385" t="s">
        <v>12480</v>
      </c>
      <c r="L1385" t="s">
        <v>12483</v>
      </c>
      <c r="M1385" t="s">
        <v>25</v>
      </c>
      <c r="N1385" t="s">
        <v>12484</v>
      </c>
      <c r="O1385" t="s">
        <v>25</v>
      </c>
      <c r="P1385" t="s">
        <v>12485</v>
      </c>
      <c r="Q1385" t="s">
        <v>29</v>
      </c>
      <c r="R1385" t="s">
        <v>12481</v>
      </c>
      <c r="S1385" t="s">
        <v>12482</v>
      </c>
    </row>
    <row r="1386" spans="1:19" x14ac:dyDescent="0.25">
      <c r="A1386" s="1">
        <v>1384</v>
      </c>
      <c r="B1386" t="str">
        <f>HYPERLINK("https://www.dasschnelle.at/friedhofsgärtnernei-tatjana-zwesper-ramsau-birkengasse","Website")</f>
        <v>Website</v>
      </c>
      <c r="C1386" t="str">
        <f>HYPERLINK("http://www.friedhofsg-zwesper.at","Website")</f>
        <v>Website</v>
      </c>
      <c r="D1386" t="str">
        <f>HYPERLINK("http://www.google.com/maps/place/48.0089500,15.8020900","Location")</f>
        <v>Location</v>
      </c>
      <c r="E1386" t="s">
        <v>12486</v>
      </c>
      <c r="F1386" t="s">
        <v>12487</v>
      </c>
      <c r="G1386" t="s">
        <v>12489</v>
      </c>
      <c r="H1386" t="s">
        <v>12490</v>
      </c>
      <c r="I1386" t="s">
        <v>177</v>
      </c>
      <c r="J1386" t="s">
        <v>22</v>
      </c>
      <c r="K1386" t="s">
        <v>12488</v>
      </c>
      <c r="L1386" t="s">
        <v>12493</v>
      </c>
      <c r="M1386" t="s">
        <v>25</v>
      </c>
      <c r="N1386" t="s">
        <v>12494</v>
      </c>
      <c r="O1386" t="s">
        <v>25</v>
      </c>
      <c r="P1386" t="s">
        <v>12495</v>
      </c>
      <c r="Q1386" t="s">
        <v>29</v>
      </c>
      <c r="R1386" t="s">
        <v>12491</v>
      </c>
      <c r="S1386" t="s">
        <v>12492</v>
      </c>
    </row>
    <row r="1387" spans="1:19" x14ac:dyDescent="0.25">
      <c r="A1387" s="1">
        <v>1385</v>
      </c>
      <c r="B1387" t="str">
        <f>HYPERLINK("https://www.dasschnelle.at/dr-ruth-schedai-lindenthal-türnitz-daniel-karner-straße","Website")</f>
        <v>Website</v>
      </c>
      <c r="C1387" t="str">
        <f>HYPERLINK("http://www.zahnarztpraxis-schedai-lindenthal.at","Website")</f>
        <v>Website</v>
      </c>
      <c r="D1387" t="str">
        <f>HYPERLINK("http://www.google.com/maps/place/47.92885,15.49109","Location")</f>
        <v>Location</v>
      </c>
      <c r="E1387" t="s">
        <v>12496</v>
      </c>
      <c r="F1387" t="s">
        <v>12497</v>
      </c>
      <c r="G1387" t="s">
        <v>12499</v>
      </c>
      <c r="H1387" t="s">
        <v>12500</v>
      </c>
      <c r="I1387" t="s">
        <v>177</v>
      </c>
      <c r="J1387" t="s">
        <v>22</v>
      </c>
      <c r="K1387" t="s">
        <v>12498</v>
      </c>
      <c r="L1387" t="s">
        <v>12503</v>
      </c>
      <c r="M1387" t="s">
        <v>25</v>
      </c>
      <c r="N1387" t="s">
        <v>12504</v>
      </c>
      <c r="O1387" t="s">
        <v>12505</v>
      </c>
      <c r="P1387" t="s">
        <v>12506</v>
      </c>
      <c r="Q1387" t="s">
        <v>29</v>
      </c>
      <c r="R1387" t="s">
        <v>12501</v>
      </c>
      <c r="S1387" t="s">
        <v>12502</v>
      </c>
    </row>
    <row r="1388" spans="1:19" x14ac:dyDescent="0.25">
      <c r="A1388" s="1">
        <v>1386</v>
      </c>
      <c r="B1388" t="str">
        <f>HYPERLINK("https://www.dasschnelle.at/gasthof-zum-fallenstein-gußwerk-fallenstein","Website")</f>
        <v>Website</v>
      </c>
      <c r="C1388" t="str">
        <f>HYPERLINK("http://www.fallensteinergut.at","Website")</f>
        <v>Website</v>
      </c>
      <c r="D1388" t="str">
        <f>HYPERLINK("http://www.google.com/maps/place/47.72826,15.33467","Location")</f>
        <v>Location</v>
      </c>
      <c r="E1388" t="s">
        <v>12507</v>
      </c>
      <c r="F1388" t="s">
        <v>12508</v>
      </c>
      <c r="G1388" t="s">
        <v>12472</v>
      </c>
      <c r="H1388" t="s">
        <v>12510</v>
      </c>
      <c r="I1388" t="s">
        <v>451</v>
      </c>
      <c r="J1388" t="s">
        <v>22</v>
      </c>
      <c r="K1388" t="s">
        <v>12509</v>
      </c>
      <c r="L1388" t="s">
        <v>12513</v>
      </c>
      <c r="M1388" t="s">
        <v>25</v>
      </c>
      <c r="N1388" t="s">
        <v>12514</v>
      </c>
      <c r="O1388" t="s">
        <v>25</v>
      </c>
      <c r="P1388" t="s">
        <v>12515</v>
      </c>
      <c r="Q1388" t="s">
        <v>29</v>
      </c>
      <c r="R1388" t="s">
        <v>12511</v>
      </c>
      <c r="S1388" t="s">
        <v>12512</v>
      </c>
    </row>
    <row r="1389" spans="1:19" x14ac:dyDescent="0.25">
      <c r="A1389" s="1">
        <v>1387</v>
      </c>
      <c r="B1389" t="str">
        <f>HYPERLINK("https://www.dasschnelle.at/wieser-sonja-traisen-albert-schweitzer-gasse","Website")</f>
        <v>Website</v>
      </c>
      <c r="C1389" t="str">
        <f>HYPERLINK("http://www.friseurmeisterin-sonja.flpg.at/","Website")</f>
        <v>Website</v>
      </c>
      <c r="D1389" t="str">
        <f>HYPERLINK("http://www.google.com/maps/place/48.04431,15.61041","Location")</f>
        <v>Location</v>
      </c>
      <c r="E1389" t="s">
        <v>12516</v>
      </c>
      <c r="F1389" t="s">
        <v>12517</v>
      </c>
      <c r="G1389" t="s">
        <v>12519</v>
      </c>
      <c r="H1389" t="s">
        <v>12520</v>
      </c>
      <c r="I1389" t="s">
        <v>177</v>
      </c>
      <c r="J1389" t="s">
        <v>22</v>
      </c>
      <c r="K1389" t="s">
        <v>12518</v>
      </c>
      <c r="L1389" t="s">
        <v>12523</v>
      </c>
      <c r="M1389" t="s">
        <v>25</v>
      </c>
      <c r="N1389" t="s">
        <v>12524</v>
      </c>
      <c r="O1389" t="s">
        <v>25</v>
      </c>
      <c r="P1389" t="s">
        <v>12525</v>
      </c>
      <c r="Q1389" t="s">
        <v>29</v>
      </c>
      <c r="R1389" t="s">
        <v>12521</v>
      </c>
      <c r="S1389" t="s">
        <v>12522</v>
      </c>
    </row>
    <row r="1390" spans="1:19" x14ac:dyDescent="0.25">
      <c r="A1390" s="1">
        <v>1388</v>
      </c>
      <c r="B1390" t="str">
        <f>HYPERLINK("https://www.dasschnelle.at/holzbau-paul-schneck-halltal-halltal","Website")</f>
        <v>Website</v>
      </c>
      <c r="C1390" t="str">
        <f>HYPERLINK("http://www.zimmermeister-schneck.at","Website")</f>
        <v>Website</v>
      </c>
      <c r="D1390" t="str">
        <f>HYPERLINK("http://www.google.com/maps/place/47.7613700,15.3760000","Location")</f>
        <v>Location</v>
      </c>
      <c r="E1390" t="s">
        <v>12526</v>
      </c>
      <c r="F1390" t="s">
        <v>12527</v>
      </c>
      <c r="G1390" t="s">
        <v>12529</v>
      </c>
      <c r="H1390" t="s">
        <v>12530</v>
      </c>
      <c r="I1390" t="s">
        <v>451</v>
      </c>
      <c r="J1390" t="s">
        <v>22</v>
      </c>
      <c r="K1390" t="s">
        <v>12528</v>
      </c>
      <c r="L1390" t="s">
        <v>12533</v>
      </c>
      <c r="M1390" t="s">
        <v>25</v>
      </c>
      <c r="N1390" t="s">
        <v>12534</v>
      </c>
      <c r="O1390" t="s">
        <v>12535</v>
      </c>
      <c r="P1390" t="s">
        <v>12536</v>
      </c>
      <c r="Q1390" t="s">
        <v>29</v>
      </c>
      <c r="R1390" t="s">
        <v>12531</v>
      </c>
      <c r="S1390" t="s">
        <v>12532</v>
      </c>
    </row>
    <row r="1391" spans="1:19" x14ac:dyDescent="0.25">
      <c r="A1391" s="1">
        <v>1389</v>
      </c>
      <c r="B1391" t="str">
        <f>HYPERLINK("https://www.dasschnelle.at/johann-karl-eigelsreither-türnitz-freiland","Website")</f>
        <v>Website</v>
      </c>
      <c r="C1391" t="str">
        <f>HYPERLINK("https://www.dasschnelle.at/johann-karl-eigelsreither-t%C3%BCrnitz-freiland","Website")</f>
        <v>Website</v>
      </c>
      <c r="D1391" t="str">
        <f>HYPERLINK("http://www.google.com/maps/place/47.9788128,15.5686159","Location")</f>
        <v>Location</v>
      </c>
      <c r="E1391" t="s">
        <v>12537</v>
      </c>
      <c r="F1391" t="s">
        <v>12538</v>
      </c>
      <c r="G1391" t="s">
        <v>12499</v>
      </c>
      <c r="H1391" t="s">
        <v>12500</v>
      </c>
      <c r="I1391" t="s">
        <v>177</v>
      </c>
      <c r="J1391" t="s">
        <v>22</v>
      </c>
      <c r="K1391" t="s">
        <v>12539</v>
      </c>
      <c r="L1391" t="s">
        <v>12542</v>
      </c>
      <c r="M1391" t="s">
        <v>25</v>
      </c>
      <c r="N1391" t="s">
        <v>12543</v>
      </c>
      <c r="O1391" t="s">
        <v>12544</v>
      </c>
      <c r="P1391" t="s">
        <v>12545</v>
      </c>
      <c r="Q1391" t="s">
        <v>29</v>
      </c>
      <c r="R1391" t="s">
        <v>12540</v>
      </c>
      <c r="S1391" t="s">
        <v>12541</v>
      </c>
    </row>
    <row r="1392" spans="1:19" x14ac:dyDescent="0.25">
      <c r="A1392" s="1">
        <v>1390</v>
      </c>
      <c r="B1392" t="str">
        <f>HYPERLINK("https://www.dasschnelle.at/zöchling-martin-annaberg-annarotte","Website")</f>
        <v>Website</v>
      </c>
      <c r="C1392" t="str">
        <f>HYPERLINK("https://www.dasschnelle.at/z%C3%B6chling-martin-annaberg-annarotte","Website")</f>
        <v>Website</v>
      </c>
      <c r="D1392" t="str">
        <f>HYPERLINK("http://www.google.com/maps/place/47.8665560,15.3593801","Location")</f>
        <v>Location</v>
      </c>
      <c r="E1392" t="s">
        <v>12546</v>
      </c>
      <c r="F1392" t="s">
        <v>12547</v>
      </c>
      <c r="G1392" t="s">
        <v>12452</v>
      </c>
      <c r="H1392" t="s">
        <v>12453</v>
      </c>
      <c r="I1392" t="s">
        <v>177</v>
      </c>
      <c r="J1392" t="s">
        <v>22</v>
      </c>
      <c r="K1392" t="s">
        <v>12548</v>
      </c>
      <c r="L1392" t="s">
        <v>12551</v>
      </c>
      <c r="M1392" t="s">
        <v>25</v>
      </c>
      <c r="N1392" t="s">
        <v>12552</v>
      </c>
      <c r="O1392" t="s">
        <v>12553</v>
      </c>
      <c r="P1392" t="s">
        <v>12554</v>
      </c>
      <c r="Q1392" t="s">
        <v>29</v>
      </c>
      <c r="R1392" t="s">
        <v>12549</v>
      </c>
      <c r="S1392" t="s">
        <v>12550</v>
      </c>
    </row>
    <row r="1393" spans="1:19" x14ac:dyDescent="0.25">
      <c r="A1393" s="1">
        <v>1391</v>
      </c>
      <c r="B1393" t="str">
        <f>HYPERLINK("https://www.dasschnelle.at/komornik-gmbh-pernegg-pernegg","Website")</f>
        <v>Website</v>
      </c>
      <c r="C1393" t="str">
        <f>HYPERLINK("http://www.komornik.at","Website")</f>
        <v>Website</v>
      </c>
      <c r="D1393" t="str">
        <f>HYPERLINK("http://www.google.com/maps/place/48.7382662,15.6305552","Location")</f>
        <v>Location</v>
      </c>
      <c r="E1393" t="s">
        <v>12555</v>
      </c>
      <c r="F1393" t="s">
        <v>12556</v>
      </c>
      <c r="G1393" t="s">
        <v>12558</v>
      </c>
      <c r="H1393" t="s">
        <v>3043</v>
      </c>
      <c r="I1393" t="s">
        <v>177</v>
      </c>
      <c r="J1393" t="s">
        <v>22</v>
      </c>
      <c r="K1393" t="s">
        <v>12557</v>
      </c>
      <c r="L1393" t="s">
        <v>12561</v>
      </c>
      <c r="M1393" t="s">
        <v>12562</v>
      </c>
      <c r="N1393" t="s">
        <v>12563</v>
      </c>
      <c r="O1393" t="s">
        <v>25</v>
      </c>
      <c r="P1393" t="s">
        <v>12564</v>
      </c>
      <c r="Q1393" t="s">
        <v>29</v>
      </c>
      <c r="R1393" t="s">
        <v>12559</v>
      </c>
      <c r="S1393" t="s">
        <v>12560</v>
      </c>
    </row>
    <row r="1394" spans="1:19" x14ac:dyDescent="0.25">
      <c r="A1394" s="1">
        <v>1392</v>
      </c>
      <c r="B1394" t="str">
        <f>HYPERLINK("https://www.dasschnelle.at/aubrunner-martin-neukirchen-an-der-wild-neukirchen","Website")</f>
        <v>Website</v>
      </c>
      <c r="C1394" t="str">
        <f>HYPERLINK("http://www.aubrunner-bad-heizung.at","Website")</f>
        <v>Website</v>
      </c>
      <c r="D1394" t="str">
        <f>HYPERLINK("http://www.google.com/maps/place/48.6841516,15.5593800","Location")</f>
        <v>Location</v>
      </c>
      <c r="E1394" t="s">
        <v>12565</v>
      </c>
      <c r="F1394" t="s">
        <v>12566</v>
      </c>
      <c r="G1394" t="s">
        <v>12568</v>
      </c>
      <c r="H1394" t="s">
        <v>12569</v>
      </c>
      <c r="I1394" t="s">
        <v>177</v>
      </c>
      <c r="J1394" t="s">
        <v>22</v>
      </c>
      <c r="K1394" t="s">
        <v>12567</v>
      </c>
      <c r="L1394" t="s">
        <v>12572</v>
      </c>
      <c r="M1394" t="s">
        <v>25</v>
      </c>
      <c r="N1394" t="s">
        <v>12573</v>
      </c>
      <c r="O1394" t="s">
        <v>25</v>
      </c>
      <c r="P1394" t="s">
        <v>12574</v>
      </c>
      <c r="Q1394" t="s">
        <v>29</v>
      </c>
      <c r="R1394" t="s">
        <v>12570</v>
      </c>
      <c r="S1394" t="s">
        <v>12571</v>
      </c>
    </row>
    <row r="1395" spans="1:19" x14ac:dyDescent="0.25">
      <c r="A1395" s="1">
        <v>1393</v>
      </c>
      <c r="B1395" t="str">
        <f>HYPERLINK("https://www.dasschnelle.at/lemp-thomas-harth-harth","Website")</f>
        <v>Website</v>
      </c>
      <c r="C1395" t="str">
        <f>HYPERLINK("http://www.lemp.at","Website")</f>
        <v>Website</v>
      </c>
      <c r="D1395" t="str">
        <f>HYPERLINK("http://www.google.com/maps/place/48.7619676,15.6558259","Location")</f>
        <v>Location</v>
      </c>
      <c r="E1395" t="s">
        <v>12575</v>
      </c>
      <c r="F1395" t="s">
        <v>12576</v>
      </c>
      <c r="G1395" t="s">
        <v>12558</v>
      </c>
      <c r="H1395" t="s">
        <v>12578</v>
      </c>
      <c r="I1395" t="s">
        <v>177</v>
      </c>
      <c r="J1395" t="s">
        <v>22</v>
      </c>
      <c r="K1395" t="s">
        <v>12577</v>
      </c>
      <c r="L1395" t="s">
        <v>12581</v>
      </c>
      <c r="M1395" t="s">
        <v>25</v>
      </c>
      <c r="N1395" t="s">
        <v>12582</v>
      </c>
      <c r="O1395" t="s">
        <v>25</v>
      </c>
      <c r="P1395" t="s">
        <v>12583</v>
      </c>
      <c r="Q1395" t="s">
        <v>29</v>
      </c>
      <c r="R1395" t="s">
        <v>12579</v>
      </c>
      <c r="S1395" t="s">
        <v>12580</v>
      </c>
    </row>
    <row r="1396" spans="1:19" x14ac:dyDescent="0.25">
      <c r="A1396" s="1">
        <v>1394</v>
      </c>
      <c r="B1396" t="str">
        <f>HYPERLINK("https://www.dasschnelle.at/lacuch-gerhard-gars-gewerbestraße","Website")</f>
        <v>Website</v>
      </c>
      <c r="C1396" t="str">
        <f>HYPERLINK("https://www.dasschnelle.at/lacuch-gerhard-gars-gewerbestra%C3%9Fe","Website")</f>
        <v>Website</v>
      </c>
      <c r="D1396" t="str">
        <f>HYPERLINK("http://www.google.com/maps/place/48.5995184,15.6761154","Location")</f>
        <v>Location</v>
      </c>
      <c r="E1396" t="s">
        <v>12584</v>
      </c>
      <c r="F1396" t="s">
        <v>12585</v>
      </c>
      <c r="G1396" t="s">
        <v>301</v>
      </c>
      <c r="H1396" t="s">
        <v>12587</v>
      </c>
      <c r="I1396" t="s">
        <v>177</v>
      </c>
      <c r="J1396" t="s">
        <v>22</v>
      </c>
      <c r="K1396" t="s">
        <v>12586</v>
      </c>
      <c r="L1396" t="s">
        <v>12590</v>
      </c>
      <c r="M1396" t="s">
        <v>25</v>
      </c>
      <c r="N1396" t="s">
        <v>12591</v>
      </c>
      <c r="O1396" t="s">
        <v>25</v>
      </c>
      <c r="P1396" t="s">
        <v>12592</v>
      </c>
      <c r="Q1396" t="s">
        <v>29</v>
      </c>
      <c r="R1396" t="s">
        <v>12588</v>
      </c>
      <c r="S1396" t="s">
        <v>12589</v>
      </c>
    </row>
    <row r="1397" spans="1:19" x14ac:dyDescent="0.25">
      <c r="A1397" s="1">
        <v>1395</v>
      </c>
      <c r="B1397" t="str">
        <f>HYPERLINK("https://www.dasschnelle.at/stefan-robert-tischlerei-eggenburg-kattau","Website")</f>
        <v>Website</v>
      </c>
      <c r="C1397" t="str">
        <f>HYPERLINK("https://www.dasschnelle.at/stefan-robert-tischlerei-eggenburg-kattau","Website")</f>
        <v>Website</v>
      </c>
      <c r="D1397" t="str">
        <f>HYPERLINK("http://www.google.com/maps/place/48.6769200,15.8113700","Location")</f>
        <v>Location</v>
      </c>
      <c r="E1397" t="s">
        <v>12593</v>
      </c>
      <c r="F1397" t="s">
        <v>12594</v>
      </c>
      <c r="G1397" t="s">
        <v>12596</v>
      </c>
      <c r="H1397" t="s">
        <v>12597</v>
      </c>
      <c r="I1397" t="s">
        <v>177</v>
      </c>
      <c r="J1397" t="s">
        <v>22</v>
      </c>
      <c r="K1397" t="s">
        <v>12595</v>
      </c>
      <c r="L1397" t="s">
        <v>12600</v>
      </c>
      <c r="M1397" t="s">
        <v>25</v>
      </c>
      <c r="N1397" t="s">
        <v>12601</v>
      </c>
      <c r="O1397" t="s">
        <v>25</v>
      </c>
      <c r="P1397" t="s">
        <v>12602</v>
      </c>
      <c r="Q1397" t="s">
        <v>29</v>
      </c>
      <c r="R1397" t="s">
        <v>12598</v>
      </c>
      <c r="S1397" t="s">
        <v>12599</v>
      </c>
    </row>
    <row r="1398" spans="1:19" x14ac:dyDescent="0.25">
      <c r="A1398" s="1">
        <v>1396</v>
      </c>
      <c r="B1398" t="str">
        <f>HYPERLINK("https://www.dasschnelle.at/höss-helmut-messern-kaidling","Website")</f>
        <v>Website</v>
      </c>
      <c r="C1398" t="str">
        <f>HYPERLINK("http://www.zimmerei-hoess.at","Website")</f>
        <v>Website</v>
      </c>
      <c r="D1398" t="str">
        <f>HYPERLINK("http://www.google.com/maps/place/48.7146267,15.5546481","Location")</f>
        <v>Location</v>
      </c>
      <c r="E1398" t="s">
        <v>12603</v>
      </c>
      <c r="F1398" t="s">
        <v>12604</v>
      </c>
      <c r="G1398" t="s">
        <v>12606</v>
      </c>
      <c r="H1398" t="s">
        <v>12607</v>
      </c>
      <c r="I1398" t="s">
        <v>177</v>
      </c>
      <c r="J1398" t="s">
        <v>22</v>
      </c>
      <c r="K1398" t="s">
        <v>12605</v>
      </c>
      <c r="L1398" t="s">
        <v>12610</v>
      </c>
      <c r="M1398" t="s">
        <v>25</v>
      </c>
      <c r="N1398" t="s">
        <v>12611</v>
      </c>
      <c r="O1398" t="s">
        <v>25</v>
      </c>
      <c r="P1398" t="s">
        <v>12612</v>
      </c>
      <c r="Q1398" t="s">
        <v>29</v>
      </c>
      <c r="R1398" t="s">
        <v>12608</v>
      </c>
      <c r="S1398" t="s">
        <v>12609</v>
      </c>
    </row>
    <row r="1399" spans="1:19" x14ac:dyDescent="0.25">
      <c r="A1399" s="1">
        <v>1397</v>
      </c>
      <c r="B1399" t="str">
        <f>HYPERLINK("https://www.dasschnelle.at/stöger-kfz-technik-gmbh-frauenhofen-scheibenstraße","Website")</f>
        <v>Website</v>
      </c>
      <c r="C1399" t="str">
        <f>HYPERLINK("http://www.kfz-technik-stoeger.at","Website")</f>
        <v>Website</v>
      </c>
      <c r="D1399" t="str">
        <f>HYPERLINK("http://www.google.com/maps/place/48.66847,15.63037","Location")</f>
        <v>Location</v>
      </c>
      <c r="E1399" t="s">
        <v>12613</v>
      </c>
      <c r="F1399" t="s">
        <v>12614</v>
      </c>
      <c r="G1399" t="s">
        <v>12616</v>
      </c>
      <c r="H1399" t="s">
        <v>12617</v>
      </c>
      <c r="I1399" t="s">
        <v>177</v>
      </c>
      <c r="J1399" t="s">
        <v>22</v>
      </c>
      <c r="K1399" t="s">
        <v>12615</v>
      </c>
      <c r="L1399" t="s">
        <v>12620</v>
      </c>
      <c r="M1399" t="s">
        <v>25</v>
      </c>
      <c r="N1399" t="s">
        <v>12621</v>
      </c>
      <c r="O1399" t="s">
        <v>25</v>
      </c>
      <c r="P1399" t="s">
        <v>12622</v>
      </c>
      <c r="Q1399" t="s">
        <v>29</v>
      </c>
      <c r="R1399" t="s">
        <v>12618</v>
      </c>
      <c r="S1399" t="s">
        <v>12619</v>
      </c>
    </row>
    <row r="1400" spans="1:19" x14ac:dyDescent="0.25">
      <c r="A1400" s="1">
        <v>1398</v>
      </c>
      <c r="B1400" t="str">
        <f>HYPERLINK("https://www.dasschnelle.at/weidenauer-rudolf-malerei-u-anstrich-gesmbh-horn-bahnstraße","Website")</f>
        <v>Website</v>
      </c>
      <c r="C1400" t="str">
        <f>HYPERLINK("http://www.weidenauer-malerei.at","Website")</f>
        <v>Website</v>
      </c>
      <c r="D1400" t="str">
        <f>HYPERLINK("http://www.google.com/maps/place/48.66578,15.66523","Location")</f>
        <v>Location</v>
      </c>
      <c r="E1400" t="s">
        <v>12623</v>
      </c>
      <c r="F1400" t="s">
        <v>12624</v>
      </c>
      <c r="G1400" t="s">
        <v>12616</v>
      </c>
      <c r="H1400" t="s">
        <v>12625</v>
      </c>
      <c r="I1400" t="s">
        <v>177</v>
      </c>
      <c r="J1400" t="s">
        <v>22</v>
      </c>
      <c r="K1400" t="s">
        <v>5971</v>
      </c>
      <c r="L1400" t="s">
        <v>12628</v>
      </c>
      <c r="M1400" t="s">
        <v>25</v>
      </c>
      <c r="N1400" t="s">
        <v>12629</v>
      </c>
      <c r="O1400" t="s">
        <v>25</v>
      </c>
      <c r="P1400" t="s">
        <v>12630</v>
      </c>
      <c r="Q1400" t="s">
        <v>29</v>
      </c>
      <c r="R1400" t="s">
        <v>12626</v>
      </c>
      <c r="S1400" t="s">
        <v>12627</v>
      </c>
    </row>
    <row r="1401" spans="1:19" x14ac:dyDescent="0.25">
      <c r="A1401" s="1">
        <v>1399</v>
      </c>
      <c r="B1401" t="str">
        <f>HYPERLINK("https://www.dasschnelle.at/teppich-galerie-arian-gmbh-horn-taffatal","Website")</f>
        <v>Website</v>
      </c>
      <c r="C1401" t="str">
        <f>HYPERLINK("http://www.teppichservice-waldviertel.at","Website")</f>
        <v>Website</v>
      </c>
      <c r="D1401" t="str">
        <f>HYPERLINK("http://www.google.com/maps/place/48.66427,15.66286","Location")</f>
        <v>Location</v>
      </c>
      <c r="E1401" t="s">
        <v>12631</v>
      </c>
      <c r="F1401" t="s">
        <v>12632</v>
      </c>
      <c r="G1401" t="s">
        <v>12616</v>
      </c>
      <c r="H1401" t="s">
        <v>12625</v>
      </c>
      <c r="I1401" t="s">
        <v>177</v>
      </c>
      <c r="J1401" t="s">
        <v>22</v>
      </c>
      <c r="K1401" t="s">
        <v>12633</v>
      </c>
      <c r="L1401" t="s">
        <v>12636</v>
      </c>
      <c r="M1401" t="s">
        <v>25</v>
      </c>
      <c r="N1401" t="s">
        <v>12637</v>
      </c>
      <c r="O1401" t="s">
        <v>25</v>
      </c>
      <c r="P1401" t="s">
        <v>12638</v>
      </c>
      <c r="Q1401" t="s">
        <v>29</v>
      </c>
      <c r="R1401" t="s">
        <v>12634</v>
      </c>
      <c r="S1401" t="s">
        <v>12635</v>
      </c>
    </row>
    <row r="1402" spans="1:19" x14ac:dyDescent="0.25">
      <c r="A1402" s="1">
        <v>1400</v>
      </c>
      <c r="B1402" t="str">
        <f>HYPERLINK("https://www.dasschnelle.at/schillinger-bernhard-nödersdorf-nödersdorf","Website")</f>
        <v>Website</v>
      </c>
      <c r="C1402" t="str">
        <f>HYPERLINK("https://www.dasschnelle.at/schillinger-bernhard-n%C3%B6dersdorf-n%C3%B6dersdorf","Website")</f>
        <v>Website</v>
      </c>
      <c r="D1402" t="str">
        <f>HYPERLINK("http://www.google.com/maps/place/48.7381598,15.6300964","Location")</f>
        <v>Location</v>
      </c>
      <c r="E1402" t="s">
        <v>12639</v>
      </c>
      <c r="F1402" t="s">
        <v>12640</v>
      </c>
      <c r="G1402" t="s">
        <v>12558</v>
      </c>
      <c r="H1402" t="s">
        <v>12642</v>
      </c>
      <c r="I1402" t="s">
        <v>177</v>
      </c>
      <c r="J1402" t="s">
        <v>22</v>
      </c>
      <c r="K1402" t="s">
        <v>12641</v>
      </c>
      <c r="L1402" t="s">
        <v>12645</v>
      </c>
      <c r="M1402" t="s">
        <v>25</v>
      </c>
      <c r="N1402" t="s">
        <v>12646</v>
      </c>
      <c r="O1402" t="s">
        <v>25</v>
      </c>
      <c r="P1402" t="s">
        <v>12647</v>
      </c>
      <c r="Q1402" t="s">
        <v>29</v>
      </c>
      <c r="R1402" t="s">
        <v>12643</v>
      </c>
      <c r="S1402" t="s">
        <v>12644</v>
      </c>
    </row>
    <row r="1403" spans="1:19" x14ac:dyDescent="0.25">
      <c r="A1403" s="1">
        <v>1401</v>
      </c>
      <c r="B1403" t="str">
        <f>HYPERLINK("https://www.dasschnelle.at/waldviertler-havarie-center-inh-worresch-andreas-mold-johann-pivonka-weg","Website")</f>
        <v>Website</v>
      </c>
      <c r="C1403" t="str">
        <f>HYPERLINK("https://www.dasschnelle.at/waldviertler-havarie-center-inh-worresch-andreas-mold-johann-pivonka-weg","Website")</f>
        <v>Website</v>
      </c>
      <c r="D1403" t="str">
        <f>HYPERLINK("http://www.google.com/maps/place/48.63948,15.70506","Location")</f>
        <v>Location</v>
      </c>
      <c r="E1403" t="s">
        <v>12648</v>
      </c>
      <c r="F1403" t="s">
        <v>12649</v>
      </c>
      <c r="G1403" t="s">
        <v>12616</v>
      </c>
      <c r="H1403" t="s">
        <v>12651</v>
      </c>
      <c r="I1403" t="s">
        <v>177</v>
      </c>
      <c r="J1403" t="s">
        <v>22</v>
      </c>
      <c r="K1403" t="s">
        <v>12650</v>
      </c>
      <c r="L1403" t="s">
        <v>12654</v>
      </c>
      <c r="M1403" t="s">
        <v>25</v>
      </c>
      <c r="N1403" t="s">
        <v>12655</v>
      </c>
      <c r="O1403" t="s">
        <v>25</v>
      </c>
      <c r="P1403" t="s">
        <v>12656</v>
      </c>
      <c r="Q1403" t="s">
        <v>29</v>
      </c>
      <c r="R1403" t="s">
        <v>12652</v>
      </c>
      <c r="S1403" t="s">
        <v>12653</v>
      </c>
    </row>
    <row r="1404" spans="1:19" x14ac:dyDescent="0.25">
      <c r="A1404" s="1">
        <v>1402</v>
      </c>
      <c r="B1404" t="str">
        <f>HYPERLINK("https://www.dasschnelle.at/paradeiser-jochen-evac-horn-breiteneich","Website")</f>
        <v>Website</v>
      </c>
      <c r="C1404" t="str">
        <f>HYPERLINK("http://www.evac.at","Website")</f>
        <v>Website</v>
      </c>
      <c r="D1404" t="str">
        <f>HYPERLINK("http://www.google.com/maps/place/48.6765460,15.6944019","Location")</f>
        <v>Location</v>
      </c>
      <c r="E1404" t="s">
        <v>12657</v>
      </c>
      <c r="F1404" t="s">
        <v>12658</v>
      </c>
      <c r="G1404" t="s">
        <v>12616</v>
      </c>
      <c r="H1404" t="s">
        <v>12625</v>
      </c>
      <c r="I1404" t="s">
        <v>177</v>
      </c>
      <c r="J1404" t="s">
        <v>22</v>
      </c>
      <c r="K1404" t="s">
        <v>12659</v>
      </c>
      <c r="L1404" t="s">
        <v>12662</v>
      </c>
      <c r="M1404" t="s">
        <v>25</v>
      </c>
      <c r="N1404" t="s">
        <v>12663</v>
      </c>
      <c r="O1404" t="s">
        <v>12664</v>
      </c>
      <c r="P1404" t="s">
        <v>12665</v>
      </c>
      <c r="Q1404" t="s">
        <v>29</v>
      </c>
      <c r="R1404" t="s">
        <v>12660</v>
      </c>
      <c r="S1404" t="s">
        <v>12661</v>
      </c>
    </row>
    <row r="1405" spans="1:19" x14ac:dyDescent="0.25">
      <c r="A1405" s="1">
        <v>1403</v>
      </c>
      <c r="B1405" t="str">
        <f>HYPERLINK("https://www.dasschnelle.at/lunzer-leopold-gesmbh-horn-breiteneicher-straße","Website")</f>
        <v>Website</v>
      </c>
      <c r="C1405" t="str">
        <f>HYPERLINK("http://www.glas-lunzer.at","Website")</f>
        <v>Website</v>
      </c>
      <c r="D1405" t="str">
        <f>HYPERLINK("http://www.google.com/maps/place/48.66964,15.67296","Location")</f>
        <v>Location</v>
      </c>
      <c r="E1405" t="s">
        <v>12666</v>
      </c>
      <c r="F1405" t="s">
        <v>12667</v>
      </c>
      <c r="G1405" t="s">
        <v>12616</v>
      </c>
      <c r="H1405" t="s">
        <v>12625</v>
      </c>
      <c r="I1405" t="s">
        <v>177</v>
      </c>
      <c r="J1405" t="s">
        <v>22</v>
      </c>
      <c r="K1405" t="s">
        <v>12668</v>
      </c>
      <c r="L1405" t="s">
        <v>12671</v>
      </c>
      <c r="M1405" t="s">
        <v>25</v>
      </c>
      <c r="N1405" t="s">
        <v>12672</v>
      </c>
      <c r="O1405" t="s">
        <v>12673</v>
      </c>
      <c r="P1405" t="s">
        <v>12674</v>
      </c>
      <c r="Q1405" t="s">
        <v>29</v>
      </c>
      <c r="R1405" t="s">
        <v>12669</v>
      </c>
      <c r="S1405" t="s">
        <v>12670</v>
      </c>
    </row>
    <row r="1406" spans="1:19" x14ac:dyDescent="0.25">
      <c r="A1406" s="1">
        <v>1404</v>
      </c>
      <c r="B1406" t="str">
        <f>HYPERLINK("https://www.dasschnelle.at/vogler-margot-eggenburg-grätzl","Website")</f>
        <v>Website</v>
      </c>
      <c r="C1406" t="str">
        <f>HYPERLINK("http://www.kosmetikfusspflege-vogler.at","Website")</f>
        <v>Website</v>
      </c>
      <c r="D1406" t="str">
        <f>HYPERLINK("http://www.google.com/maps/place/48.64269,15.81688","Location")</f>
        <v>Location</v>
      </c>
      <c r="E1406" t="s">
        <v>12675</v>
      </c>
      <c r="F1406" t="s">
        <v>12676</v>
      </c>
      <c r="G1406" t="s">
        <v>12596</v>
      </c>
      <c r="H1406" t="s">
        <v>12597</v>
      </c>
      <c r="I1406" t="s">
        <v>177</v>
      </c>
      <c r="J1406" t="s">
        <v>22</v>
      </c>
      <c r="K1406" t="s">
        <v>12677</v>
      </c>
      <c r="L1406" t="s">
        <v>12680</v>
      </c>
      <c r="M1406" t="s">
        <v>25</v>
      </c>
      <c r="N1406" t="s">
        <v>12681</v>
      </c>
      <c r="O1406" t="s">
        <v>25</v>
      </c>
      <c r="P1406" t="s">
        <v>12682</v>
      </c>
      <c r="Q1406" t="s">
        <v>29</v>
      </c>
      <c r="R1406" t="s">
        <v>12678</v>
      </c>
      <c r="S1406" t="s">
        <v>12679</v>
      </c>
    </row>
    <row r="1407" spans="1:19" x14ac:dyDescent="0.25">
      <c r="A1407" s="1">
        <v>1405</v>
      </c>
      <c r="B1407" t="str">
        <f>HYPERLINK("https://www.dasschnelle.at/haustechnik-ölknecht-gmbh-horn-honorius-burger-straße","Website")</f>
        <v>Website</v>
      </c>
      <c r="C1407" t="str">
        <f>HYPERLINK("http://www.oelknecht.at","Website")</f>
        <v>Website</v>
      </c>
      <c r="D1407" t="str">
        <f>HYPERLINK("http://www.google.com/maps/place/48.6650726,15.6648561","Location")</f>
        <v>Location</v>
      </c>
      <c r="E1407" t="s">
        <v>12683</v>
      </c>
      <c r="F1407" t="s">
        <v>12684</v>
      </c>
      <c r="G1407" t="s">
        <v>12616</v>
      </c>
      <c r="H1407" t="s">
        <v>12625</v>
      </c>
      <c r="I1407" t="s">
        <v>177</v>
      </c>
      <c r="J1407" t="s">
        <v>22</v>
      </c>
      <c r="K1407" t="s">
        <v>12685</v>
      </c>
      <c r="L1407" t="s">
        <v>12688</v>
      </c>
      <c r="M1407" t="s">
        <v>25</v>
      </c>
      <c r="N1407" t="s">
        <v>12689</v>
      </c>
      <c r="O1407" t="s">
        <v>25</v>
      </c>
      <c r="P1407" t="s">
        <v>12690</v>
      </c>
      <c r="Q1407" t="s">
        <v>29</v>
      </c>
      <c r="R1407" t="s">
        <v>12686</v>
      </c>
      <c r="S1407" t="s">
        <v>12687</v>
      </c>
    </row>
    <row r="1408" spans="1:19" x14ac:dyDescent="0.25">
      <c r="A1408" s="1">
        <v>1406</v>
      </c>
      <c r="B1408" t="str">
        <f>HYPERLINK("https://www.dasschnelle.at/docekal-thomas-gars-schillerstraße","Website")</f>
        <v>Website</v>
      </c>
      <c r="C1408" t="str">
        <f>HYPERLINK("http://www.baustoffe-gars.at","Website")</f>
        <v>Website</v>
      </c>
      <c r="D1408" t="str">
        <f>HYPERLINK("http://www.google.com/maps/place/48.5974395,15.6647118","Location")</f>
        <v>Location</v>
      </c>
      <c r="E1408" t="s">
        <v>12691</v>
      </c>
      <c r="F1408" t="s">
        <v>12692</v>
      </c>
      <c r="G1408" t="s">
        <v>301</v>
      </c>
      <c r="H1408" t="s">
        <v>12587</v>
      </c>
      <c r="I1408" t="s">
        <v>177</v>
      </c>
      <c r="J1408" t="s">
        <v>22</v>
      </c>
      <c r="K1408" t="s">
        <v>12693</v>
      </c>
      <c r="L1408" t="s">
        <v>12696</v>
      </c>
      <c r="M1408" t="s">
        <v>25</v>
      </c>
      <c r="N1408" t="s">
        <v>306</v>
      </c>
      <c r="O1408" t="s">
        <v>25</v>
      </c>
      <c r="P1408" t="s">
        <v>12697</v>
      </c>
      <c r="Q1408" t="s">
        <v>29</v>
      </c>
      <c r="R1408" t="s">
        <v>12694</v>
      </c>
      <c r="S1408" t="s">
        <v>12695</v>
      </c>
    </row>
    <row r="1409" spans="1:19" x14ac:dyDescent="0.25">
      <c r="A1409" s="1">
        <v>1407</v>
      </c>
      <c r="B1409" t="str">
        <f>HYPERLINK("https://www.dasschnelle.at/cerveny-margot-haarstudio-margot-marchtrenk-lessingstraße","Website")</f>
        <v>Website</v>
      </c>
      <c r="C1409" t="str">
        <f>HYPERLINK("https://www.dasschnelle.at/cerveny-margot-haarstudio-margot-marchtrenk-lessingstra%C3%9Fe","Website")</f>
        <v>Website</v>
      </c>
      <c r="D1409" t="str">
        <f>HYPERLINK("http://www.google.com/maps/place/48.19315,14.11334","Location")</f>
        <v>Location</v>
      </c>
      <c r="E1409" t="s">
        <v>12698</v>
      </c>
      <c r="F1409" t="s">
        <v>12699</v>
      </c>
      <c r="G1409" t="s">
        <v>4902</v>
      </c>
      <c r="H1409" t="s">
        <v>7155</v>
      </c>
      <c r="I1409" t="s">
        <v>85</v>
      </c>
      <c r="J1409" t="s">
        <v>22</v>
      </c>
      <c r="K1409" t="s">
        <v>12700</v>
      </c>
      <c r="L1409" t="s">
        <v>12703</v>
      </c>
      <c r="M1409" t="s">
        <v>25</v>
      </c>
      <c r="N1409" t="s">
        <v>12704</v>
      </c>
      <c r="O1409" t="s">
        <v>12705</v>
      </c>
      <c r="P1409" t="s">
        <v>12706</v>
      </c>
      <c r="Q1409" t="s">
        <v>29</v>
      </c>
      <c r="R1409" t="s">
        <v>12701</v>
      </c>
      <c r="S1409" t="s">
        <v>12702</v>
      </c>
    </row>
    <row r="1410" spans="1:19" x14ac:dyDescent="0.25">
      <c r="A1410" s="1">
        <v>1408</v>
      </c>
      <c r="B1410" t="str">
        <f>HYPERLINK("https://www.dasschnelle.at/szabo-wohnen-marchtrenk-linzer-straße","Website")</f>
        <v>Website</v>
      </c>
      <c r="C1410" t="str">
        <f>HYPERLINK("http://www.wohnen-szabo.at","Website")</f>
        <v>Website</v>
      </c>
      <c r="D1410" t="str">
        <f>HYPERLINK("http://www.google.com/maps/place/48.1917,14.11755","Location")</f>
        <v>Location</v>
      </c>
      <c r="E1410" t="s">
        <v>12707</v>
      </c>
      <c r="F1410" t="s">
        <v>12708</v>
      </c>
      <c r="G1410" t="s">
        <v>4902</v>
      </c>
      <c r="H1410" t="s">
        <v>7155</v>
      </c>
      <c r="I1410" t="s">
        <v>85</v>
      </c>
      <c r="J1410" t="s">
        <v>22</v>
      </c>
      <c r="K1410" t="s">
        <v>12709</v>
      </c>
      <c r="L1410" t="s">
        <v>12712</v>
      </c>
      <c r="M1410" t="s">
        <v>25</v>
      </c>
      <c r="N1410" t="s">
        <v>12713</v>
      </c>
      <c r="O1410" t="s">
        <v>25</v>
      </c>
      <c r="P1410" t="s">
        <v>12714</v>
      </c>
      <c r="Q1410" t="s">
        <v>29</v>
      </c>
      <c r="R1410" t="s">
        <v>12710</v>
      </c>
      <c r="S1410" t="s">
        <v>12711</v>
      </c>
    </row>
    <row r="1411" spans="1:19" x14ac:dyDescent="0.25">
      <c r="A1411" s="1">
        <v>1409</v>
      </c>
      <c r="B1411" t="str">
        <f>HYPERLINK("https://www.dasschnelle.at/mayr-hannes-dr-marchtrenk-linzer-straße","Website")</f>
        <v>Website</v>
      </c>
      <c r="C1411" t="str">
        <f>HYPERLINK("https://www.dasschnelle.at/mayr-hannes-dr-marchtrenk-linzer-stra%C3%9Fe","Website")</f>
        <v>Website</v>
      </c>
      <c r="D1411" t="str">
        <f>HYPERLINK("http://www.google.com/maps/place/48.1905,14.11283","Location")</f>
        <v>Location</v>
      </c>
      <c r="E1411" t="s">
        <v>12715</v>
      </c>
      <c r="F1411" t="s">
        <v>12716</v>
      </c>
      <c r="G1411" t="s">
        <v>4902</v>
      </c>
      <c r="H1411" t="s">
        <v>7155</v>
      </c>
      <c r="I1411" t="s">
        <v>85</v>
      </c>
      <c r="J1411" t="s">
        <v>22</v>
      </c>
      <c r="K1411" t="s">
        <v>12717</v>
      </c>
      <c r="L1411" t="s">
        <v>12720</v>
      </c>
      <c r="M1411" t="s">
        <v>25</v>
      </c>
      <c r="N1411" t="s">
        <v>25</v>
      </c>
      <c r="O1411" t="s">
        <v>25</v>
      </c>
      <c r="P1411" t="s">
        <v>12721</v>
      </c>
      <c r="Q1411" t="s">
        <v>29</v>
      </c>
      <c r="R1411" t="s">
        <v>12718</v>
      </c>
      <c r="S1411" t="s">
        <v>12719</v>
      </c>
    </row>
    <row r="1412" spans="1:19" x14ac:dyDescent="0.25">
      <c r="A1412" s="1">
        <v>1410</v>
      </c>
      <c r="B1412" t="str">
        <f>HYPERLINK("https://www.dasschnelle.at/car-line-marchtrenk-linzer-straße","Website")</f>
        <v>Website</v>
      </c>
      <c r="C1412" t="str">
        <f>HYPERLINK("http://www.car-line.at","Website")</f>
        <v>Website</v>
      </c>
      <c r="D1412" t="str">
        <f>HYPERLINK("http://www.google.com/maps/place/48.20197,14.15281","Location")</f>
        <v>Location</v>
      </c>
      <c r="E1412" t="s">
        <v>12722</v>
      </c>
      <c r="F1412" t="s">
        <v>12723</v>
      </c>
      <c r="G1412" t="s">
        <v>4902</v>
      </c>
      <c r="H1412" t="s">
        <v>7155</v>
      </c>
      <c r="I1412" t="s">
        <v>85</v>
      </c>
      <c r="J1412" t="s">
        <v>22</v>
      </c>
      <c r="K1412" t="s">
        <v>12724</v>
      </c>
      <c r="L1412" t="s">
        <v>12727</v>
      </c>
      <c r="M1412" t="s">
        <v>25</v>
      </c>
      <c r="N1412" t="s">
        <v>12728</v>
      </c>
      <c r="O1412" t="s">
        <v>25</v>
      </c>
      <c r="P1412" t="s">
        <v>12729</v>
      </c>
      <c r="Q1412" t="s">
        <v>29</v>
      </c>
      <c r="R1412" t="s">
        <v>12725</v>
      </c>
      <c r="S1412" t="s">
        <v>12726</v>
      </c>
    </row>
    <row r="1413" spans="1:19" x14ac:dyDescent="0.25">
      <c r="A1413" s="1">
        <v>1411</v>
      </c>
      <c r="B1413" t="str">
        <f>HYPERLINK("https://www.dasschnelle.at/jungmair-kg-oberprisching-mistelbacher-straße","Website")</f>
        <v>Website</v>
      </c>
      <c r="C1413" t="str">
        <f>HYPERLINK("https://www.dasschnelle.at/jungmair-kg-oberprisching-mistelbacher-stra%C3%9Fe","Website")</f>
        <v>Website</v>
      </c>
      <c r="D1413" t="str">
        <f>HYPERLINK("http://www.google.com/maps/place/48.2178723,14.0868865","Location")</f>
        <v>Location</v>
      </c>
      <c r="E1413" t="s">
        <v>12730</v>
      </c>
      <c r="F1413" t="s">
        <v>12731</v>
      </c>
      <c r="G1413" t="s">
        <v>4922</v>
      </c>
      <c r="H1413" t="s">
        <v>12733</v>
      </c>
      <c r="I1413" t="s">
        <v>85</v>
      </c>
      <c r="J1413" t="s">
        <v>22</v>
      </c>
      <c r="K1413" t="s">
        <v>12732</v>
      </c>
      <c r="L1413" t="s">
        <v>12736</v>
      </c>
      <c r="M1413" t="s">
        <v>25</v>
      </c>
      <c r="N1413" t="s">
        <v>25</v>
      </c>
      <c r="O1413" t="s">
        <v>25</v>
      </c>
      <c r="P1413" t="s">
        <v>12737</v>
      </c>
      <c r="Q1413" t="s">
        <v>29</v>
      </c>
      <c r="R1413" t="s">
        <v>12734</v>
      </c>
      <c r="S1413" t="s">
        <v>12735</v>
      </c>
    </row>
    <row r="1414" spans="1:19" x14ac:dyDescent="0.25">
      <c r="A1414" s="1">
        <v>1412</v>
      </c>
      <c r="B1414" t="str">
        <f>HYPERLINK("https://www.dasschnelle.at/lang-rene-marchtrenk-bahnhofstraße","Website")</f>
        <v>Website</v>
      </c>
      <c r="C1414" t="str">
        <f>HYPERLINK("https://www.dasschnelle.at/lang-rene-marchtrenk-bahnhofstra%C3%9Fe","Website")</f>
        <v>Website</v>
      </c>
      <c r="D1414" t="str">
        <f>HYPERLINK("http://www.google.com/maps/place/48.19322,14.11059","Location")</f>
        <v>Location</v>
      </c>
      <c r="E1414" t="s">
        <v>12738</v>
      </c>
      <c r="F1414" t="s">
        <v>12739</v>
      </c>
      <c r="G1414" t="s">
        <v>4902</v>
      </c>
      <c r="H1414" t="s">
        <v>7155</v>
      </c>
      <c r="I1414" t="s">
        <v>85</v>
      </c>
      <c r="J1414" t="s">
        <v>22</v>
      </c>
      <c r="K1414" t="s">
        <v>12740</v>
      </c>
      <c r="L1414" t="s">
        <v>12743</v>
      </c>
      <c r="M1414" t="s">
        <v>25</v>
      </c>
      <c r="N1414" t="s">
        <v>12744</v>
      </c>
      <c r="O1414" t="s">
        <v>25</v>
      </c>
      <c r="P1414" t="s">
        <v>12745</v>
      </c>
      <c r="Q1414" t="s">
        <v>29</v>
      </c>
      <c r="R1414" t="s">
        <v>12741</v>
      </c>
      <c r="S1414" t="s">
        <v>12742</v>
      </c>
    </row>
    <row r="1415" spans="1:19" x14ac:dyDescent="0.25">
      <c r="A1415" s="1">
        <v>1413</v>
      </c>
      <c r="B1415" t="str">
        <f>HYPERLINK("https://www.dasschnelle.at/goldener-palast-jhn-jiangjun-ji-marchtrenk-linzer-straße","Website")</f>
        <v>Website</v>
      </c>
      <c r="C1415" t="str">
        <f>HYPERLINK("https://www.dasschnelle.at/goldener-palast-jhn-jiangjun-ji-marchtrenk-linzer-stra%C3%9Fe","Website")</f>
        <v>Website</v>
      </c>
      <c r="D1415" t="str">
        <f>HYPERLINK("http://www.google.com/maps/place/48.19011,14.11201","Location")</f>
        <v>Location</v>
      </c>
      <c r="E1415" t="s">
        <v>12746</v>
      </c>
      <c r="F1415" t="s">
        <v>12747</v>
      </c>
      <c r="G1415" t="s">
        <v>4902</v>
      </c>
      <c r="H1415" t="s">
        <v>7155</v>
      </c>
      <c r="I1415" t="s">
        <v>85</v>
      </c>
      <c r="J1415" t="s">
        <v>22</v>
      </c>
      <c r="K1415" t="s">
        <v>12748</v>
      </c>
      <c r="L1415" t="s">
        <v>12751</v>
      </c>
      <c r="M1415" t="s">
        <v>25</v>
      </c>
      <c r="N1415" t="s">
        <v>25</v>
      </c>
      <c r="O1415" t="s">
        <v>25</v>
      </c>
      <c r="P1415" t="s">
        <v>12752</v>
      </c>
      <c r="Q1415" t="s">
        <v>29</v>
      </c>
      <c r="R1415" t="s">
        <v>12749</v>
      </c>
      <c r="S1415" t="s">
        <v>12750</v>
      </c>
    </row>
    <row r="1416" spans="1:19" x14ac:dyDescent="0.25">
      <c r="A1416" s="1">
        <v>1414</v>
      </c>
      <c r="B1416" t="str">
        <f>HYPERLINK("https://www.dasschnelle.at/hablesreiter-jakob-waldburg-sankt-peter","Website")</f>
        <v>Website</v>
      </c>
      <c r="C1416" t="str">
        <f>HYPERLINK("http://www.hablesreiter-gartengestaltung.at","Website")</f>
        <v>Website</v>
      </c>
      <c r="D1416" t="str">
        <f>HYPERLINK("http://www.google.com/maps/place/48.4984099,14.4768969","Location")</f>
        <v>Location</v>
      </c>
      <c r="E1416" t="s">
        <v>12753</v>
      </c>
      <c r="F1416" t="s">
        <v>12754</v>
      </c>
      <c r="G1416" t="s">
        <v>6891</v>
      </c>
      <c r="H1416" t="s">
        <v>9323</v>
      </c>
      <c r="I1416" t="s">
        <v>85</v>
      </c>
      <c r="J1416" t="s">
        <v>22</v>
      </c>
      <c r="K1416" t="s">
        <v>12755</v>
      </c>
      <c r="L1416" t="s">
        <v>12758</v>
      </c>
      <c r="M1416" t="s">
        <v>25</v>
      </c>
      <c r="N1416" t="s">
        <v>12759</v>
      </c>
      <c r="O1416" t="s">
        <v>12760</v>
      </c>
      <c r="P1416" t="s">
        <v>12761</v>
      </c>
      <c r="Q1416" t="s">
        <v>29</v>
      </c>
      <c r="R1416" t="s">
        <v>12756</v>
      </c>
      <c r="S1416" t="s">
        <v>12757</v>
      </c>
    </row>
    <row r="1417" spans="1:19" x14ac:dyDescent="0.25">
      <c r="A1417" s="1">
        <v>1415</v>
      </c>
      <c r="B1417" t="str">
        <f>HYPERLINK("https://www.dasschnelle.at/bestattung-neumayr-alkoven-bahnhofstraße","Website")</f>
        <v>Website</v>
      </c>
      <c r="C1417" t="str">
        <f>HYPERLINK("http://www.bestattung-neumayr.at","Website")</f>
        <v>Website</v>
      </c>
      <c r="D1417" t="str">
        <f>HYPERLINK("http://www.google.com/maps/place/48.2892400,14.1142600","Location")</f>
        <v>Location</v>
      </c>
      <c r="E1417" t="s">
        <v>12762</v>
      </c>
      <c r="F1417" t="s">
        <v>12763</v>
      </c>
      <c r="G1417" t="s">
        <v>3146</v>
      </c>
      <c r="H1417" t="s">
        <v>3147</v>
      </c>
      <c r="I1417" t="s">
        <v>85</v>
      </c>
      <c r="J1417" t="s">
        <v>22</v>
      </c>
      <c r="K1417" t="s">
        <v>10655</v>
      </c>
      <c r="L1417" t="s">
        <v>12766</v>
      </c>
      <c r="M1417" t="s">
        <v>25</v>
      </c>
      <c r="N1417" t="s">
        <v>3250</v>
      </c>
      <c r="O1417" t="s">
        <v>25</v>
      </c>
      <c r="P1417" t="s">
        <v>12767</v>
      </c>
      <c r="Q1417" t="s">
        <v>29</v>
      </c>
      <c r="R1417" t="s">
        <v>12764</v>
      </c>
      <c r="S1417" t="s">
        <v>12765</v>
      </c>
    </row>
    <row r="1418" spans="1:19" x14ac:dyDescent="0.25">
      <c r="A1418" s="1">
        <v>1416</v>
      </c>
      <c r="B1418" t="str">
        <f>HYPERLINK("https://www.dasschnelle.at/reitsamer-bernhard-e-u-sankt-georgen-st-georgener-landesstraße","Website")</f>
        <v>Website</v>
      </c>
      <c r="C1418" t="str">
        <f>HYPERLINK("http://www.reitsamer.eu","Website")</f>
        <v>Website</v>
      </c>
      <c r="D1418" t="str">
        <f>HYPERLINK("http://www.google.com/maps/place/47.9896000,12.8812500","Location")</f>
        <v>Location</v>
      </c>
      <c r="E1418" t="s">
        <v>12768</v>
      </c>
      <c r="F1418" t="s">
        <v>12769</v>
      </c>
      <c r="G1418" t="s">
        <v>9266</v>
      </c>
      <c r="H1418" t="s">
        <v>12771</v>
      </c>
      <c r="I1418" t="s">
        <v>2239</v>
      </c>
      <c r="J1418" t="s">
        <v>22</v>
      </c>
      <c r="K1418" t="s">
        <v>12770</v>
      </c>
      <c r="L1418" t="s">
        <v>12774</v>
      </c>
      <c r="M1418" t="s">
        <v>25</v>
      </c>
      <c r="N1418" t="s">
        <v>12775</v>
      </c>
      <c r="O1418" t="s">
        <v>25</v>
      </c>
      <c r="P1418" t="s">
        <v>12776</v>
      </c>
      <c r="Q1418" t="s">
        <v>29</v>
      </c>
      <c r="R1418" t="s">
        <v>12772</v>
      </c>
      <c r="S1418" t="s">
        <v>12773</v>
      </c>
    </row>
    <row r="1419" spans="1:19" x14ac:dyDescent="0.25">
      <c r="A1419" s="1">
        <v>1417</v>
      </c>
      <c r="B1419" t="str">
        <f>HYPERLINK("https://www.dasschnelle.at/hofstetter-thomas-dr-oberndorf-bei-salzburg-salzburger-straße","Website")</f>
        <v>Website</v>
      </c>
      <c r="C1419" t="str">
        <f>HYPERLINK("http://www.hno-hofstetter.at","Website")</f>
        <v>Website</v>
      </c>
      <c r="D1419" t="str">
        <f>HYPERLINK("http://www.google.com/maps/place/47.94434,12.94039","Location")</f>
        <v>Location</v>
      </c>
      <c r="E1419" t="s">
        <v>12777</v>
      </c>
      <c r="F1419" t="s">
        <v>12778</v>
      </c>
      <c r="G1419" t="s">
        <v>12780</v>
      </c>
      <c r="H1419" t="s">
        <v>12781</v>
      </c>
      <c r="I1419" t="s">
        <v>2239</v>
      </c>
      <c r="J1419" t="s">
        <v>22</v>
      </c>
      <c r="K1419" t="s">
        <v>12779</v>
      </c>
      <c r="L1419" t="s">
        <v>12784</v>
      </c>
      <c r="M1419" t="s">
        <v>25</v>
      </c>
      <c r="N1419" t="s">
        <v>12785</v>
      </c>
      <c r="O1419" t="s">
        <v>25</v>
      </c>
      <c r="P1419" t="s">
        <v>12786</v>
      </c>
      <c r="Q1419" t="s">
        <v>29</v>
      </c>
      <c r="R1419" t="s">
        <v>12782</v>
      </c>
      <c r="S1419" t="s">
        <v>12783</v>
      </c>
    </row>
    <row r="1420" spans="1:19" x14ac:dyDescent="0.25">
      <c r="A1420" s="1">
        <v>1418</v>
      </c>
      <c r="B1420" t="str">
        <f>HYPERLINK("https://www.dasschnelle.at/eisl-dürnberger-brigitta-dr-lamprechtshausen-hauptstraße","Website")</f>
        <v>Website</v>
      </c>
      <c r="C1420" t="str">
        <f>HYPERLINK("https://www.dasschnelle.at/eisl-d%C3%BCrnberger-brigitta-dr-lamprechtshausen-hauptstra%C3%9Fe","Website")</f>
        <v>Website</v>
      </c>
      <c r="D1420" t="str">
        <f>HYPERLINK("http://www.google.com/maps/place/47.99164,12.95635","Location")</f>
        <v>Location</v>
      </c>
      <c r="E1420" t="s">
        <v>12787</v>
      </c>
      <c r="F1420" t="s">
        <v>12788</v>
      </c>
      <c r="G1420" t="s">
        <v>9277</v>
      </c>
      <c r="H1420" t="s">
        <v>9278</v>
      </c>
      <c r="I1420" t="s">
        <v>2239</v>
      </c>
      <c r="J1420" t="s">
        <v>22</v>
      </c>
      <c r="K1420" t="s">
        <v>12789</v>
      </c>
      <c r="L1420" t="s">
        <v>12792</v>
      </c>
      <c r="M1420" t="s">
        <v>25</v>
      </c>
      <c r="N1420" t="s">
        <v>25</v>
      </c>
      <c r="O1420" t="s">
        <v>25</v>
      </c>
      <c r="P1420" t="s">
        <v>12793</v>
      </c>
      <c r="Q1420" t="s">
        <v>29</v>
      </c>
      <c r="R1420" t="s">
        <v>12790</v>
      </c>
      <c r="S1420" t="s">
        <v>12791</v>
      </c>
    </row>
    <row r="1421" spans="1:19" x14ac:dyDescent="0.25">
      <c r="A1421" s="1">
        <v>1419</v>
      </c>
      <c r="B1421" t="str">
        <f>HYPERLINK("https://www.dasschnelle.at/aichinger-ingrid-dr-st-pantaleon-bergwerkstraße","Website")</f>
        <v>Website</v>
      </c>
      <c r="C1421" t="str">
        <f>HYPERLINK("https://www.dasschnelle.at/aichinger-ingrid-dr-st-pantaleon-bergwerkstra%C3%9Fe","Website")</f>
        <v>Website</v>
      </c>
      <c r="D1421" t="str">
        <f>HYPERLINK("http://www.google.com/maps/place/48.02567,12.8646","Location")</f>
        <v>Location</v>
      </c>
      <c r="E1421" t="s">
        <v>12794</v>
      </c>
      <c r="F1421" t="s">
        <v>12795</v>
      </c>
      <c r="G1421" t="s">
        <v>12797</v>
      </c>
      <c r="H1421" t="s">
        <v>10858</v>
      </c>
      <c r="I1421" t="s">
        <v>85</v>
      </c>
      <c r="J1421" t="s">
        <v>22</v>
      </c>
      <c r="K1421" t="s">
        <v>12796</v>
      </c>
      <c r="L1421" t="s">
        <v>12800</v>
      </c>
      <c r="M1421" t="s">
        <v>25</v>
      </c>
      <c r="N1421" t="s">
        <v>25</v>
      </c>
      <c r="O1421" t="s">
        <v>25</v>
      </c>
      <c r="P1421" t="s">
        <v>12801</v>
      </c>
      <c r="Q1421" t="s">
        <v>29</v>
      </c>
      <c r="R1421" t="s">
        <v>12798</v>
      </c>
      <c r="S1421" t="s">
        <v>12799</v>
      </c>
    </row>
    <row r="1422" spans="1:19" x14ac:dyDescent="0.25">
      <c r="A1422" s="1">
        <v>1420</v>
      </c>
      <c r="B1422" t="str">
        <f>HYPERLINK("https://www.dasschnelle.at/grizzly-autoteile-e-u-lamprechtshausen-bahnhofstraße","Website")</f>
        <v>Website</v>
      </c>
      <c r="C1422" t="str">
        <f>HYPERLINK("http://www.grizzly-autoteile.at","Website")</f>
        <v>Website</v>
      </c>
      <c r="D1422" t="str">
        <f>HYPERLINK("http://www.google.com/maps/place/47.98969,12.94964","Location")</f>
        <v>Location</v>
      </c>
      <c r="E1422" t="s">
        <v>12802</v>
      </c>
      <c r="F1422" t="s">
        <v>12803</v>
      </c>
      <c r="G1422" t="s">
        <v>9277</v>
      </c>
      <c r="H1422" t="s">
        <v>9278</v>
      </c>
      <c r="I1422" t="s">
        <v>2239</v>
      </c>
      <c r="J1422" t="s">
        <v>22</v>
      </c>
      <c r="K1422" t="s">
        <v>12804</v>
      </c>
      <c r="L1422" t="s">
        <v>12807</v>
      </c>
      <c r="M1422" t="s">
        <v>25</v>
      </c>
      <c r="N1422" t="s">
        <v>12808</v>
      </c>
      <c r="O1422" t="s">
        <v>12809</v>
      </c>
      <c r="P1422" t="s">
        <v>12810</v>
      </c>
      <c r="Q1422" t="s">
        <v>29</v>
      </c>
      <c r="R1422" t="s">
        <v>12805</v>
      </c>
      <c r="S1422" t="s">
        <v>12806</v>
      </c>
    </row>
    <row r="1423" spans="1:19" x14ac:dyDescent="0.25">
      <c r="A1423" s="1">
        <v>1421</v>
      </c>
      <c r="B1423" t="str">
        <f>HYPERLINK("https://www.dasschnelle.at/kraibacher-wolfgang-lehen-bachfeldstraße","Website")</f>
        <v>Website</v>
      </c>
      <c r="C1423" t="str">
        <f>HYPERLINK("http://www.sonnen-wetterschutz.at/","Website")</f>
        <v>Website</v>
      </c>
      <c r="D1423" t="str">
        <f>HYPERLINK("http://www.google.com/maps/place/47.87025,13.01503","Location")</f>
        <v>Location</v>
      </c>
      <c r="E1423" t="s">
        <v>12811</v>
      </c>
      <c r="F1423" t="s">
        <v>12812</v>
      </c>
      <c r="G1423" t="s">
        <v>12814</v>
      </c>
      <c r="H1423" t="s">
        <v>12815</v>
      </c>
      <c r="I1423" t="s">
        <v>2239</v>
      </c>
      <c r="J1423" t="s">
        <v>22</v>
      </c>
      <c r="K1423" t="s">
        <v>12813</v>
      </c>
      <c r="L1423" t="s">
        <v>12818</v>
      </c>
      <c r="M1423" t="s">
        <v>25</v>
      </c>
      <c r="N1423" t="s">
        <v>12819</v>
      </c>
      <c r="O1423" t="s">
        <v>25</v>
      </c>
      <c r="P1423" t="s">
        <v>12820</v>
      </c>
      <c r="Q1423" t="s">
        <v>29</v>
      </c>
      <c r="R1423" t="s">
        <v>12816</v>
      </c>
      <c r="S1423" t="s">
        <v>12817</v>
      </c>
    </row>
    <row r="1424" spans="1:19" x14ac:dyDescent="0.25">
      <c r="A1424" s="1">
        <v>1422</v>
      </c>
      <c r="B1424" t="str">
        <f>HYPERLINK("https://www.dasschnelle.at/zimmerei-gmbh-baumann-helmut-sankt-georgen-bei-salzburg-gewerbegebiet","Website")</f>
        <v>Website</v>
      </c>
      <c r="C1424" t="str">
        <f>HYPERLINK("https://www.dasschnelle.at/zimmerei-gmbh-baumann-helmut-sankt-georgen-bei-salzburg-gewerbegebiet","Website")</f>
        <v>Website</v>
      </c>
      <c r="D1424" t="str">
        <f>HYPERLINK("http://www.google.com/maps/place/47.97337,12.90131","Location")</f>
        <v>Location</v>
      </c>
      <c r="E1424" t="s">
        <v>12821</v>
      </c>
      <c r="F1424" t="s">
        <v>12822</v>
      </c>
      <c r="G1424" t="s">
        <v>9266</v>
      </c>
      <c r="H1424" t="s">
        <v>9267</v>
      </c>
      <c r="I1424" t="s">
        <v>2239</v>
      </c>
      <c r="J1424" t="s">
        <v>22</v>
      </c>
      <c r="K1424" t="s">
        <v>12823</v>
      </c>
      <c r="L1424" t="s">
        <v>12826</v>
      </c>
      <c r="M1424" t="s">
        <v>25</v>
      </c>
      <c r="N1424" t="s">
        <v>12827</v>
      </c>
      <c r="O1424" t="s">
        <v>25</v>
      </c>
      <c r="P1424" t="s">
        <v>12828</v>
      </c>
      <c r="Q1424" t="s">
        <v>29</v>
      </c>
      <c r="R1424" t="s">
        <v>12824</v>
      </c>
      <c r="S1424" t="s">
        <v>12825</v>
      </c>
    </row>
    <row r="1425" spans="1:19" x14ac:dyDescent="0.25">
      <c r="A1425" s="1">
        <v>1423</v>
      </c>
      <c r="B1425" t="str">
        <f>HYPERLINK("https://www.dasschnelle.at/kellerwirt-sankt-georgen-bei-salzburg-oberndorfer-landesstraße","Website")</f>
        <v>Website</v>
      </c>
      <c r="C1425" t="str">
        <f>HYPERLINK("http://www.kellerwirt.net","Website")</f>
        <v>Website</v>
      </c>
      <c r="D1425" t="str">
        <f>HYPERLINK("http://www.google.com/maps/place/47.96103,12.91659","Location")</f>
        <v>Location</v>
      </c>
      <c r="E1425" t="s">
        <v>12829</v>
      </c>
      <c r="F1425" t="s">
        <v>12830</v>
      </c>
      <c r="G1425" t="s">
        <v>9266</v>
      </c>
      <c r="H1425" t="s">
        <v>9267</v>
      </c>
      <c r="I1425" t="s">
        <v>2239</v>
      </c>
      <c r="J1425" t="s">
        <v>22</v>
      </c>
      <c r="K1425" t="s">
        <v>12831</v>
      </c>
      <c r="L1425" t="s">
        <v>12834</v>
      </c>
      <c r="M1425" t="s">
        <v>25</v>
      </c>
      <c r="N1425" t="s">
        <v>12835</v>
      </c>
      <c r="O1425" t="s">
        <v>25</v>
      </c>
      <c r="P1425" t="s">
        <v>12836</v>
      </c>
      <c r="Q1425" t="s">
        <v>29</v>
      </c>
      <c r="R1425" t="s">
        <v>12832</v>
      </c>
      <c r="S1425" t="s">
        <v>12833</v>
      </c>
    </row>
    <row r="1426" spans="1:19" x14ac:dyDescent="0.25">
      <c r="A1426" s="1">
        <v>1424</v>
      </c>
      <c r="B1426" t="str">
        <f>HYPERLINK("https://www.dasschnelle.at/költringer-manuela-göming-kirchgöming","Website")</f>
        <v>Website</v>
      </c>
      <c r="C1426" t="str">
        <f>HYPERLINK("http://www.koeltringer-webart.com","Website")</f>
        <v>Website</v>
      </c>
      <c r="D1426" t="str">
        <f>HYPERLINK("http://www.google.com/maps/place/47.95201,12.95404","Location")</f>
        <v>Location</v>
      </c>
      <c r="E1426" t="s">
        <v>12837</v>
      </c>
      <c r="F1426" t="s">
        <v>12838</v>
      </c>
      <c r="G1426" t="s">
        <v>12840</v>
      </c>
      <c r="H1426" t="s">
        <v>12841</v>
      </c>
      <c r="I1426" t="s">
        <v>2239</v>
      </c>
      <c r="J1426" t="s">
        <v>22</v>
      </c>
      <c r="K1426" t="s">
        <v>12839</v>
      </c>
      <c r="L1426" t="s">
        <v>12844</v>
      </c>
      <c r="M1426" t="s">
        <v>25</v>
      </c>
      <c r="N1426" t="s">
        <v>12845</v>
      </c>
      <c r="O1426" t="s">
        <v>12846</v>
      </c>
      <c r="P1426" t="s">
        <v>12847</v>
      </c>
      <c r="Q1426" t="s">
        <v>29</v>
      </c>
      <c r="R1426" t="s">
        <v>12842</v>
      </c>
      <c r="S1426" t="s">
        <v>12843</v>
      </c>
    </row>
    <row r="1427" spans="1:19" x14ac:dyDescent="0.25">
      <c r="A1427" s="1">
        <v>1425</v>
      </c>
      <c r="B1427" t="str">
        <f>HYPERLINK("https://www.dasschnelle.at/karl-christian-kötschach-mauthen-mauthen","Website")</f>
        <v>Website</v>
      </c>
      <c r="C1427" t="str">
        <f>HYPERLINK("https://www.dasschnelle.at/karl-christian-k%C3%B6tschach-mauthen-mauthen","Website")</f>
        <v>Website</v>
      </c>
      <c r="D1427" t="str">
        <f>HYPERLINK("http://www.google.com/maps/place/46.6617591,12.9986322","Location")</f>
        <v>Location</v>
      </c>
      <c r="E1427" t="s">
        <v>12848</v>
      </c>
      <c r="F1427" t="s">
        <v>12849</v>
      </c>
      <c r="G1427" t="s">
        <v>9163</v>
      </c>
      <c r="H1427" t="s">
        <v>9164</v>
      </c>
      <c r="I1427" t="s">
        <v>4130</v>
      </c>
      <c r="J1427" t="s">
        <v>22</v>
      </c>
      <c r="K1427" t="s">
        <v>12850</v>
      </c>
      <c r="L1427" t="s">
        <v>12853</v>
      </c>
      <c r="M1427" t="s">
        <v>25</v>
      </c>
      <c r="N1427" t="s">
        <v>12854</v>
      </c>
      <c r="O1427" t="s">
        <v>25</v>
      </c>
      <c r="P1427" t="s">
        <v>12855</v>
      </c>
      <c r="Q1427" t="s">
        <v>29</v>
      </c>
      <c r="R1427" t="s">
        <v>12851</v>
      </c>
      <c r="S1427" t="s">
        <v>12852</v>
      </c>
    </row>
    <row r="1428" spans="1:19" x14ac:dyDescent="0.25">
      <c r="A1428" s="1">
        <v>1426</v>
      </c>
      <c r="B1428" t="str">
        <f>HYPERLINK("https://www.dasschnelle.at/spenglerei-siegwart-pichler-kötschach-mauthen-würmlach","Website")</f>
        <v>Website</v>
      </c>
      <c r="C1428" t="str">
        <f>HYPERLINK("https://www.dasschnelle.at/spenglerei-siegwart-pichler-k%C3%B6tschach-mauthen-w%C3%BCrmlach","Website")</f>
        <v>Website</v>
      </c>
      <c r="D1428" t="str">
        <f>HYPERLINK("http://www.google.com/maps/place/46.6615475,13.0132940","Location")</f>
        <v>Location</v>
      </c>
      <c r="E1428" t="s">
        <v>12856</v>
      </c>
      <c r="F1428" t="s">
        <v>12857</v>
      </c>
      <c r="G1428" t="s">
        <v>9163</v>
      </c>
      <c r="H1428" t="s">
        <v>9164</v>
      </c>
      <c r="I1428" t="s">
        <v>4130</v>
      </c>
      <c r="J1428" t="s">
        <v>22</v>
      </c>
      <c r="K1428" t="s">
        <v>12858</v>
      </c>
      <c r="L1428" t="s">
        <v>25</v>
      </c>
      <c r="M1428" t="s">
        <v>12861</v>
      </c>
      <c r="N1428" t="s">
        <v>12862</v>
      </c>
      <c r="O1428" t="s">
        <v>25</v>
      </c>
      <c r="P1428" t="s">
        <v>12863</v>
      </c>
      <c r="Q1428" t="s">
        <v>29</v>
      </c>
      <c r="R1428" t="s">
        <v>12859</v>
      </c>
      <c r="S1428" t="s">
        <v>12860</v>
      </c>
    </row>
    <row r="1429" spans="1:19" x14ac:dyDescent="0.25">
      <c r="A1429" s="1">
        <v>1427</v>
      </c>
      <c r="B1429" t="str">
        <f>HYPERLINK("https://www.dasschnelle.at/schmidt-marek-hermagor-möderndorf","Website")</f>
        <v>Website</v>
      </c>
      <c r="C1429" t="str">
        <f>HYPERLINK("http://www.facebook.com/gailwirt","Website")</f>
        <v>Website</v>
      </c>
      <c r="D1429" t="str">
        <f>HYPERLINK("http://www.google.com/maps/place/46.6138803,13.3661649","Location")</f>
        <v>Location</v>
      </c>
      <c r="E1429" t="s">
        <v>12864</v>
      </c>
      <c r="F1429" t="s">
        <v>12865</v>
      </c>
      <c r="G1429" t="s">
        <v>9153</v>
      </c>
      <c r="H1429" t="s">
        <v>9154</v>
      </c>
      <c r="I1429" t="s">
        <v>4130</v>
      </c>
      <c r="J1429" t="s">
        <v>22</v>
      </c>
      <c r="K1429" t="s">
        <v>12866</v>
      </c>
      <c r="L1429" t="s">
        <v>12869</v>
      </c>
      <c r="M1429" t="s">
        <v>25</v>
      </c>
      <c r="N1429" t="s">
        <v>12870</v>
      </c>
      <c r="O1429" t="s">
        <v>25</v>
      </c>
      <c r="P1429" t="s">
        <v>12871</v>
      </c>
      <c r="Q1429" t="s">
        <v>29</v>
      </c>
      <c r="R1429" t="s">
        <v>12867</v>
      </c>
      <c r="S1429" t="s">
        <v>12868</v>
      </c>
    </row>
    <row r="1430" spans="1:19" x14ac:dyDescent="0.25">
      <c r="A1430" s="1">
        <v>1428</v>
      </c>
      <c r="B1430" t="str">
        <f>HYPERLINK("https://www.dasschnelle.at/gefat-s-hofladen-fam-schellander-kötschach-mauthen-würmlach","Website")</f>
        <v>Website</v>
      </c>
      <c r="C1430" t="str">
        <f>HYPERLINK("https://www.dasschnelle.at/gefat-s-hofladen-fam-schellander-k%C3%B6tschach-mauthen-w%C3%BCrmlach","Website")</f>
        <v>Website</v>
      </c>
      <c r="D1430" t="str">
        <f>HYPERLINK("http://www.google.com/maps/place/46.6561905,13.0161042","Location")</f>
        <v>Location</v>
      </c>
      <c r="E1430" t="s">
        <v>12872</v>
      </c>
      <c r="F1430" t="s">
        <v>12873</v>
      </c>
      <c r="G1430" t="s">
        <v>9163</v>
      </c>
      <c r="H1430" t="s">
        <v>9164</v>
      </c>
      <c r="I1430" t="s">
        <v>4130</v>
      </c>
      <c r="J1430" t="s">
        <v>22</v>
      </c>
      <c r="K1430" t="s">
        <v>12874</v>
      </c>
      <c r="L1430" t="s">
        <v>12877</v>
      </c>
      <c r="M1430" t="s">
        <v>25</v>
      </c>
      <c r="N1430" t="s">
        <v>12878</v>
      </c>
      <c r="O1430" t="s">
        <v>25</v>
      </c>
      <c r="P1430" t="s">
        <v>12879</v>
      </c>
      <c r="Q1430" t="s">
        <v>29</v>
      </c>
      <c r="R1430" t="s">
        <v>12875</v>
      </c>
      <c r="S1430" t="s">
        <v>12876</v>
      </c>
    </row>
    <row r="1431" spans="1:19" x14ac:dyDescent="0.25">
      <c r="A1431" s="1">
        <v>1429</v>
      </c>
      <c r="B1431" t="str">
        <f>HYPERLINK("https://www.dasschnelle.at/hauck-silvia-st-stefan-an-der-gail-sankt-stefan","Website")</f>
        <v>Website</v>
      </c>
      <c r="C1431" t="str">
        <f>HYPERLINK("http://www.gailtaler-wohlfuehloase.com","Website")</f>
        <v>Website</v>
      </c>
      <c r="D1431" t="str">
        <f>HYPERLINK("http://www.google.com/maps/place/46.6160172,13.5170800","Location")</f>
        <v>Location</v>
      </c>
      <c r="E1431" t="s">
        <v>12880</v>
      </c>
      <c r="F1431" t="s">
        <v>12881</v>
      </c>
      <c r="G1431" t="s">
        <v>12883</v>
      </c>
      <c r="H1431" t="s">
        <v>12884</v>
      </c>
      <c r="I1431" t="s">
        <v>4130</v>
      </c>
      <c r="J1431" t="s">
        <v>22</v>
      </c>
      <c r="K1431" t="s">
        <v>12882</v>
      </c>
      <c r="L1431" t="s">
        <v>12887</v>
      </c>
      <c r="M1431" t="s">
        <v>25</v>
      </c>
      <c r="N1431" t="s">
        <v>12888</v>
      </c>
      <c r="O1431" t="s">
        <v>12889</v>
      </c>
      <c r="P1431" t="s">
        <v>12890</v>
      </c>
      <c r="Q1431" t="s">
        <v>29</v>
      </c>
      <c r="R1431" t="s">
        <v>12885</v>
      </c>
      <c r="S1431" t="s">
        <v>12886</v>
      </c>
    </row>
    <row r="1432" spans="1:19" x14ac:dyDescent="0.25">
      <c r="A1432" s="1">
        <v>1430</v>
      </c>
      <c r="B1432" t="str">
        <f>HYPERLINK("https://www.dasschnelle.at/sport-putz-kötschach-kötschach","Website")</f>
        <v>Website</v>
      </c>
      <c r="C1432" t="str">
        <f>HYPERLINK("http://www.sportputz.at","Website")</f>
        <v>Website</v>
      </c>
      <c r="D1432" t="str">
        <f>HYPERLINK("http://www.google.com/maps/place/46.6798718,13.0039441","Location")</f>
        <v>Location</v>
      </c>
      <c r="E1432" t="s">
        <v>12891</v>
      </c>
      <c r="F1432" t="s">
        <v>12892</v>
      </c>
      <c r="G1432" t="s">
        <v>9163</v>
      </c>
      <c r="H1432" t="s">
        <v>12894</v>
      </c>
      <c r="I1432" t="s">
        <v>4130</v>
      </c>
      <c r="J1432" t="s">
        <v>22</v>
      </c>
      <c r="K1432" t="s">
        <v>12893</v>
      </c>
      <c r="L1432" t="s">
        <v>12897</v>
      </c>
      <c r="M1432" t="s">
        <v>25</v>
      </c>
      <c r="N1432" t="s">
        <v>12898</v>
      </c>
      <c r="O1432" t="s">
        <v>25</v>
      </c>
      <c r="P1432" t="s">
        <v>12899</v>
      </c>
      <c r="Q1432" t="s">
        <v>29</v>
      </c>
      <c r="R1432" t="s">
        <v>12895</v>
      </c>
      <c r="S1432" t="s">
        <v>12896</v>
      </c>
    </row>
    <row r="1433" spans="1:19" x14ac:dyDescent="0.25">
      <c r="A1433" s="1">
        <v>1431</v>
      </c>
      <c r="B1433" t="str">
        <f>HYPERLINK("https://www.dasschnelle.at/kanzian-adolf-kirchbach-kirchbach","Website")</f>
        <v>Website</v>
      </c>
      <c r="C1433" t="str">
        <f>HYPERLINK("https://www.dasschnelle.at/kanzian-adolf-kirchbach-kirchbach","Website")</f>
        <v>Website</v>
      </c>
      <c r="D1433" t="str">
        <f>HYPERLINK("http://www.google.com/maps/place/46.6385656,13.1828886","Location")</f>
        <v>Location</v>
      </c>
      <c r="E1433" t="s">
        <v>12900</v>
      </c>
      <c r="F1433" t="s">
        <v>12901</v>
      </c>
      <c r="G1433" t="s">
        <v>12903</v>
      </c>
      <c r="H1433" t="s">
        <v>12904</v>
      </c>
      <c r="I1433" t="s">
        <v>4130</v>
      </c>
      <c r="J1433" t="s">
        <v>22</v>
      </c>
      <c r="K1433" t="s">
        <v>12902</v>
      </c>
      <c r="L1433" t="s">
        <v>12907</v>
      </c>
      <c r="M1433" t="s">
        <v>25</v>
      </c>
      <c r="N1433" t="s">
        <v>12908</v>
      </c>
      <c r="O1433" t="s">
        <v>25</v>
      </c>
      <c r="P1433" t="s">
        <v>12909</v>
      </c>
      <c r="Q1433" t="s">
        <v>29</v>
      </c>
      <c r="R1433" t="s">
        <v>12905</v>
      </c>
      <c r="S1433" t="s">
        <v>12906</v>
      </c>
    </row>
    <row r="1434" spans="1:19" x14ac:dyDescent="0.25">
      <c r="A1434" s="1">
        <v>1432</v>
      </c>
      <c r="B1434" t="str">
        <f>HYPERLINK("https://www.dasschnelle.at/pitzler-claudia-dr-hermagor-10-oktober-straße","Website")</f>
        <v>Website</v>
      </c>
      <c r="C1434" t="str">
        <f>HYPERLINK("https://www.dasschnelle.at/pitzler-claudia-dr-hermagor-10-oktober-stra%C3%9Fe","Website")</f>
        <v>Website</v>
      </c>
      <c r="D1434" t="str">
        <f>HYPERLINK("http://www.google.com/maps/place/46.62687,13.37087","Location")</f>
        <v>Location</v>
      </c>
      <c r="E1434" t="s">
        <v>12910</v>
      </c>
      <c r="F1434" t="s">
        <v>12911</v>
      </c>
      <c r="G1434" t="s">
        <v>9153</v>
      </c>
      <c r="H1434" t="s">
        <v>9154</v>
      </c>
      <c r="I1434" t="s">
        <v>4130</v>
      </c>
      <c r="J1434" t="s">
        <v>22</v>
      </c>
      <c r="K1434" t="s">
        <v>12912</v>
      </c>
      <c r="L1434" t="s">
        <v>12915</v>
      </c>
      <c r="M1434" t="s">
        <v>12916</v>
      </c>
      <c r="N1434" t="s">
        <v>25</v>
      </c>
      <c r="O1434" t="s">
        <v>25</v>
      </c>
      <c r="P1434" t="s">
        <v>12917</v>
      </c>
      <c r="Q1434" t="s">
        <v>29</v>
      </c>
      <c r="R1434" t="s">
        <v>12913</v>
      </c>
      <c r="S1434" t="s">
        <v>12914</v>
      </c>
    </row>
    <row r="1435" spans="1:19" x14ac:dyDescent="0.25">
      <c r="A1435" s="1">
        <v>1433</v>
      </c>
      <c r="B1435" t="str">
        <f>HYPERLINK("https://www.dasschnelle.at/altmüller-gmbh-installateur-kematen-an-der-krems-lastenstraße","Website")</f>
        <v>Website</v>
      </c>
      <c r="C1435" t="str">
        <f>HYPERLINK("http://www.altmueller.at","Website")</f>
        <v>Website</v>
      </c>
      <c r="D1435" t="str">
        <f>HYPERLINK("http://www.google.com/maps/place/48.1207829,14.2067939","Location")</f>
        <v>Location</v>
      </c>
      <c r="E1435" t="s">
        <v>12918</v>
      </c>
      <c r="F1435" t="s">
        <v>12919</v>
      </c>
      <c r="G1435" t="s">
        <v>12921</v>
      </c>
      <c r="H1435" t="s">
        <v>12922</v>
      </c>
      <c r="I1435" t="s">
        <v>85</v>
      </c>
      <c r="J1435" t="s">
        <v>22</v>
      </c>
      <c r="K1435" t="s">
        <v>12920</v>
      </c>
      <c r="L1435" t="s">
        <v>12925</v>
      </c>
      <c r="M1435" t="s">
        <v>25</v>
      </c>
      <c r="N1435" t="s">
        <v>12926</v>
      </c>
      <c r="O1435" t="s">
        <v>25</v>
      </c>
      <c r="P1435" t="s">
        <v>12927</v>
      </c>
      <c r="Q1435" t="s">
        <v>29</v>
      </c>
      <c r="R1435" t="s">
        <v>12923</v>
      </c>
      <c r="S1435" t="s">
        <v>12924</v>
      </c>
    </row>
    <row r="1436" spans="1:19" x14ac:dyDescent="0.25">
      <c r="A1436" s="1">
        <v>1434</v>
      </c>
      <c r="B1436" t="str">
        <f>HYPERLINK("https://www.dasschnelle.at/burgstaller-heinz-neuhofen-an-der-krems-wimmerstraße","Website")</f>
        <v>Website</v>
      </c>
      <c r="C1436" t="str">
        <f>HYPERLINK("http://www.wimmerwald.at","Website")</f>
        <v>Website</v>
      </c>
      <c r="D1436" t="str">
        <f>HYPERLINK("http://www.google.com/maps/place/48.13357,14.21781","Location")</f>
        <v>Location</v>
      </c>
      <c r="E1436" t="s">
        <v>12928</v>
      </c>
      <c r="F1436" t="s">
        <v>12929</v>
      </c>
      <c r="G1436" t="s">
        <v>12931</v>
      </c>
      <c r="H1436" t="s">
        <v>12932</v>
      </c>
      <c r="I1436" t="s">
        <v>85</v>
      </c>
      <c r="J1436" t="s">
        <v>22</v>
      </c>
      <c r="K1436" t="s">
        <v>12930</v>
      </c>
      <c r="L1436" t="s">
        <v>12935</v>
      </c>
      <c r="M1436" t="s">
        <v>25</v>
      </c>
      <c r="N1436" t="s">
        <v>12936</v>
      </c>
      <c r="O1436" t="s">
        <v>25</v>
      </c>
      <c r="P1436" t="s">
        <v>12937</v>
      </c>
      <c r="Q1436" t="s">
        <v>29</v>
      </c>
      <c r="R1436" t="s">
        <v>12933</v>
      </c>
      <c r="S1436" t="s">
        <v>12934</v>
      </c>
    </row>
    <row r="1437" spans="1:19" x14ac:dyDescent="0.25">
      <c r="A1437" s="1">
        <v>1435</v>
      </c>
      <c r="B1437" t="str">
        <f>HYPERLINK("https://www.dasschnelle.at/salon-irndorfer-neuhofen-an-der-krems-linzer-straße","Website")</f>
        <v>Website</v>
      </c>
      <c r="C1437" t="str">
        <f>HYPERLINK("https://www.dasschnelle.at/salon-irndorfer-neuhofen-an-der-krems-linzer-stra%C3%9Fe","Website")</f>
        <v>Website</v>
      </c>
      <c r="D1437" t="str">
        <f>HYPERLINK("http://www.google.com/maps/place/48.13925,14.22815","Location")</f>
        <v>Location</v>
      </c>
      <c r="E1437" t="s">
        <v>12938</v>
      </c>
      <c r="F1437" t="s">
        <v>12939</v>
      </c>
      <c r="G1437" t="s">
        <v>12931</v>
      </c>
      <c r="H1437" t="s">
        <v>12932</v>
      </c>
      <c r="I1437" t="s">
        <v>85</v>
      </c>
      <c r="J1437" t="s">
        <v>22</v>
      </c>
      <c r="K1437" t="s">
        <v>7154</v>
      </c>
      <c r="L1437" t="s">
        <v>12942</v>
      </c>
      <c r="M1437" t="s">
        <v>25</v>
      </c>
      <c r="N1437" t="s">
        <v>12943</v>
      </c>
      <c r="O1437" t="s">
        <v>25</v>
      </c>
      <c r="P1437" t="s">
        <v>12944</v>
      </c>
      <c r="Q1437" t="s">
        <v>29</v>
      </c>
      <c r="R1437" t="s">
        <v>12940</v>
      </c>
      <c r="S1437" t="s">
        <v>12941</v>
      </c>
    </row>
    <row r="1438" spans="1:19" x14ac:dyDescent="0.25">
      <c r="A1438" s="1">
        <v>1436</v>
      </c>
      <c r="B1438" t="str">
        <f>HYPERLINK("https://www.dasschnelle.at/möbes-und-mair-gmbh-kematen-an-der-krems-bahnhofstraße","Website")</f>
        <v>Website</v>
      </c>
      <c r="C1438" t="str">
        <f>HYPERLINK("http://www.dach-mm.net","Website")</f>
        <v>Website</v>
      </c>
      <c r="D1438" t="str">
        <f>HYPERLINK("http://www.google.com/maps/place/48.11274,14.19835","Location")</f>
        <v>Location</v>
      </c>
      <c r="E1438" t="s">
        <v>12945</v>
      </c>
      <c r="F1438" t="s">
        <v>12946</v>
      </c>
      <c r="G1438" t="s">
        <v>12921</v>
      </c>
      <c r="H1438" t="s">
        <v>12922</v>
      </c>
      <c r="I1438" t="s">
        <v>85</v>
      </c>
      <c r="J1438" t="s">
        <v>22</v>
      </c>
      <c r="K1438" t="s">
        <v>12947</v>
      </c>
      <c r="L1438" t="s">
        <v>12950</v>
      </c>
      <c r="M1438" t="s">
        <v>25</v>
      </c>
      <c r="N1438" t="s">
        <v>12951</v>
      </c>
      <c r="O1438" t="s">
        <v>25</v>
      </c>
      <c r="P1438" t="s">
        <v>12952</v>
      </c>
      <c r="Q1438" t="s">
        <v>29</v>
      </c>
      <c r="R1438" t="s">
        <v>12948</v>
      </c>
      <c r="S1438" t="s">
        <v>12949</v>
      </c>
    </row>
    <row r="1439" spans="1:19" x14ac:dyDescent="0.25">
      <c r="A1439" s="1">
        <v>1437</v>
      </c>
      <c r="B1439" t="str">
        <f>HYPERLINK("https://www.dasschnelle.at/style-bar-og-lambach-leitenstraße","Website")</f>
        <v>Website</v>
      </c>
      <c r="C1439" t="str">
        <f>HYPERLINK("http://www.style-bar.at","Website")</f>
        <v>Website</v>
      </c>
      <c r="D1439" t="str">
        <f>HYPERLINK("http://www.google.com/maps/place/48.09237,13.8722","Location")</f>
        <v>Location</v>
      </c>
      <c r="E1439" t="s">
        <v>12953</v>
      </c>
      <c r="F1439" t="s">
        <v>12954</v>
      </c>
      <c r="G1439" t="s">
        <v>12956</v>
      </c>
      <c r="H1439" t="s">
        <v>12957</v>
      </c>
      <c r="I1439" t="s">
        <v>85</v>
      </c>
      <c r="J1439" t="s">
        <v>22</v>
      </c>
      <c r="K1439" t="s">
        <v>12955</v>
      </c>
      <c r="L1439" t="s">
        <v>12960</v>
      </c>
      <c r="M1439" t="s">
        <v>25</v>
      </c>
      <c r="N1439" t="s">
        <v>12961</v>
      </c>
      <c r="O1439" t="s">
        <v>25</v>
      </c>
      <c r="P1439" t="s">
        <v>12962</v>
      </c>
      <c r="Q1439" t="s">
        <v>29</v>
      </c>
      <c r="R1439" t="s">
        <v>12958</v>
      </c>
      <c r="S1439" t="s">
        <v>12959</v>
      </c>
    </row>
    <row r="1440" spans="1:19" x14ac:dyDescent="0.25">
      <c r="A1440" s="1">
        <v>1438</v>
      </c>
      <c r="B1440" t="str">
        <f>HYPERLINK("https://www.dasschnelle.at/steinerstuff-gmbh-stadl-paura-maximilian-pagl-straße","Website")</f>
        <v>Website</v>
      </c>
      <c r="C1440" t="str">
        <f>HYPERLINK("http://www.steinerservice.com","Website")</f>
        <v>Website</v>
      </c>
      <c r="D1440" t="str">
        <f>HYPERLINK("http://www.google.com/maps/place/48.08546,13.87248","Location")</f>
        <v>Location</v>
      </c>
      <c r="E1440" t="s">
        <v>12963</v>
      </c>
      <c r="F1440" t="s">
        <v>12964</v>
      </c>
      <c r="G1440" t="s">
        <v>10875</v>
      </c>
      <c r="H1440" t="s">
        <v>10876</v>
      </c>
      <c r="I1440" t="s">
        <v>85</v>
      </c>
      <c r="J1440" t="s">
        <v>22</v>
      </c>
      <c r="K1440" t="s">
        <v>12965</v>
      </c>
      <c r="L1440" t="s">
        <v>12968</v>
      </c>
      <c r="M1440" t="s">
        <v>25</v>
      </c>
      <c r="N1440" t="s">
        <v>12969</v>
      </c>
      <c r="O1440" t="s">
        <v>25</v>
      </c>
      <c r="P1440" t="s">
        <v>12970</v>
      </c>
      <c r="Q1440" t="s">
        <v>29</v>
      </c>
      <c r="R1440" t="s">
        <v>12966</v>
      </c>
      <c r="S1440" t="s">
        <v>12967</v>
      </c>
    </row>
    <row r="1441" spans="1:19" x14ac:dyDescent="0.25">
      <c r="A1441" s="1">
        <v>1439</v>
      </c>
      <c r="B1441" t="str">
        <f>HYPERLINK("https://www.dasschnelle.at/musikantenwirt-pirker-windhager-annaberg-im-lammertal-annaberg","Website")</f>
        <v>Website</v>
      </c>
      <c r="C1441" t="str">
        <f>HYPERLINK("https://www.dasschnelle.at/musikantenwirt-pirker-windhager-annaberg-im-lammertal-annaberg","Website")</f>
        <v>Website</v>
      </c>
      <c r="D1441" t="str">
        <f>HYPERLINK("http://www.google.com/maps/place/47.5145258,13.4506833","Location")</f>
        <v>Location</v>
      </c>
      <c r="E1441" t="s">
        <v>12971</v>
      </c>
      <c r="F1441" t="s">
        <v>12972</v>
      </c>
      <c r="G1441" t="s">
        <v>7740</v>
      </c>
      <c r="H1441" t="s">
        <v>7741</v>
      </c>
      <c r="I1441" t="s">
        <v>2239</v>
      </c>
      <c r="J1441" t="s">
        <v>22</v>
      </c>
      <c r="K1441" t="s">
        <v>12973</v>
      </c>
      <c r="L1441" t="s">
        <v>12976</v>
      </c>
      <c r="M1441" t="s">
        <v>25</v>
      </c>
      <c r="N1441" t="s">
        <v>12977</v>
      </c>
      <c r="O1441" t="s">
        <v>25</v>
      </c>
      <c r="P1441" t="s">
        <v>12978</v>
      </c>
      <c r="Q1441" t="s">
        <v>29</v>
      </c>
      <c r="R1441" t="s">
        <v>12974</v>
      </c>
      <c r="S1441" t="s">
        <v>12975</v>
      </c>
    </row>
    <row r="1442" spans="1:19" x14ac:dyDescent="0.25">
      <c r="A1442" s="1">
        <v>1440</v>
      </c>
      <c r="B1442" t="str">
        <f>HYPERLINK("https://www.dasschnelle.at/writzmann-und-partner-steuerberatungsgesmbh-baden-wassergasse","Website")</f>
        <v>Website</v>
      </c>
      <c r="C1442" t="str">
        <f>HYPERLINK("http://www.writzmann.at","Website")</f>
        <v>Website</v>
      </c>
      <c r="D1442" t="str">
        <f>HYPERLINK("http://www.google.com/maps/place/48.0053431,16.2364388","Location")</f>
        <v>Location</v>
      </c>
      <c r="E1442" t="s">
        <v>12979</v>
      </c>
      <c r="F1442" t="s">
        <v>12980</v>
      </c>
      <c r="G1442" t="s">
        <v>1979</v>
      </c>
      <c r="H1442" t="s">
        <v>1980</v>
      </c>
      <c r="I1442" t="s">
        <v>177</v>
      </c>
      <c r="J1442" t="s">
        <v>22</v>
      </c>
      <c r="K1442" t="s">
        <v>12981</v>
      </c>
      <c r="L1442" t="s">
        <v>12984</v>
      </c>
      <c r="M1442" t="s">
        <v>12985</v>
      </c>
      <c r="N1442" t="s">
        <v>12986</v>
      </c>
      <c r="O1442" t="s">
        <v>25</v>
      </c>
      <c r="P1442" t="s">
        <v>12987</v>
      </c>
      <c r="Q1442" t="s">
        <v>29</v>
      </c>
      <c r="R1442" t="s">
        <v>12982</v>
      </c>
      <c r="S1442" t="s">
        <v>12983</v>
      </c>
    </row>
    <row r="1443" spans="1:19" x14ac:dyDescent="0.25">
      <c r="A1443" s="1">
        <v>1441</v>
      </c>
      <c r="B1443" t="str">
        <f>HYPERLINK("https://www.dasschnelle.at/thumfarth-gmbh-grünbach-schlag","Website")</f>
        <v>Website</v>
      </c>
      <c r="C1443" t="str">
        <f>HYPERLINK("http://www.thumfarth.at","Website")</f>
        <v>Website</v>
      </c>
      <c r="D1443" t="str">
        <f>HYPERLINK("http://www.google.com/maps/place/48.5248900,14.5297400","Location")</f>
        <v>Location</v>
      </c>
      <c r="E1443" t="s">
        <v>12988</v>
      </c>
      <c r="F1443" t="s">
        <v>12989</v>
      </c>
      <c r="G1443" t="s">
        <v>12991</v>
      </c>
      <c r="H1443" t="s">
        <v>12992</v>
      </c>
      <c r="I1443" t="s">
        <v>85</v>
      </c>
      <c r="J1443" t="s">
        <v>22</v>
      </c>
      <c r="K1443" t="s">
        <v>12990</v>
      </c>
      <c r="L1443" t="s">
        <v>12995</v>
      </c>
      <c r="M1443" t="s">
        <v>12996</v>
      </c>
      <c r="N1443" t="s">
        <v>12997</v>
      </c>
      <c r="O1443" t="s">
        <v>25</v>
      </c>
      <c r="P1443" t="s">
        <v>12998</v>
      </c>
      <c r="Q1443" t="s">
        <v>29</v>
      </c>
      <c r="R1443" t="s">
        <v>12993</v>
      </c>
      <c r="S1443" t="s">
        <v>12994</v>
      </c>
    </row>
    <row r="1444" spans="1:19" x14ac:dyDescent="0.25">
      <c r="A1444" s="1">
        <v>1442</v>
      </c>
      <c r="B1444" t="str">
        <f>HYPERLINK("https://www.dasschnelle.at/kohnle-patrick-groß-gerungs-preinreichs","Website")</f>
        <v>Website</v>
      </c>
      <c r="C1444" t="str">
        <f>HYPERLINK("http://www.maler-kohnle.at","Website")</f>
        <v>Website</v>
      </c>
      <c r="D1444" t="str">
        <f>HYPERLINK("http://www.google.com/maps/place/48.6225032,14.9794087","Location")</f>
        <v>Location</v>
      </c>
      <c r="E1444" t="s">
        <v>12999</v>
      </c>
      <c r="F1444" t="s">
        <v>13000</v>
      </c>
      <c r="G1444" t="s">
        <v>11242</v>
      </c>
      <c r="H1444" t="s">
        <v>11252</v>
      </c>
      <c r="I1444" t="s">
        <v>177</v>
      </c>
      <c r="J1444" t="s">
        <v>22</v>
      </c>
      <c r="K1444" t="s">
        <v>13001</v>
      </c>
      <c r="L1444" t="s">
        <v>13004</v>
      </c>
      <c r="M1444" t="s">
        <v>25</v>
      </c>
      <c r="N1444" t="s">
        <v>13005</v>
      </c>
      <c r="O1444" t="s">
        <v>25</v>
      </c>
      <c r="P1444" t="s">
        <v>13006</v>
      </c>
      <c r="Q1444" t="s">
        <v>29</v>
      </c>
      <c r="R1444" t="s">
        <v>13002</v>
      </c>
      <c r="S1444" t="s">
        <v>13003</v>
      </c>
    </row>
    <row r="1445" spans="1:19" x14ac:dyDescent="0.25">
      <c r="A1445" s="1">
        <v>1443</v>
      </c>
      <c r="B1445" t="str">
        <f>HYPERLINK("https://www.dasschnelle.at/wärme-raab-gmbh-raab-brünning","Website")</f>
        <v>Website</v>
      </c>
      <c r="C1445" t="str">
        <f>HYPERLINK("http://www.waerme-raab.at","Website")</f>
        <v>Website</v>
      </c>
      <c r="D1445" t="str">
        <f>HYPERLINK("http://www.google.com/maps/place/48.3520832,13.6346918","Location")</f>
        <v>Location</v>
      </c>
      <c r="E1445" t="s">
        <v>13007</v>
      </c>
      <c r="F1445" t="s">
        <v>13008</v>
      </c>
      <c r="G1445" t="s">
        <v>8869</v>
      </c>
      <c r="H1445" t="s">
        <v>8870</v>
      </c>
      <c r="I1445" t="s">
        <v>85</v>
      </c>
      <c r="J1445" t="s">
        <v>22</v>
      </c>
      <c r="K1445" t="s">
        <v>13009</v>
      </c>
      <c r="L1445" t="s">
        <v>13012</v>
      </c>
      <c r="M1445" t="s">
        <v>25</v>
      </c>
      <c r="N1445" t="s">
        <v>13013</v>
      </c>
      <c r="O1445" t="s">
        <v>25</v>
      </c>
      <c r="P1445" t="s">
        <v>13014</v>
      </c>
      <c r="Q1445" t="s">
        <v>29</v>
      </c>
      <c r="R1445" t="s">
        <v>13010</v>
      </c>
      <c r="S1445" t="s">
        <v>13011</v>
      </c>
    </row>
    <row r="1446" spans="1:19" x14ac:dyDescent="0.25">
      <c r="A1446" s="1">
        <v>1444</v>
      </c>
      <c r="B1446" t="str">
        <f>HYPERLINK("https://www.dasschnelle.at/staudinger-klaus-oberwang-gessenschwandt","Website")</f>
        <v>Website</v>
      </c>
      <c r="C1446" t="str">
        <f>HYPERLINK("http://www.staudinger-elektrotechnik.at","Website")</f>
        <v>Website</v>
      </c>
      <c r="D1446" t="str">
        <f>HYPERLINK("http://www.google.com/maps/place/47.8543663,13.4376084","Location")</f>
        <v>Location</v>
      </c>
      <c r="E1446" t="s">
        <v>13015</v>
      </c>
      <c r="F1446" t="s">
        <v>13016</v>
      </c>
      <c r="G1446" t="s">
        <v>6553</v>
      </c>
      <c r="H1446" t="s">
        <v>6554</v>
      </c>
      <c r="I1446" t="s">
        <v>85</v>
      </c>
      <c r="J1446" t="s">
        <v>22</v>
      </c>
      <c r="K1446" t="s">
        <v>13017</v>
      </c>
      <c r="L1446" t="s">
        <v>13020</v>
      </c>
      <c r="M1446" t="s">
        <v>25</v>
      </c>
      <c r="N1446" t="s">
        <v>13021</v>
      </c>
      <c r="O1446" t="s">
        <v>25</v>
      </c>
      <c r="P1446" t="s">
        <v>13022</v>
      </c>
      <c r="Q1446" t="s">
        <v>29</v>
      </c>
      <c r="R1446" t="s">
        <v>13018</v>
      </c>
      <c r="S1446" t="s">
        <v>13019</v>
      </c>
    </row>
    <row r="1447" spans="1:19" x14ac:dyDescent="0.25">
      <c r="A1447" s="1">
        <v>1445</v>
      </c>
      <c r="B1447" t="str">
        <f>HYPERLINK("https://www.dasschnelle.at/b-a-r-f-shop-stockerau-hauptstraße","Website")</f>
        <v>Website</v>
      </c>
      <c r="C1447" t="str">
        <f>HYPERLINK("https://www.dasschnelle.at/b-a-r-f-shop-stockerau-hauptstra%C3%9Fe","Website")</f>
        <v>Website</v>
      </c>
      <c r="D1447" t="str">
        <f>HYPERLINK("http://www.google.com/maps/place/48.38614,16.21496","Location")</f>
        <v>Location</v>
      </c>
      <c r="E1447" t="s">
        <v>13023</v>
      </c>
      <c r="F1447" t="s">
        <v>13024</v>
      </c>
      <c r="G1447" t="s">
        <v>13026</v>
      </c>
      <c r="H1447" t="s">
        <v>13027</v>
      </c>
      <c r="I1447" t="s">
        <v>177</v>
      </c>
      <c r="J1447" t="s">
        <v>22</v>
      </c>
      <c r="K1447" t="s">
        <v>13025</v>
      </c>
      <c r="L1447" t="s">
        <v>13030</v>
      </c>
      <c r="M1447" t="s">
        <v>25</v>
      </c>
      <c r="N1447" t="s">
        <v>13031</v>
      </c>
      <c r="O1447" t="s">
        <v>13032</v>
      </c>
      <c r="P1447" t="s">
        <v>13033</v>
      </c>
      <c r="Q1447" t="s">
        <v>29</v>
      </c>
      <c r="R1447" t="s">
        <v>13028</v>
      </c>
      <c r="S1447" t="s">
        <v>13029</v>
      </c>
    </row>
    <row r="1448" spans="1:19" x14ac:dyDescent="0.25">
      <c r="A1448" s="1">
        <v>1446</v>
      </c>
      <c r="B1448" t="str">
        <f>HYPERLINK("https://www.dasschnelle.at/suppan-optik-perg-naarner-straße","Website")</f>
        <v>Website</v>
      </c>
      <c r="C1448" t="str">
        <f>HYPERLINK("http://www.perg-optik.at","Website")</f>
        <v>Website</v>
      </c>
      <c r="D1448" t="str">
        <f>HYPERLINK("http://www.google.com/maps/place/48.24883,14.63444","Location")</f>
        <v>Location</v>
      </c>
      <c r="E1448" t="s">
        <v>13034</v>
      </c>
      <c r="F1448" t="s">
        <v>13035</v>
      </c>
      <c r="G1448" t="s">
        <v>6379</v>
      </c>
      <c r="H1448" t="s">
        <v>6380</v>
      </c>
      <c r="I1448" t="s">
        <v>85</v>
      </c>
      <c r="J1448" t="s">
        <v>22</v>
      </c>
      <c r="K1448" t="s">
        <v>13036</v>
      </c>
      <c r="L1448" t="s">
        <v>13039</v>
      </c>
      <c r="M1448" t="s">
        <v>25</v>
      </c>
      <c r="N1448" t="s">
        <v>13040</v>
      </c>
      <c r="O1448" t="s">
        <v>13041</v>
      </c>
      <c r="P1448" t="s">
        <v>13042</v>
      </c>
      <c r="Q1448" t="s">
        <v>29</v>
      </c>
      <c r="R1448" t="s">
        <v>13037</v>
      </c>
      <c r="S1448" t="s">
        <v>13038</v>
      </c>
    </row>
    <row r="1449" spans="1:19" x14ac:dyDescent="0.25">
      <c r="A1449" s="1">
        <v>1447</v>
      </c>
      <c r="B1449" t="str">
        <f>HYPERLINK("https://www.dasschnelle.at/stix-gerd-dr-amstetten-wiener-straße","Website")</f>
        <v>Website</v>
      </c>
      <c r="C1449" t="str">
        <f>HYPERLINK("https://www.dasschnelle.at/stix-gerd-dr-amstetten-wiener-stra%C3%9Fe","Website")</f>
        <v>Website</v>
      </c>
      <c r="D1449" t="str">
        <f>HYPERLINK("http://www.google.com/maps/place/48.12311,14.88023","Location")</f>
        <v>Location</v>
      </c>
      <c r="E1449" t="s">
        <v>13043</v>
      </c>
      <c r="F1449" t="s">
        <v>13044</v>
      </c>
      <c r="G1449" t="s">
        <v>1474</v>
      </c>
      <c r="H1449" t="s">
        <v>1475</v>
      </c>
      <c r="I1449" t="s">
        <v>177</v>
      </c>
      <c r="J1449" t="s">
        <v>22</v>
      </c>
      <c r="K1449" t="s">
        <v>13045</v>
      </c>
      <c r="L1449" t="s">
        <v>13048</v>
      </c>
      <c r="M1449" t="s">
        <v>25</v>
      </c>
      <c r="N1449" t="s">
        <v>13049</v>
      </c>
      <c r="O1449" t="s">
        <v>25</v>
      </c>
      <c r="P1449" t="s">
        <v>13050</v>
      </c>
      <c r="Q1449" t="s">
        <v>29</v>
      </c>
      <c r="R1449" t="s">
        <v>13046</v>
      </c>
      <c r="S1449" t="s">
        <v>13047</v>
      </c>
    </row>
    <row r="1450" spans="1:19" x14ac:dyDescent="0.25">
      <c r="A1450" s="1">
        <v>1448</v>
      </c>
      <c r="B1450" t="str">
        <f>HYPERLINK("https://www.dasschnelle.at/arosio-manuela-st-stefan-st-marein","Website")</f>
        <v>Website</v>
      </c>
      <c r="C1450" t="str">
        <f>HYPERLINK("https://www.dasschnelle.at/arosio-manuela-st-stefan-st-marein","Website")</f>
        <v>Website</v>
      </c>
      <c r="D1450" t="str">
        <f>HYPERLINK("http://www.google.com/maps/place/46.8109634,14.8195170","Location")</f>
        <v>Location</v>
      </c>
      <c r="E1450" t="s">
        <v>13051</v>
      </c>
      <c r="F1450" t="s">
        <v>13052</v>
      </c>
      <c r="G1450" t="s">
        <v>11372</v>
      </c>
      <c r="H1450" t="s">
        <v>11373</v>
      </c>
      <c r="I1450" t="s">
        <v>4130</v>
      </c>
      <c r="J1450" t="s">
        <v>22</v>
      </c>
      <c r="K1450" t="s">
        <v>13053</v>
      </c>
      <c r="L1450" t="s">
        <v>13056</v>
      </c>
      <c r="M1450" t="s">
        <v>25</v>
      </c>
      <c r="N1450" t="s">
        <v>13057</v>
      </c>
      <c r="O1450" t="s">
        <v>25</v>
      </c>
      <c r="P1450" t="s">
        <v>13058</v>
      </c>
      <c r="Q1450" t="s">
        <v>29</v>
      </c>
      <c r="R1450" t="s">
        <v>13054</v>
      </c>
      <c r="S1450" t="s">
        <v>13055</v>
      </c>
    </row>
    <row r="1451" spans="1:19" x14ac:dyDescent="0.25">
      <c r="A1451" s="1">
        <v>1449</v>
      </c>
      <c r="B1451" t="str">
        <f>HYPERLINK("https://www.dasschnelle.at/michi-mobil-wipfing-lindenstraße","Website")</f>
        <v>Website</v>
      </c>
      <c r="C1451" t="str">
        <f>HYPERLINK("https://www.dasschnelle.at/michi-mobil-wipfing-lindenstra%C3%9Fe","Website")</f>
        <v>Website</v>
      </c>
      <c r="D1451" t="str">
        <f>HYPERLINK("http://www.google.com/maps/place/48.04767,13.98357","Location")</f>
        <v>Location</v>
      </c>
      <c r="E1451" t="s">
        <v>13059</v>
      </c>
      <c r="F1451" t="s">
        <v>13060</v>
      </c>
      <c r="G1451" t="s">
        <v>10923</v>
      </c>
      <c r="H1451" t="s">
        <v>13062</v>
      </c>
      <c r="I1451" t="s">
        <v>85</v>
      </c>
      <c r="J1451" t="s">
        <v>22</v>
      </c>
      <c r="K1451" t="s">
        <v>13061</v>
      </c>
      <c r="L1451" t="s">
        <v>13065</v>
      </c>
      <c r="M1451" t="s">
        <v>25</v>
      </c>
      <c r="N1451" t="s">
        <v>13066</v>
      </c>
      <c r="O1451" t="s">
        <v>25</v>
      </c>
      <c r="P1451" t="s">
        <v>13067</v>
      </c>
      <c r="Q1451" t="s">
        <v>29</v>
      </c>
      <c r="R1451" t="s">
        <v>13063</v>
      </c>
      <c r="S1451" t="s">
        <v>13064</v>
      </c>
    </row>
    <row r="1452" spans="1:19" x14ac:dyDescent="0.25">
      <c r="A1452" s="1">
        <v>1450</v>
      </c>
      <c r="B1452" t="str">
        <f>HYPERLINK("https://www.dasschnelle.at/elektro-unterberger-gmbh-kuchl-moos","Website")</f>
        <v>Website</v>
      </c>
      <c r="C1452" t="str">
        <f>HYPERLINK("http://www.elektro-unterberger.com","Website")</f>
        <v>Website</v>
      </c>
      <c r="D1452" t="str">
        <f>HYPERLINK("http://www.google.com/maps/place/47.6353710,13.1388526","Location")</f>
        <v>Location</v>
      </c>
      <c r="E1452" t="s">
        <v>13068</v>
      </c>
      <c r="F1452" t="s">
        <v>13069</v>
      </c>
      <c r="G1452" t="s">
        <v>7697</v>
      </c>
      <c r="H1452" t="s">
        <v>7698</v>
      </c>
      <c r="I1452" t="s">
        <v>2239</v>
      </c>
      <c r="J1452" t="s">
        <v>22</v>
      </c>
      <c r="K1452" t="s">
        <v>13070</v>
      </c>
      <c r="L1452" t="s">
        <v>13073</v>
      </c>
      <c r="M1452" t="s">
        <v>25</v>
      </c>
      <c r="N1452" t="s">
        <v>13074</v>
      </c>
      <c r="O1452" t="s">
        <v>25</v>
      </c>
      <c r="P1452" t="s">
        <v>13075</v>
      </c>
      <c r="Q1452" t="s">
        <v>29</v>
      </c>
      <c r="R1452" t="s">
        <v>13071</v>
      </c>
      <c r="S1452" t="s">
        <v>13072</v>
      </c>
    </row>
    <row r="1453" spans="1:19" x14ac:dyDescent="0.25">
      <c r="A1453" s="1">
        <v>1451</v>
      </c>
      <c r="B1453" t="str">
        <f>HYPERLINK("https://www.dasschnelle.at/manfred-wallinger-gmbh-abtenau-markt","Website")</f>
        <v>Website</v>
      </c>
      <c r="C1453" t="str">
        <f>HYPERLINK("http://manfredwallinger.com","Website")</f>
        <v>Website</v>
      </c>
      <c r="D1453" t="str">
        <f>HYPERLINK("http://www.google.com/maps/place/47.56678,13.33989","Location")</f>
        <v>Location</v>
      </c>
      <c r="E1453" t="s">
        <v>13076</v>
      </c>
      <c r="F1453" t="s">
        <v>13077</v>
      </c>
      <c r="G1453" t="s">
        <v>7614</v>
      </c>
      <c r="H1453" t="s">
        <v>7615</v>
      </c>
      <c r="I1453" t="s">
        <v>2239</v>
      </c>
      <c r="J1453" t="s">
        <v>22</v>
      </c>
      <c r="K1453" t="s">
        <v>13078</v>
      </c>
      <c r="L1453" t="s">
        <v>13081</v>
      </c>
      <c r="M1453" t="s">
        <v>25</v>
      </c>
      <c r="N1453" t="s">
        <v>13082</v>
      </c>
      <c r="O1453" t="s">
        <v>25</v>
      </c>
      <c r="P1453" t="s">
        <v>13083</v>
      </c>
      <c r="Q1453" t="s">
        <v>29</v>
      </c>
      <c r="R1453" t="s">
        <v>13079</v>
      </c>
      <c r="S1453" t="s">
        <v>13080</v>
      </c>
    </row>
    <row r="1454" spans="1:19" x14ac:dyDescent="0.25">
      <c r="A1454" s="1">
        <v>1452</v>
      </c>
      <c r="B1454" t="str">
        <f>HYPERLINK("https://www.dasschnelle.at/wiesinger-transport-und-erdtechnologie-gmbh-schönau-im-mühlkreis-sonnblick","Website")</f>
        <v>Website</v>
      </c>
      <c r="C1454" t="str">
        <f>HYPERLINK("http://www.neugeformte-erde.at","Website")</f>
        <v>Website</v>
      </c>
      <c r="D1454" t="str">
        <f>HYPERLINK("http://www.google.com/maps/place/48.3829821,14.7069539","Location")</f>
        <v>Location</v>
      </c>
      <c r="E1454" t="s">
        <v>13084</v>
      </c>
      <c r="F1454" t="s">
        <v>13085</v>
      </c>
      <c r="G1454" t="s">
        <v>13087</v>
      </c>
      <c r="H1454" t="s">
        <v>13088</v>
      </c>
      <c r="I1454" t="s">
        <v>85</v>
      </c>
      <c r="J1454" t="s">
        <v>22</v>
      </c>
      <c r="K1454" t="s">
        <v>13086</v>
      </c>
      <c r="L1454" t="s">
        <v>13091</v>
      </c>
      <c r="M1454" t="s">
        <v>25</v>
      </c>
      <c r="N1454" t="s">
        <v>13092</v>
      </c>
      <c r="O1454" t="s">
        <v>25</v>
      </c>
      <c r="P1454" t="s">
        <v>13093</v>
      </c>
      <c r="Q1454" t="s">
        <v>29</v>
      </c>
      <c r="R1454" t="s">
        <v>13089</v>
      </c>
      <c r="S1454" t="s">
        <v>13090</v>
      </c>
    </row>
    <row r="1455" spans="1:19" x14ac:dyDescent="0.25">
      <c r="A1455" s="1">
        <v>1453</v>
      </c>
      <c r="B1455" t="str">
        <f>HYPERLINK("https://www.dasschnelle.at/blumen-erika-taufkirchen-an-der-pram-eferdinger-straße","Website")</f>
        <v>Website</v>
      </c>
      <c r="C1455" t="str">
        <f>HYPERLINK("http://www.reca.at","Website")</f>
        <v>Website</v>
      </c>
      <c r="D1455" t="str">
        <f>HYPERLINK("http://www.google.com/maps/place/48.41043,13.53702","Location")</f>
        <v>Location</v>
      </c>
      <c r="E1455" t="s">
        <v>13094</v>
      </c>
      <c r="F1455" t="s">
        <v>13095</v>
      </c>
      <c r="G1455" t="s">
        <v>13097</v>
      </c>
      <c r="H1455" t="s">
        <v>13098</v>
      </c>
      <c r="I1455" t="s">
        <v>85</v>
      </c>
      <c r="J1455" t="s">
        <v>22</v>
      </c>
      <c r="K1455" t="s">
        <v>13096</v>
      </c>
      <c r="L1455" t="s">
        <v>13101</v>
      </c>
      <c r="M1455" t="s">
        <v>25</v>
      </c>
      <c r="N1455" t="s">
        <v>25</v>
      </c>
      <c r="O1455" t="s">
        <v>25</v>
      </c>
      <c r="P1455" t="s">
        <v>13102</v>
      </c>
      <c r="Q1455" t="s">
        <v>29</v>
      </c>
      <c r="R1455" t="s">
        <v>13099</v>
      </c>
      <c r="S1455" t="s">
        <v>13100</v>
      </c>
    </row>
    <row r="1456" spans="1:19" x14ac:dyDescent="0.25">
      <c r="A1456" s="1">
        <v>1454</v>
      </c>
      <c r="B1456" t="str">
        <f>HYPERLINK("https://www.dasschnelle.at/brantner-dürr-gmbh-und-co-kg-kleinschönau-kleinschönau","Website")</f>
        <v>Website</v>
      </c>
      <c r="C1456" t="str">
        <f>HYPERLINK("http://www.brantner-duerr.at","Website")</f>
        <v>Website</v>
      </c>
      <c r="D1456" t="str">
        <f>HYPERLINK("http://www.google.com/maps/place/48.5828215,15.2327277","Location")</f>
        <v>Location</v>
      </c>
      <c r="E1456" t="s">
        <v>13103</v>
      </c>
      <c r="F1456" t="s">
        <v>13104</v>
      </c>
      <c r="G1456" t="s">
        <v>13106</v>
      </c>
      <c r="H1456" t="s">
        <v>13107</v>
      </c>
      <c r="I1456" t="s">
        <v>177</v>
      </c>
      <c r="J1456" t="s">
        <v>22</v>
      </c>
      <c r="K1456" t="s">
        <v>13105</v>
      </c>
      <c r="L1456" t="s">
        <v>13110</v>
      </c>
      <c r="M1456" t="s">
        <v>25</v>
      </c>
      <c r="N1456" t="s">
        <v>13111</v>
      </c>
      <c r="O1456" t="s">
        <v>25</v>
      </c>
      <c r="P1456" t="s">
        <v>13112</v>
      </c>
      <c r="Q1456" t="s">
        <v>29</v>
      </c>
      <c r="R1456" t="s">
        <v>13108</v>
      </c>
      <c r="S1456" t="s">
        <v>13109</v>
      </c>
    </row>
    <row r="1457" spans="1:19" x14ac:dyDescent="0.25">
      <c r="A1457" s="1">
        <v>1455</v>
      </c>
      <c r="B1457" t="str">
        <f>HYPERLINK("https://www.dasschnelle.at/kriz-martin-dr-gmünd-conrathstraße","Website")</f>
        <v>Website</v>
      </c>
      <c r="C1457" t="str">
        <f>HYPERLINK("https://www.dasschnelle.at/kriz-martin-dr-gm%C3%BCnd-conrathstra%C3%9Fe","Website")</f>
        <v>Website</v>
      </c>
      <c r="D1457" t="str">
        <f>HYPERLINK("http://www.google.com/maps/place/48.76255,14.97588","Location")</f>
        <v>Location</v>
      </c>
      <c r="E1457" t="s">
        <v>13113</v>
      </c>
      <c r="F1457" t="s">
        <v>13114</v>
      </c>
      <c r="G1457" t="s">
        <v>13116</v>
      </c>
      <c r="H1457" t="s">
        <v>13117</v>
      </c>
      <c r="I1457" t="s">
        <v>177</v>
      </c>
      <c r="J1457" t="s">
        <v>22</v>
      </c>
      <c r="K1457" t="s">
        <v>13115</v>
      </c>
      <c r="L1457" t="s">
        <v>13120</v>
      </c>
      <c r="M1457" t="s">
        <v>25</v>
      </c>
      <c r="N1457" t="s">
        <v>13121</v>
      </c>
      <c r="O1457" t="s">
        <v>25</v>
      </c>
      <c r="P1457" t="s">
        <v>13122</v>
      </c>
      <c r="Q1457" t="s">
        <v>29</v>
      </c>
      <c r="R1457" t="s">
        <v>13118</v>
      </c>
      <c r="S1457" t="s">
        <v>13119</v>
      </c>
    </row>
    <row r="1458" spans="1:19" x14ac:dyDescent="0.25">
      <c r="A1458" s="1">
        <v>1456</v>
      </c>
      <c r="B1458" t="str">
        <f>HYPERLINK("https://www.dasschnelle.at/haar-total-bettina-zimmerling-neumarkt-im-hausruckkreis-kallham","Website")</f>
        <v>Website</v>
      </c>
      <c r="C1458" t="str">
        <f>HYPERLINK("http://www.haartotal.at","Website")</f>
        <v>Website</v>
      </c>
      <c r="D1458" t="str">
        <f>HYPERLINK("http://www.google.com/maps/place/48.2807027,13.7172505","Location")</f>
        <v>Location</v>
      </c>
      <c r="E1458" t="s">
        <v>13123</v>
      </c>
      <c r="F1458" t="s">
        <v>13124</v>
      </c>
      <c r="G1458" t="s">
        <v>7220</v>
      </c>
      <c r="H1458" t="s">
        <v>7221</v>
      </c>
      <c r="I1458" t="s">
        <v>85</v>
      </c>
      <c r="J1458" t="s">
        <v>22</v>
      </c>
      <c r="K1458" t="s">
        <v>13125</v>
      </c>
      <c r="L1458" t="s">
        <v>13128</v>
      </c>
      <c r="M1458" t="s">
        <v>25</v>
      </c>
      <c r="N1458" t="s">
        <v>13129</v>
      </c>
      <c r="O1458" t="s">
        <v>25</v>
      </c>
      <c r="P1458" t="s">
        <v>13130</v>
      </c>
      <c r="Q1458" t="s">
        <v>29</v>
      </c>
      <c r="R1458" t="s">
        <v>13126</v>
      </c>
      <c r="S1458" t="s">
        <v>13127</v>
      </c>
    </row>
    <row r="1459" spans="1:19" x14ac:dyDescent="0.25">
      <c r="A1459" s="1">
        <v>1457</v>
      </c>
      <c r="B1459" t="str">
        <f>HYPERLINK("https://www.dasschnelle.at/hsa-scharrenbroich-gmbh-stockerau-hauptstraße","Website")</f>
        <v>Website</v>
      </c>
      <c r="C1459" t="str">
        <f>HYPERLINK("http://www.hsa.co.at","Website")</f>
        <v>Website</v>
      </c>
      <c r="D1459" t="str">
        <f>HYPERLINK("http://www.google.com/maps/place/48.38531,16.21003","Location")</f>
        <v>Location</v>
      </c>
      <c r="E1459" t="s">
        <v>13131</v>
      </c>
      <c r="F1459" t="s">
        <v>13132</v>
      </c>
      <c r="G1459" t="s">
        <v>13026</v>
      </c>
      <c r="H1459" t="s">
        <v>13027</v>
      </c>
      <c r="I1459" t="s">
        <v>177</v>
      </c>
      <c r="J1459" t="s">
        <v>22</v>
      </c>
      <c r="K1459" t="s">
        <v>13133</v>
      </c>
      <c r="L1459" t="s">
        <v>13136</v>
      </c>
      <c r="M1459" t="s">
        <v>25</v>
      </c>
      <c r="N1459" t="s">
        <v>13137</v>
      </c>
      <c r="O1459" t="s">
        <v>13138</v>
      </c>
      <c r="P1459" t="s">
        <v>13139</v>
      </c>
      <c r="Q1459" t="s">
        <v>29</v>
      </c>
      <c r="R1459" t="s">
        <v>13134</v>
      </c>
      <c r="S1459" t="s">
        <v>13135</v>
      </c>
    </row>
    <row r="1460" spans="1:19" x14ac:dyDescent="0.25">
      <c r="A1460" s="1">
        <v>1458</v>
      </c>
      <c r="B1460" t="str">
        <f>HYPERLINK("https://www.dasschnelle.at/meyer-karl-gesmbh-korneuburg-hauptplatz","Website")</f>
        <v>Website</v>
      </c>
      <c r="C1460" t="str">
        <f>HYPERLINK("http://www.installateur-korneuburg.at","Website")</f>
        <v>Website</v>
      </c>
      <c r="D1460" t="str">
        <f>HYPERLINK("http://www.google.com/maps/place/48.34337,16.33477","Location")</f>
        <v>Location</v>
      </c>
      <c r="E1460" t="s">
        <v>13140</v>
      </c>
      <c r="F1460" t="s">
        <v>13141</v>
      </c>
      <c r="G1460" t="s">
        <v>440</v>
      </c>
      <c r="H1460" t="s">
        <v>441</v>
      </c>
      <c r="I1460" t="s">
        <v>177</v>
      </c>
      <c r="J1460" t="s">
        <v>22</v>
      </c>
      <c r="K1460" t="s">
        <v>13142</v>
      </c>
      <c r="L1460" t="s">
        <v>13145</v>
      </c>
      <c r="M1460" t="s">
        <v>25</v>
      </c>
      <c r="N1460" t="s">
        <v>13146</v>
      </c>
      <c r="O1460" t="s">
        <v>13147</v>
      </c>
      <c r="P1460" t="s">
        <v>13148</v>
      </c>
      <c r="Q1460" t="s">
        <v>29</v>
      </c>
      <c r="R1460" t="s">
        <v>13143</v>
      </c>
      <c r="S1460" t="s">
        <v>13144</v>
      </c>
    </row>
    <row r="1461" spans="1:19" x14ac:dyDescent="0.25">
      <c r="A1461" s="1">
        <v>1459</v>
      </c>
      <c r="B1461" t="str">
        <f>HYPERLINK("https://www.dasschnelle.at/seibert-helmut-großmugl-hauptstraße","Website")</f>
        <v>Website</v>
      </c>
      <c r="C1461" t="str">
        <f>HYPERLINK("http://www.elektroseibert.at","Website")</f>
        <v>Website</v>
      </c>
      <c r="D1461" t="str">
        <f>HYPERLINK("http://www.google.com/maps/place/48.49674,16.2304","Location")</f>
        <v>Location</v>
      </c>
      <c r="E1461" t="s">
        <v>13149</v>
      </c>
      <c r="F1461" t="s">
        <v>13150</v>
      </c>
      <c r="G1461" t="s">
        <v>13152</v>
      </c>
      <c r="H1461" t="s">
        <v>13153</v>
      </c>
      <c r="I1461" t="s">
        <v>177</v>
      </c>
      <c r="J1461" t="s">
        <v>22</v>
      </c>
      <c r="K1461" t="s">
        <v>13151</v>
      </c>
      <c r="L1461" t="s">
        <v>13156</v>
      </c>
      <c r="M1461" t="s">
        <v>25</v>
      </c>
      <c r="N1461" t="s">
        <v>13157</v>
      </c>
      <c r="O1461" t="s">
        <v>13158</v>
      </c>
      <c r="P1461" t="s">
        <v>13159</v>
      </c>
      <c r="Q1461" t="s">
        <v>29</v>
      </c>
      <c r="R1461" t="s">
        <v>13154</v>
      </c>
      <c r="S1461" t="s">
        <v>13155</v>
      </c>
    </row>
    <row r="1462" spans="1:19" x14ac:dyDescent="0.25">
      <c r="A1462" s="1">
        <v>1460</v>
      </c>
      <c r="B1462" t="str">
        <f>HYPERLINK("https://www.dasschnelle.at/seltenlach-messebau-inh-bernhard-nuding-klosterneuburg-albrechtstraße","Website")</f>
        <v>Website</v>
      </c>
      <c r="C1462" t="str">
        <f>HYPERLINK("http://www.seltenlach-messebau.at","Website")</f>
        <v>Website</v>
      </c>
      <c r="D1462" t="str">
        <f>HYPERLINK("http://www.google.com/maps/place/48.31029,16.31943","Location")</f>
        <v>Location</v>
      </c>
      <c r="E1462" t="s">
        <v>13160</v>
      </c>
      <c r="F1462" t="s">
        <v>13161</v>
      </c>
      <c r="G1462" t="s">
        <v>10308</v>
      </c>
      <c r="H1462" t="s">
        <v>10317</v>
      </c>
      <c r="I1462" t="s">
        <v>177</v>
      </c>
      <c r="J1462" t="s">
        <v>22</v>
      </c>
      <c r="K1462" t="s">
        <v>13162</v>
      </c>
      <c r="L1462" t="s">
        <v>13165</v>
      </c>
      <c r="M1462" t="s">
        <v>25</v>
      </c>
      <c r="N1462" t="s">
        <v>13166</v>
      </c>
      <c r="O1462" t="s">
        <v>13167</v>
      </c>
      <c r="P1462" t="s">
        <v>13168</v>
      </c>
      <c r="Q1462" t="s">
        <v>29</v>
      </c>
      <c r="R1462" t="s">
        <v>13163</v>
      </c>
      <c r="S1462" t="s">
        <v>13164</v>
      </c>
    </row>
    <row r="1463" spans="1:19" x14ac:dyDescent="0.25">
      <c r="A1463" s="1">
        <v>1461</v>
      </c>
      <c r="B1463" t="str">
        <f>HYPERLINK("https://www.dasschnelle.at/haydn-tanja-dr-wörgl-bahnhofstraße","Website")</f>
        <v>Website</v>
      </c>
      <c r="C1463" t="str">
        <f>HYPERLINK("http://neuro.tirol","Website")</f>
        <v>Website</v>
      </c>
      <c r="D1463" t="str">
        <f>HYPERLINK("http://www.google.com/maps/place/47.48916,12.06306","Location")</f>
        <v>Location</v>
      </c>
      <c r="E1463" t="s">
        <v>13169</v>
      </c>
      <c r="F1463" t="s">
        <v>13170</v>
      </c>
      <c r="G1463" t="s">
        <v>13172</v>
      </c>
      <c r="H1463" t="s">
        <v>13173</v>
      </c>
      <c r="I1463" t="s">
        <v>21</v>
      </c>
      <c r="J1463" t="s">
        <v>22</v>
      </c>
      <c r="K1463" t="s">
        <v>13171</v>
      </c>
      <c r="L1463" t="s">
        <v>13176</v>
      </c>
      <c r="M1463" t="s">
        <v>25</v>
      </c>
      <c r="N1463" t="s">
        <v>13177</v>
      </c>
      <c r="O1463" t="s">
        <v>25</v>
      </c>
      <c r="P1463" t="s">
        <v>13178</v>
      </c>
      <c r="Q1463" t="s">
        <v>29</v>
      </c>
      <c r="R1463" t="s">
        <v>13174</v>
      </c>
      <c r="S1463" t="s">
        <v>13175</v>
      </c>
    </row>
    <row r="1464" spans="1:19" x14ac:dyDescent="0.25">
      <c r="A1464" s="1">
        <v>1462</v>
      </c>
      <c r="B1464" t="str">
        <f>HYPERLINK("https://www.dasschnelle.at/hairfactory-75-radstadt-schernbergstraße","Website")</f>
        <v>Website</v>
      </c>
      <c r="C1464" t="str">
        <f>HYPERLINK("https://www.dasschnelle.at/hairfactory-75-radstadt-schernbergstra%C3%9Fe","Website")</f>
        <v>Website</v>
      </c>
      <c r="D1464" t="str">
        <f>HYPERLINK("http://www.google.com/maps/place/47.38497,13.46398","Location")</f>
        <v>Location</v>
      </c>
      <c r="E1464" t="s">
        <v>13179</v>
      </c>
      <c r="F1464" t="s">
        <v>13180</v>
      </c>
      <c r="G1464" t="s">
        <v>13182</v>
      </c>
      <c r="H1464" t="s">
        <v>13183</v>
      </c>
      <c r="I1464" t="s">
        <v>2239</v>
      </c>
      <c r="J1464" t="s">
        <v>22</v>
      </c>
      <c r="K1464" t="s">
        <v>13181</v>
      </c>
      <c r="L1464" t="s">
        <v>13186</v>
      </c>
      <c r="M1464" t="s">
        <v>25</v>
      </c>
      <c r="N1464" t="s">
        <v>25</v>
      </c>
      <c r="O1464" t="s">
        <v>25</v>
      </c>
      <c r="P1464" t="s">
        <v>13187</v>
      </c>
      <c r="Q1464" t="s">
        <v>29</v>
      </c>
      <c r="R1464" t="s">
        <v>13184</v>
      </c>
      <c r="S1464" t="s">
        <v>13185</v>
      </c>
    </row>
    <row r="1465" spans="1:19" x14ac:dyDescent="0.25">
      <c r="A1465" s="1">
        <v>1463</v>
      </c>
      <c r="B1465" t="str">
        <f>HYPERLINK("https://www.dasschnelle.at/halbartschlager-alois-ing-horn-ferdinand-kurz-gasse","Website")</f>
        <v>Website</v>
      </c>
      <c r="C1465" t="str">
        <f>HYPERLINK("http://www.kuecheundmehr.at","Website")</f>
        <v>Website</v>
      </c>
      <c r="D1465" t="str">
        <f>HYPERLINK("http://www.google.com/maps/place/48.6678300,15.6562400","Location")</f>
        <v>Location</v>
      </c>
      <c r="E1465" t="s">
        <v>13188</v>
      </c>
      <c r="F1465" t="s">
        <v>13189</v>
      </c>
      <c r="G1465" t="s">
        <v>12616</v>
      </c>
      <c r="H1465" t="s">
        <v>12625</v>
      </c>
      <c r="I1465" t="s">
        <v>177</v>
      </c>
      <c r="J1465" t="s">
        <v>22</v>
      </c>
      <c r="K1465" t="s">
        <v>13190</v>
      </c>
      <c r="L1465" t="s">
        <v>13193</v>
      </c>
      <c r="M1465" t="s">
        <v>25</v>
      </c>
      <c r="N1465" t="s">
        <v>13194</v>
      </c>
      <c r="O1465" t="s">
        <v>25</v>
      </c>
      <c r="P1465" t="s">
        <v>13195</v>
      </c>
      <c r="Q1465" t="s">
        <v>29</v>
      </c>
      <c r="R1465" t="s">
        <v>13191</v>
      </c>
      <c r="S1465" t="s">
        <v>13192</v>
      </c>
    </row>
    <row r="1466" spans="1:19" x14ac:dyDescent="0.25">
      <c r="A1466" s="1">
        <v>1464</v>
      </c>
      <c r="B1466" t="str">
        <f>HYPERLINK("https://www.dasschnelle.at/novak-johann-maria-dr-rohrbach-mitterfeld","Website")</f>
        <v>Website</v>
      </c>
      <c r="C1466" t="str">
        <f>HYPERLINK("https://www.dasschnelle.at/novak-johann-maria-dr-rohrbach-mitterfeld","Website")</f>
        <v>Website</v>
      </c>
      <c r="D1466" t="str">
        <f>HYPERLINK("http://www.google.com/maps/place/48.5712123,13.9835798","Location")</f>
        <v>Location</v>
      </c>
      <c r="E1466" t="s">
        <v>13196</v>
      </c>
      <c r="F1466" t="s">
        <v>13197</v>
      </c>
      <c r="G1466" t="s">
        <v>8561</v>
      </c>
      <c r="H1466" t="s">
        <v>8562</v>
      </c>
      <c r="I1466" t="s">
        <v>85</v>
      </c>
      <c r="J1466" t="s">
        <v>22</v>
      </c>
      <c r="K1466" t="s">
        <v>13198</v>
      </c>
      <c r="L1466" t="s">
        <v>13201</v>
      </c>
      <c r="M1466" t="s">
        <v>25</v>
      </c>
      <c r="N1466" t="s">
        <v>25</v>
      </c>
      <c r="O1466" t="s">
        <v>25</v>
      </c>
      <c r="P1466" t="s">
        <v>13202</v>
      </c>
      <c r="Q1466" t="s">
        <v>29</v>
      </c>
      <c r="R1466" t="s">
        <v>13199</v>
      </c>
      <c r="S1466" t="s">
        <v>13200</v>
      </c>
    </row>
    <row r="1467" spans="1:19" x14ac:dyDescent="0.25">
      <c r="A1467" s="1">
        <v>1465</v>
      </c>
      <c r="B1467" t="str">
        <f>HYPERLINK("https://www.dasschnelle.at/reformhaus-drack-gmbh-gmunden-franz-karl-fellinger-gasse","Website")</f>
        <v>Website</v>
      </c>
      <c r="C1467" t="str">
        <f>HYPERLINK("http://www.reformhaus-drack.at","Website")</f>
        <v>Website</v>
      </c>
      <c r="D1467" t="str">
        <f>HYPERLINK("http://www.google.com/maps/place/47.91957,13.80052","Location")</f>
        <v>Location</v>
      </c>
      <c r="E1467" t="s">
        <v>13203</v>
      </c>
      <c r="F1467" t="s">
        <v>13204</v>
      </c>
      <c r="G1467" t="s">
        <v>6951</v>
      </c>
      <c r="H1467" t="s">
        <v>6952</v>
      </c>
      <c r="I1467" t="s">
        <v>85</v>
      </c>
      <c r="J1467" t="s">
        <v>22</v>
      </c>
      <c r="K1467" t="s">
        <v>13205</v>
      </c>
      <c r="L1467" t="s">
        <v>13208</v>
      </c>
      <c r="M1467" t="s">
        <v>25</v>
      </c>
      <c r="N1467" t="s">
        <v>13209</v>
      </c>
      <c r="O1467" t="s">
        <v>25</v>
      </c>
      <c r="P1467" t="s">
        <v>13210</v>
      </c>
      <c r="Q1467" t="s">
        <v>29</v>
      </c>
      <c r="R1467" t="s">
        <v>13206</v>
      </c>
      <c r="S1467" t="s">
        <v>13207</v>
      </c>
    </row>
    <row r="1468" spans="1:19" x14ac:dyDescent="0.25">
      <c r="A1468" s="1">
        <v>1466</v>
      </c>
      <c r="B1468" t="str">
        <f>HYPERLINK("https://www.dasschnelle.at/blumen-stanzer-leobendorf-schliefbergstraße","Website")</f>
        <v>Website</v>
      </c>
      <c r="C1468" t="str">
        <f>HYPERLINK("https://www.dasschnelle.at/blumen-stanzer-leobendorf-schliefbergstra%C3%9Fe","Website")</f>
        <v>Website</v>
      </c>
      <c r="D1468" t="str">
        <f>HYPERLINK("http://www.google.com/maps/place/48.37035,16.3075","Location")</f>
        <v>Location</v>
      </c>
      <c r="E1468" t="s">
        <v>13211</v>
      </c>
      <c r="F1468" t="s">
        <v>13212</v>
      </c>
      <c r="G1468" t="s">
        <v>440</v>
      </c>
      <c r="H1468" t="s">
        <v>13214</v>
      </c>
      <c r="I1468" t="s">
        <v>177</v>
      </c>
      <c r="J1468" t="s">
        <v>22</v>
      </c>
      <c r="K1468" t="s">
        <v>13213</v>
      </c>
      <c r="L1468" t="s">
        <v>13217</v>
      </c>
      <c r="M1468" t="s">
        <v>25</v>
      </c>
      <c r="N1468" t="s">
        <v>13218</v>
      </c>
      <c r="O1468" t="s">
        <v>25</v>
      </c>
      <c r="P1468" t="s">
        <v>13219</v>
      </c>
      <c r="Q1468" t="s">
        <v>29</v>
      </c>
      <c r="R1468" t="s">
        <v>13215</v>
      </c>
      <c r="S1468" t="s">
        <v>13216</v>
      </c>
    </row>
    <row r="1469" spans="1:19" x14ac:dyDescent="0.25">
      <c r="A1469" s="1">
        <v>1467</v>
      </c>
      <c r="B1469" t="str">
        <f>HYPERLINK("https://www.dasschnelle.at/scheiterer-herbert-gesmbh-enzersfeld-im-weinviertel-hauptstraße","Website")</f>
        <v>Website</v>
      </c>
      <c r="C1469" t="str">
        <f>HYPERLINK("http://www.scheiterer.at","Website")</f>
        <v>Website</v>
      </c>
      <c r="D1469" t="str">
        <f>HYPERLINK("http://www.google.com/maps/place/48.3605917,16.4291339","Location")</f>
        <v>Location</v>
      </c>
      <c r="E1469" t="s">
        <v>13220</v>
      </c>
      <c r="F1469" t="s">
        <v>13221</v>
      </c>
      <c r="G1469" t="s">
        <v>13223</v>
      </c>
      <c r="H1469" t="s">
        <v>13224</v>
      </c>
      <c r="I1469" t="s">
        <v>177</v>
      </c>
      <c r="J1469" t="s">
        <v>22</v>
      </c>
      <c r="K1469" t="s">
        <v>13222</v>
      </c>
      <c r="L1469" t="s">
        <v>13227</v>
      </c>
      <c r="M1469" t="s">
        <v>13228</v>
      </c>
      <c r="N1469" t="s">
        <v>13229</v>
      </c>
      <c r="O1469" t="s">
        <v>25</v>
      </c>
      <c r="P1469" t="s">
        <v>13230</v>
      </c>
      <c r="Q1469" t="s">
        <v>29</v>
      </c>
      <c r="R1469" t="s">
        <v>13225</v>
      </c>
      <c r="S1469" t="s">
        <v>13226</v>
      </c>
    </row>
    <row r="1470" spans="1:19" x14ac:dyDescent="0.25">
      <c r="A1470" s="1">
        <v>1468</v>
      </c>
      <c r="B1470" t="str">
        <f>HYPERLINK("https://www.dasschnelle.at/rockenbauer-thomas-gerasdorf-kegelgasse","Website")</f>
        <v>Website</v>
      </c>
      <c r="C1470" t="str">
        <f>HYPERLINK("http://www.rockenbauer-dach.at","Website")</f>
        <v>Website</v>
      </c>
      <c r="D1470" t="str">
        <f>HYPERLINK("http://www.google.com/maps/place/48.3251115,16.4494692","Location")</f>
        <v>Location</v>
      </c>
      <c r="E1470" t="s">
        <v>13231</v>
      </c>
      <c r="F1470" t="s">
        <v>13232</v>
      </c>
      <c r="G1470" t="s">
        <v>13234</v>
      </c>
      <c r="H1470" t="s">
        <v>13235</v>
      </c>
      <c r="I1470" t="s">
        <v>177</v>
      </c>
      <c r="J1470" t="s">
        <v>22</v>
      </c>
      <c r="K1470" t="s">
        <v>13233</v>
      </c>
      <c r="L1470" t="s">
        <v>13238</v>
      </c>
      <c r="M1470" t="s">
        <v>25</v>
      </c>
      <c r="N1470" t="s">
        <v>13239</v>
      </c>
      <c r="O1470" t="s">
        <v>13240</v>
      </c>
      <c r="P1470" t="s">
        <v>13241</v>
      </c>
      <c r="Q1470" t="s">
        <v>29</v>
      </c>
      <c r="R1470" t="s">
        <v>13236</v>
      </c>
      <c r="S1470" t="s">
        <v>13237</v>
      </c>
    </row>
    <row r="1471" spans="1:19" x14ac:dyDescent="0.25">
      <c r="A1471" s="1">
        <v>1469</v>
      </c>
      <c r="B1471" t="str">
        <f>HYPERLINK("https://www.dasschnelle.at/bartosch-oliver-stockerau-josef-wolfik-straße","Website")</f>
        <v>Website</v>
      </c>
      <c r="C1471" t="str">
        <f>HYPERLINK("http://www.glasbartosch.com","Website")</f>
        <v>Website</v>
      </c>
      <c r="D1471" t="str">
        <f>HYPERLINK("http://www.google.com/maps/place/48.38441,16.20607","Location")</f>
        <v>Location</v>
      </c>
      <c r="E1471" t="s">
        <v>13242</v>
      </c>
      <c r="F1471" t="s">
        <v>13243</v>
      </c>
      <c r="G1471" t="s">
        <v>13026</v>
      </c>
      <c r="H1471" t="s">
        <v>13027</v>
      </c>
      <c r="I1471" t="s">
        <v>177</v>
      </c>
      <c r="J1471" t="s">
        <v>22</v>
      </c>
      <c r="K1471" t="s">
        <v>13244</v>
      </c>
      <c r="L1471" t="s">
        <v>13247</v>
      </c>
      <c r="M1471" t="s">
        <v>13248</v>
      </c>
      <c r="N1471" t="s">
        <v>13249</v>
      </c>
      <c r="O1471" t="s">
        <v>25</v>
      </c>
      <c r="P1471" t="s">
        <v>13250</v>
      </c>
      <c r="Q1471" t="s">
        <v>29</v>
      </c>
      <c r="R1471" t="s">
        <v>13245</v>
      </c>
      <c r="S1471" t="s">
        <v>13246</v>
      </c>
    </row>
    <row r="1472" spans="1:19" x14ac:dyDescent="0.25">
      <c r="A1472" s="1">
        <v>1470</v>
      </c>
      <c r="B1472" t="str">
        <f>HYPERLINK("https://www.dasschnelle.at/blumen-luser-grosch-stockerau-hauptstraße","Website")</f>
        <v>Website</v>
      </c>
      <c r="C1472" t="str">
        <f>HYPERLINK("http://www.blumengrosch.at","Website")</f>
        <v>Website</v>
      </c>
      <c r="D1472" t="str">
        <f>HYPERLINK("http://www.google.com/maps/place/48.38604,16.21667","Location")</f>
        <v>Location</v>
      </c>
      <c r="E1472" t="s">
        <v>13251</v>
      </c>
      <c r="F1472" t="s">
        <v>13252</v>
      </c>
      <c r="G1472" t="s">
        <v>13026</v>
      </c>
      <c r="H1472" t="s">
        <v>13027</v>
      </c>
      <c r="I1472" t="s">
        <v>177</v>
      </c>
      <c r="J1472" t="s">
        <v>22</v>
      </c>
      <c r="K1472" t="s">
        <v>13253</v>
      </c>
      <c r="L1472" t="s">
        <v>13256</v>
      </c>
      <c r="M1472" t="s">
        <v>25</v>
      </c>
      <c r="N1472" t="s">
        <v>13257</v>
      </c>
      <c r="O1472" t="s">
        <v>25</v>
      </c>
      <c r="P1472" t="s">
        <v>13258</v>
      </c>
      <c r="Q1472" t="s">
        <v>29</v>
      </c>
      <c r="R1472" t="s">
        <v>13254</v>
      </c>
      <c r="S1472" t="s">
        <v>13255</v>
      </c>
    </row>
    <row r="1473" spans="1:19" x14ac:dyDescent="0.25">
      <c r="A1473" s="1">
        <v>1471</v>
      </c>
      <c r="B1473" t="str">
        <f>HYPERLINK("https://www.dasschnelle.at/haircut-dagmar-langenzersdorf-wiener-straße","Website")</f>
        <v>Website</v>
      </c>
      <c r="C1473" t="str">
        <f>HYPERLINK("http://www.haircut-dagmar.at","Website")</f>
        <v>Website</v>
      </c>
      <c r="D1473" t="str">
        <f>HYPERLINK("http://www.google.com/maps/place/48.3047512,16.3667579","Location")</f>
        <v>Location</v>
      </c>
      <c r="E1473" t="s">
        <v>13259</v>
      </c>
      <c r="F1473" t="s">
        <v>13260</v>
      </c>
      <c r="G1473" t="s">
        <v>13262</v>
      </c>
      <c r="H1473" t="s">
        <v>13263</v>
      </c>
      <c r="I1473" t="s">
        <v>177</v>
      </c>
      <c r="J1473" t="s">
        <v>22</v>
      </c>
      <c r="K1473" t="s">
        <v>13261</v>
      </c>
      <c r="L1473" t="s">
        <v>13266</v>
      </c>
      <c r="M1473" t="s">
        <v>25</v>
      </c>
      <c r="N1473" t="s">
        <v>13267</v>
      </c>
      <c r="O1473" t="s">
        <v>25</v>
      </c>
      <c r="P1473" t="s">
        <v>13268</v>
      </c>
      <c r="Q1473" t="s">
        <v>29</v>
      </c>
      <c r="R1473" t="s">
        <v>13264</v>
      </c>
      <c r="S1473" t="s">
        <v>13265</v>
      </c>
    </row>
    <row r="1474" spans="1:19" x14ac:dyDescent="0.25">
      <c r="A1474" s="1">
        <v>1472</v>
      </c>
      <c r="B1474" t="str">
        <f>HYPERLINK("https://www.dasschnelle.at/fischer-installationen-gmbh-flandorf-hauptstraße","Website")</f>
        <v>Website</v>
      </c>
      <c r="C1474" t="str">
        <f>HYPERLINK("http://www.fischer-installationen.at","Website")</f>
        <v>Website</v>
      </c>
      <c r="D1474" t="str">
        <f>HYPERLINK("http://www.google.com/maps/place/48.34897,16.37925","Location")</f>
        <v>Location</v>
      </c>
      <c r="E1474" t="s">
        <v>13269</v>
      </c>
      <c r="F1474" t="s">
        <v>13270</v>
      </c>
      <c r="G1474" t="s">
        <v>13271</v>
      </c>
      <c r="H1474" t="s">
        <v>13272</v>
      </c>
      <c r="I1474" t="s">
        <v>177</v>
      </c>
      <c r="J1474" t="s">
        <v>22</v>
      </c>
      <c r="K1474" t="s">
        <v>11371</v>
      </c>
      <c r="L1474" t="s">
        <v>13275</v>
      </c>
      <c r="M1474" t="s">
        <v>25</v>
      </c>
      <c r="N1474" t="s">
        <v>13276</v>
      </c>
      <c r="O1474" t="s">
        <v>13277</v>
      </c>
      <c r="P1474" t="s">
        <v>13278</v>
      </c>
      <c r="Q1474" t="s">
        <v>29</v>
      </c>
      <c r="R1474" t="s">
        <v>13273</v>
      </c>
      <c r="S1474" t="s">
        <v>13274</v>
      </c>
    </row>
    <row r="1475" spans="1:19" x14ac:dyDescent="0.25">
      <c r="A1475" s="1">
        <v>1473</v>
      </c>
      <c r="B1475" t="str">
        <f>HYPERLINK("https://www.dasschnelle.at/seethaler-manfred-stockerau-industriestraße","Website")</f>
        <v>Website</v>
      </c>
      <c r="C1475" t="str">
        <f>HYPERLINK("https://www.dasschnelle.at/seethaler-manfred-stockerau-industriestra%C3%9Fe","Website")</f>
        <v>Website</v>
      </c>
      <c r="D1475" t="str">
        <f>HYPERLINK("http://www.google.com/maps/place/48.38709,16.23557","Location")</f>
        <v>Location</v>
      </c>
      <c r="E1475" t="s">
        <v>13279</v>
      </c>
      <c r="F1475" t="s">
        <v>13280</v>
      </c>
      <c r="G1475" t="s">
        <v>13026</v>
      </c>
      <c r="H1475" t="s">
        <v>13027</v>
      </c>
      <c r="I1475" t="s">
        <v>177</v>
      </c>
      <c r="J1475" t="s">
        <v>22</v>
      </c>
      <c r="K1475" t="s">
        <v>13281</v>
      </c>
      <c r="L1475" t="s">
        <v>13284</v>
      </c>
      <c r="M1475" t="s">
        <v>25</v>
      </c>
      <c r="N1475" t="s">
        <v>13285</v>
      </c>
      <c r="O1475" t="s">
        <v>25</v>
      </c>
      <c r="P1475" t="s">
        <v>13286</v>
      </c>
      <c r="Q1475" t="s">
        <v>29</v>
      </c>
      <c r="R1475" t="s">
        <v>13282</v>
      </c>
      <c r="S1475" t="s">
        <v>13283</v>
      </c>
    </row>
    <row r="1476" spans="1:19" x14ac:dyDescent="0.25">
      <c r="A1476" s="1">
        <v>1474</v>
      </c>
      <c r="B1476" t="str">
        <f>HYPERLINK("https://www.dasschnelle.at/technik-kurz-e-u-bisamberg-kirchenweg","Website")</f>
        <v>Website</v>
      </c>
      <c r="C1476" t="str">
        <f>HYPERLINK("http://www.technik-kurz.at","Website")</f>
        <v>Website</v>
      </c>
      <c r="D1476" t="str">
        <f>HYPERLINK("http://www.google.com/maps/place/48.33312,16.39851","Location")</f>
        <v>Location</v>
      </c>
      <c r="E1476" t="s">
        <v>13287</v>
      </c>
      <c r="F1476" t="s">
        <v>13288</v>
      </c>
      <c r="G1476" t="s">
        <v>13271</v>
      </c>
      <c r="H1476" t="s">
        <v>13290</v>
      </c>
      <c r="I1476" t="s">
        <v>177</v>
      </c>
      <c r="J1476" t="s">
        <v>22</v>
      </c>
      <c r="K1476" t="s">
        <v>13289</v>
      </c>
      <c r="L1476" t="s">
        <v>13293</v>
      </c>
      <c r="M1476" t="s">
        <v>13294</v>
      </c>
      <c r="N1476" t="s">
        <v>13295</v>
      </c>
      <c r="O1476" t="s">
        <v>13296</v>
      </c>
      <c r="P1476" t="s">
        <v>13297</v>
      </c>
      <c r="Q1476" t="s">
        <v>29</v>
      </c>
      <c r="R1476" t="s">
        <v>13291</v>
      </c>
      <c r="S1476" t="s">
        <v>13292</v>
      </c>
    </row>
    <row r="1477" spans="1:19" x14ac:dyDescent="0.25">
      <c r="A1477" s="1">
        <v>1475</v>
      </c>
      <c r="B1477" t="str">
        <f>HYPERLINK("https://www.dasschnelle.at/auto-nöhammer-schwertfern-schwertfern","Website")</f>
        <v>Website</v>
      </c>
      <c r="C1477" t="str">
        <f>HYPERLINK("http://www.a-n.at","Website")</f>
        <v>Website</v>
      </c>
      <c r="D1477" t="str">
        <f>HYPERLINK("http://www.google.com/maps/place/47.9871367,13.4010020","Location")</f>
        <v>Location</v>
      </c>
      <c r="E1477" t="s">
        <v>13298</v>
      </c>
      <c r="F1477" t="s">
        <v>13299</v>
      </c>
      <c r="G1477" t="s">
        <v>13301</v>
      </c>
      <c r="H1477" t="s">
        <v>13302</v>
      </c>
      <c r="I1477" t="s">
        <v>85</v>
      </c>
      <c r="J1477" t="s">
        <v>22</v>
      </c>
      <c r="K1477" t="s">
        <v>13300</v>
      </c>
      <c r="L1477" t="s">
        <v>13305</v>
      </c>
      <c r="M1477" t="s">
        <v>25</v>
      </c>
      <c r="N1477" t="s">
        <v>13306</v>
      </c>
      <c r="O1477" t="s">
        <v>25</v>
      </c>
      <c r="P1477" t="s">
        <v>13307</v>
      </c>
      <c r="Q1477" t="s">
        <v>29</v>
      </c>
      <c r="R1477" t="s">
        <v>13303</v>
      </c>
      <c r="S1477" t="s">
        <v>13304</v>
      </c>
    </row>
    <row r="1478" spans="1:19" x14ac:dyDescent="0.25">
      <c r="A1478" s="1">
        <v>1476</v>
      </c>
      <c r="B1478" t="str">
        <f>HYPERLINK("https://www.dasschnelle.at/steinbichler-horst-frankenmarkt-brauhausgasse","Website")</f>
        <v>Website</v>
      </c>
      <c r="C1478" t="str">
        <f>HYPERLINK("https://www.dasschnelle.at/steinbichler-horst-frankenmarkt-brauhausgasse","Website")</f>
        <v>Website</v>
      </c>
      <c r="D1478" t="str">
        <f>HYPERLINK("http://www.google.com/maps/place/47.98551,13.42513","Location")</f>
        <v>Location</v>
      </c>
      <c r="E1478" t="s">
        <v>13308</v>
      </c>
      <c r="F1478" t="s">
        <v>13309</v>
      </c>
      <c r="G1478" t="s">
        <v>13301</v>
      </c>
      <c r="H1478" t="s">
        <v>13311</v>
      </c>
      <c r="I1478" t="s">
        <v>85</v>
      </c>
      <c r="J1478" t="s">
        <v>22</v>
      </c>
      <c r="K1478" t="s">
        <v>13310</v>
      </c>
      <c r="L1478" t="s">
        <v>13314</v>
      </c>
      <c r="M1478" t="s">
        <v>25</v>
      </c>
      <c r="N1478" t="s">
        <v>13315</v>
      </c>
      <c r="O1478" t="s">
        <v>25</v>
      </c>
      <c r="P1478" t="s">
        <v>13316</v>
      </c>
      <c r="Q1478" t="s">
        <v>29</v>
      </c>
      <c r="R1478" t="s">
        <v>13312</v>
      </c>
      <c r="S1478" t="s">
        <v>13313</v>
      </c>
    </row>
    <row r="1479" spans="1:19" x14ac:dyDescent="0.25">
      <c r="A1479" s="1">
        <v>1477</v>
      </c>
      <c r="B1479" t="str">
        <f>HYPERLINK("https://www.dasschnelle.at/lochner-johann-gesmbh-frankenmarkt-weißenkirchnerstraße","Website")</f>
        <v>Website</v>
      </c>
      <c r="C1479" t="str">
        <f>HYPERLINK("https://www.dasschnelle.at/lochner-johann-gesmbh-frankenmarkt-wei%C3%9Fenkirchnerstra%C3%9Fe","Website")</f>
        <v>Website</v>
      </c>
      <c r="D1479" t="str">
        <f>HYPERLINK("http://www.google.com/maps/place/47.98039,13.41712","Location")</f>
        <v>Location</v>
      </c>
      <c r="E1479" t="s">
        <v>13317</v>
      </c>
      <c r="F1479" t="s">
        <v>13318</v>
      </c>
      <c r="G1479" t="s">
        <v>13301</v>
      </c>
      <c r="H1479" t="s">
        <v>13311</v>
      </c>
      <c r="I1479" t="s">
        <v>85</v>
      </c>
      <c r="J1479" t="s">
        <v>22</v>
      </c>
      <c r="K1479" t="s">
        <v>13319</v>
      </c>
      <c r="L1479" t="s">
        <v>13322</v>
      </c>
      <c r="M1479" t="s">
        <v>25</v>
      </c>
      <c r="N1479" t="s">
        <v>25</v>
      </c>
      <c r="O1479" t="s">
        <v>25</v>
      </c>
      <c r="P1479" t="s">
        <v>13323</v>
      </c>
      <c r="Q1479" t="s">
        <v>29</v>
      </c>
      <c r="R1479" t="s">
        <v>13320</v>
      </c>
      <c r="S1479" t="s">
        <v>13321</v>
      </c>
    </row>
    <row r="1480" spans="1:19" x14ac:dyDescent="0.25">
      <c r="A1480" s="1">
        <v>1478</v>
      </c>
      <c r="B1480" t="str">
        <f>HYPERLINK("https://www.dasschnelle.at/team-heide-korneuburg-stockerauer-straße","Website")</f>
        <v>Website</v>
      </c>
      <c r="C1480" t="str">
        <f>HYPERLINK("http://www.teamheide.at","Website")</f>
        <v>Website</v>
      </c>
      <c r="D1480" t="str">
        <f>HYPERLINK("http://www.google.com/maps/place/48.34603,16.32983","Location")</f>
        <v>Location</v>
      </c>
      <c r="E1480" t="s">
        <v>13324</v>
      </c>
      <c r="F1480" t="s">
        <v>13325</v>
      </c>
      <c r="G1480" t="s">
        <v>440</v>
      </c>
      <c r="H1480" t="s">
        <v>441</v>
      </c>
      <c r="I1480" t="s">
        <v>177</v>
      </c>
      <c r="J1480" t="s">
        <v>22</v>
      </c>
      <c r="K1480" t="s">
        <v>13326</v>
      </c>
      <c r="L1480" t="s">
        <v>13329</v>
      </c>
      <c r="M1480" t="s">
        <v>25</v>
      </c>
      <c r="N1480" t="s">
        <v>13330</v>
      </c>
      <c r="O1480" t="s">
        <v>25</v>
      </c>
      <c r="P1480" t="s">
        <v>13331</v>
      </c>
      <c r="Q1480" t="s">
        <v>29</v>
      </c>
      <c r="R1480" t="s">
        <v>13327</v>
      </c>
      <c r="S1480" t="s">
        <v>13328</v>
      </c>
    </row>
    <row r="1481" spans="1:19" x14ac:dyDescent="0.25">
      <c r="A1481" s="1">
        <v>1479</v>
      </c>
      <c r="B1481" t="str">
        <f>HYPERLINK("https://www.dasschnelle.at/friseur-kaisler-kierling-roman-himmelbauer-platz","Website")</f>
        <v>Website</v>
      </c>
      <c r="C1481" t="str">
        <f>HYPERLINK("https://www.dasschnelle.at/friseur-kaisler-kierling-roman-himmelbauer-platz","Website")</f>
        <v>Website</v>
      </c>
      <c r="D1481" t="str">
        <f>HYPERLINK("http://www.google.com/maps/place/48.30857,16.27355","Location")</f>
        <v>Location</v>
      </c>
      <c r="E1481" t="s">
        <v>13332</v>
      </c>
      <c r="F1481" t="s">
        <v>13333</v>
      </c>
      <c r="G1481" t="s">
        <v>10308</v>
      </c>
      <c r="H1481" t="s">
        <v>13335</v>
      </c>
      <c r="I1481" t="s">
        <v>177</v>
      </c>
      <c r="J1481" t="s">
        <v>22</v>
      </c>
      <c r="K1481" t="s">
        <v>13334</v>
      </c>
      <c r="L1481" t="s">
        <v>13338</v>
      </c>
      <c r="M1481" t="s">
        <v>25</v>
      </c>
      <c r="N1481" t="s">
        <v>13339</v>
      </c>
      <c r="O1481" t="s">
        <v>25</v>
      </c>
      <c r="P1481" t="s">
        <v>13340</v>
      </c>
      <c r="Q1481" t="s">
        <v>29</v>
      </c>
      <c r="R1481" t="s">
        <v>13336</v>
      </c>
      <c r="S1481" t="s">
        <v>13337</v>
      </c>
    </row>
    <row r="1482" spans="1:19" x14ac:dyDescent="0.25">
      <c r="A1482" s="1">
        <v>1480</v>
      </c>
      <c r="B1482" t="str">
        <f>HYPERLINK("https://www.dasschnelle.at/müllner-und-dr-molnar-og-stockerau-nikolaus-heid-straße","Website")</f>
        <v>Website</v>
      </c>
      <c r="C1482" t="str">
        <f>HYPERLINK("http://www.wot.co.at","Website")</f>
        <v>Website</v>
      </c>
      <c r="D1482" t="str">
        <f>HYPERLINK("http://www.google.com/maps/place/48.38952,16.22361","Location")</f>
        <v>Location</v>
      </c>
      <c r="E1482" t="s">
        <v>13341</v>
      </c>
      <c r="F1482" t="s">
        <v>13342</v>
      </c>
      <c r="G1482" t="s">
        <v>13026</v>
      </c>
      <c r="H1482" t="s">
        <v>13027</v>
      </c>
      <c r="I1482" t="s">
        <v>177</v>
      </c>
      <c r="J1482" t="s">
        <v>22</v>
      </c>
      <c r="K1482" t="s">
        <v>13343</v>
      </c>
      <c r="L1482" t="s">
        <v>13346</v>
      </c>
      <c r="M1482" t="s">
        <v>25</v>
      </c>
      <c r="N1482" t="s">
        <v>13347</v>
      </c>
      <c r="O1482" t="s">
        <v>25</v>
      </c>
      <c r="P1482" t="s">
        <v>13348</v>
      </c>
      <c r="Q1482" t="s">
        <v>29</v>
      </c>
      <c r="R1482" t="s">
        <v>13344</v>
      </c>
      <c r="S1482" t="s">
        <v>13345</v>
      </c>
    </row>
    <row r="1483" spans="1:19" x14ac:dyDescent="0.25">
      <c r="A1483" s="1">
        <v>1481</v>
      </c>
      <c r="B1483" t="str">
        <f>HYPERLINK("https://www.dasschnelle.at/kerbl-franz-josef-kierling-hauptstraße","Website")</f>
        <v>Website</v>
      </c>
      <c r="C1483" t="str">
        <f>HYPERLINK("http://www.zimmerei-kerbl.at","Website")</f>
        <v>Website</v>
      </c>
      <c r="D1483" t="str">
        <f>HYPERLINK("http://www.google.com/maps/place/48.30892,16.27207","Location")</f>
        <v>Location</v>
      </c>
      <c r="E1483" t="s">
        <v>13349</v>
      </c>
      <c r="F1483" t="s">
        <v>13350</v>
      </c>
      <c r="G1483" t="s">
        <v>10308</v>
      </c>
      <c r="H1483" t="s">
        <v>13335</v>
      </c>
      <c r="I1483" t="s">
        <v>177</v>
      </c>
      <c r="J1483" t="s">
        <v>22</v>
      </c>
      <c r="K1483" t="s">
        <v>13351</v>
      </c>
      <c r="L1483" t="s">
        <v>13354</v>
      </c>
      <c r="M1483" t="s">
        <v>25</v>
      </c>
      <c r="N1483" t="s">
        <v>13355</v>
      </c>
      <c r="O1483" t="s">
        <v>25</v>
      </c>
      <c r="P1483" t="s">
        <v>13356</v>
      </c>
      <c r="Q1483" t="s">
        <v>29</v>
      </c>
      <c r="R1483" t="s">
        <v>13352</v>
      </c>
      <c r="S1483" t="s">
        <v>13353</v>
      </c>
    </row>
    <row r="1484" spans="1:19" x14ac:dyDescent="0.25">
      <c r="A1484" s="1">
        <v>1482</v>
      </c>
      <c r="B1484" t="str">
        <f>HYPERLINK("https://www.dasschnelle.at/christian-ruzicka-stockerau-tullnerstraße","Website")</f>
        <v>Website</v>
      </c>
      <c r="C1484" t="str">
        <f>HYPERLINK("https://www.dasschnelle.at/christian-ruzicka-stockerau-tullnerstra%C3%9Fe","Website")</f>
        <v>Website</v>
      </c>
      <c r="D1484" t="str">
        <f>HYPERLINK("http://www.google.com/maps/place/48.3812060,16.1719641","Location")</f>
        <v>Location</v>
      </c>
      <c r="E1484" t="s">
        <v>13357</v>
      </c>
      <c r="F1484" t="s">
        <v>13358</v>
      </c>
      <c r="G1484" t="s">
        <v>13026</v>
      </c>
      <c r="H1484" t="s">
        <v>13027</v>
      </c>
      <c r="I1484" t="s">
        <v>177</v>
      </c>
      <c r="J1484" t="s">
        <v>22</v>
      </c>
      <c r="K1484" t="s">
        <v>13359</v>
      </c>
      <c r="L1484" t="s">
        <v>13362</v>
      </c>
      <c r="M1484" t="s">
        <v>25</v>
      </c>
      <c r="N1484" t="s">
        <v>13363</v>
      </c>
      <c r="O1484" t="s">
        <v>25</v>
      </c>
      <c r="P1484" t="s">
        <v>13364</v>
      </c>
      <c r="Q1484" t="s">
        <v>29</v>
      </c>
      <c r="R1484" t="s">
        <v>13360</v>
      </c>
      <c r="S1484" t="s">
        <v>13361</v>
      </c>
    </row>
    <row r="1485" spans="1:19" x14ac:dyDescent="0.25">
      <c r="A1485" s="1">
        <v>1483</v>
      </c>
      <c r="B1485" t="str">
        <f>HYPERLINK("https://www.dasschnelle.at/wanas-patricia-dr-stockerau-theresia-pampichler-straße","Website")</f>
        <v>Website</v>
      </c>
      <c r="C1485" t="str">
        <f>HYPERLINK("http://www.wanashelp.at","Website")</f>
        <v>Website</v>
      </c>
      <c r="D1485" t="str">
        <f>HYPERLINK("http://www.google.com/maps/place/48.38954,16.20655","Location")</f>
        <v>Location</v>
      </c>
      <c r="E1485" t="s">
        <v>13365</v>
      </c>
      <c r="F1485" t="s">
        <v>13366</v>
      </c>
      <c r="G1485" t="s">
        <v>13026</v>
      </c>
      <c r="H1485" t="s">
        <v>13027</v>
      </c>
      <c r="I1485" t="s">
        <v>177</v>
      </c>
      <c r="J1485" t="s">
        <v>22</v>
      </c>
      <c r="K1485" t="s">
        <v>13367</v>
      </c>
      <c r="L1485" t="s">
        <v>13370</v>
      </c>
      <c r="M1485" t="s">
        <v>25</v>
      </c>
      <c r="N1485" t="s">
        <v>13371</v>
      </c>
      <c r="O1485" t="s">
        <v>25</v>
      </c>
      <c r="P1485" t="s">
        <v>13372</v>
      </c>
      <c r="Q1485" t="s">
        <v>29</v>
      </c>
      <c r="R1485" t="s">
        <v>13368</v>
      </c>
      <c r="S1485" t="s">
        <v>13369</v>
      </c>
    </row>
    <row r="1486" spans="1:19" x14ac:dyDescent="0.25">
      <c r="A1486" s="1">
        <v>1484</v>
      </c>
      <c r="B1486" t="str">
        <f>HYPERLINK("https://www.dasschnelle.at/dr-reisinger-und-dr-angermann-korneuburg-bisamberger-straße","Website")</f>
        <v>Website</v>
      </c>
      <c r="C1486" t="str">
        <f>HYPERLINK("https://www.dasschnelle.at/dr-reisinger-und-dr-angermann-korneuburg-bisamberger-stra%C3%9Fe","Website")</f>
        <v>Website</v>
      </c>
      <c r="D1486" t="str">
        <f>HYPERLINK("http://www.google.com/maps/place/48.34065,16.34167","Location")</f>
        <v>Location</v>
      </c>
      <c r="E1486" t="s">
        <v>13373</v>
      </c>
      <c r="F1486" t="s">
        <v>13374</v>
      </c>
      <c r="G1486" t="s">
        <v>440</v>
      </c>
      <c r="H1486" t="s">
        <v>441</v>
      </c>
      <c r="I1486" t="s">
        <v>177</v>
      </c>
      <c r="J1486" t="s">
        <v>22</v>
      </c>
      <c r="K1486" t="s">
        <v>13375</v>
      </c>
      <c r="L1486" t="s">
        <v>13378</v>
      </c>
      <c r="M1486" t="s">
        <v>25</v>
      </c>
      <c r="N1486" t="s">
        <v>13379</v>
      </c>
      <c r="O1486" t="s">
        <v>25</v>
      </c>
      <c r="P1486" t="s">
        <v>13380</v>
      </c>
      <c r="Q1486" t="s">
        <v>29</v>
      </c>
      <c r="R1486" t="s">
        <v>13376</v>
      </c>
      <c r="S1486" t="s">
        <v>13377</v>
      </c>
    </row>
    <row r="1487" spans="1:19" x14ac:dyDescent="0.25">
      <c r="A1487" s="1">
        <v>1485</v>
      </c>
      <c r="B1487" t="str">
        <f>HYPERLINK("https://www.dasschnelle.at/gasthof-kogler-frankenmarkt-hauptstraße","Website")</f>
        <v>Website</v>
      </c>
      <c r="C1487" t="str">
        <f>HYPERLINK("http://www.gasthof-kogler.at","Website")</f>
        <v>Website</v>
      </c>
      <c r="D1487" t="str">
        <f>HYPERLINK("http://www.google.com/maps/place/47.98556,13.41688","Location")</f>
        <v>Location</v>
      </c>
      <c r="E1487" t="s">
        <v>13381</v>
      </c>
      <c r="F1487" t="s">
        <v>13382</v>
      </c>
      <c r="G1487" t="s">
        <v>13301</v>
      </c>
      <c r="H1487" t="s">
        <v>13311</v>
      </c>
      <c r="I1487" t="s">
        <v>85</v>
      </c>
      <c r="J1487" t="s">
        <v>22</v>
      </c>
      <c r="K1487" t="s">
        <v>13383</v>
      </c>
      <c r="L1487" t="s">
        <v>13386</v>
      </c>
      <c r="M1487" t="s">
        <v>25</v>
      </c>
      <c r="N1487" t="s">
        <v>13387</v>
      </c>
      <c r="O1487" t="s">
        <v>25</v>
      </c>
      <c r="P1487" t="s">
        <v>13388</v>
      </c>
      <c r="Q1487" t="s">
        <v>29</v>
      </c>
      <c r="R1487" t="s">
        <v>13384</v>
      </c>
      <c r="S1487" t="s">
        <v>13385</v>
      </c>
    </row>
    <row r="1488" spans="1:19" x14ac:dyDescent="0.25">
      <c r="A1488" s="1">
        <v>1486</v>
      </c>
      <c r="B1488" t="str">
        <f>HYPERLINK("https://www.dasschnelle.at/vyhnalek-gerald-ing-gesmbh-pulkau-neubruch","Website")</f>
        <v>Website</v>
      </c>
      <c r="C1488" t="str">
        <f>HYPERLINK("http://www.vyhnalek.at","Website")</f>
        <v>Website</v>
      </c>
      <c r="D1488" t="str">
        <f>HYPERLINK("http://www.google.com/maps/place/48.7016600,15.8767500","Location")</f>
        <v>Location</v>
      </c>
      <c r="E1488" t="s">
        <v>13389</v>
      </c>
      <c r="F1488" t="s">
        <v>13390</v>
      </c>
      <c r="G1488" t="s">
        <v>13392</v>
      </c>
      <c r="H1488" t="s">
        <v>13393</v>
      </c>
      <c r="I1488" t="s">
        <v>177</v>
      </c>
      <c r="J1488" t="s">
        <v>22</v>
      </c>
      <c r="K1488" t="s">
        <v>13391</v>
      </c>
      <c r="L1488" t="s">
        <v>13396</v>
      </c>
      <c r="M1488" t="s">
        <v>25</v>
      </c>
      <c r="N1488" t="s">
        <v>13397</v>
      </c>
      <c r="O1488" t="s">
        <v>25</v>
      </c>
      <c r="P1488" t="s">
        <v>13398</v>
      </c>
      <c r="Q1488" t="s">
        <v>29</v>
      </c>
      <c r="R1488" t="s">
        <v>13394</v>
      </c>
      <c r="S1488" t="s">
        <v>13395</v>
      </c>
    </row>
    <row r="1489" spans="1:19" x14ac:dyDescent="0.25">
      <c r="A1489" s="1">
        <v>1487</v>
      </c>
      <c r="B1489" t="str">
        <f>HYPERLINK("https://www.dasschnelle.at/harald-tantscher-gnas-obergnas","Website")</f>
        <v>Website</v>
      </c>
      <c r="C1489" t="str">
        <f>HYPERLINK("http://www.elektrotechnik-tantscher.at","Website")</f>
        <v>Website</v>
      </c>
      <c r="D1489" t="str">
        <f>HYPERLINK("http://www.google.com/maps/place/46.9072476,15.7818820","Location")</f>
        <v>Location</v>
      </c>
      <c r="E1489" t="s">
        <v>13399</v>
      </c>
      <c r="F1489" t="s">
        <v>13400</v>
      </c>
      <c r="G1489" t="s">
        <v>480</v>
      </c>
      <c r="H1489" t="s">
        <v>674</v>
      </c>
      <c r="I1489" t="s">
        <v>451</v>
      </c>
      <c r="J1489" t="s">
        <v>22</v>
      </c>
      <c r="K1489" t="s">
        <v>13401</v>
      </c>
      <c r="L1489" t="s">
        <v>13404</v>
      </c>
      <c r="M1489" t="s">
        <v>25</v>
      </c>
      <c r="N1489" t="s">
        <v>13405</v>
      </c>
      <c r="O1489" t="s">
        <v>13406</v>
      </c>
      <c r="P1489" t="s">
        <v>13407</v>
      </c>
      <c r="Q1489" t="s">
        <v>29</v>
      </c>
      <c r="R1489" t="s">
        <v>13402</v>
      </c>
      <c r="S1489" t="s">
        <v>13403</v>
      </c>
    </row>
    <row r="1490" spans="1:19" x14ac:dyDescent="0.25">
      <c r="A1490" s="1">
        <v>1488</v>
      </c>
      <c r="B1490" t="str">
        <f>HYPERLINK("https://www.dasschnelle.at/walch-und-partner-linz-novaragasse","Website")</f>
        <v>Website</v>
      </c>
      <c r="C1490" t="str">
        <f>HYPERLINK("http://www.stb-walch.at","Website")</f>
        <v>Website</v>
      </c>
      <c r="D1490" t="str">
        <f>HYPERLINK("http://www.google.com/maps/place/48.28697,14.2954","Location")</f>
        <v>Location</v>
      </c>
      <c r="E1490" t="s">
        <v>13408</v>
      </c>
      <c r="F1490" t="s">
        <v>13409</v>
      </c>
      <c r="G1490" t="s">
        <v>6495</v>
      </c>
      <c r="H1490" t="s">
        <v>6496</v>
      </c>
      <c r="I1490" t="s">
        <v>85</v>
      </c>
      <c r="J1490" t="s">
        <v>22</v>
      </c>
      <c r="K1490" t="s">
        <v>13410</v>
      </c>
      <c r="L1490" t="s">
        <v>13413</v>
      </c>
      <c r="M1490" t="s">
        <v>25</v>
      </c>
      <c r="N1490" t="s">
        <v>13414</v>
      </c>
      <c r="O1490" t="s">
        <v>25</v>
      </c>
      <c r="P1490" t="s">
        <v>13415</v>
      </c>
      <c r="Q1490" t="s">
        <v>29</v>
      </c>
      <c r="R1490" t="s">
        <v>13411</v>
      </c>
      <c r="S1490" t="s">
        <v>13412</v>
      </c>
    </row>
    <row r="1491" spans="1:19" x14ac:dyDescent="0.25">
      <c r="A1491" s="1">
        <v>1489</v>
      </c>
      <c r="B1491" t="str">
        <f>HYPERLINK("https://www.dasschnelle.at/gartenservice-förster-sascha-hainfeld-gölsenstraße","Website")</f>
        <v>Website</v>
      </c>
      <c r="C1491" t="str">
        <f>HYPERLINK("http://gartenservice-fu00f6rster.at","Website")</f>
        <v>Website</v>
      </c>
      <c r="D1491" t="str">
        <f>HYPERLINK("http://www.google.com/maps/place/48.0372801,15.7696042","Location")</f>
        <v>Location</v>
      </c>
      <c r="E1491" t="s">
        <v>13416</v>
      </c>
      <c r="F1491" t="s">
        <v>13417</v>
      </c>
      <c r="G1491" t="s">
        <v>13419</v>
      </c>
      <c r="H1491" t="s">
        <v>13420</v>
      </c>
      <c r="I1491" t="s">
        <v>177</v>
      </c>
      <c r="J1491" t="s">
        <v>22</v>
      </c>
      <c r="K1491" t="s">
        <v>13418</v>
      </c>
      <c r="L1491" t="s">
        <v>13423</v>
      </c>
      <c r="M1491" t="s">
        <v>25</v>
      </c>
      <c r="N1491" t="s">
        <v>13424</v>
      </c>
      <c r="O1491" t="s">
        <v>13425</v>
      </c>
      <c r="P1491" t="s">
        <v>13426</v>
      </c>
      <c r="Q1491" t="s">
        <v>29</v>
      </c>
      <c r="R1491" t="s">
        <v>13421</v>
      </c>
      <c r="S1491" t="s">
        <v>13422</v>
      </c>
    </row>
    <row r="1492" spans="1:19" x14ac:dyDescent="0.25">
      <c r="A1492" s="1">
        <v>1490</v>
      </c>
      <c r="B1492" t="str">
        <f>HYPERLINK("https://www.dasschnelle.at/lindenberger-gmbh-linz-schmiedgraben","Website")</f>
        <v>Website</v>
      </c>
      <c r="C1492" t="str">
        <f>HYPERLINK("http://www.lindenberger.co.at","Website")</f>
        <v>Website</v>
      </c>
      <c r="D1492" t="str">
        <f>HYPERLINK("http://www.google.com/maps/place/48.35982,14.25475","Location")</f>
        <v>Location</v>
      </c>
      <c r="E1492" t="s">
        <v>13427</v>
      </c>
      <c r="F1492" t="s">
        <v>13428</v>
      </c>
      <c r="G1492" t="s">
        <v>13430</v>
      </c>
      <c r="H1492" t="s">
        <v>6496</v>
      </c>
      <c r="I1492" t="s">
        <v>85</v>
      </c>
      <c r="J1492" t="s">
        <v>22</v>
      </c>
      <c r="K1492" t="s">
        <v>13429</v>
      </c>
      <c r="L1492" t="s">
        <v>13433</v>
      </c>
      <c r="M1492" t="s">
        <v>25</v>
      </c>
      <c r="N1492" t="s">
        <v>13434</v>
      </c>
      <c r="O1492" t="s">
        <v>25</v>
      </c>
      <c r="P1492" t="s">
        <v>697</v>
      </c>
      <c r="Q1492" t="s">
        <v>29</v>
      </c>
      <c r="R1492" t="s">
        <v>13431</v>
      </c>
      <c r="S1492" t="s">
        <v>13432</v>
      </c>
    </row>
    <row r="1493" spans="1:19" x14ac:dyDescent="0.25">
      <c r="A1493" s="1">
        <v>1491</v>
      </c>
      <c r="B1493" t="str">
        <f>HYPERLINK("https://www.dasschnelle.at/schusser-eduard-sankt-georgen-ob-judenburg-sankt-georgen-ob-judenburg","Website")</f>
        <v>Website</v>
      </c>
      <c r="C1493" t="str">
        <f>HYPERLINK("http://www.bau-wifzack.at","Website")</f>
        <v>Website</v>
      </c>
      <c r="D1493" t="str">
        <f>HYPERLINK("http://www.google.com/maps/place/47.2063842,14.4998769","Location")</f>
        <v>Location</v>
      </c>
      <c r="E1493" t="s">
        <v>13435</v>
      </c>
      <c r="F1493" t="s">
        <v>13436</v>
      </c>
      <c r="G1493" t="s">
        <v>13438</v>
      </c>
      <c r="H1493" t="s">
        <v>13439</v>
      </c>
      <c r="I1493" t="s">
        <v>451</v>
      </c>
      <c r="J1493" t="s">
        <v>22</v>
      </c>
      <c r="K1493" t="s">
        <v>13437</v>
      </c>
      <c r="L1493" t="s">
        <v>13442</v>
      </c>
      <c r="M1493" t="s">
        <v>25</v>
      </c>
      <c r="N1493" t="s">
        <v>13443</v>
      </c>
      <c r="O1493" t="s">
        <v>25</v>
      </c>
      <c r="P1493" t="s">
        <v>13444</v>
      </c>
      <c r="Q1493" t="s">
        <v>29</v>
      </c>
      <c r="R1493" t="s">
        <v>13440</v>
      </c>
      <c r="S1493" t="s">
        <v>13441</v>
      </c>
    </row>
    <row r="1494" spans="1:19" x14ac:dyDescent="0.25">
      <c r="A1494" s="1">
        <v>1492</v>
      </c>
      <c r="B1494" t="str">
        <f>HYPERLINK("https://www.dasschnelle.at/yilmaz-serpil-feldkirch-gilmstraße","Website")</f>
        <v>Website</v>
      </c>
      <c r="C1494" t="str">
        <f>HYPERLINK("http://www.psychotherapie-yilmaz.at","Website")</f>
        <v>Website</v>
      </c>
      <c r="D1494" t="str">
        <f>HYPERLINK("http://www.google.com/maps/place/47.23673,9.59199","Location")</f>
        <v>Location</v>
      </c>
      <c r="E1494" t="s">
        <v>13445</v>
      </c>
      <c r="F1494" t="s">
        <v>13446</v>
      </c>
      <c r="G1494" t="s">
        <v>13448</v>
      </c>
      <c r="H1494" t="s">
        <v>13449</v>
      </c>
      <c r="I1494" t="s">
        <v>13450</v>
      </c>
      <c r="J1494" t="s">
        <v>22</v>
      </c>
      <c r="K1494" t="s">
        <v>13447</v>
      </c>
      <c r="L1494" t="s">
        <v>13453</v>
      </c>
      <c r="M1494" t="s">
        <v>25</v>
      </c>
      <c r="N1494" t="s">
        <v>13454</v>
      </c>
      <c r="O1494" t="s">
        <v>13455</v>
      </c>
      <c r="P1494" t="s">
        <v>13456</v>
      </c>
      <c r="Q1494" t="s">
        <v>29</v>
      </c>
      <c r="R1494" t="s">
        <v>13451</v>
      </c>
      <c r="S1494" t="s">
        <v>13452</v>
      </c>
    </row>
    <row r="1495" spans="1:19" x14ac:dyDescent="0.25">
      <c r="A1495" s="1">
        <v>1493</v>
      </c>
      <c r="B1495" t="str">
        <f>HYPERLINK("https://www.dasschnelle.at/schmedler-dach-gmbh-spielberg-spielbergstraße","Website")</f>
        <v>Website</v>
      </c>
      <c r="C1495" t="str">
        <f>HYPERLINK("http://www.schmedler.at","Website")</f>
        <v>Website</v>
      </c>
      <c r="D1495" t="str">
        <f>HYPERLINK("http://www.google.com/maps/place/47.2134900,14.7877400","Location")</f>
        <v>Location</v>
      </c>
      <c r="E1495" t="s">
        <v>13457</v>
      </c>
      <c r="F1495" t="s">
        <v>13458</v>
      </c>
      <c r="G1495" t="s">
        <v>13460</v>
      </c>
      <c r="H1495" t="s">
        <v>13461</v>
      </c>
      <c r="I1495" t="s">
        <v>451</v>
      </c>
      <c r="J1495" t="s">
        <v>22</v>
      </c>
      <c r="K1495" t="s">
        <v>13459</v>
      </c>
      <c r="L1495" t="s">
        <v>13464</v>
      </c>
      <c r="M1495" t="s">
        <v>13465</v>
      </c>
      <c r="N1495" t="s">
        <v>13466</v>
      </c>
      <c r="O1495" t="s">
        <v>13467</v>
      </c>
      <c r="P1495" t="s">
        <v>13468</v>
      </c>
      <c r="Q1495" t="s">
        <v>29</v>
      </c>
      <c r="R1495" t="s">
        <v>13462</v>
      </c>
      <c r="S1495" t="s">
        <v>13463</v>
      </c>
    </row>
    <row r="1496" spans="1:19" x14ac:dyDescent="0.25">
      <c r="A1496" s="1">
        <v>1494</v>
      </c>
      <c r="B1496" t="str">
        <f>HYPERLINK("https://www.dasschnelle.at/brunnsteiner-wolfgang-leibnitz-augasse","Website")</f>
        <v>Website</v>
      </c>
      <c r="C1496" t="str">
        <f>HYPERLINK("http://www.waffenbrunnsteiner.com","Website")</f>
        <v>Website</v>
      </c>
      <c r="D1496" t="str">
        <f>HYPERLINK("http://www.google.com/maps/place/46.78147,15.53657","Location")</f>
        <v>Location</v>
      </c>
      <c r="E1496" t="s">
        <v>13469</v>
      </c>
      <c r="F1496" t="s">
        <v>13470</v>
      </c>
      <c r="G1496" t="s">
        <v>1013</v>
      </c>
      <c r="H1496" t="s">
        <v>1023</v>
      </c>
      <c r="I1496" t="s">
        <v>451</v>
      </c>
      <c r="J1496" t="s">
        <v>22</v>
      </c>
      <c r="K1496" t="s">
        <v>13471</v>
      </c>
      <c r="L1496" t="s">
        <v>13474</v>
      </c>
      <c r="M1496" t="s">
        <v>25</v>
      </c>
      <c r="N1496" t="s">
        <v>13475</v>
      </c>
      <c r="O1496" t="s">
        <v>25</v>
      </c>
      <c r="P1496" t="s">
        <v>13476</v>
      </c>
      <c r="Q1496" t="s">
        <v>29</v>
      </c>
      <c r="R1496" t="s">
        <v>13472</v>
      </c>
      <c r="S1496" t="s">
        <v>13473</v>
      </c>
    </row>
    <row r="1497" spans="1:19" x14ac:dyDescent="0.25">
      <c r="A1497" s="1">
        <v>1495</v>
      </c>
      <c r="B1497" t="str">
        <f>HYPERLINK("https://www.dasschnelle.at/radiologische-ordinationsgemeinschaft-im-medicent-innsbruck-innsbruck-innrain","Website")</f>
        <v>Website</v>
      </c>
      <c r="C1497" t="str">
        <f>HYPERLINK("http://www.radiologieinnsbruck.at","Website")</f>
        <v>Website</v>
      </c>
      <c r="D1497" t="str">
        <f>HYPERLINK("http://www.google.com/maps/place/47.2561,11.37743","Location")</f>
        <v>Location</v>
      </c>
      <c r="E1497" t="s">
        <v>13477</v>
      </c>
      <c r="F1497" t="s">
        <v>13478</v>
      </c>
      <c r="G1497" t="s">
        <v>13480</v>
      </c>
      <c r="H1497" t="s">
        <v>13481</v>
      </c>
      <c r="I1497" t="s">
        <v>21</v>
      </c>
      <c r="J1497" t="s">
        <v>22</v>
      </c>
      <c r="K1497" t="s">
        <v>13479</v>
      </c>
      <c r="L1497" t="s">
        <v>13484</v>
      </c>
      <c r="M1497" t="s">
        <v>25</v>
      </c>
      <c r="N1497" t="s">
        <v>13485</v>
      </c>
      <c r="O1497" t="s">
        <v>13486</v>
      </c>
      <c r="P1497" t="s">
        <v>13487</v>
      </c>
      <c r="Q1497" t="s">
        <v>29</v>
      </c>
      <c r="R1497" t="s">
        <v>13482</v>
      </c>
      <c r="S1497" t="s">
        <v>13483</v>
      </c>
    </row>
    <row r="1498" spans="1:19" x14ac:dyDescent="0.25">
      <c r="A1498" s="1">
        <v>1496</v>
      </c>
      <c r="B1498" t="str">
        <f>HYPERLINK("https://www.dasschnelle.at/schöpf-andreas-wenns-unterdorf","Website")</f>
        <v>Website</v>
      </c>
      <c r="C1498" t="str">
        <f>HYPERLINK("http://www.blumenandy.at","Website")</f>
        <v>Website</v>
      </c>
      <c r="D1498" t="str">
        <f>HYPERLINK("http://www.google.com/maps/place/47.16835,10.73142","Location")</f>
        <v>Location</v>
      </c>
      <c r="E1498" t="s">
        <v>13488</v>
      </c>
      <c r="F1498" t="s">
        <v>13489</v>
      </c>
      <c r="G1498" t="s">
        <v>8231</v>
      </c>
      <c r="H1498" t="s">
        <v>8232</v>
      </c>
      <c r="I1498" t="s">
        <v>21</v>
      </c>
      <c r="J1498" t="s">
        <v>22</v>
      </c>
      <c r="K1498" t="s">
        <v>13490</v>
      </c>
      <c r="L1498" t="s">
        <v>13493</v>
      </c>
      <c r="M1498" t="s">
        <v>25</v>
      </c>
      <c r="N1498" t="s">
        <v>13494</v>
      </c>
      <c r="O1498" t="s">
        <v>25</v>
      </c>
      <c r="P1498" t="s">
        <v>13495</v>
      </c>
      <c r="Q1498" t="s">
        <v>29</v>
      </c>
      <c r="R1498" t="s">
        <v>13491</v>
      </c>
      <c r="S1498" t="s">
        <v>13492</v>
      </c>
    </row>
    <row r="1499" spans="1:19" x14ac:dyDescent="0.25">
      <c r="A1499" s="1">
        <v>1497</v>
      </c>
      <c r="B1499" t="str">
        <f>HYPERLINK("https://www.dasschnelle.at/loimayr-vinzenz-mag-loimayr-erika-dr-ternberg-zur-steinwend","Website")</f>
        <v>Website</v>
      </c>
      <c r="C1499" t="str">
        <f>HYPERLINK("http://www.tierarztpraxis-ternberg.at","Website")</f>
        <v>Website</v>
      </c>
      <c r="D1499" t="str">
        <f>HYPERLINK("http://www.google.com/maps/place/47.9528900,14.3651100","Location")</f>
        <v>Location</v>
      </c>
      <c r="E1499" t="s">
        <v>13496</v>
      </c>
      <c r="F1499" t="s">
        <v>13497</v>
      </c>
      <c r="G1499" t="s">
        <v>9064</v>
      </c>
      <c r="H1499" t="s">
        <v>9065</v>
      </c>
      <c r="I1499" t="s">
        <v>85</v>
      </c>
      <c r="J1499" t="s">
        <v>22</v>
      </c>
      <c r="K1499" t="s">
        <v>13498</v>
      </c>
      <c r="L1499" t="s">
        <v>13501</v>
      </c>
      <c r="M1499" t="s">
        <v>25</v>
      </c>
      <c r="N1499" t="s">
        <v>13502</v>
      </c>
      <c r="O1499" t="s">
        <v>25</v>
      </c>
      <c r="P1499" t="s">
        <v>13503</v>
      </c>
      <c r="Q1499" t="s">
        <v>29</v>
      </c>
      <c r="R1499" t="s">
        <v>13499</v>
      </c>
      <c r="S1499" t="s">
        <v>13500</v>
      </c>
    </row>
    <row r="1500" spans="1:19" x14ac:dyDescent="0.25">
      <c r="A1500" s="1">
        <v>1498</v>
      </c>
      <c r="B1500" t="str">
        <f>HYPERLINK("https://www.dasschnelle.at/seidl-johannes-kuchl-weißenbach","Website")</f>
        <v>Website</v>
      </c>
      <c r="C1500" t="str">
        <f>HYPERLINK("http://www.tischlerei-seidl.at","Website")</f>
        <v>Website</v>
      </c>
      <c r="D1500" t="str">
        <f>HYPERLINK("http://www.google.com/maps/place/47.6068369,13.1491598","Location")</f>
        <v>Location</v>
      </c>
      <c r="E1500" t="s">
        <v>13504</v>
      </c>
      <c r="F1500" t="s">
        <v>13505</v>
      </c>
      <c r="G1500" t="s">
        <v>7697</v>
      </c>
      <c r="H1500" t="s">
        <v>7698</v>
      </c>
      <c r="I1500" t="s">
        <v>2239</v>
      </c>
      <c r="J1500" t="s">
        <v>22</v>
      </c>
      <c r="K1500" t="s">
        <v>13506</v>
      </c>
      <c r="L1500" t="s">
        <v>13509</v>
      </c>
      <c r="M1500" t="s">
        <v>25</v>
      </c>
      <c r="N1500" t="s">
        <v>13510</v>
      </c>
      <c r="O1500" t="s">
        <v>25</v>
      </c>
      <c r="P1500" t="s">
        <v>13511</v>
      </c>
      <c r="Q1500" t="s">
        <v>29</v>
      </c>
      <c r="R1500" t="s">
        <v>13507</v>
      </c>
      <c r="S1500" t="s">
        <v>13508</v>
      </c>
    </row>
    <row r="1501" spans="1:19" x14ac:dyDescent="0.25">
      <c r="A1501" s="1">
        <v>1499</v>
      </c>
      <c r="B1501" t="str">
        <f>HYPERLINK("https://www.dasschnelle.at/pecherstorfer-gmbh-eferding-pupping","Website")</f>
        <v>Website</v>
      </c>
      <c r="C1501" t="str">
        <f>HYPERLINK("https://ihre-tischlerei.at","Website")</f>
        <v>Website</v>
      </c>
      <c r="D1501" t="str">
        <f>HYPERLINK("http://www.google.com/maps/place/48.3355285,14.0026325","Location")</f>
        <v>Location</v>
      </c>
      <c r="E1501" t="s">
        <v>13512</v>
      </c>
      <c r="F1501" t="s">
        <v>13513</v>
      </c>
      <c r="G1501" t="s">
        <v>3101</v>
      </c>
      <c r="H1501" t="s">
        <v>3102</v>
      </c>
      <c r="I1501" t="s">
        <v>85</v>
      </c>
      <c r="J1501" t="s">
        <v>22</v>
      </c>
      <c r="K1501" t="s">
        <v>13514</v>
      </c>
      <c r="L1501" t="s">
        <v>13517</v>
      </c>
      <c r="M1501" t="s">
        <v>25</v>
      </c>
      <c r="N1501" t="s">
        <v>13518</v>
      </c>
      <c r="O1501" t="s">
        <v>13519</v>
      </c>
      <c r="P1501" t="s">
        <v>13520</v>
      </c>
      <c r="Q1501" t="s">
        <v>29</v>
      </c>
      <c r="R1501" t="s">
        <v>13515</v>
      </c>
      <c r="S1501" t="s">
        <v>13516</v>
      </c>
    </row>
    <row r="1502" spans="1:19" x14ac:dyDescent="0.25">
      <c r="A1502" s="1">
        <v>1500</v>
      </c>
      <c r="B1502" t="str">
        <f>HYPERLINK("https://www.dasschnelle.at/amon-andrea-gmunden-am-sonnenhang","Website")</f>
        <v>Website</v>
      </c>
      <c r="C1502" t="str">
        <f>HYPERLINK("http://www.andreaamon.com","Website")</f>
        <v>Website</v>
      </c>
      <c r="D1502" t="str">
        <f>HYPERLINK("http://www.google.com/maps/place/48.20462,16.27535","Location")</f>
        <v>Location</v>
      </c>
      <c r="E1502" t="s">
        <v>13521</v>
      </c>
      <c r="F1502" t="s">
        <v>13522</v>
      </c>
      <c r="G1502" t="s">
        <v>6951</v>
      </c>
      <c r="H1502" t="s">
        <v>6952</v>
      </c>
      <c r="I1502" t="s">
        <v>85</v>
      </c>
      <c r="J1502" t="s">
        <v>22</v>
      </c>
      <c r="K1502" t="s">
        <v>13523</v>
      </c>
      <c r="L1502" t="s">
        <v>13526</v>
      </c>
      <c r="M1502" t="s">
        <v>25</v>
      </c>
      <c r="N1502" t="s">
        <v>13527</v>
      </c>
      <c r="O1502" t="s">
        <v>25</v>
      </c>
      <c r="P1502" t="s">
        <v>13528</v>
      </c>
      <c r="Q1502" t="s">
        <v>29</v>
      </c>
      <c r="R1502" t="s">
        <v>13524</v>
      </c>
      <c r="S1502" t="s">
        <v>13525</v>
      </c>
    </row>
    <row r="1503" spans="1:19" x14ac:dyDescent="0.25">
      <c r="A1503" s="1">
        <v>1501</v>
      </c>
      <c r="B1503" t="str">
        <f>HYPERLINK("https://www.dasschnelle.at/nothmüller-michael-trumau-dr-theodor-körner-straße","Website")</f>
        <v>Website</v>
      </c>
      <c r="C1503" t="str">
        <f>HYPERLINK("http://www.nothmueller.at","Website")</f>
        <v>Website</v>
      </c>
      <c r="D1503" t="str">
        <f>HYPERLINK("http://www.google.com/maps/place/47.99542,16.3521","Location")</f>
        <v>Location</v>
      </c>
      <c r="E1503" t="s">
        <v>13529</v>
      </c>
      <c r="F1503" t="s">
        <v>13530</v>
      </c>
      <c r="G1503" t="s">
        <v>2021</v>
      </c>
      <c r="H1503" t="s">
        <v>2022</v>
      </c>
      <c r="I1503" t="s">
        <v>177</v>
      </c>
      <c r="J1503" t="s">
        <v>22</v>
      </c>
      <c r="K1503" t="s">
        <v>13531</v>
      </c>
      <c r="L1503" t="s">
        <v>13534</v>
      </c>
      <c r="M1503" t="s">
        <v>25</v>
      </c>
      <c r="N1503" t="s">
        <v>13535</v>
      </c>
      <c r="O1503" t="s">
        <v>13536</v>
      </c>
      <c r="P1503" t="s">
        <v>13537</v>
      </c>
      <c r="Q1503" t="s">
        <v>29</v>
      </c>
      <c r="R1503" t="s">
        <v>13532</v>
      </c>
      <c r="S1503" t="s">
        <v>13533</v>
      </c>
    </row>
    <row r="1504" spans="1:19" x14ac:dyDescent="0.25">
      <c r="A1504" s="1">
        <v>1502</v>
      </c>
      <c r="B1504" t="str">
        <f>HYPERLINK("https://www.dasschnelle.at/restaurant-imbiss-tantuni-graz-graz-puntigam-triesterstraße","Website")</f>
        <v>Website</v>
      </c>
      <c r="C1504" t="str">
        <f>HYPERLINK("http://www.tantuni-graz.at","Website")</f>
        <v>Website</v>
      </c>
      <c r="D1504" t="str">
        <f>HYPERLINK("http://www.google.com/maps/place/47.0243109,15.4363374","Location")</f>
        <v>Location</v>
      </c>
      <c r="E1504" t="s">
        <v>13538</v>
      </c>
      <c r="F1504" t="s">
        <v>13539</v>
      </c>
      <c r="G1504" t="s">
        <v>13541</v>
      </c>
      <c r="H1504" t="s">
        <v>13542</v>
      </c>
      <c r="I1504" t="s">
        <v>451</v>
      </c>
      <c r="J1504" t="s">
        <v>22</v>
      </c>
      <c r="K1504" t="s">
        <v>13540</v>
      </c>
      <c r="L1504" t="s">
        <v>13545</v>
      </c>
      <c r="M1504" t="s">
        <v>25</v>
      </c>
      <c r="N1504" t="s">
        <v>13546</v>
      </c>
      <c r="O1504" t="s">
        <v>25</v>
      </c>
      <c r="P1504" t="s">
        <v>697</v>
      </c>
      <c r="Q1504" t="s">
        <v>29</v>
      </c>
      <c r="R1504" t="s">
        <v>13543</v>
      </c>
      <c r="S1504" t="s">
        <v>13544</v>
      </c>
    </row>
    <row r="1505" spans="1:19" x14ac:dyDescent="0.25">
      <c r="A1505" s="1">
        <v>1503</v>
      </c>
      <c r="B1505" t="str">
        <f>HYPERLINK("https://www.dasschnelle.at/raumcolor-gmbh-kufstein-willy-graf-straße","Website")</f>
        <v>Website</v>
      </c>
      <c r="C1505" t="str">
        <f>HYPERLINK("http://www.raumcolor.at","Website")</f>
        <v>Website</v>
      </c>
      <c r="D1505" t="str">
        <f>HYPERLINK("http://www.google.com/maps/place/47.5922600,12.1705900","Location")</f>
        <v>Location</v>
      </c>
      <c r="E1505" t="s">
        <v>13547</v>
      </c>
      <c r="F1505" t="s">
        <v>13548</v>
      </c>
      <c r="G1505" t="s">
        <v>19</v>
      </c>
      <c r="H1505" t="s">
        <v>20</v>
      </c>
      <c r="I1505" t="s">
        <v>21</v>
      </c>
      <c r="J1505" t="s">
        <v>22</v>
      </c>
      <c r="K1505" t="s">
        <v>13549</v>
      </c>
      <c r="L1505" t="s">
        <v>13552</v>
      </c>
      <c r="M1505" t="s">
        <v>25</v>
      </c>
      <c r="N1505" t="s">
        <v>13553</v>
      </c>
      <c r="O1505" t="s">
        <v>25</v>
      </c>
      <c r="P1505" t="s">
        <v>13554</v>
      </c>
      <c r="Q1505" t="s">
        <v>29</v>
      </c>
      <c r="R1505" t="s">
        <v>13550</v>
      </c>
      <c r="S1505" t="s">
        <v>13551</v>
      </c>
    </row>
    <row r="1506" spans="1:19" x14ac:dyDescent="0.25">
      <c r="A1506" s="1">
        <v>1504</v>
      </c>
      <c r="B1506" t="str">
        <f>HYPERLINK("https://www.dasschnelle.at/aigner-g-dr-med-univ-bad-vöslau-hochstraße","Website")</f>
        <v>Website</v>
      </c>
      <c r="C1506" t="str">
        <f>HYPERLINK("https://www.dasschnelle.at/aigner-g-dr-med-univ-bad-v%C3%B6slau-hochstra%C3%9Fe","Website")</f>
        <v>Website</v>
      </c>
      <c r="D1506" t="str">
        <f>HYPERLINK("http://www.google.com/maps/place/47.9646675,16.2104420","Location")</f>
        <v>Location</v>
      </c>
      <c r="E1506" t="s">
        <v>13555</v>
      </c>
      <c r="F1506" t="s">
        <v>13556</v>
      </c>
      <c r="G1506" t="s">
        <v>2061</v>
      </c>
      <c r="H1506" t="s">
        <v>2062</v>
      </c>
      <c r="I1506" t="s">
        <v>177</v>
      </c>
      <c r="J1506" t="s">
        <v>22</v>
      </c>
      <c r="K1506" t="s">
        <v>13557</v>
      </c>
      <c r="L1506" t="s">
        <v>13560</v>
      </c>
      <c r="M1506" t="s">
        <v>25</v>
      </c>
      <c r="N1506" t="s">
        <v>25</v>
      </c>
      <c r="O1506" t="s">
        <v>25</v>
      </c>
      <c r="P1506" t="s">
        <v>13561</v>
      </c>
      <c r="Q1506" t="s">
        <v>29</v>
      </c>
      <c r="R1506" t="s">
        <v>13558</v>
      </c>
      <c r="S1506" t="s">
        <v>13559</v>
      </c>
    </row>
    <row r="1507" spans="1:19" x14ac:dyDescent="0.25">
      <c r="A1507" s="1">
        <v>1505</v>
      </c>
      <c r="B1507" t="str">
        <f>HYPERLINK("https://www.dasschnelle.at/weber-gerald-niederneustift-niederneustift","Website")</f>
        <v>Website</v>
      </c>
      <c r="C1507" t="str">
        <f>HYPERLINK("http://www.malerei-weber.at","Website")</f>
        <v>Website</v>
      </c>
      <c r="D1507" t="str">
        <f>HYPERLINK("http://www.google.com/maps/place/48.6006725,15.0480002","Location")</f>
        <v>Location</v>
      </c>
      <c r="E1507" t="s">
        <v>13562</v>
      </c>
      <c r="F1507" t="s">
        <v>13563</v>
      </c>
      <c r="G1507" t="s">
        <v>13565</v>
      </c>
      <c r="H1507" t="s">
        <v>13566</v>
      </c>
      <c r="I1507" t="s">
        <v>177</v>
      </c>
      <c r="J1507" t="s">
        <v>22</v>
      </c>
      <c r="K1507" t="s">
        <v>13564</v>
      </c>
      <c r="L1507" t="s">
        <v>13569</v>
      </c>
      <c r="M1507" t="s">
        <v>25</v>
      </c>
      <c r="N1507" t="s">
        <v>13570</v>
      </c>
      <c r="O1507" t="s">
        <v>13571</v>
      </c>
      <c r="P1507" t="s">
        <v>13572</v>
      </c>
      <c r="Q1507" t="s">
        <v>29</v>
      </c>
      <c r="R1507" t="s">
        <v>13567</v>
      </c>
      <c r="S1507" t="s">
        <v>13568</v>
      </c>
    </row>
    <row r="1508" spans="1:19" x14ac:dyDescent="0.25">
      <c r="A1508" s="1">
        <v>1506</v>
      </c>
      <c r="B1508" t="str">
        <f>HYPERLINK("https://www.dasschnelle.at/hochstöger-ludwig-neuhofen-an-der-krems-marktplatz","Website")</f>
        <v>Website</v>
      </c>
      <c r="C1508" t="str">
        <f>HYPERLINK("https://www.dasschnelle.at/hochst%C3%B6ger-ludwig-neuhofen-an-der-krems-marktplatz","Website")</f>
        <v>Website</v>
      </c>
      <c r="D1508" t="str">
        <f>HYPERLINK("http://www.google.com/maps/place/48.13803,14.2297","Location")</f>
        <v>Location</v>
      </c>
      <c r="E1508" t="s">
        <v>13573</v>
      </c>
      <c r="F1508" t="s">
        <v>13574</v>
      </c>
      <c r="G1508" t="s">
        <v>12931</v>
      </c>
      <c r="H1508" t="s">
        <v>12932</v>
      </c>
      <c r="I1508" t="s">
        <v>85</v>
      </c>
      <c r="J1508" t="s">
        <v>22</v>
      </c>
      <c r="K1508" t="s">
        <v>13575</v>
      </c>
      <c r="L1508" t="s">
        <v>13578</v>
      </c>
      <c r="M1508" t="s">
        <v>25</v>
      </c>
      <c r="N1508" t="s">
        <v>13579</v>
      </c>
      <c r="O1508" t="s">
        <v>25</v>
      </c>
      <c r="P1508" t="s">
        <v>13580</v>
      </c>
      <c r="Q1508" t="s">
        <v>29</v>
      </c>
      <c r="R1508" t="s">
        <v>13576</v>
      </c>
      <c r="S1508" t="s">
        <v>13577</v>
      </c>
    </row>
    <row r="1509" spans="1:19" x14ac:dyDescent="0.25">
      <c r="A1509" s="1">
        <v>1507</v>
      </c>
      <c r="B1509" t="str">
        <f>HYPERLINK("https://www.dasschnelle.at/siegl-albert-bad-ischl-linzer-straße","Website")</f>
        <v>Website</v>
      </c>
      <c r="C1509" t="str">
        <f>HYPERLINK("http://www.2rad.cc","Website")</f>
        <v>Website</v>
      </c>
      <c r="D1509" t="str">
        <f>HYPERLINK("http://www.google.com/maps/place/47.7252800,13.6468400","Location")</f>
        <v>Location</v>
      </c>
      <c r="E1509" t="s">
        <v>13581</v>
      </c>
      <c r="F1509" t="s">
        <v>13582</v>
      </c>
      <c r="G1509" t="s">
        <v>2377</v>
      </c>
      <c r="H1509" t="s">
        <v>2378</v>
      </c>
      <c r="I1509" t="s">
        <v>85</v>
      </c>
      <c r="J1509" t="s">
        <v>22</v>
      </c>
      <c r="K1509" t="s">
        <v>13583</v>
      </c>
      <c r="L1509" t="s">
        <v>13586</v>
      </c>
      <c r="M1509" t="s">
        <v>25</v>
      </c>
      <c r="N1509" t="s">
        <v>13587</v>
      </c>
      <c r="O1509" t="s">
        <v>25</v>
      </c>
      <c r="P1509" t="s">
        <v>13588</v>
      </c>
      <c r="Q1509" t="s">
        <v>29</v>
      </c>
      <c r="R1509" t="s">
        <v>13584</v>
      </c>
      <c r="S1509" t="s">
        <v>13585</v>
      </c>
    </row>
    <row r="1510" spans="1:19" x14ac:dyDescent="0.25">
      <c r="A1510" s="1">
        <v>1508</v>
      </c>
      <c r="B1510" t="str">
        <f>HYPERLINK("https://www.dasschnelle.at/schnitzhofer-transporte-u-erdbewegung-gmbh-abtenau-au","Website")</f>
        <v>Website</v>
      </c>
      <c r="C1510" t="str">
        <f>HYPERLINK("http://www.trans-schnitzhofer.at","Website")</f>
        <v>Website</v>
      </c>
      <c r="D1510" t="str">
        <f>HYPERLINK("http://www.google.com/maps/place/47.5609500,13.3502900","Location")</f>
        <v>Location</v>
      </c>
      <c r="E1510" t="s">
        <v>13589</v>
      </c>
      <c r="F1510" t="s">
        <v>13590</v>
      </c>
      <c r="G1510" t="s">
        <v>7614</v>
      </c>
      <c r="H1510" t="s">
        <v>7615</v>
      </c>
      <c r="I1510" t="s">
        <v>2239</v>
      </c>
      <c r="J1510" t="s">
        <v>22</v>
      </c>
      <c r="K1510" t="s">
        <v>13591</v>
      </c>
      <c r="L1510" t="s">
        <v>13594</v>
      </c>
      <c r="M1510" t="s">
        <v>13595</v>
      </c>
      <c r="N1510" t="s">
        <v>13596</v>
      </c>
      <c r="O1510" t="s">
        <v>25</v>
      </c>
      <c r="P1510" t="s">
        <v>13597</v>
      </c>
      <c r="Q1510" t="s">
        <v>29</v>
      </c>
      <c r="R1510" t="s">
        <v>13592</v>
      </c>
      <c r="S1510" t="s">
        <v>13593</v>
      </c>
    </row>
    <row r="1511" spans="1:19" x14ac:dyDescent="0.25">
      <c r="A1511" s="1">
        <v>1509</v>
      </c>
      <c r="B1511" t="str">
        <f>HYPERLINK("https://www.dasschnelle.at/karl-anton-vöcklamarkt-reichenthalheim","Website")</f>
        <v>Website</v>
      </c>
      <c r="C1511" t="str">
        <f>HYPERLINK("https://www.dasschnelle.at/karl-anton-v%C3%B6cklamarkt-reichenthalheim","Website")</f>
        <v>Website</v>
      </c>
      <c r="D1511" t="str">
        <f>HYPERLINK("http://www.google.com/maps/place/47.9775298,13.5122663","Location")</f>
        <v>Location</v>
      </c>
      <c r="E1511" t="s">
        <v>13598</v>
      </c>
      <c r="F1511" t="s">
        <v>13599</v>
      </c>
      <c r="G1511" t="s">
        <v>3823</v>
      </c>
      <c r="H1511" t="s">
        <v>3824</v>
      </c>
      <c r="I1511" t="s">
        <v>85</v>
      </c>
      <c r="J1511" t="s">
        <v>22</v>
      </c>
      <c r="K1511" t="s">
        <v>13600</v>
      </c>
      <c r="L1511" t="s">
        <v>13603</v>
      </c>
      <c r="M1511" t="s">
        <v>25</v>
      </c>
      <c r="N1511" t="s">
        <v>13604</v>
      </c>
      <c r="O1511" t="s">
        <v>25</v>
      </c>
      <c r="P1511" t="s">
        <v>13605</v>
      </c>
      <c r="Q1511" t="s">
        <v>29</v>
      </c>
      <c r="R1511" t="s">
        <v>13601</v>
      </c>
      <c r="S1511" t="s">
        <v>13602</v>
      </c>
    </row>
    <row r="1512" spans="1:19" x14ac:dyDescent="0.25">
      <c r="A1512" s="1">
        <v>1510</v>
      </c>
      <c r="B1512" t="str">
        <f>HYPERLINK("https://www.dasschnelle.at/all-clean-gmbh-amstetten-kubastastr","Website")</f>
        <v>Website</v>
      </c>
      <c r="C1512" t="str">
        <f>HYPERLINK("http://www.allclean.at","Website")</f>
        <v>Website</v>
      </c>
      <c r="D1512" t="str">
        <f>HYPERLINK("http://www.google.com/maps/place/48.1235200,14.8796900","Location")</f>
        <v>Location</v>
      </c>
      <c r="E1512" t="s">
        <v>13606</v>
      </c>
      <c r="F1512" t="s">
        <v>13607</v>
      </c>
      <c r="G1512" t="s">
        <v>1474</v>
      </c>
      <c r="H1512" t="s">
        <v>1475</v>
      </c>
      <c r="I1512" t="s">
        <v>177</v>
      </c>
      <c r="J1512" t="s">
        <v>22</v>
      </c>
      <c r="K1512" t="s">
        <v>13608</v>
      </c>
      <c r="L1512" t="s">
        <v>13611</v>
      </c>
      <c r="M1512" t="s">
        <v>25</v>
      </c>
      <c r="N1512" t="s">
        <v>13612</v>
      </c>
      <c r="O1512" t="s">
        <v>25</v>
      </c>
      <c r="P1512" t="s">
        <v>13613</v>
      </c>
      <c r="Q1512" t="s">
        <v>29</v>
      </c>
      <c r="R1512" t="s">
        <v>13609</v>
      </c>
      <c r="S1512" t="s">
        <v>13610</v>
      </c>
    </row>
    <row r="1513" spans="1:19" x14ac:dyDescent="0.25">
      <c r="A1513" s="1">
        <v>1511</v>
      </c>
      <c r="B1513" t="str">
        <f>HYPERLINK("https://www.dasschnelle.at/schmidtbauer-christian-hitzendorf-hitzendorf","Website")</f>
        <v>Website</v>
      </c>
      <c r="C1513" t="str">
        <f>HYPERLINK("https://www.dasschnelle.at/schmidtbauer-christian-hitzendorf-hitzendorf","Website")</f>
        <v>Website</v>
      </c>
      <c r="D1513" t="str">
        <f>HYPERLINK("http://www.google.com/maps/place/47.0345381,15.3012952","Location")</f>
        <v>Location</v>
      </c>
      <c r="E1513" t="s">
        <v>13614</v>
      </c>
      <c r="F1513" t="s">
        <v>13615</v>
      </c>
      <c r="G1513" t="s">
        <v>7844</v>
      </c>
      <c r="H1513" t="s">
        <v>7845</v>
      </c>
      <c r="I1513" t="s">
        <v>451</v>
      </c>
      <c r="J1513" t="s">
        <v>22</v>
      </c>
      <c r="K1513" t="s">
        <v>13616</v>
      </c>
      <c r="L1513" t="s">
        <v>13619</v>
      </c>
      <c r="M1513" t="s">
        <v>25</v>
      </c>
      <c r="N1513" t="s">
        <v>13620</v>
      </c>
      <c r="O1513" t="s">
        <v>25</v>
      </c>
      <c r="P1513" t="s">
        <v>13621</v>
      </c>
      <c r="Q1513" t="s">
        <v>29</v>
      </c>
      <c r="R1513" t="s">
        <v>13617</v>
      </c>
      <c r="S1513" t="s">
        <v>13618</v>
      </c>
    </row>
    <row r="1514" spans="1:19" x14ac:dyDescent="0.25">
      <c r="A1514" s="1">
        <v>1512</v>
      </c>
      <c r="B1514" t="str">
        <f>HYPERLINK("https://www.dasschnelle.at/gasthaus-kührer-zum-goldenen-alder-fischamend-dorf-klein-neusiedler-straße","Website")</f>
        <v>Website</v>
      </c>
      <c r="C1514" t="str">
        <f>HYPERLINK("http://www.gh-kuehrer.at","Website")</f>
        <v>Website</v>
      </c>
      <c r="D1514" t="str">
        <f>HYPERLINK("http://www.google.com/maps/place/48.11534,16.60621","Location")</f>
        <v>Location</v>
      </c>
      <c r="E1514" t="s">
        <v>13622</v>
      </c>
      <c r="F1514" t="s">
        <v>13623</v>
      </c>
      <c r="G1514" t="s">
        <v>9720</v>
      </c>
      <c r="H1514" t="s">
        <v>13625</v>
      </c>
      <c r="I1514" t="s">
        <v>177</v>
      </c>
      <c r="J1514" t="s">
        <v>22</v>
      </c>
      <c r="K1514" t="s">
        <v>13624</v>
      </c>
      <c r="L1514" t="s">
        <v>13628</v>
      </c>
      <c r="M1514" t="s">
        <v>25</v>
      </c>
      <c r="N1514" t="s">
        <v>13629</v>
      </c>
      <c r="O1514" t="s">
        <v>25</v>
      </c>
      <c r="P1514" t="s">
        <v>13630</v>
      </c>
      <c r="Q1514" t="s">
        <v>29</v>
      </c>
      <c r="R1514" t="s">
        <v>13626</v>
      </c>
      <c r="S1514" t="s">
        <v>13627</v>
      </c>
    </row>
    <row r="1515" spans="1:19" x14ac:dyDescent="0.25">
      <c r="A1515" s="1">
        <v>1513</v>
      </c>
      <c r="B1515" t="str">
        <f>HYPERLINK("https://www.dasschnelle.at/urferer-wilhelm-braunau-am-inn-palmstraße","Website")</f>
        <v>Website</v>
      </c>
      <c r="C1515" t="str">
        <f>HYPERLINK("http://www.immobilien-uferer.at/","Website")</f>
        <v>Website</v>
      </c>
      <c r="D1515" t="str">
        <f>HYPERLINK("http://www.google.com/maps/place/48.2587077,13.0366462","Location")</f>
        <v>Location</v>
      </c>
      <c r="E1515" t="s">
        <v>13631</v>
      </c>
      <c r="F1515" t="s">
        <v>13632</v>
      </c>
      <c r="G1515" t="s">
        <v>1289</v>
      </c>
      <c r="H1515" t="s">
        <v>1310</v>
      </c>
      <c r="I1515" t="s">
        <v>85</v>
      </c>
      <c r="J1515" t="s">
        <v>22</v>
      </c>
      <c r="K1515" t="s">
        <v>13633</v>
      </c>
      <c r="L1515" t="s">
        <v>13636</v>
      </c>
      <c r="M1515" t="s">
        <v>13637</v>
      </c>
      <c r="N1515" t="s">
        <v>13638</v>
      </c>
      <c r="O1515" t="s">
        <v>25</v>
      </c>
      <c r="P1515" t="s">
        <v>13639</v>
      </c>
      <c r="Q1515" t="s">
        <v>29</v>
      </c>
      <c r="R1515" t="s">
        <v>13634</v>
      </c>
      <c r="S1515" t="s">
        <v>13635</v>
      </c>
    </row>
    <row r="1516" spans="1:19" x14ac:dyDescent="0.25">
      <c r="A1516" s="1">
        <v>1514</v>
      </c>
      <c r="B1516" t="str">
        <f>HYPERLINK("https://www.dasschnelle.at/bestattung-großschädl-gleisdorf-weizer-straße","Website")</f>
        <v>Website</v>
      </c>
      <c r="C1516" t="str">
        <f>HYPERLINK("http://www.bestattung.grossschaedl.at","Website")</f>
        <v>Website</v>
      </c>
      <c r="D1516" t="str">
        <f>HYPERLINK("http://www.google.com/maps/place/47.10632,15.70842","Location")</f>
        <v>Location</v>
      </c>
      <c r="E1516" t="s">
        <v>13640</v>
      </c>
      <c r="F1516" t="s">
        <v>13641</v>
      </c>
      <c r="G1516" t="s">
        <v>3466</v>
      </c>
      <c r="H1516" t="s">
        <v>3467</v>
      </c>
      <c r="I1516" t="s">
        <v>451</v>
      </c>
      <c r="J1516" t="s">
        <v>22</v>
      </c>
      <c r="K1516" t="s">
        <v>13642</v>
      </c>
      <c r="L1516" t="s">
        <v>13645</v>
      </c>
      <c r="M1516" t="s">
        <v>25</v>
      </c>
      <c r="N1516" t="s">
        <v>13646</v>
      </c>
      <c r="O1516" t="s">
        <v>25</v>
      </c>
      <c r="P1516" t="s">
        <v>13647</v>
      </c>
      <c r="Q1516" t="s">
        <v>29</v>
      </c>
      <c r="R1516" t="s">
        <v>13643</v>
      </c>
      <c r="S1516" t="s">
        <v>13644</v>
      </c>
    </row>
    <row r="1517" spans="1:19" x14ac:dyDescent="0.25">
      <c r="A1517" s="1">
        <v>1515</v>
      </c>
      <c r="B1517" t="str">
        <f>HYPERLINK("https://www.dasschnelle.at/auinger-ges-m-b-h-laufenbach-laufenbach","Website")</f>
        <v>Website</v>
      </c>
      <c r="C1517" t="str">
        <f>HYPERLINK("http://www.auinger-raum.at","Website")</f>
        <v>Website</v>
      </c>
      <c r="D1517" t="str">
        <f>HYPERLINK("http://www.google.com/maps/place/48.3932626,13.5103813","Location")</f>
        <v>Location</v>
      </c>
      <c r="E1517" t="s">
        <v>13648</v>
      </c>
      <c r="F1517" t="s">
        <v>13649</v>
      </c>
      <c r="G1517" t="s">
        <v>13097</v>
      </c>
      <c r="H1517" t="s">
        <v>13651</v>
      </c>
      <c r="I1517" t="s">
        <v>85</v>
      </c>
      <c r="J1517" t="s">
        <v>22</v>
      </c>
      <c r="K1517" t="s">
        <v>13650</v>
      </c>
      <c r="L1517" t="s">
        <v>13654</v>
      </c>
      <c r="M1517" t="s">
        <v>25</v>
      </c>
      <c r="N1517" t="s">
        <v>13655</v>
      </c>
      <c r="O1517" t="s">
        <v>13656</v>
      </c>
      <c r="P1517" t="s">
        <v>13657</v>
      </c>
      <c r="Q1517" t="s">
        <v>29</v>
      </c>
      <c r="R1517" t="s">
        <v>13652</v>
      </c>
      <c r="S1517" t="s">
        <v>13653</v>
      </c>
    </row>
    <row r="1518" spans="1:19" x14ac:dyDescent="0.25">
      <c r="A1518" s="1">
        <v>1516</v>
      </c>
      <c r="B1518" t="str">
        <f>HYPERLINK("https://www.dasschnelle.at/prauser-gärtnerei-sankt-martin-im-sulmtal-gasselsdorf","Website")</f>
        <v>Website</v>
      </c>
      <c r="C1518" t="str">
        <f>HYPERLINK("http://www.gaertnerei-prauser.at","Website")</f>
        <v>Website</v>
      </c>
      <c r="D1518" t="str">
        <f>HYPERLINK("http://www.google.com/maps/place/46.7421537,15.3222902","Location")</f>
        <v>Location</v>
      </c>
      <c r="E1518" t="s">
        <v>13658</v>
      </c>
      <c r="F1518" t="s">
        <v>13659</v>
      </c>
      <c r="G1518" t="s">
        <v>13661</v>
      </c>
      <c r="H1518" t="s">
        <v>13662</v>
      </c>
      <c r="I1518" t="s">
        <v>451</v>
      </c>
      <c r="J1518" t="s">
        <v>22</v>
      </c>
      <c r="K1518" t="s">
        <v>13660</v>
      </c>
      <c r="L1518" t="s">
        <v>13665</v>
      </c>
      <c r="M1518" t="s">
        <v>13666</v>
      </c>
      <c r="N1518" t="s">
        <v>13667</v>
      </c>
      <c r="O1518" t="s">
        <v>25</v>
      </c>
      <c r="P1518" t="s">
        <v>13668</v>
      </c>
      <c r="Q1518" t="s">
        <v>29</v>
      </c>
      <c r="R1518" t="s">
        <v>13663</v>
      </c>
      <c r="S1518" t="s">
        <v>13664</v>
      </c>
    </row>
    <row r="1519" spans="1:19" x14ac:dyDescent="0.25">
      <c r="A1519" s="1">
        <v>1517</v>
      </c>
      <c r="B1519" t="str">
        <f>HYPERLINK("https://www.dasschnelle.at/bestattung-großschädl-eggersdorf-stuhlsdorfer-straße","Website")</f>
        <v>Website</v>
      </c>
      <c r="C1519" t="str">
        <f>HYPERLINK("http://www.friedwald-schoecklland.at","Website")</f>
        <v>Website</v>
      </c>
      <c r="D1519" t="str">
        <f>HYPERLINK("http://www.google.com/maps/place/47.1227345,15.6037985","Location")</f>
        <v>Location</v>
      </c>
      <c r="E1519" t="s">
        <v>13669</v>
      </c>
      <c r="F1519" t="s">
        <v>13670</v>
      </c>
      <c r="G1519" t="s">
        <v>13672</v>
      </c>
      <c r="H1519" t="s">
        <v>13673</v>
      </c>
      <c r="I1519" t="s">
        <v>451</v>
      </c>
      <c r="J1519" t="s">
        <v>22</v>
      </c>
      <c r="K1519" t="s">
        <v>13671</v>
      </c>
      <c r="L1519" t="s">
        <v>13676</v>
      </c>
      <c r="M1519" t="s">
        <v>25</v>
      </c>
      <c r="N1519" t="s">
        <v>13677</v>
      </c>
      <c r="O1519" t="s">
        <v>13678</v>
      </c>
      <c r="P1519" t="s">
        <v>13679</v>
      </c>
      <c r="Q1519" t="s">
        <v>29</v>
      </c>
      <c r="R1519" t="s">
        <v>13674</v>
      </c>
      <c r="S1519" t="s">
        <v>13675</v>
      </c>
    </row>
    <row r="1520" spans="1:19" x14ac:dyDescent="0.25">
      <c r="A1520" s="1">
        <v>1518</v>
      </c>
      <c r="B1520" t="str">
        <f>HYPERLINK("https://www.dasschnelle.at/friseur-styling-mundms-m-kimmeswenger-haag-wiener-straße","Website")</f>
        <v>Website</v>
      </c>
      <c r="C1520" t="str">
        <f>HYPERLINK("http://www.styling-mms.at","Website")</f>
        <v>Website</v>
      </c>
      <c r="D1520" t="str">
        <f>HYPERLINK("http://www.google.com/maps/place/48.11283,14.56675","Location")</f>
        <v>Location</v>
      </c>
      <c r="E1520" t="s">
        <v>13680</v>
      </c>
      <c r="F1520" t="s">
        <v>13681</v>
      </c>
      <c r="G1520" t="s">
        <v>1542</v>
      </c>
      <c r="H1520" t="s">
        <v>620</v>
      </c>
      <c r="I1520" t="s">
        <v>177</v>
      </c>
      <c r="J1520" t="s">
        <v>22</v>
      </c>
      <c r="K1520" t="s">
        <v>13682</v>
      </c>
      <c r="L1520" t="s">
        <v>13685</v>
      </c>
      <c r="M1520" t="s">
        <v>25</v>
      </c>
      <c r="N1520" t="s">
        <v>13686</v>
      </c>
      <c r="O1520" t="s">
        <v>25</v>
      </c>
      <c r="P1520" t="s">
        <v>13687</v>
      </c>
      <c r="Q1520" t="s">
        <v>29</v>
      </c>
      <c r="R1520" t="s">
        <v>13683</v>
      </c>
      <c r="S1520" t="s">
        <v>13684</v>
      </c>
    </row>
    <row r="1521" spans="1:19" x14ac:dyDescent="0.25">
      <c r="A1521" s="1">
        <v>1519</v>
      </c>
      <c r="B1521" t="str">
        <f>HYPERLINK("https://www.dasschnelle.at/berger-gesmbh-nöstl-radweg","Website")</f>
        <v>Website</v>
      </c>
      <c r="C1521" t="str">
        <f>HYPERLINK("http://www.berger-weiz.at","Website")</f>
        <v>Website</v>
      </c>
      <c r="D1521" t="str">
        <f>HYPERLINK("http://www.google.com/maps/place/47.22513,15.67082","Location")</f>
        <v>Location</v>
      </c>
      <c r="E1521" t="s">
        <v>13688</v>
      </c>
      <c r="F1521" t="s">
        <v>13689</v>
      </c>
      <c r="G1521" t="s">
        <v>3448</v>
      </c>
      <c r="H1521" t="s">
        <v>13691</v>
      </c>
      <c r="I1521" t="s">
        <v>451</v>
      </c>
      <c r="J1521" t="s">
        <v>22</v>
      </c>
      <c r="K1521" t="s">
        <v>13690</v>
      </c>
      <c r="L1521" t="s">
        <v>13694</v>
      </c>
      <c r="M1521" t="s">
        <v>25</v>
      </c>
      <c r="N1521" t="s">
        <v>13695</v>
      </c>
      <c r="O1521" t="s">
        <v>25</v>
      </c>
      <c r="P1521" t="s">
        <v>13696</v>
      </c>
      <c r="Q1521" t="s">
        <v>29</v>
      </c>
      <c r="R1521" t="s">
        <v>13692</v>
      </c>
      <c r="S1521" t="s">
        <v>13693</v>
      </c>
    </row>
    <row r="1522" spans="1:19" x14ac:dyDescent="0.25">
      <c r="A1522" s="1">
        <v>1520</v>
      </c>
      <c r="B1522" t="str">
        <f>HYPERLINK("https://www.dasschnelle.at/mock-peter-strallegg","Website")</f>
        <v>Website</v>
      </c>
      <c r="C1522" t="str">
        <f>HYPERLINK("http://www.mock-kachelofen.at","Website")</f>
        <v>Website</v>
      </c>
      <c r="D1522" t="str">
        <f>HYPERLINK("http://www.google.com/maps/place/47.4143342,15.7282431","Location")</f>
        <v>Location</v>
      </c>
      <c r="E1522" t="s">
        <v>13697</v>
      </c>
      <c r="F1522" t="s">
        <v>13698</v>
      </c>
      <c r="G1522" t="s">
        <v>13699</v>
      </c>
      <c r="H1522" t="s">
        <v>13700</v>
      </c>
      <c r="I1522" t="s">
        <v>451</v>
      </c>
      <c r="J1522" t="s">
        <v>22</v>
      </c>
      <c r="K1522" t="s">
        <v>25</v>
      </c>
      <c r="L1522" t="s">
        <v>13703</v>
      </c>
      <c r="M1522" t="s">
        <v>25</v>
      </c>
      <c r="N1522" t="s">
        <v>13704</v>
      </c>
      <c r="O1522" t="s">
        <v>13705</v>
      </c>
      <c r="P1522" t="s">
        <v>13706</v>
      </c>
      <c r="Q1522" t="s">
        <v>29</v>
      </c>
      <c r="R1522" t="s">
        <v>13701</v>
      </c>
      <c r="S1522" t="s">
        <v>13702</v>
      </c>
    </row>
    <row r="1523" spans="1:19" x14ac:dyDescent="0.25">
      <c r="A1523" s="1">
        <v>1521</v>
      </c>
      <c r="B1523" t="str">
        <f>HYPERLINK("https://www.dasschnelle.at/bäckerei-tengg-gmbh-weiz-mühlgasse","Website")</f>
        <v>Website</v>
      </c>
      <c r="C1523" t="str">
        <f>HYPERLINK("http://www.tenggbaeck.com","Website")</f>
        <v>Website</v>
      </c>
      <c r="D1523" t="str">
        <f>HYPERLINK("http://www.google.com/maps/place/47.21538,15.62612","Location")</f>
        <v>Location</v>
      </c>
      <c r="E1523" t="s">
        <v>13707</v>
      </c>
      <c r="F1523" t="s">
        <v>13708</v>
      </c>
      <c r="G1523" t="s">
        <v>3448</v>
      </c>
      <c r="H1523" t="s">
        <v>3449</v>
      </c>
      <c r="I1523" t="s">
        <v>451</v>
      </c>
      <c r="J1523" t="s">
        <v>22</v>
      </c>
      <c r="K1523" t="s">
        <v>13709</v>
      </c>
      <c r="L1523" t="s">
        <v>13712</v>
      </c>
      <c r="M1523" t="s">
        <v>25</v>
      </c>
      <c r="N1523" t="s">
        <v>13713</v>
      </c>
      <c r="O1523" t="s">
        <v>25</v>
      </c>
      <c r="P1523" t="s">
        <v>13714</v>
      </c>
      <c r="Q1523" t="s">
        <v>29</v>
      </c>
      <c r="R1523" t="s">
        <v>13710</v>
      </c>
      <c r="S1523" t="s">
        <v>13711</v>
      </c>
    </row>
    <row r="1524" spans="1:19" x14ac:dyDescent="0.25">
      <c r="A1524" s="1">
        <v>1522</v>
      </c>
      <c r="B1524" t="str">
        <f>HYPERLINK("https://www.dasschnelle.at/korossy-und-kiskilas-gesmbh-weiz-wielandgasse","Website")</f>
        <v>Website</v>
      </c>
      <c r="C1524" t="str">
        <f>HYPERLINK("http://www.korossy-kiskilas.at","Website")</f>
        <v>Website</v>
      </c>
      <c r="D1524" t="str">
        <f>HYPERLINK("http://www.google.com/maps/place/47.2138,15.63025","Location")</f>
        <v>Location</v>
      </c>
      <c r="E1524" t="s">
        <v>13715</v>
      </c>
      <c r="F1524" t="s">
        <v>13716</v>
      </c>
      <c r="G1524" t="s">
        <v>3448</v>
      </c>
      <c r="H1524" t="s">
        <v>3449</v>
      </c>
      <c r="I1524" t="s">
        <v>451</v>
      </c>
      <c r="J1524" t="s">
        <v>22</v>
      </c>
      <c r="K1524" t="s">
        <v>13717</v>
      </c>
      <c r="L1524" t="s">
        <v>13720</v>
      </c>
      <c r="M1524" t="s">
        <v>25</v>
      </c>
      <c r="N1524" t="s">
        <v>13721</v>
      </c>
      <c r="O1524" t="s">
        <v>25</v>
      </c>
      <c r="P1524" t="s">
        <v>13722</v>
      </c>
      <c r="Q1524" t="s">
        <v>29</v>
      </c>
      <c r="R1524" t="s">
        <v>13718</v>
      </c>
      <c r="S1524" t="s">
        <v>13719</v>
      </c>
    </row>
    <row r="1525" spans="1:19" x14ac:dyDescent="0.25">
      <c r="A1525" s="1">
        <v>1523</v>
      </c>
      <c r="B1525" t="str">
        <f>HYPERLINK("https://www.dasschnelle.at/schanner-kg-sankt-ruprecht-an-der-raab-bundesstraße","Website")</f>
        <v>Website</v>
      </c>
      <c r="C1525" t="str">
        <f>HYPERLINK("http://www.schanner-dach.at","Website")</f>
        <v>Website</v>
      </c>
      <c r="D1525" t="str">
        <f>HYPERLINK("http://www.google.com/maps/place/47.15687,15.66885","Location")</f>
        <v>Location</v>
      </c>
      <c r="E1525" t="s">
        <v>13723</v>
      </c>
      <c r="F1525" t="s">
        <v>13724</v>
      </c>
      <c r="G1525" t="s">
        <v>3570</v>
      </c>
      <c r="H1525" t="s">
        <v>13726</v>
      </c>
      <c r="I1525" t="s">
        <v>451</v>
      </c>
      <c r="J1525" t="s">
        <v>22</v>
      </c>
      <c r="K1525" t="s">
        <v>13725</v>
      </c>
      <c r="L1525" t="s">
        <v>13729</v>
      </c>
      <c r="M1525" t="s">
        <v>25</v>
      </c>
      <c r="N1525" t="s">
        <v>13730</v>
      </c>
      <c r="O1525" t="s">
        <v>25</v>
      </c>
      <c r="P1525" t="s">
        <v>13731</v>
      </c>
      <c r="Q1525" t="s">
        <v>29</v>
      </c>
      <c r="R1525" t="s">
        <v>13727</v>
      </c>
      <c r="S1525" t="s">
        <v>13728</v>
      </c>
    </row>
    <row r="1526" spans="1:19" x14ac:dyDescent="0.25">
      <c r="A1526" s="1">
        <v>1524</v>
      </c>
      <c r="B1526" t="str">
        <f>HYPERLINK("https://www.dasschnelle.at/höfer-und-klaminger-gmbh-birkfeld-edelsee-straße","Website")</f>
        <v>Website</v>
      </c>
      <c r="C1526" t="str">
        <f>HYPERLINK("http://www.hoefer-klaminger-bau.at","Website")</f>
        <v>Website</v>
      </c>
      <c r="D1526" t="str">
        <f>HYPERLINK("http://www.google.com/maps/place/47.3588,15.69081","Location")</f>
        <v>Location</v>
      </c>
      <c r="E1526" t="s">
        <v>13732</v>
      </c>
      <c r="F1526" t="s">
        <v>13733</v>
      </c>
      <c r="G1526" t="s">
        <v>3622</v>
      </c>
      <c r="H1526" t="s">
        <v>3623</v>
      </c>
      <c r="I1526" t="s">
        <v>451</v>
      </c>
      <c r="J1526" t="s">
        <v>22</v>
      </c>
      <c r="K1526" t="s">
        <v>13734</v>
      </c>
      <c r="L1526" t="s">
        <v>13737</v>
      </c>
      <c r="M1526" t="s">
        <v>25</v>
      </c>
      <c r="N1526" t="s">
        <v>13738</v>
      </c>
      <c r="O1526" t="s">
        <v>25</v>
      </c>
      <c r="P1526" t="s">
        <v>13739</v>
      </c>
      <c r="Q1526" t="s">
        <v>29</v>
      </c>
      <c r="R1526" t="s">
        <v>13735</v>
      </c>
      <c r="S1526" t="s">
        <v>13736</v>
      </c>
    </row>
    <row r="1527" spans="1:19" x14ac:dyDescent="0.25">
      <c r="A1527" s="1">
        <v>1525</v>
      </c>
      <c r="B1527" t="str">
        <f>HYPERLINK("https://www.dasschnelle.at/leuchtenparadies-wiedenegger-kg-weiz-siegfried-esterl-gasse","Website")</f>
        <v>Website</v>
      </c>
      <c r="C1527" t="str">
        <f>HYPERLINK("http://www.leuchtenparadieskg.at","Website")</f>
        <v>Website</v>
      </c>
      <c r="D1527" t="str">
        <f>HYPERLINK("http://www.google.com/maps/place/47.22026,15.6268","Location")</f>
        <v>Location</v>
      </c>
      <c r="E1527" t="s">
        <v>13740</v>
      </c>
      <c r="F1527" t="s">
        <v>13741</v>
      </c>
      <c r="G1527" t="s">
        <v>3448</v>
      </c>
      <c r="H1527" t="s">
        <v>3449</v>
      </c>
      <c r="I1527" t="s">
        <v>451</v>
      </c>
      <c r="J1527" t="s">
        <v>22</v>
      </c>
      <c r="K1527" t="s">
        <v>13742</v>
      </c>
      <c r="L1527" t="s">
        <v>13745</v>
      </c>
      <c r="M1527" t="s">
        <v>25</v>
      </c>
      <c r="N1527" t="s">
        <v>13746</v>
      </c>
      <c r="O1527" t="s">
        <v>25</v>
      </c>
      <c r="P1527" t="s">
        <v>13747</v>
      </c>
      <c r="Q1527" t="s">
        <v>29</v>
      </c>
      <c r="R1527" t="s">
        <v>13743</v>
      </c>
      <c r="S1527" t="s">
        <v>13744</v>
      </c>
    </row>
    <row r="1528" spans="1:19" x14ac:dyDescent="0.25">
      <c r="A1528" s="1">
        <v>1526</v>
      </c>
      <c r="B1528" t="str">
        <f>HYPERLINK("https://www.dasschnelle.at/priesch-bernhard-ronald-hofing","Website")</f>
        <v>Website</v>
      </c>
      <c r="C1528" t="str">
        <f>HYPERLINK("http://www.gaertnerei-priesch.at","Website")</f>
        <v>Website</v>
      </c>
      <c r="D1528" t="str">
        <f>HYPERLINK("http://www.google.com/maps/place/47.1912793,15.8465444","Location")</f>
        <v>Location</v>
      </c>
      <c r="E1528" t="s">
        <v>13748</v>
      </c>
      <c r="F1528" t="s">
        <v>13749</v>
      </c>
      <c r="G1528" t="s">
        <v>13750</v>
      </c>
      <c r="H1528" t="s">
        <v>13751</v>
      </c>
      <c r="I1528" t="s">
        <v>451</v>
      </c>
      <c r="J1528" t="s">
        <v>22</v>
      </c>
      <c r="K1528" t="s">
        <v>25</v>
      </c>
      <c r="L1528" t="s">
        <v>13754</v>
      </c>
      <c r="M1528" t="s">
        <v>25</v>
      </c>
      <c r="N1528" t="s">
        <v>13755</v>
      </c>
      <c r="O1528" t="s">
        <v>13756</v>
      </c>
      <c r="P1528" t="s">
        <v>13757</v>
      </c>
      <c r="Q1528" t="s">
        <v>29</v>
      </c>
      <c r="R1528" t="s">
        <v>13752</v>
      </c>
      <c r="S1528" t="s">
        <v>13753</v>
      </c>
    </row>
    <row r="1529" spans="1:19" x14ac:dyDescent="0.25">
      <c r="A1529" s="1">
        <v>1527</v>
      </c>
      <c r="B1529" t="str">
        <f>HYPERLINK("https://www.dasschnelle.at/haustechnik-hofer-gmbh-etzersdorf","Website")</f>
        <v>Website</v>
      </c>
      <c r="C1529" t="str">
        <f>HYPERLINK("http://www.haustechnik-hofer.at","Website")</f>
        <v>Website</v>
      </c>
      <c r="D1529" t="str">
        <f>HYPERLINK("http://www.google.com/maps/place/47.2135315,15.6810745","Location")</f>
        <v>Location</v>
      </c>
      <c r="E1529" t="s">
        <v>13758</v>
      </c>
      <c r="F1529" t="s">
        <v>13759</v>
      </c>
      <c r="G1529" t="s">
        <v>3448</v>
      </c>
      <c r="H1529" t="s">
        <v>13760</v>
      </c>
      <c r="I1529" t="s">
        <v>451</v>
      </c>
      <c r="J1529" t="s">
        <v>22</v>
      </c>
      <c r="K1529" t="s">
        <v>25</v>
      </c>
      <c r="L1529" t="s">
        <v>13763</v>
      </c>
      <c r="M1529" t="s">
        <v>25</v>
      </c>
      <c r="N1529" t="s">
        <v>13764</v>
      </c>
      <c r="O1529" t="s">
        <v>13765</v>
      </c>
      <c r="P1529" t="s">
        <v>13766</v>
      </c>
      <c r="Q1529" t="s">
        <v>29</v>
      </c>
      <c r="R1529" t="s">
        <v>13761</v>
      </c>
      <c r="S1529" t="s">
        <v>13762</v>
      </c>
    </row>
    <row r="1530" spans="1:19" x14ac:dyDescent="0.25">
      <c r="A1530" s="1">
        <v>1528</v>
      </c>
      <c r="B1530" t="str">
        <f>HYPERLINK("https://www.dasschnelle.at/leitner-franz-weiz-thannhausen","Website")</f>
        <v>Website</v>
      </c>
      <c r="C1530" t="str">
        <f>HYPERLINK("http://www.motoren-leitner.at","Website")</f>
        <v>Website</v>
      </c>
      <c r="D1530" t="str">
        <f>HYPERLINK("http://www.google.com/maps/place/47.22392,15.6442","Location")</f>
        <v>Location</v>
      </c>
      <c r="E1530" t="s">
        <v>13767</v>
      </c>
      <c r="F1530" t="s">
        <v>13768</v>
      </c>
      <c r="G1530" t="s">
        <v>3448</v>
      </c>
      <c r="H1530" t="s">
        <v>3449</v>
      </c>
      <c r="I1530" t="s">
        <v>451</v>
      </c>
      <c r="J1530" t="s">
        <v>22</v>
      </c>
      <c r="K1530" t="s">
        <v>13769</v>
      </c>
      <c r="L1530" t="s">
        <v>13772</v>
      </c>
      <c r="M1530" t="s">
        <v>25</v>
      </c>
      <c r="N1530" t="s">
        <v>13773</v>
      </c>
      <c r="O1530" t="s">
        <v>25</v>
      </c>
      <c r="P1530" t="s">
        <v>13774</v>
      </c>
      <c r="Q1530" t="s">
        <v>29</v>
      </c>
      <c r="R1530" t="s">
        <v>13770</v>
      </c>
      <c r="S1530" t="s">
        <v>13771</v>
      </c>
    </row>
    <row r="1531" spans="1:19" x14ac:dyDescent="0.25">
      <c r="A1531" s="1">
        <v>1529</v>
      </c>
      <c r="B1531" t="str">
        <f>HYPERLINK("https://www.dasschnelle.at/schwarz-verena-mag-gleisdorf-franz-perl-straße","Website")</f>
        <v>Website</v>
      </c>
      <c r="C1531" t="str">
        <f>HYPERLINK("http://www.reisen-schwarz.at","Website")</f>
        <v>Website</v>
      </c>
      <c r="D1531" t="str">
        <f>HYPERLINK("http://www.google.com/maps/place/47.10543,15.70596","Location")</f>
        <v>Location</v>
      </c>
      <c r="E1531" t="s">
        <v>13775</v>
      </c>
      <c r="F1531" t="s">
        <v>13776</v>
      </c>
      <c r="G1531" t="s">
        <v>3466</v>
      </c>
      <c r="H1531" t="s">
        <v>3467</v>
      </c>
      <c r="I1531" t="s">
        <v>451</v>
      </c>
      <c r="J1531" t="s">
        <v>22</v>
      </c>
      <c r="K1531" t="s">
        <v>13777</v>
      </c>
      <c r="L1531" t="s">
        <v>13780</v>
      </c>
      <c r="M1531" t="s">
        <v>25</v>
      </c>
      <c r="N1531" t="s">
        <v>13781</v>
      </c>
      <c r="O1531" t="s">
        <v>25</v>
      </c>
      <c r="P1531" t="s">
        <v>13782</v>
      </c>
      <c r="Q1531" t="s">
        <v>29</v>
      </c>
      <c r="R1531" t="s">
        <v>13778</v>
      </c>
      <c r="S1531" t="s">
        <v>13779</v>
      </c>
    </row>
    <row r="1532" spans="1:19" x14ac:dyDescent="0.25">
      <c r="A1532" s="1">
        <v>1530</v>
      </c>
      <c r="B1532" t="str">
        <f>HYPERLINK("https://www.dasschnelle.at/friesenbichler-matthias-waisenegg","Website")</f>
        <v>Website</v>
      </c>
      <c r="C1532" t="str">
        <f>HYPERLINK("http://www.maler-friesenbichler.at","Website")</f>
        <v>Website</v>
      </c>
      <c r="D1532" t="str">
        <f>HYPERLINK("http://www.google.com/maps/place/47.3685409,15.6832175","Location")</f>
        <v>Location</v>
      </c>
      <c r="E1532" t="s">
        <v>13783</v>
      </c>
      <c r="F1532" t="s">
        <v>13784</v>
      </c>
      <c r="G1532" t="s">
        <v>3622</v>
      </c>
      <c r="H1532" t="s">
        <v>13785</v>
      </c>
      <c r="I1532" t="s">
        <v>451</v>
      </c>
      <c r="J1532" t="s">
        <v>22</v>
      </c>
      <c r="K1532" t="s">
        <v>25</v>
      </c>
      <c r="L1532" t="s">
        <v>13788</v>
      </c>
      <c r="M1532" t="s">
        <v>13789</v>
      </c>
      <c r="N1532" t="s">
        <v>13790</v>
      </c>
      <c r="O1532" t="s">
        <v>13791</v>
      </c>
      <c r="P1532" t="s">
        <v>13792</v>
      </c>
      <c r="Q1532" t="s">
        <v>29</v>
      </c>
      <c r="R1532" t="s">
        <v>13786</v>
      </c>
      <c r="S1532" t="s">
        <v>13787</v>
      </c>
    </row>
    <row r="1533" spans="1:19" x14ac:dyDescent="0.25">
      <c r="A1533" s="1">
        <v>1531</v>
      </c>
      <c r="B1533" t="str">
        <f>HYPERLINK("https://www.dasschnelle.at/wolf-anita-haarstudio-wolf-sankt-ruprecht-an-der-raab-parkstraße","Website")</f>
        <v>Website</v>
      </c>
      <c r="C1533" t="str">
        <f>HYPERLINK("http://www.haarstudio-wolf.at","Website")</f>
        <v>Website</v>
      </c>
      <c r="D1533" t="str">
        <f>HYPERLINK("http://www.google.com/maps/place/47.15141,15.6631","Location")</f>
        <v>Location</v>
      </c>
      <c r="E1533" t="s">
        <v>13793</v>
      </c>
      <c r="F1533" t="s">
        <v>13794</v>
      </c>
      <c r="G1533" t="s">
        <v>3570</v>
      </c>
      <c r="H1533" t="s">
        <v>13726</v>
      </c>
      <c r="I1533" t="s">
        <v>451</v>
      </c>
      <c r="J1533" t="s">
        <v>22</v>
      </c>
      <c r="K1533" t="s">
        <v>13795</v>
      </c>
      <c r="L1533" t="s">
        <v>13798</v>
      </c>
      <c r="M1533" t="s">
        <v>25</v>
      </c>
      <c r="N1533" t="s">
        <v>13799</v>
      </c>
      <c r="O1533" t="s">
        <v>25</v>
      </c>
      <c r="P1533" t="s">
        <v>13800</v>
      </c>
      <c r="Q1533" t="s">
        <v>29</v>
      </c>
      <c r="R1533" t="s">
        <v>13796</v>
      </c>
      <c r="S1533" t="s">
        <v>13797</v>
      </c>
    </row>
    <row r="1534" spans="1:19" x14ac:dyDescent="0.25">
      <c r="A1534" s="1">
        <v>1532</v>
      </c>
      <c r="B1534" t="str">
        <f>HYPERLINK("https://www.dasschnelle.at/reiter-florian-gleisdorf-nitscha","Website")</f>
        <v>Website</v>
      </c>
      <c r="C1534" t="str">
        <f>HYPERLINK("http://www.reiter-installationen.at","Website")</f>
        <v>Website</v>
      </c>
      <c r="D1534" t="str">
        <f>HYPERLINK("http://www.google.com/maps/place/47.1174541,15.7262485","Location")</f>
        <v>Location</v>
      </c>
      <c r="E1534" t="s">
        <v>13801</v>
      </c>
      <c r="F1534" t="s">
        <v>13802</v>
      </c>
      <c r="G1534" t="s">
        <v>3466</v>
      </c>
      <c r="H1534" t="s">
        <v>3467</v>
      </c>
      <c r="I1534" t="s">
        <v>451</v>
      </c>
      <c r="J1534" t="s">
        <v>22</v>
      </c>
      <c r="K1534" t="s">
        <v>13803</v>
      </c>
      <c r="L1534" t="s">
        <v>13806</v>
      </c>
      <c r="M1534" t="s">
        <v>25</v>
      </c>
      <c r="N1534" t="s">
        <v>13807</v>
      </c>
      <c r="O1534" t="s">
        <v>13808</v>
      </c>
      <c r="P1534" t="s">
        <v>13809</v>
      </c>
      <c r="Q1534" t="s">
        <v>29</v>
      </c>
      <c r="R1534" t="s">
        <v>13804</v>
      </c>
      <c r="S1534" t="s">
        <v>13805</v>
      </c>
    </row>
    <row r="1535" spans="1:19" x14ac:dyDescent="0.25">
      <c r="A1535" s="1">
        <v>1533</v>
      </c>
      <c r="B1535" t="str">
        <f>HYPERLINK("https://www.dasschnelle.at/mild-stein-gesmbh-pischelsdorf-in-der-steiermark-pischelsdorf","Website")</f>
        <v>Website</v>
      </c>
      <c r="C1535" t="str">
        <f>HYPERLINK("http://www.mildstein.com","Website")</f>
        <v>Website</v>
      </c>
      <c r="D1535" t="str">
        <f>HYPERLINK("http://www.google.com/maps/place/47.1726552,15.7963591","Location")</f>
        <v>Location</v>
      </c>
      <c r="E1535" t="s">
        <v>13810</v>
      </c>
      <c r="F1535" t="s">
        <v>13811</v>
      </c>
      <c r="G1535" t="s">
        <v>3543</v>
      </c>
      <c r="H1535" t="s">
        <v>3544</v>
      </c>
      <c r="I1535" t="s">
        <v>451</v>
      </c>
      <c r="J1535" t="s">
        <v>22</v>
      </c>
      <c r="K1535" t="s">
        <v>13812</v>
      </c>
      <c r="L1535" t="s">
        <v>13815</v>
      </c>
      <c r="M1535" t="s">
        <v>25</v>
      </c>
      <c r="N1535" t="s">
        <v>13816</v>
      </c>
      <c r="O1535" t="s">
        <v>13817</v>
      </c>
      <c r="P1535" t="s">
        <v>13818</v>
      </c>
      <c r="Q1535" t="s">
        <v>29</v>
      </c>
      <c r="R1535" t="s">
        <v>13813</v>
      </c>
      <c r="S1535" t="s">
        <v>13814</v>
      </c>
    </row>
    <row r="1536" spans="1:19" x14ac:dyDescent="0.25">
      <c r="A1536" s="1">
        <v>1534</v>
      </c>
      <c r="B1536" t="str">
        <f>HYPERLINK("https://www.dasschnelle.at/posch-stefan-gleisdorf-laßnitzthal","Website")</f>
        <v>Website</v>
      </c>
      <c r="C1536" t="str">
        <f>HYPERLINK("http://www.steinmetz-posch.at","Website")</f>
        <v>Website</v>
      </c>
      <c r="D1536" t="str">
        <f>HYPERLINK("http://www.google.com/maps/place/47.0809238,15.6497276","Location")</f>
        <v>Location</v>
      </c>
      <c r="E1536" t="s">
        <v>13819</v>
      </c>
      <c r="F1536" t="s">
        <v>13820</v>
      </c>
      <c r="G1536" t="s">
        <v>3466</v>
      </c>
      <c r="H1536" t="s">
        <v>3467</v>
      </c>
      <c r="I1536" t="s">
        <v>451</v>
      </c>
      <c r="J1536" t="s">
        <v>22</v>
      </c>
      <c r="K1536" t="s">
        <v>13821</v>
      </c>
      <c r="L1536" t="s">
        <v>13824</v>
      </c>
      <c r="M1536" t="s">
        <v>25</v>
      </c>
      <c r="N1536" t="s">
        <v>13825</v>
      </c>
      <c r="O1536" t="s">
        <v>13826</v>
      </c>
      <c r="P1536" t="s">
        <v>13827</v>
      </c>
      <c r="Q1536" t="s">
        <v>29</v>
      </c>
      <c r="R1536" t="s">
        <v>13822</v>
      </c>
      <c r="S1536" t="s">
        <v>13823</v>
      </c>
    </row>
    <row r="1537" spans="1:19" x14ac:dyDescent="0.25">
      <c r="A1537" s="1">
        <v>1535</v>
      </c>
      <c r="B1537" t="str">
        <f>HYPERLINK("https://www.dasschnelle.at/bestattung-höfler-kreimer-anger-bahnhofstraße","Website")</f>
        <v>Website</v>
      </c>
      <c r="C1537" t="str">
        <f>HYPERLINK("http://www.hu00f6fler-kreimer.at","Website")</f>
        <v>Website</v>
      </c>
      <c r="D1537" t="str">
        <f>HYPERLINK("http://www.google.com/maps/place/47.27341,15.69251","Location")</f>
        <v>Location</v>
      </c>
      <c r="E1537" t="s">
        <v>13828</v>
      </c>
      <c r="F1537" t="s">
        <v>13829</v>
      </c>
      <c r="G1537" t="s">
        <v>13830</v>
      </c>
      <c r="H1537" t="s">
        <v>13831</v>
      </c>
      <c r="I1537" t="s">
        <v>451</v>
      </c>
      <c r="J1537" t="s">
        <v>22</v>
      </c>
      <c r="K1537" t="s">
        <v>5656</v>
      </c>
      <c r="L1537" t="s">
        <v>13834</v>
      </c>
      <c r="M1537" t="s">
        <v>25</v>
      </c>
      <c r="N1537" t="s">
        <v>13835</v>
      </c>
      <c r="O1537" t="s">
        <v>13836</v>
      </c>
      <c r="P1537" t="s">
        <v>697</v>
      </c>
      <c r="Q1537" t="s">
        <v>29</v>
      </c>
      <c r="R1537" t="s">
        <v>13832</v>
      </c>
      <c r="S1537" t="s">
        <v>13833</v>
      </c>
    </row>
    <row r="1538" spans="1:19" x14ac:dyDescent="0.25">
      <c r="A1538" s="1">
        <v>1536</v>
      </c>
      <c r="B1538" t="str">
        <f>HYPERLINK("https://www.dasschnelle.at/lhb-und-partner-bauges-m-b-h-sinabelkirchen-untergroßau","Website")</f>
        <v>Website</v>
      </c>
      <c r="C1538" t="str">
        <f>HYPERLINK("http://www.lhb-partner.at","Website")</f>
        <v>Website</v>
      </c>
      <c r="D1538" t="str">
        <f>HYPERLINK("http://www.google.com/maps/place/47.1023809,15.8156637","Location")</f>
        <v>Location</v>
      </c>
      <c r="E1538" t="s">
        <v>13837</v>
      </c>
      <c r="F1538" t="s">
        <v>13838</v>
      </c>
      <c r="G1538" t="s">
        <v>13840</v>
      </c>
      <c r="H1538" t="s">
        <v>13841</v>
      </c>
      <c r="I1538" t="s">
        <v>451</v>
      </c>
      <c r="J1538" t="s">
        <v>22</v>
      </c>
      <c r="K1538" t="s">
        <v>13839</v>
      </c>
      <c r="L1538" t="s">
        <v>13844</v>
      </c>
      <c r="M1538" t="s">
        <v>25</v>
      </c>
      <c r="N1538" t="s">
        <v>13845</v>
      </c>
      <c r="O1538" t="s">
        <v>25</v>
      </c>
      <c r="P1538" t="s">
        <v>13846</v>
      </c>
      <c r="Q1538" t="s">
        <v>29</v>
      </c>
      <c r="R1538" t="s">
        <v>13842</v>
      </c>
      <c r="S1538" t="s">
        <v>13843</v>
      </c>
    </row>
    <row r="1539" spans="1:19" x14ac:dyDescent="0.25">
      <c r="A1539" s="1">
        <v>1537</v>
      </c>
      <c r="B1539" t="str">
        <f>HYPERLINK("https://www.dasschnelle.at/gschanes-franz-pischelsdorf-am-kulm-romatschachen","Website")</f>
        <v>Website</v>
      </c>
      <c r="C1539" t="str">
        <f>HYPERLINK("http://www.elektro-gschanes.rzweb.at","Website")</f>
        <v>Website</v>
      </c>
      <c r="D1539" t="str">
        <f>HYPERLINK("http://www.google.com/maps/place/47.1919926,15.7917949","Location")</f>
        <v>Location</v>
      </c>
      <c r="E1539" t="s">
        <v>13847</v>
      </c>
      <c r="F1539" t="s">
        <v>13848</v>
      </c>
      <c r="G1539" t="s">
        <v>3543</v>
      </c>
      <c r="H1539" t="s">
        <v>13850</v>
      </c>
      <c r="I1539" t="s">
        <v>451</v>
      </c>
      <c r="J1539" t="s">
        <v>22</v>
      </c>
      <c r="K1539" t="s">
        <v>13849</v>
      </c>
      <c r="L1539" t="s">
        <v>13853</v>
      </c>
      <c r="M1539" t="s">
        <v>25</v>
      </c>
      <c r="N1539" t="s">
        <v>13854</v>
      </c>
      <c r="O1539" t="s">
        <v>25</v>
      </c>
      <c r="P1539" t="s">
        <v>13855</v>
      </c>
      <c r="Q1539" t="s">
        <v>29</v>
      </c>
      <c r="R1539" t="s">
        <v>13851</v>
      </c>
      <c r="S1539" t="s">
        <v>13852</v>
      </c>
    </row>
    <row r="1540" spans="1:19" x14ac:dyDescent="0.25">
      <c r="A1540" s="1">
        <v>1538</v>
      </c>
      <c r="B1540" t="str">
        <f>HYPERLINK("https://www.dasschnelle.at/allmer-markus-pischelsdorf-am-kulm-kleinpesendorf","Website")</f>
        <v>Website</v>
      </c>
      <c r="C1540" t="str">
        <f>HYPERLINK("http://www.elektro-allmer.at","Website")</f>
        <v>Website</v>
      </c>
      <c r="D1540" t="str">
        <f>HYPERLINK("http://www.google.com/maps/place/47.2002189,15.7964128","Location")</f>
        <v>Location</v>
      </c>
      <c r="E1540" t="s">
        <v>13856</v>
      </c>
      <c r="F1540" t="s">
        <v>13857</v>
      </c>
      <c r="G1540" t="s">
        <v>3543</v>
      </c>
      <c r="H1540" t="s">
        <v>13850</v>
      </c>
      <c r="I1540" t="s">
        <v>451</v>
      </c>
      <c r="J1540" t="s">
        <v>22</v>
      </c>
      <c r="K1540" t="s">
        <v>13858</v>
      </c>
      <c r="L1540" t="s">
        <v>13861</v>
      </c>
      <c r="M1540" t="s">
        <v>25</v>
      </c>
      <c r="N1540" t="s">
        <v>13862</v>
      </c>
      <c r="O1540" t="s">
        <v>13863</v>
      </c>
      <c r="P1540" t="s">
        <v>13864</v>
      </c>
      <c r="Q1540" t="s">
        <v>29</v>
      </c>
      <c r="R1540" t="s">
        <v>13859</v>
      </c>
      <c r="S1540" t="s">
        <v>13860</v>
      </c>
    </row>
    <row r="1541" spans="1:19" x14ac:dyDescent="0.25">
      <c r="A1541" s="1">
        <v>1539</v>
      </c>
      <c r="B1541" t="str">
        <f>HYPERLINK("https://www.dasschnelle.at/rsr-reifen-service-raith-krammersdorf","Website")</f>
        <v>Website</v>
      </c>
      <c r="C1541" t="str">
        <f>HYPERLINK("http://www.reifenservice-raith.at","Website")</f>
        <v>Website</v>
      </c>
      <c r="D1541" t="str">
        <f>HYPERLINK("http://www.google.com/maps/place/47.2893656,15.5521914","Location")</f>
        <v>Location</v>
      </c>
      <c r="E1541" t="s">
        <v>13865</v>
      </c>
      <c r="F1541" t="s">
        <v>13866</v>
      </c>
      <c r="G1541" t="s">
        <v>3515</v>
      </c>
      <c r="H1541" t="s">
        <v>13867</v>
      </c>
      <c r="I1541" t="s">
        <v>451</v>
      </c>
      <c r="J1541" t="s">
        <v>22</v>
      </c>
      <c r="K1541" t="s">
        <v>25</v>
      </c>
      <c r="L1541" t="s">
        <v>13870</v>
      </c>
      <c r="M1541" t="s">
        <v>25</v>
      </c>
      <c r="N1541" t="s">
        <v>13871</v>
      </c>
      <c r="O1541" t="s">
        <v>25</v>
      </c>
      <c r="P1541" t="s">
        <v>13872</v>
      </c>
      <c r="Q1541" t="s">
        <v>29</v>
      </c>
      <c r="R1541" t="s">
        <v>13868</v>
      </c>
      <c r="S1541" t="s">
        <v>13869</v>
      </c>
    </row>
    <row r="1542" spans="1:19" x14ac:dyDescent="0.25">
      <c r="A1542" s="1">
        <v>1540</v>
      </c>
      <c r="B1542" t="str">
        <f>HYPERLINK("https://www.dasschnelle.at/ederer-gesmbh-weiz-weizberg","Website")</f>
        <v>Website</v>
      </c>
      <c r="C1542" t="str">
        <f>HYPERLINK("http://www.ederer.at","Website")</f>
        <v>Website</v>
      </c>
      <c r="D1542" t="str">
        <f>HYPERLINK("http://www.google.com/maps/place/47.22407,15.63647","Location")</f>
        <v>Location</v>
      </c>
      <c r="E1542" t="s">
        <v>13873</v>
      </c>
      <c r="F1542" t="s">
        <v>13874</v>
      </c>
      <c r="G1542" t="s">
        <v>3448</v>
      </c>
      <c r="H1542" t="s">
        <v>3449</v>
      </c>
      <c r="I1542" t="s">
        <v>451</v>
      </c>
      <c r="J1542" t="s">
        <v>22</v>
      </c>
      <c r="K1542" t="s">
        <v>13875</v>
      </c>
      <c r="L1542" t="s">
        <v>13878</v>
      </c>
      <c r="M1542" t="s">
        <v>25</v>
      </c>
      <c r="N1542" t="s">
        <v>13879</v>
      </c>
      <c r="O1542" t="s">
        <v>25</v>
      </c>
      <c r="P1542" t="s">
        <v>13880</v>
      </c>
      <c r="Q1542" t="s">
        <v>29</v>
      </c>
      <c r="R1542" t="s">
        <v>13876</v>
      </c>
      <c r="S1542" t="s">
        <v>13877</v>
      </c>
    </row>
    <row r="1543" spans="1:19" x14ac:dyDescent="0.25">
      <c r="A1543" s="1">
        <v>1541</v>
      </c>
      <c r="B1543" t="str">
        <f>HYPERLINK("https://www.dasschnelle.at/iberer-blumenfachgeschäft-passail-markt","Website")</f>
        <v>Website</v>
      </c>
      <c r="C1543" t="str">
        <f>HYPERLINK("http://www.blumeniberer.at","Website")</f>
        <v>Website</v>
      </c>
      <c r="D1543" t="str">
        <f>HYPERLINK("http://www.google.com/maps/place/47.28243,15.51481","Location")</f>
        <v>Location</v>
      </c>
      <c r="E1543" t="s">
        <v>13881</v>
      </c>
      <c r="F1543" t="s">
        <v>13882</v>
      </c>
      <c r="G1543" t="s">
        <v>3515</v>
      </c>
      <c r="H1543" t="s">
        <v>3516</v>
      </c>
      <c r="I1543" t="s">
        <v>451</v>
      </c>
      <c r="J1543" t="s">
        <v>22</v>
      </c>
      <c r="K1543" t="s">
        <v>13883</v>
      </c>
      <c r="L1543" t="s">
        <v>13886</v>
      </c>
      <c r="M1543" t="s">
        <v>25</v>
      </c>
      <c r="N1543" t="s">
        <v>13887</v>
      </c>
      <c r="O1543" t="s">
        <v>25</v>
      </c>
      <c r="P1543" t="s">
        <v>13888</v>
      </c>
      <c r="Q1543" t="s">
        <v>29</v>
      </c>
      <c r="R1543" t="s">
        <v>13884</v>
      </c>
      <c r="S1543" t="s">
        <v>13885</v>
      </c>
    </row>
    <row r="1544" spans="1:19" x14ac:dyDescent="0.25">
      <c r="A1544" s="1">
        <v>1542</v>
      </c>
      <c r="B1544" t="str">
        <f>HYPERLINK("https://www.dasschnelle.at/reiter-günther-pischelsdorf-in-der-steiermark-pischelsdorf","Website")</f>
        <v>Website</v>
      </c>
      <c r="C1544" t="str">
        <f>HYPERLINK("https://www.dasschnelle.at/reiter-g%C3%BCnther-pischelsdorf-in-der-steiermark-pischelsdorf","Website")</f>
        <v>Website</v>
      </c>
      <c r="D1544" t="str">
        <f>HYPERLINK("http://www.google.com/maps/place/47.1804887,15.8014028","Location")</f>
        <v>Location</v>
      </c>
      <c r="E1544" t="s">
        <v>13889</v>
      </c>
      <c r="F1544" t="s">
        <v>13890</v>
      </c>
      <c r="G1544" t="s">
        <v>3543</v>
      </c>
      <c r="H1544" t="s">
        <v>3544</v>
      </c>
      <c r="I1544" t="s">
        <v>451</v>
      </c>
      <c r="J1544" t="s">
        <v>22</v>
      </c>
      <c r="K1544" t="s">
        <v>13891</v>
      </c>
      <c r="L1544" t="s">
        <v>13894</v>
      </c>
      <c r="M1544" t="s">
        <v>25</v>
      </c>
      <c r="N1544" t="s">
        <v>13895</v>
      </c>
      <c r="O1544" t="s">
        <v>25</v>
      </c>
      <c r="P1544" t="s">
        <v>13896</v>
      </c>
      <c r="Q1544" t="s">
        <v>29</v>
      </c>
      <c r="R1544" t="s">
        <v>13892</v>
      </c>
      <c r="S1544" t="s">
        <v>13893</v>
      </c>
    </row>
    <row r="1545" spans="1:19" x14ac:dyDescent="0.25">
      <c r="A1545" s="1">
        <v>1543</v>
      </c>
      <c r="B1545" t="str">
        <f>HYPERLINK("https://www.dasschnelle.at/schloffer-dach-anger-oberfeistritz","Website")</f>
        <v>Website</v>
      </c>
      <c r="C1545" t="str">
        <f>HYPERLINK("http://www.schlofferdach.at","Website")</f>
        <v>Website</v>
      </c>
      <c r="D1545" t="str">
        <f>HYPERLINK("http://www.google.com/maps/place/47.2611426,15.7015309","Location")</f>
        <v>Location</v>
      </c>
      <c r="E1545" t="s">
        <v>13897</v>
      </c>
      <c r="F1545" t="s">
        <v>13898</v>
      </c>
      <c r="G1545" t="s">
        <v>13830</v>
      </c>
      <c r="H1545" t="s">
        <v>13831</v>
      </c>
      <c r="I1545" t="s">
        <v>451</v>
      </c>
      <c r="J1545" t="s">
        <v>22</v>
      </c>
      <c r="K1545" t="s">
        <v>13899</v>
      </c>
      <c r="L1545" t="s">
        <v>13902</v>
      </c>
      <c r="M1545" t="s">
        <v>25</v>
      </c>
      <c r="N1545" t="s">
        <v>13903</v>
      </c>
      <c r="O1545" t="s">
        <v>13904</v>
      </c>
      <c r="P1545" t="s">
        <v>13905</v>
      </c>
      <c r="Q1545" t="s">
        <v>29</v>
      </c>
      <c r="R1545" t="s">
        <v>13900</v>
      </c>
      <c r="S1545" t="s">
        <v>13901</v>
      </c>
    </row>
    <row r="1546" spans="1:19" x14ac:dyDescent="0.25">
      <c r="A1546" s="1">
        <v>1544</v>
      </c>
      <c r="B1546" t="str">
        <f>HYPERLINK("https://www.dasschnelle.at/holz-bauer-kg-unterfeistritz","Website")</f>
        <v>Website</v>
      </c>
      <c r="C1546" t="str">
        <f>HYPERLINK("http://www.holz-bauer.at","Website")</f>
        <v>Website</v>
      </c>
      <c r="D1546" t="str">
        <f>HYPERLINK("http://www.google.com/maps/place/47.2464600,15.7243600","Location")</f>
        <v>Location</v>
      </c>
      <c r="E1546" t="s">
        <v>13906</v>
      </c>
      <c r="F1546" t="s">
        <v>13907</v>
      </c>
      <c r="G1546" t="s">
        <v>13908</v>
      </c>
      <c r="H1546" t="s">
        <v>13909</v>
      </c>
      <c r="I1546" t="s">
        <v>451</v>
      </c>
      <c r="J1546" t="s">
        <v>22</v>
      </c>
      <c r="K1546" t="s">
        <v>25</v>
      </c>
      <c r="L1546" t="s">
        <v>13912</v>
      </c>
      <c r="M1546" t="s">
        <v>25</v>
      </c>
      <c r="N1546" t="s">
        <v>13913</v>
      </c>
      <c r="O1546" t="s">
        <v>25</v>
      </c>
      <c r="P1546" t="s">
        <v>13914</v>
      </c>
      <c r="Q1546" t="s">
        <v>29</v>
      </c>
      <c r="R1546" t="s">
        <v>13910</v>
      </c>
      <c r="S1546" t="s">
        <v>13911</v>
      </c>
    </row>
    <row r="1547" spans="1:19" x14ac:dyDescent="0.25">
      <c r="A1547" s="1">
        <v>1545</v>
      </c>
      <c r="B1547" t="str">
        <f>HYPERLINK("https://www.dasschnelle.at/allmer-irmgard-birkfeld-gschaid","Website")</f>
        <v>Website</v>
      </c>
      <c r="C1547" t="str">
        <f>HYPERLINK("http://www.new.allmer-bestattung.at","Website")</f>
        <v>Website</v>
      </c>
      <c r="D1547" t="str">
        <f>HYPERLINK("http://www.google.com/maps/place/47.3482098,15.7280808","Location")</f>
        <v>Location</v>
      </c>
      <c r="E1547" t="s">
        <v>13915</v>
      </c>
      <c r="F1547" t="s">
        <v>13916</v>
      </c>
      <c r="G1547" t="s">
        <v>3622</v>
      </c>
      <c r="H1547" t="s">
        <v>3623</v>
      </c>
      <c r="I1547" t="s">
        <v>451</v>
      </c>
      <c r="J1547" t="s">
        <v>22</v>
      </c>
      <c r="K1547" t="s">
        <v>13917</v>
      </c>
      <c r="L1547" t="s">
        <v>13920</v>
      </c>
      <c r="M1547" t="s">
        <v>13921</v>
      </c>
      <c r="N1547" t="s">
        <v>13922</v>
      </c>
      <c r="O1547" t="s">
        <v>25</v>
      </c>
      <c r="P1547" t="s">
        <v>13923</v>
      </c>
      <c r="Q1547" t="s">
        <v>29</v>
      </c>
      <c r="R1547" t="s">
        <v>13918</v>
      </c>
      <c r="S1547" t="s">
        <v>13919</v>
      </c>
    </row>
    <row r="1548" spans="1:19" x14ac:dyDescent="0.25">
      <c r="A1548" s="1">
        <v>1546</v>
      </c>
      <c r="B1548" t="str">
        <f>HYPERLINK("https://www.dasschnelle.at/wiedenhofer-l-steinmetzmeister-gesmbh-und-co-kg-weiz-birkfelder-straße","Website")</f>
        <v>Website</v>
      </c>
      <c r="C1548" t="str">
        <f>HYPERLINK("http://www.stein-wiedenhofer.at","Website")</f>
        <v>Website</v>
      </c>
      <c r="D1548" t="str">
        <f>HYPERLINK("http://www.google.com/maps/place/47.21961,15.63801","Location")</f>
        <v>Location</v>
      </c>
      <c r="E1548" t="s">
        <v>13924</v>
      </c>
      <c r="F1548" t="s">
        <v>13925</v>
      </c>
      <c r="G1548" t="s">
        <v>3448</v>
      </c>
      <c r="H1548" t="s">
        <v>3449</v>
      </c>
      <c r="I1548" t="s">
        <v>451</v>
      </c>
      <c r="J1548" t="s">
        <v>22</v>
      </c>
      <c r="K1548" t="s">
        <v>13926</v>
      </c>
      <c r="L1548" t="s">
        <v>13929</v>
      </c>
      <c r="M1548" t="s">
        <v>13930</v>
      </c>
      <c r="N1548" t="s">
        <v>13931</v>
      </c>
      <c r="O1548" t="s">
        <v>13932</v>
      </c>
      <c r="P1548" t="s">
        <v>13933</v>
      </c>
      <c r="Q1548" t="s">
        <v>29</v>
      </c>
      <c r="R1548" t="s">
        <v>13927</v>
      </c>
      <c r="S1548" t="s">
        <v>13928</v>
      </c>
    </row>
    <row r="1549" spans="1:19" x14ac:dyDescent="0.25">
      <c r="A1549" s="1">
        <v>1547</v>
      </c>
      <c r="B1549" t="str">
        <f>HYPERLINK("https://www.dasschnelle.at/groh-optik-gmbh-und-co-kg-weiz-brachter-gasse","Website")</f>
        <v>Website</v>
      </c>
      <c r="C1549" t="str">
        <f>HYPERLINK("http://www.optik-groh.at","Website")</f>
        <v>Website</v>
      </c>
      <c r="D1549" t="str">
        <f>HYPERLINK("http://www.google.com/maps/place/47.22054,15.62689","Location")</f>
        <v>Location</v>
      </c>
      <c r="E1549" t="s">
        <v>13934</v>
      </c>
      <c r="F1549" t="s">
        <v>13935</v>
      </c>
      <c r="G1549" t="s">
        <v>3448</v>
      </c>
      <c r="H1549" t="s">
        <v>3449</v>
      </c>
      <c r="I1549" t="s">
        <v>451</v>
      </c>
      <c r="J1549" t="s">
        <v>22</v>
      </c>
      <c r="K1549" t="s">
        <v>13936</v>
      </c>
      <c r="L1549" t="s">
        <v>13939</v>
      </c>
      <c r="M1549" t="s">
        <v>25</v>
      </c>
      <c r="N1549" t="s">
        <v>13940</v>
      </c>
      <c r="O1549" t="s">
        <v>25</v>
      </c>
      <c r="P1549" t="s">
        <v>13941</v>
      </c>
      <c r="Q1549" t="s">
        <v>29</v>
      </c>
      <c r="R1549" t="s">
        <v>13937</v>
      </c>
      <c r="S1549" t="s">
        <v>13938</v>
      </c>
    </row>
    <row r="1550" spans="1:19" x14ac:dyDescent="0.25">
      <c r="A1550" s="1">
        <v>1548</v>
      </c>
      <c r="B1550" t="str">
        <f>HYPERLINK("https://www.dasschnelle.at/kurtz-bernhard-gleisdorf-hauptplatz","Website")</f>
        <v>Website</v>
      </c>
      <c r="C1550" t="str">
        <f>HYPERLINK("http://www.redzac.at","Website")</f>
        <v>Website</v>
      </c>
      <c r="D1550" t="str">
        <f>HYPERLINK("http://www.google.com/maps/place/47.10626,15.71044","Location")</f>
        <v>Location</v>
      </c>
      <c r="E1550" t="s">
        <v>13942</v>
      </c>
      <c r="F1550" t="s">
        <v>13943</v>
      </c>
      <c r="G1550" t="s">
        <v>3466</v>
      </c>
      <c r="H1550" t="s">
        <v>3467</v>
      </c>
      <c r="I1550" t="s">
        <v>451</v>
      </c>
      <c r="J1550" t="s">
        <v>22</v>
      </c>
      <c r="K1550" t="s">
        <v>9698</v>
      </c>
      <c r="L1550" t="s">
        <v>13945</v>
      </c>
      <c r="M1550" t="s">
        <v>13946</v>
      </c>
      <c r="N1550" t="s">
        <v>13947</v>
      </c>
      <c r="O1550" t="s">
        <v>25</v>
      </c>
      <c r="P1550" t="s">
        <v>13948</v>
      </c>
      <c r="Q1550" t="s">
        <v>29</v>
      </c>
      <c r="R1550" t="s">
        <v>13944</v>
      </c>
      <c r="S1550" t="s">
        <v>594</v>
      </c>
    </row>
    <row r="1551" spans="1:19" x14ac:dyDescent="0.25">
      <c r="A1551" s="1">
        <v>1549</v>
      </c>
      <c r="B1551" t="str">
        <f>HYPERLINK("https://www.dasschnelle.at/fadenberger-konrad-passail-weizer-straße","Website")</f>
        <v>Website</v>
      </c>
      <c r="C1551" t="str">
        <f>HYPERLINK("http://www.tkf-fadenberger.at","Website")</f>
        <v>Website</v>
      </c>
      <c r="D1551" t="str">
        <f>HYPERLINK("http://www.google.com/maps/place/47.27988,15.51884","Location")</f>
        <v>Location</v>
      </c>
      <c r="E1551" t="s">
        <v>13949</v>
      </c>
      <c r="F1551" t="s">
        <v>13950</v>
      </c>
      <c r="G1551" t="s">
        <v>3515</v>
      </c>
      <c r="H1551" t="s">
        <v>3516</v>
      </c>
      <c r="I1551" t="s">
        <v>451</v>
      </c>
      <c r="J1551" t="s">
        <v>22</v>
      </c>
      <c r="K1551" t="s">
        <v>13951</v>
      </c>
      <c r="L1551" t="s">
        <v>13954</v>
      </c>
      <c r="M1551" t="s">
        <v>25</v>
      </c>
      <c r="N1551" t="s">
        <v>13955</v>
      </c>
      <c r="O1551" t="s">
        <v>13956</v>
      </c>
      <c r="P1551" t="s">
        <v>13957</v>
      </c>
      <c r="Q1551" t="s">
        <v>29</v>
      </c>
      <c r="R1551" t="s">
        <v>13952</v>
      </c>
      <c r="S1551" t="s">
        <v>13953</v>
      </c>
    </row>
    <row r="1552" spans="1:19" x14ac:dyDescent="0.25">
      <c r="A1552" s="1">
        <v>1550</v>
      </c>
      <c r="B1552" t="str">
        <f>HYPERLINK("https://www.dasschnelle.at/perhofer-gesmbh-birkfeld-waisenegg","Website")</f>
        <v>Website</v>
      </c>
      <c r="C1552" t="str">
        <f>HYPERLINK("http://www.perhofer.at","Website")</f>
        <v>Website</v>
      </c>
      <c r="D1552" t="str">
        <f>HYPERLINK("http://www.google.com/maps/place/47.3921047,15.6614769","Location")</f>
        <v>Location</v>
      </c>
      <c r="E1552" t="s">
        <v>13958</v>
      </c>
      <c r="F1552" t="s">
        <v>13959</v>
      </c>
      <c r="G1552" t="s">
        <v>3622</v>
      </c>
      <c r="H1552" t="s">
        <v>3623</v>
      </c>
      <c r="I1552" t="s">
        <v>451</v>
      </c>
      <c r="J1552" t="s">
        <v>22</v>
      </c>
      <c r="K1552" t="s">
        <v>13960</v>
      </c>
      <c r="L1552" t="s">
        <v>13963</v>
      </c>
      <c r="M1552" t="s">
        <v>13964</v>
      </c>
      <c r="N1552" t="s">
        <v>13965</v>
      </c>
      <c r="O1552" t="s">
        <v>25</v>
      </c>
      <c r="P1552" t="s">
        <v>13966</v>
      </c>
      <c r="Q1552" t="s">
        <v>29</v>
      </c>
      <c r="R1552" t="s">
        <v>13961</v>
      </c>
      <c r="S1552" t="s">
        <v>13962</v>
      </c>
    </row>
    <row r="1553" spans="1:19" x14ac:dyDescent="0.25">
      <c r="A1553" s="1">
        <v>1551</v>
      </c>
      <c r="B1553" t="str">
        <f>HYPERLINK("https://www.dasschnelle.at/stebegg-franz-jun-passail-fischteichweg","Website")</f>
        <v>Website</v>
      </c>
      <c r="C1553" t="str">
        <f>HYPERLINK("http://www.spenglerei-stebegg.at","Website")</f>
        <v>Website</v>
      </c>
      <c r="D1553" t="str">
        <f>HYPERLINK("http://www.google.com/maps/place/47.27792,15.52729","Location")</f>
        <v>Location</v>
      </c>
      <c r="E1553" t="s">
        <v>13967</v>
      </c>
      <c r="F1553" t="s">
        <v>13968</v>
      </c>
      <c r="G1553" t="s">
        <v>3515</v>
      </c>
      <c r="H1553" t="s">
        <v>3516</v>
      </c>
      <c r="I1553" t="s">
        <v>451</v>
      </c>
      <c r="J1553" t="s">
        <v>22</v>
      </c>
      <c r="K1553" t="s">
        <v>13969</v>
      </c>
      <c r="L1553" t="s">
        <v>13972</v>
      </c>
      <c r="M1553" t="s">
        <v>25</v>
      </c>
      <c r="N1553" t="s">
        <v>13973</v>
      </c>
      <c r="O1553" t="s">
        <v>13974</v>
      </c>
      <c r="P1553" t="s">
        <v>13975</v>
      </c>
      <c r="Q1553" t="s">
        <v>29</v>
      </c>
      <c r="R1553" t="s">
        <v>13970</v>
      </c>
      <c r="S1553" t="s">
        <v>13971</v>
      </c>
    </row>
    <row r="1554" spans="1:19" x14ac:dyDescent="0.25">
      <c r="A1554" s="1">
        <v>1552</v>
      </c>
      <c r="B1554" t="str">
        <f>HYPERLINK("https://www.dasschnelle.at/bestattung-koller-adlmann-og-weiz-marburger-straße","Website")</f>
        <v>Website</v>
      </c>
      <c r="C1554" t="str">
        <f>HYPERLINK("http://www.bestattung-weiz.at","Website")</f>
        <v>Website</v>
      </c>
      <c r="D1554" t="str">
        <f>HYPERLINK("http://www.google.com/maps/place/47.21572,15.62411","Location")</f>
        <v>Location</v>
      </c>
      <c r="E1554" t="s">
        <v>13976</v>
      </c>
      <c r="F1554" t="s">
        <v>13977</v>
      </c>
      <c r="G1554" t="s">
        <v>3448</v>
      </c>
      <c r="H1554" t="s">
        <v>3449</v>
      </c>
      <c r="I1554" t="s">
        <v>451</v>
      </c>
      <c r="J1554" t="s">
        <v>22</v>
      </c>
      <c r="K1554" t="s">
        <v>13978</v>
      </c>
      <c r="L1554" t="s">
        <v>13981</v>
      </c>
      <c r="M1554" t="s">
        <v>25</v>
      </c>
      <c r="N1554" t="s">
        <v>13982</v>
      </c>
      <c r="O1554" t="s">
        <v>13983</v>
      </c>
      <c r="P1554" t="s">
        <v>13984</v>
      </c>
      <c r="Q1554" t="s">
        <v>29</v>
      </c>
      <c r="R1554" t="s">
        <v>13979</v>
      </c>
      <c r="S1554" t="s">
        <v>13980</v>
      </c>
    </row>
    <row r="1555" spans="1:19" x14ac:dyDescent="0.25">
      <c r="A1555" s="1">
        <v>1553</v>
      </c>
      <c r="B1555" t="str">
        <f>HYPERLINK("https://www.dasschnelle.at/herbst-katharina-wittgruber-gleisdorf-bürgergasse","Website")</f>
        <v>Website</v>
      </c>
      <c r="C1555" t="str">
        <f>HYPERLINK("http://www.fachkosmetik-katharina.at","Website")</f>
        <v>Website</v>
      </c>
      <c r="D1555" t="str">
        <f>HYPERLINK("http://www.google.com/maps/place/47.10474,15.70992","Location")</f>
        <v>Location</v>
      </c>
      <c r="E1555" t="s">
        <v>13985</v>
      </c>
      <c r="F1555" t="s">
        <v>13986</v>
      </c>
      <c r="G1555" t="s">
        <v>3466</v>
      </c>
      <c r="H1555" t="s">
        <v>3467</v>
      </c>
      <c r="I1555" t="s">
        <v>451</v>
      </c>
      <c r="J1555" t="s">
        <v>22</v>
      </c>
      <c r="K1555" t="s">
        <v>13987</v>
      </c>
      <c r="L1555" t="s">
        <v>13990</v>
      </c>
      <c r="M1555" t="s">
        <v>25</v>
      </c>
      <c r="N1555" t="s">
        <v>13991</v>
      </c>
      <c r="O1555" t="s">
        <v>25</v>
      </c>
      <c r="P1555" t="s">
        <v>13992</v>
      </c>
      <c r="Q1555" t="s">
        <v>29</v>
      </c>
      <c r="R1555" t="s">
        <v>13988</v>
      </c>
      <c r="S1555" t="s">
        <v>13989</v>
      </c>
    </row>
    <row r="1556" spans="1:19" x14ac:dyDescent="0.25">
      <c r="A1556" s="1">
        <v>1554</v>
      </c>
      <c r="B1556" t="str">
        <f>HYPERLINK("https://www.dasschnelle.at/herbst-katharina-wittgruber-fladnitz-an-der-teichalm","Website")</f>
        <v>Website</v>
      </c>
      <c r="C1556" t="str">
        <f>HYPERLINK("http://www.fachkosmetik-katharina.at","Website")</f>
        <v>Website</v>
      </c>
      <c r="D1556" t="str">
        <f>HYPERLINK("http://www.google.com/maps/place/47.2898095,15.4769791","Location")</f>
        <v>Location</v>
      </c>
      <c r="E1556" t="s">
        <v>13993</v>
      </c>
      <c r="F1556" t="s">
        <v>13994</v>
      </c>
      <c r="G1556" t="s">
        <v>3707</v>
      </c>
      <c r="H1556" t="s">
        <v>3708</v>
      </c>
      <c r="I1556" t="s">
        <v>451</v>
      </c>
      <c r="J1556" t="s">
        <v>22</v>
      </c>
      <c r="K1556" t="s">
        <v>25</v>
      </c>
      <c r="L1556" t="s">
        <v>13997</v>
      </c>
      <c r="M1556" t="s">
        <v>25</v>
      </c>
      <c r="N1556" t="s">
        <v>13991</v>
      </c>
      <c r="O1556" t="s">
        <v>25</v>
      </c>
      <c r="P1556" t="s">
        <v>13998</v>
      </c>
      <c r="Q1556" t="s">
        <v>29</v>
      </c>
      <c r="R1556" t="s">
        <v>13995</v>
      </c>
      <c r="S1556" t="s">
        <v>13996</v>
      </c>
    </row>
    <row r="1557" spans="1:19" x14ac:dyDescent="0.25">
      <c r="A1557" s="1">
        <v>1555</v>
      </c>
      <c r="B1557" t="str">
        <f>HYPERLINK("https://www.dasschnelle.at/parhammer-brunnen-erdwärme-gmbh-mondsee-hierzenbergerstraße","Website")</f>
        <v>Website</v>
      </c>
      <c r="C1557" t="str">
        <f>HYPERLINK("http://www.parhammer.eu","Website")</f>
        <v>Website</v>
      </c>
      <c r="D1557" t="str">
        <f>HYPERLINK("http://www.google.com/maps/place/47.85479,13.33879","Location")</f>
        <v>Location</v>
      </c>
      <c r="E1557" t="s">
        <v>13999</v>
      </c>
      <c r="F1557" t="s">
        <v>14000</v>
      </c>
      <c r="G1557" t="s">
        <v>6543</v>
      </c>
      <c r="H1557" t="s">
        <v>6544</v>
      </c>
      <c r="I1557" t="s">
        <v>85</v>
      </c>
      <c r="J1557" t="s">
        <v>22</v>
      </c>
      <c r="K1557" t="s">
        <v>14001</v>
      </c>
      <c r="L1557" t="s">
        <v>14004</v>
      </c>
      <c r="M1557" t="s">
        <v>25</v>
      </c>
      <c r="N1557" t="s">
        <v>14005</v>
      </c>
      <c r="O1557" t="s">
        <v>14006</v>
      </c>
      <c r="P1557" t="s">
        <v>14007</v>
      </c>
      <c r="Q1557" t="s">
        <v>29</v>
      </c>
      <c r="R1557" t="s">
        <v>14002</v>
      </c>
      <c r="S1557" t="s">
        <v>14003</v>
      </c>
    </row>
    <row r="1558" spans="1:19" x14ac:dyDescent="0.25">
      <c r="A1558" s="1">
        <v>1556</v>
      </c>
      <c r="B1558" t="str">
        <f>HYPERLINK("https://www.dasschnelle.at/gasthof-donner-fladnitz-tober","Website")</f>
        <v>Website</v>
      </c>
      <c r="C1558" t="str">
        <f>HYPERLINK("http://www.gasthof-donner.at","Website")</f>
        <v>Website</v>
      </c>
      <c r="D1558" t="str">
        <f>HYPERLINK("http://www.google.com/maps/place/47.2810025,15.4874216","Location")</f>
        <v>Location</v>
      </c>
      <c r="E1558" t="s">
        <v>14008</v>
      </c>
      <c r="F1558" t="s">
        <v>14009</v>
      </c>
      <c r="G1558" t="s">
        <v>3707</v>
      </c>
      <c r="H1558" t="s">
        <v>14010</v>
      </c>
      <c r="I1558" t="s">
        <v>451</v>
      </c>
      <c r="J1558" t="s">
        <v>22</v>
      </c>
      <c r="K1558" t="s">
        <v>25</v>
      </c>
      <c r="L1558" t="s">
        <v>14013</v>
      </c>
      <c r="M1558" t="s">
        <v>25</v>
      </c>
      <c r="N1558" t="s">
        <v>14014</v>
      </c>
      <c r="O1558" t="s">
        <v>25</v>
      </c>
      <c r="P1558" t="s">
        <v>14015</v>
      </c>
      <c r="Q1558" t="s">
        <v>29</v>
      </c>
      <c r="R1558" t="s">
        <v>14011</v>
      </c>
      <c r="S1558" t="s">
        <v>14012</v>
      </c>
    </row>
    <row r="1559" spans="1:19" x14ac:dyDescent="0.25">
      <c r="A1559" s="1">
        <v>1557</v>
      </c>
      <c r="B1559" t="str">
        <f>HYPERLINK("https://www.dasschnelle.at/feldgrill-gerhard-gesmbh-und-co-kg-passail-untergasse","Website")</f>
        <v>Website</v>
      </c>
      <c r="C1559" t="str">
        <f>HYPERLINK("http://www.feldgrill-bau.at","Website")</f>
        <v>Website</v>
      </c>
      <c r="D1559" t="str">
        <f>HYPERLINK("http://www.google.com/maps/place/47.27984,15.5175","Location")</f>
        <v>Location</v>
      </c>
      <c r="E1559" t="s">
        <v>14016</v>
      </c>
      <c r="F1559" t="s">
        <v>14017</v>
      </c>
      <c r="G1559" t="s">
        <v>3515</v>
      </c>
      <c r="H1559" t="s">
        <v>3516</v>
      </c>
      <c r="I1559" t="s">
        <v>451</v>
      </c>
      <c r="J1559" t="s">
        <v>22</v>
      </c>
      <c r="K1559" t="s">
        <v>14018</v>
      </c>
      <c r="L1559" t="s">
        <v>14021</v>
      </c>
      <c r="M1559" t="s">
        <v>25</v>
      </c>
      <c r="N1559" t="s">
        <v>14022</v>
      </c>
      <c r="O1559" t="s">
        <v>25</v>
      </c>
      <c r="P1559" t="s">
        <v>14023</v>
      </c>
      <c r="Q1559" t="s">
        <v>29</v>
      </c>
      <c r="R1559" t="s">
        <v>14019</v>
      </c>
      <c r="S1559" t="s">
        <v>14020</v>
      </c>
    </row>
    <row r="1560" spans="1:19" x14ac:dyDescent="0.25">
      <c r="A1560" s="1">
        <v>1558</v>
      </c>
      <c r="B1560" t="str">
        <f>HYPERLINK("https://www.dasschnelle.at/stockner-manfred-passail-untergasse","Website")</f>
        <v>Website</v>
      </c>
      <c r="C1560" t="str">
        <f>HYPERLINK("http://www.dachwerkstatt.at","Website")</f>
        <v>Website</v>
      </c>
      <c r="D1560" t="str">
        <f>HYPERLINK("http://www.google.com/maps/place/47.27956,15.51696","Location")</f>
        <v>Location</v>
      </c>
      <c r="E1560" t="s">
        <v>14024</v>
      </c>
      <c r="F1560" t="s">
        <v>14025</v>
      </c>
      <c r="G1560" t="s">
        <v>3515</v>
      </c>
      <c r="H1560" t="s">
        <v>3516</v>
      </c>
      <c r="I1560" t="s">
        <v>451</v>
      </c>
      <c r="J1560" t="s">
        <v>22</v>
      </c>
      <c r="K1560" t="s">
        <v>14026</v>
      </c>
      <c r="L1560" t="s">
        <v>14029</v>
      </c>
      <c r="M1560" t="s">
        <v>25</v>
      </c>
      <c r="N1560" t="s">
        <v>14030</v>
      </c>
      <c r="O1560" t="s">
        <v>14031</v>
      </c>
      <c r="P1560" t="s">
        <v>14032</v>
      </c>
      <c r="Q1560" t="s">
        <v>29</v>
      </c>
      <c r="R1560" t="s">
        <v>14027</v>
      </c>
      <c r="S1560" t="s">
        <v>14028</v>
      </c>
    </row>
    <row r="1561" spans="1:19" x14ac:dyDescent="0.25">
      <c r="A1561" s="1">
        <v>1559</v>
      </c>
      <c r="B1561" t="str">
        <f>HYPERLINK("https://www.dasschnelle.at/gotthard-obauer-sankt-gilgen-steinklüftstraße","Website")</f>
        <v>Website</v>
      </c>
      <c r="C1561" t="str">
        <f>HYPERLINK("http://www.obauer-brot.at","Website")</f>
        <v>Website</v>
      </c>
      <c r="D1561" t="str">
        <f>HYPERLINK("http://www.google.com/maps/place/47.76752,13.36386","Location")</f>
        <v>Location</v>
      </c>
      <c r="E1561" t="s">
        <v>14033</v>
      </c>
      <c r="F1561" t="s">
        <v>14034</v>
      </c>
      <c r="G1561" t="s">
        <v>2326</v>
      </c>
      <c r="H1561" t="s">
        <v>2327</v>
      </c>
      <c r="I1561" t="s">
        <v>2239</v>
      </c>
      <c r="J1561" t="s">
        <v>22</v>
      </c>
      <c r="K1561" t="s">
        <v>14035</v>
      </c>
      <c r="L1561" t="s">
        <v>14038</v>
      </c>
      <c r="M1561" t="s">
        <v>25</v>
      </c>
      <c r="N1561" t="s">
        <v>14039</v>
      </c>
      <c r="O1561" t="s">
        <v>25</v>
      </c>
      <c r="P1561" t="s">
        <v>14040</v>
      </c>
      <c r="Q1561" t="s">
        <v>29</v>
      </c>
      <c r="R1561" t="s">
        <v>14036</v>
      </c>
      <c r="S1561" t="s">
        <v>14037</v>
      </c>
    </row>
    <row r="1562" spans="1:19" x14ac:dyDescent="0.25">
      <c r="A1562" s="1">
        <v>1560</v>
      </c>
      <c r="B1562" t="str">
        <f>HYPERLINK("https://www.dasschnelle.at/holzbau-hackl-gmbh-anger-stegerweg","Website")</f>
        <v>Website</v>
      </c>
      <c r="C1562" t="str">
        <f>HYPERLINK("http://www.holzbau-hackl.at","Website")</f>
        <v>Website</v>
      </c>
      <c r="D1562" t="str">
        <f>HYPERLINK("http://www.google.com/maps/place/47.27908,15.69118","Location")</f>
        <v>Location</v>
      </c>
      <c r="E1562" t="s">
        <v>14041</v>
      </c>
      <c r="F1562" t="s">
        <v>14042</v>
      </c>
      <c r="G1562" t="s">
        <v>13830</v>
      </c>
      <c r="H1562" t="s">
        <v>13831</v>
      </c>
      <c r="I1562" t="s">
        <v>451</v>
      </c>
      <c r="J1562" t="s">
        <v>22</v>
      </c>
      <c r="K1562" t="s">
        <v>14043</v>
      </c>
      <c r="L1562" t="s">
        <v>14046</v>
      </c>
      <c r="M1562" t="s">
        <v>25</v>
      </c>
      <c r="N1562" t="s">
        <v>14047</v>
      </c>
      <c r="O1562" t="s">
        <v>14048</v>
      </c>
      <c r="P1562" t="s">
        <v>14049</v>
      </c>
      <c r="Q1562" t="s">
        <v>29</v>
      </c>
      <c r="R1562" t="s">
        <v>14044</v>
      </c>
      <c r="S1562" t="s">
        <v>14045</v>
      </c>
    </row>
    <row r="1563" spans="1:19" x14ac:dyDescent="0.25">
      <c r="A1563" s="1">
        <v>1561</v>
      </c>
      <c r="B1563" t="str">
        <f>HYPERLINK("https://www.dasschnelle.at/fleischerei-pierer-passail-angerstraße","Website")</f>
        <v>Website</v>
      </c>
      <c r="C1563" t="str">
        <f>HYPERLINK("http://www.fleischerei-pierer.at","Website")</f>
        <v>Website</v>
      </c>
      <c r="D1563" t="str">
        <f>HYPERLINK("http://www.google.com/maps/place/47.2763388,15.5189165","Location")</f>
        <v>Location</v>
      </c>
      <c r="E1563" t="s">
        <v>14050</v>
      </c>
      <c r="F1563" t="s">
        <v>14051</v>
      </c>
      <c r="G1563" t="s">
        <v>3515</v>
      </c>
      <c r="H1563" t="s">
        <v>3516</v>
      </c>
      <c r="I1563" t="s">
        <v>451</v>
      </c>
      <c r="J1563" t="s">
        <v>22</v>
      </c>
      <c r="K1563" t="s">
        <v>14052</v>
      </c>
      <c r="L1563" t="s">
        <v>14055</v>
      </c>
      <c r="M1563" t="s">
        <v>25</v>
      </c>
      <c r="N1563" t="s">
        <v>14056</v>
      </c>
      <c r="O1563" t="s">
        <v>25</v>
      </c>
      <c r="P1563" t="s">
        <v>14057</v>
      </c>
      <c r="Q1563" t="s">
        <v>29</v>
      </c>
      <c r="R1563" t="s">
        <v>14053</v>
      </c>
      <c r="S1563" t="s">
        <v>14054</v>
      </c>
    </row>
    <row r="1564" spans="1:19" x14ac:dyDescent="0.25">
      <c r="A1564" s="1">
        <v>1562</v>
      </c>
      <c r="B1564" t="str">
        <f>HYPERLINK("https://www.dasschnelle.at/preissler-raumausstatter-passail-obergasse","Website")</f>
        <v>Website</v>
      </c>
      <c r="C1564" t="str">
        <f>HYPERLINK("http://www.raumausstatter-preissler.at","Website")</f>
        <v>Website</v>
      </c>
      <c r="D1564" t="str">
        <f>HYPERLINK("http://www.google.com/maps/place/47.28307,15.51475","Location")</f>
        <v>Location</v>
      </c>
      <c r="E1564" t="s">
        <v>14058</v>
      </c>
      <c r="F1564" t="s">
        <v>14059</v>
      </c>
      <c r="G1564" t="s">
        <v>3515</v>
      </c>
      <c r="H1564" t="s">
        <v>3516</v>
      </c>
      <c r="I1564" t="s">
        <v>451</v>
      </c>
      <c r="J1564" t="s">
        <v>22</v>
      </c>
      <c r="K1564" t="s">
        <v>14060</v>
      </c>
      <c r="L1564" t="s">
        <v>14063</v>
      </c>
      <c r="M1564" t="s">
        <v>14064</v>
      </c>
      <c r="N1564" t="s">
        <v>14065</v>
      </c>
      <c r="O1564" t="s">
        <v>25</v>
      </c>
      <c r="P1564" t="s">
        <v>14066</v>
      </c>
      <c r="Q1564" t="s">
        <v>29</v>
      </c>
      <c r="R1564" t="s">
        <v>14061</v>
      </c>
      <c r="S1564" t="s">
        <v>14062</v>
      </c>
    </row>
    <row r="1565" spans="1:19" x14ac:dyDescent="0.25">
      <c r="A1565" s="1">
        <v>1563</v>
      </c>
      <c r="B1565" t="str">
        <f>HYPERLINK("https://www.dasschnelle.at/klammler-gmbh-krammersdorf-lamm","Website")</f>
        <v>Website</v>
      </c>
      <c r="C1565" t="str">
        <f>HYPERLINK("http://www.klammler.at","Website")</f>
        <v>Website</v>
      </c>
      <c r="D1565" t="str">
        <f>HYPERLINK("http://www.google.com/maps/place/47.2856012,15.5602731","Location")</f>
        <v>Location</v>
      </c>
      <c r="E1565" t="s">
        <v>14067</v>
      </c>
      <c r="F1565" t="s">
        <v>14068</v>
      </c>
      <c r="G1565" t="s">
        <v>3515</v>
      </c>
      <c r="H1565" t="s">
        <v>13867</v>
      </c>
      <c r="I1565" t="s">
        <v>451</v>
      </c>
      <c r="J1565" t="s">
        <v>22</v>
      </c>
      <c r="K1565" t="s">
        <v>14069</v>
      </c>
      <c r="L1565" t="s">
        <v>14072</v>
      </c>
      <c r="M1565" t="s">
        <v>25</v>
      </c>
      <c r="N1565" t="s">
        <v>14073</v>
      </c>
      <c r="O1565" t="s">
        <v>25</v>
      </c>
      <c r="P1565" t="s">
        <v>14074</v>
      </c>
      <c r="Q1565" t="s">
        <v>29</v>
      </c>
      <c r="R1565" t="s">
        <v>14070</v>
      </c>
      <c r="S1565" t="s">
        <v>14071</v>
      </c>
    </row>
    <row r="1566" spans="1:19" x14ac:dyDescent="0.25">
      <c r="A1566" s="1">
        <v>1564</v>
      </c>
      <c r="B1566" t="str">
        <f>HYPERLINK("https://www.dasschnelle.at/sonnenschutz-christian-grüner-weiz-weizerzeil","Website")</f>
        <v>Website</v>
      </c>
      <c r="C1566" t="str">
        <f>HYPERLINK("http://www.sonnenschutz-gruener.at","Website")</f>
        <v>Website</v>
      </c>
      <c r="D1566" t="str">
        <f>HYPERLINK("http://www.google.com/maps/place/47.2463511,15.5902756","Location")</f>
        <v>Location</v>
      </c>
      <c r="E1566" t="s">
        <v>14075</v>
      </c>
      <c r="F1566" t="s">
        <v>14076</v>
      </c>
      <c r="G1566" t="s">
        <v>3448</v>
      </c>
      <c r="H1566" t="s">
        <v>3449</v>
      </c>
      <c r="I1566" t="s">
        <v>451</v>
      </c>
      <c r="J1566" t="s">
        <v>22</v>
      </c>
      <c r="K1566" t="s">
        <v>14077</v>
      </c>
      <c r="L1566" t="s">
        <v>14080</v>
      </c>
      <c r="M1566" t="s">
        <v>25</v>
      </c>
      <c r="N1566" t="s">
        <v>14081</v>
      </c>
      <c r="O1566" t="s">
        <v>14082</v>
      </c>
      <c r="P1566" t="s">
        <v>14083</v>
      </c>
      <c r="Q1566" t="s">
        <v>29</v>
      </c>
      <c r="R1566" t="s">
        <v>14078</v>
      </c>
      <c r="S1566" t="s">
        <v>14079</v>
      </c>
    </row>
    <row r="1567" spans="1:19" x14ac:dyDescent="0.25">
      <c r="A1567" s="1">
        <v>1565</v>
      </c>
      <c r="B1567" t="str">
        <f>HYPERLINK("https://www.dasschnelle.at/bleimuth-johann-weiz-marburger-straße","Website")</f>
        <v>Website</v>
      </c>
      <c r="C1567" t="str">
        <f>HYPERLINK("http://www.maler-bleimuth.at","Website")</f>
        <v>Website</v>
      </c>
      <c r="D1567" t="str">
        <f>HYPERLINK("http://www.google.com/maps/place/47.21084,15.62662","Location")</f>
        <v>Location</v>
      </c>
      <c r="E1567" t="s">
        <v>14084</v>
      </c>
      <c r="F1567" t="s">
        <v>14085</v>
      </c>
      <c r="G1567" t="s">
        <v>3448</v>
      </c>
      <c r="H1567" t="s">
        <v>3449</v>
      </c>
      <c r="I1567" t="s">
        <v>451</v>
      </c>
      <c r="J1567" t="s">
        <v>22</v>
      </c>
      <c r="K1567" t="s">
        <v>14086</v>
      </c>
      <c r="L1567" t="s">
        <v>14089</v>
      </c>
      <c r="M1567" t="s">
        <v>25</v>
      </c>
      <c r="N1567" t="s">
        <v>14090</v>
      </c>
      <c r="O1567" t="s">
        <v>14091</v>
      </c>
      <c r="P1567" t="s">
        <v>14092</v>
      </c>
      <c r="Q1567" t="s">
        <v>29</v>
      </c>
      <c r="R1567" t="s">
        <v>14087</v>
      </c>
      <c r="S1567" t="s">
        <v>14088</v>
      </c>
    </row>
    <row r="1568" spans="1:19" x14ac:dyDescent="0.25">
      <c r="A1568" s="1">
        <v>1566</v>
      </c>
      <c r="B1568" t="str">
        <f>HYPERLINK("https://www.dasschnelle.at/gasthof-landseele-sankt-ruprecht-an-der-raab-neudorf","Website")</f>
        <v>Website</v>
      </c>
      <c r="C1568" t="str">
        <f>HYPERLINK("http://www.landseele.at","Website")</f>
        <v>Website</v>
      </c>
      <c r="D1568" t="str">
        <f>HYPERLINK("http://www.google.com/maps/place/47.1777340,15.6582966","Location")</f>
        <v>Location</v>
      </c>
      <c r="E1568" t="s">
        <v>14093</v>
      </c>
      <c r="F1568" t="s">
        <v>14094</v>
      </c>
      <c r="G1568" t="s">
        <v>3570</v>
      </c>
      <c r="H1568" t="s">
        <v>13726</v>
      </c>
      <c r="I1568" t="s">
        <v>451</v>
      </c>
      <c r="J1568" t="s">
        <v>22</v>
      </c>
      <c r="K1568" t="s">
        <v>14095</v>
      </c>
      <c r="L1568" t="s">
        <v>14098</v>
      </c>
      <c r="M1568" t="s">
        <v>25</v>
      </c>
      <c r="N1568" t="s">
        <v>14099</v>
      </c>
      <c r="O1568" t="s">
        <v>25</v>
      </c>
      <c r="P1568" t="s">
        <v>14100</v>
      </c>
      <c r="Q1568" t="s">
        <v>29</v>
      </c>
      <c r="R1568" t="s">
        <v>14096</v>
      </c>
      <c r="S1568" t="s">
        <v>14097</v>
      </c>
    </row>
    <row r="1569" spans="1:19" x14ac:dyDescent="0.25">
      <c r="A1569" s="1">
        <v>1567</v>
      </c>
      <c r="B1569" t="str">
        <f>HYPERLINK("https://www.dasschnelle.at/rosenberger-patrik-passail-büchlweg","Website")</f>
        <v>Website</v>
      </c>
      <c r="C1569" t="str">
        <f>HYPERLINK("https://www.dasschnelle.at/rosenberger-patrik-passail-b%C3%BCchlweg","Website")</f>
        <v>Website</v>
      </c>
      <c r="D1569" t="str">
        <f>HYPERLINK("http://www.google.com/maps/place/47.27826,15.50952","Location")</f>
        <v>Location</v>
      </c>
      <c r="E1569" t="s">
        <v>14101</v>
      </c>
      <c r="F1569" t="s">
        <v>14102</v>
      </c>
      <c r="G1569" t="s">
        <v>3515</v>
      </c>
      <c r="H1569" t="s">
        <v>3516</v>
      </c>
      <c r="I1569" t="s">
        <v>451</v>
      </c>
      <c r="J1569" t="s">
        <v>22</v>
      </c>
      <c r="K1569" t="s">
        <v>14103</v>
      </c>
      <c r="L1569" t="s">
        <v>14106</v>
      </c>
      <c r="M1569" t="s">
        <v>25</v>
      </c>
      <c r="N1569" t="s">
        <v>14107</v>
      </c>
      <c r="O1569" t="s">
        <v>14108</v>
      </c>
      <c r="P1569" t="s">
        <v>14109</v>
      </c>
      <c r="Q1569" t="s">
        <v>29</v>
      </c>
      <c r="R1569" t="s">
        <v>14104</v>
      </c>
      <c r="S1569" t="s">
        <v>14105</v>
      </c>
    </row>
    <row r="1570" spans="1:19" x14ac:dyDescent="0.25">
      <c r="A1570" s="1">
        <v>1568</v>
      </c>
      <c r="B1570" t="str">
        <f>HYPERLINK("https://www.dasschnelle.at/bestattung-a-und-j-kos-gmbh-griffen-hauptplatz","Website")</f>
        <v>Website</v>
      </c>
      <c r="C1570" t="str">
        <f>HYPERLINK("http://www.bestattung-kos.at","Website")</f>
        <v>Website</v>
      </c>
      <c r="D1570" t="str">
        <f>HYPERLINK("http://www.google.com/maps/place/46.83163,14.84428","Location")</f>
        <v>Location</v>
      </c>
      <c r="E1570" t="s">
        <v>14110</v>
      </c>
      <c r="F1570" t="s">
        <v>14111</v>
      </c>
      <c r="G1570" t="s">
        <v>5123</v>
      </c>
      <c r="H1570" t="s">
        <v>5124</v>
      </c>
      <c r="I1570" t="s">
        <v>4130</v>
      </c>
      <c r="J1570" t="s">
        <v>22</v>
      </c>
      <c r="K1570" t="s">
        <v>14112</v>
      </c>
      <c r="L1570" t="s">
        <v>14115</v>
      </c>
      <c r="M1570" t="s">
        <v>25</v>
      </c>
      <c r="N1570" t="s">
        <v>14116</v>
      </c>
      <c r="O1570" t="s">
        <v>14117</v>
      </c>
      <c r="P1570" t="s">
        <v>14118</v>
      </c>
      <c r="Q1570" t="s">
        <v>29</v>
      </c>
      <c r="R1570" t="s">
        <v>14113</v>
      </c>
      <c r="S1570" t="s">
        <v>14114</v>
      </c>
    </row>
    <row r="1571" spans="1:19" x14ac:dyDescent="0.25">
      <c r="A1571" s="1">
        <v>1569</v>
      </c>
      <c r="B1571" t="str">
        <f>HYPERLINK("https://www.dasschnelle.at/wagner-josef-gesmbh-gleisdorf-gartengasse","Website")</f>
        <v>Website</v>
      </c>
      <c r="C1571" t="str">
        <f>HYPERLINK("http://www.wagnergmbh.at","Website")</f>
        <v>Website</v>
      </c>
      <c r="D1571" t="str">
        <f>HYPERLINK("http://www.google.com/maps/place/47.10087,15.71104","Location")</f>
        <v>Location</v>
      </c>
      <c r="E1571" t="s">
        <v>14119</v>
      </c>
      <c r="F1571" t="s">
        <v>14120</v>
      </c>
      <c r="G1571" t="s">
        <v>3466</v>
      </c>
      <c r="H1571" t="s">
        <v>3467</v>
      </c>
      <c r="I1571" t="s">
        <v>451</v>
      </c>
      <c r="J1571" t="s">
        <v>22</v>
      </c>
      <c r="K1571" t="s">
        <v>14121</v>
      </c>
      <c r="L1571" t="s">
        <v>14124</v>
      </c>
      <c r="M1571" t="s">
        <v>25</v>
      </c>
      <c r="N1571" t="s">
        <v>14125</v>
      </c>
      <c r="O1571" t="s">
        <v>14126</v>
      </c>
      <c r="P1571" t="s">
        <v>14127</v>
      </c>
      <c r="Q1571" t="s">
        <v>29</v>
      </c>
      <c r="R1571" t="s">
        <v>14122</v>
      </c>
      <c r="S1571" t="s">
        <v>14123</v>
      </c>
    </row>
    <row r="1572" spans="1:19" x14ac:dyDescent="0.25">
      <c r="A1572" s="1">
        <v>1570</v>
      </c>
      <c r="B1572" t="str">
        <f>HYPERLINK("https://www.dasschnelle.at/harb-gesmbh-preding-moarweg","Website")</f>
        <v>Website</v>
      </c>
      <c r="C1572" t="str">
        <f>HYPERLINK("http://www.harb-weiz.at","Website")</f>
        <v>Website</v>
      </c>
      <c r="D1572" t="str">
        <f>HYPERLINK("http://www.google.com/maps/place/47.20209,15.64184","Location")</f>
        <v>Location</v>
      </c>
      <c r="E1572" t="s">
        <v>14128</v>
      </c>
      <c r="F1572" t="s">
        <v>14129</v>
      </c>
      <c r="G1572" t="s">
        <v>3448</v>
      </c>
      <c r="H1572" t="s">
        <v>2892</v>
      </c>
      <c r="I1572" t="s">
        <v>451</v>
      </c>
      <c r="J1572" t="s">
        <v>22</v>
      </c>
      <c r="K1572" t="s">
        <v>14130</v>
      </c>
      <c r="L1572" t="s">
        <v>14133</v>
      </c>
      <c r="M1572" t="s">
        <v>14134</v>
      </c>
      <c r="N1572" t="s">
        <v>14135</v>
      </c>
      <c r="O1572" t="s">
        <v>25</v>
      </c>
      <c r="P1572" t="s">
        <v>14136</v>
      </c>
      <c r="Q1572" t="s">
        <v>29</v>
      </c>
      <c r="R1572" t="s">
        <v>14131</v>
      </c>
      <c r="S1572" t="s">
        <v>14132</v>
      </c>
    </row>
    <row r="1573" spans="1:19" x14ac:dyDescent="0.25">
      <c r="A1573" s="1">
        <v>1571</v>
      </c>
      <c r="B1573" t="str">
        <f>HYPERLINK("https://www.dasschnelle.at/groh-markus-ing-weiz-lederergasse","Website")</f>
        <v>Website</v>
      </c>
      <c r="C1573" t="str">
        <f>HYPERLINK("http://www.die-scharfmacher.at","Website")</f>
        <v>Website</v>
      </c>
      <c r="D1573" t="str">
        <f>HYPERLINK("http://www.google.com/maps/place/47.21708,15.62598","Location")</f>
        <v>Location</v>
      </c>
      <c r="E1573" t="s">
        <v>14137</v>
      </c>
      <c r="F1573" t="s">
        <v>14138</v>
      </c>
      <c r="G1573" t="s">
        <v>3448</v>
      </c>
      <c r="H1573" t="s">
        <v>3449</v>
      </c>
      <c r="I1573" t="s">
        <v>451</v>
      </c>
      <c r="J1573" t="s">
        <v>22</v>
      </c>
      <c r="K1573" t="s">
        <v>14139</v>
      </c>
      <c r="L1573" t="s">
        <v>14142</v>
      </c>
      <c r="M1573" t="s">
        <v>25</v>
      </c>
      <c r="N1573" t="s">
        <v>14143</v>
      </c>
      <c r="O1573" t="s">
        <v>14144</v>
      </c>
      <c r="P1573" t="s">
        <v>14145</v>
      </c>
      <c r="Q1573" t="s">
        <v>29</v>
      </c>
      <c r="R1573" t="s">
        <v>14140</v>
      </c>
      <c r="S1573" t="s">
        <v>14141</v>
      </c>
    </row>
    <row r="1574" spans="1:19" x14ac:dyDescent="0.25">
      <c r="A1574" s="1">
        <v>1572</v>
      </c>
      <c r="B1574" t="str">
        <f>HYPERLINK("https://www.dasschnelle.at/doppelhofer-karl-heinz-weiz-verdigasse","Website")</f>
        <v>Website</v>
      </c>
      <c r="C1574" t="str">
        <f>HYPERLINK("http://www.maler-heinz.at","Website")</f>
        <v>Website</v>
      </c>
      <c r="D1574" t="str">
        <f>HYPERLINK("http://www.google.com/maps/place/47.21005,15.63526","Location")</f>
        <v>Location</v>
      </c>
      <c r="E1574" t="s">
        <v>14146</v>
      </c>
      <c r="F1574" t="s">
        <v>14147</v>
      </c>
      <c r="G1574" t="s">
        <v>3448</v>
      </c>
      <c r="H1574" t="s">
        <v>3449</v>
      </c>
      <c r="I1574" t="s">
        <v>451</v>
      </c>
      <c r="J1574" t="s">
        <v>22</v>
      </c>
      <c r="K1574" t="s">
        <v>14148</v>
      </c>
      <c r="L1574" t="s">
        <v>14150</v>
      </c>
      <c r="M1574" t="s">
        <v>25</v>
      </c>
      <c r="N1574" t="s">
        <v>14151</v>
      </c>
      <c r="O1574" t="s">
        <v>25</v>
      </c>
      <c r="P1574" t="s">
        <v>14152</v>
      </c>
      <c r="Q1574" t="s">
        <v>29</v>
      </c>
      <c r="R1574" t="s">
        <v>8190</v>
      </c>
      <c r="S1574" t="s">
        <v>14149</v>
      </c>
    </row>
    <row r="1575" spans="1:19" x14ac:dyDescent="0.25">
      <c r="A1575" s="1">
        <v>1573</v>
      </c>
      <c r="B1575" t="str">
        <f>HYPERLINK("https://www.dasschnelle.at/pongratz-bau-gesmbh-graz-zoisweg","Website")</f>
        <v>Website</v>
      </c>
      <c r="C1575" t="str">
        <f>HYPERLINK("http://www.pongratz.at","Website")</f>
        <v>Website</v>
      </c>
      <c r="D1575" t="str">
        <f>HYPERLINK("http://www.google.com/maps/place/47.0445364,15.4572234","Location")</f>
        <v>Location</v>
      </c>
      <c r="E1575" t="s">
        <v>14153</v>
      </c>
      <c r="F1575" t="s">
        <v>14154</v>
      </c>
      <c r="G1575" t="s">
        <v>14156</v>
      </c>
      <c r="H1575" t="s">
        <v>13542</v>
      </c>
      <c r="I1575" t="s">
        <v>451</v>
      </c>
      <c r="J1575" t="s">
        <v>22</v>
      </c>
      <c r="K1575" t="s">
        <v>14155</v>
      </c>
      <c r="L1575" t="s">
        <v>14159</v>
      </c>
      <c r="M1575" t="s">
        <v>25</v>
      </c>
      <c r="N1575" t="s">
        <v>14160</v>
      </c>
      <c r="O1575" t="s">
        <v>14161</v>
      </c>
      <c r="P1575" t="s">
        <v>14162</v>
      </c>
      <c r="Q1575" t="s">
        <v>29</v>
      </c>
      <c r="R1575" t="s">
        <v>14157</v>
      </c>
      <c r="S1575" t="s">
        <v>14158</v>
      </c>
    </row>
    <row r="1576" spans="1:19" x14ac:dyDescent="0.25">
      <c r="A1576" s="1">
        <v>1574</v>
      </c>
      <c r="B1576" t="str">
        <f>HYPERLINK("https://www.dasschnelle.at/windisch-dietmar-fladnitz-an-der-teichalm-fladnitz-an-der-teichalm","Website")</f>
        <v>Website</v>
      </c>
      <c r="C1576" t="str">
        <f>HYPERLINK("http://www.lichtarchitekt.at","Website")</f>
        <v>Website</v>
      </c>
      <c r="D1576" t="str">
        <f>HYPERLINK("http://www.google.com/maps/place/47.2884800,15.4766301","Location")</f>
        <v>Location</v>
      </c>
      <c r="E1576" t="s">
        <v>14163</v>
      </c>
      <c r="F1576" t="s">
        <v>14164</v>
      </c>
      <c r="G1576" t="s">
        <v>3707</v>
      </c>
      <c r="H1576" t="s">
        <v>3708</v>
      </c>
      <c r="I1576" t="s">
        <v>451</v>
      </c>
      <c r="J1576" t="s">
        <v>22</v>
      </c>
      <c r="K1576" t="s">
        <v>14165</v>
      </c>
      <c r="L1576" t="s">
        <v>14168</v>
      </c>
      <c r="M1576" t="s">
        <v>25</v>
      </c>
      <c r="N1576" t="s">
        <v>14169</v>
      </c>
      <c r="O1576" t="s">
        <v>25</v>
      </c>
      <c r="P1576" t="s">
        <v>14170</v>
      </c>
      <c r="Q1576" t="s">
        <v>29</v>
      </c>
      <c r="R1576" t="s">
        <v>14166</v>
      </c>
      <c r="S1576" t="s">
        <v>14167</v>
      </c>
    </row>
    <row r="1577" spans="1:19" x14ac:dyDescent="0.25">
      <c r="A1577" s="1">
        <v>1575</v>
      </c>
      <c r="B1577" t="str">
        <f>HYPERLINK("https://www.dasschnelle.at/kleintierklinik-vitalis-vorchdorf-neue-landstraße","Website")</f>
        <v>Website</v>
      </c>
      <c r="C1577" t="str">
        <f>HYPERLINK("http://www.tierambulanz-vorchdorf.at","Website")</f>
        <v>Website</v>
      </c>
      <c r="D1577" t="str">
        <f>HYPERLINK("http://www.google.com/maps/place/48.00088,13.92528","Location")</f>
        <v>Location</v>
      </c>
      <c r="E1577" t="s">
        <v>14171</v>
      </c>
      <c r="F1577" t="s">
        <v>14172</v>
      </c>
      <c r="G1577" t="s">
        <v>6960</v>
      </c>
      <c r="H1577" t="s">
        <v>6961</v>
      </c>
      <c r="I1577" t="s">
        <v>85</v>
      </c>
      <c r="J1577" t="s">
        <v>22</v>
      </c>
      <c r="K1577" t="s">
        <v>14173</v>
      </c>
      <c r="L1577" t="s">
        <v>6964</v>
      </c>
      <c r="M1577" t="s">
        <v>25</v>
      </c>
      <c r="N1577" t="s">
        <v>14174</v>
      </c>
      <c r="O1577" t="s">
        <v>25</v>
      </c>
      <c r="P1577" t="s">
        <v>14175</v>
      </c>
      <c r="Q1577" t="s">
        <v>29</v>
      </c>
      <c r="R1577" t="s">
        <v>6962</v>
      </c>
      <c r="S1577" t="s">
        <v>6963</v>
      </c>
    </row>
    <row r="1578" spans="1:19" x14ac:dyDescent="0.25">
      <c r="A1578" s="1">
        <v>1576</v>
      </c>
      <c r="B1578" t="str">
        <f>HYPERLINK("https://www.dasschnelle.at/silber-elektrotechnik-hartkirchen-vornholz","Website")</f>
        <v>Website</v>
      </c>
      <c r="C1578" t="str">
        <f>HYPERLINK("http://www.elektrotechnik-silber.at","Website")</f>
        <v>Website</v>
      </c>
      <c r="D1578" t="str">
        <f>HYPERLINK("http://www.google.com/maps/place/48.3754300,14.0077500","Location")</f>
        <v>Location</v>
      </c>
      <c r="E1578" t="s">
        <v>14176</v>
      </c>
      <c r="F1578" t="s">
        <v>14177</v>
      </c>
      <c r="G1578" t="s">
        <v>3111</v>
      </c>
      <c r="H1578" t="s">
        <v>3112</v>
      </c>
      <c r="I1578" t="s">
        <v>85</v>
      </c>
      <c r="J1578" t="s">
        <v>22</v>
      </c>
      <c r="K1578" t="s">
        <v>14178</v>
      </c>
      <c r="L1578" t="s">
        <v>14181</v>
      </c>
      <c r="M1578" t="s">
        <v>25</v>
      </c>
      <c r="N1578" t="s">
        <v>14182</v>
      </c>
      <c r="O1578" t="s">
        <v>25</v>
      </c>
      <c r="P1578" t="s">
        <v>14183</v>
      </c>
      <c r="Q1578" t="s">
        <v>29</v>
      </c>
      <c r="R1578" t="s">
        <v>14179</v>
      </c>
      <c r="S1578" t="s">
        <v>14180</v>
      </c>
    </row>
    <row r="1579" spans="1:19" x14ac:dyDescent="0.25">
      <c r="A1579" s="1">
        <v>1577</v>
      </c>
      <c r="B1579" t="str">
        <f>HYPERLINK("https://www.dasschnelle.at/versicherungs-consulting-reisinger-versicherungsmakler-und-schadenservice-gmbh-pischelsdorf-in-der-steiermark","Website")</f>
        <v>Website</v>
      </c>
      <c r="C1579" t="str">
        <f>HYPERLINK("http://www.vcr-reisinger.com","Website")</f>
        <v>Website</v>
      </c>
      <c r="D1579" t="str">
        <f>HYPERLINK("http://www.google.com/maps/place/47.1707450,15.8039389","Location")</f>
        <v>Location</v>
      </c>
      <c r="E1579" t="s">
        <v>14184</v>
      </c>
      <c r="F1579" t="s">
        <v>14185</v>
      </c>
      <c r="G1579" t="s">
        <v>3543</v>
      </c>
      <c r="H1579" t="s">
        <v>3544</v>
      </c>
      <c r="I1579" t="s">
        <v>451</v>
      </c>
      <c r="J1579" t="s">
        <v>22</v>
      </c>
      <c r="K1579" t="s">
        <v>25</v>
      </c>
      <c r="L1579" t="s">
        <v>14188</v>
      </c>
      <c r="M1579" t="s">
        <v>25</v>
      </c>
      <c r="N1579" t="s">
        <v>14189</v>
      </c>
      <c r="O1579" t="s">
        <v>14190</v>
      </c>
      <c r="P1579" t="s">
        <v>14191</v>
      </c>
      <c r="Q1579" t="s">
        <v>29</v>
      </c>
      <c r="R1579" t="s">
        <v>14186</v>
      </c>
      <c r="S1579" t="s">
        <v>14187</v>
      </c>
    </row>
    <row r="1580" spans="1:19" x14ac:dyDescent="0.25">
      <c r="A1580" s="1">
        <v>1578</v>
      </c>
      <c r="B1580" t="str">
        <f>HYPERLINK("https://www.dasschnelle.at/city-taxi-schwarz-taxi-gmbh-gleisdorf-industriestraße","Website")</f>
        <v>Website</v>
      </c>
      <c r="C1580" t="str">
        <f>HYPERLINK("http://www.citytaxi.at","Website")</f>
        <v>Website</v>
      </c>
      <c r="D1580" t="str">
        <f>HYPERLINK("http://www.google.com/maps/place/47.10925,15.699","Location")</f>
        <v>Location</v>
      </c>
      <c r="E1580" t="s">
        <v>14192</v>
      </c>
      <c r="F1580" t="s">
        <v>14193</v>
      </c>
      <c r="G1580" t="s">
        <v>3466</v>
      </c>
      <c r="H1580" t="s">
        <v>3467</v>
      </c>
      <c r="I1580" t="s">
        <v>451</v>
      </c>
      <c r="J1580" t="s">
        <v>22</v>
      </c>
      <c r="K1580" t="s">
        <v>14194</v>
      </c>
      <c r="L1580" t="s">
        <v>14197</v>
      </c>
      <c r="M1580" t="s">
        <v>25</v>
      </c>
      <c r="N1580" t="s">
        <v>14198</v>
      </c>
      <c r="O1580" t="s">
        <v>25</v>
      </c>
      <c r="P1580" t="s">
        <v>14199</v>
      </c>
      <c r="Q1580" t="s">
        <v>29</v>
      </c>
      <c r="R1580" t="s">
        <v>14195</v>
      </c>
      <c r="S1580" t="s">
        <v>14196</v>
      </c>
    </row>
    <row r="1581" spans="1:19" x14ac:dyDescent="0.25">
      <c r="A1581" s="1">
        <v>1579</v>
      </c>
      <c r="B1581" t="str">
        <f>HYPERLINK("https://www.dasschnelle.at/karosserie-gimpl-ges-m-b-h-puch-steinbruchstr","Website")</f>
        <v>Website</v>
      </c>
      <c r="C1581" t="str">
        <f>HYPERLINK("http://www.karosseriegimpl.at","Website")</f>
        <v>Website</v>
      </c>
      <c r="D1581" t="str">
        <f>HYPERLINK("http://www.google.com/maps/place/47.7187113,13.0960974","Location")</f>
        <v>Location</v>
      </c>
      <c r="E1581" t="s">
        <v>14200</v>
      </c>
      <c r="F1581" t="s">
        <v>14201</v>
      </c>
      <c r="G1581" t="s">
        <v>7635</v>
      </c>
      <c r="H1581" t="s">
        <v>14203</v>
      </c>
      <c r="I1581" t="s">
        <v>2239</v>
      </c>
      <c r="J1581" t="s">
        <v>22</v>
      </c>
      <c r="K1581" t="s">
        <v>14202</v>
      </c>
      <c r="L1581" t="s">
        <v>14206</v>
      </c>
      <c r="M1581" t="s">
        <v>25</v>
      </c>
      <c r="N1581" t="s">
        <v>14207</v>
      </c>
      <c r="O1581" t="s">
        <v>25</v>
      </c>
      <c r="P1581" t="s">
        <v>14208</v>
      </c>
      <c r="Q1581" t="s">
        <v>29</v>
      </c>
      <c r="R1581" t="s">
        <v>14204</v>
      </c>
      <c r="S1581" t="s">
        <v>14205</v>
      </c>
    </row>
    <row r="1582" spans="1:19" x14ac:dyDescent="0.25">
      <c r="A1582" s="1">
        <v>1580</v>
      </c>
      <c r="B1582" t="str">
        <f>HYPERLINK("https://www.dasschnelle.at/wurm-sabine-gols-untere-hauptstraße","Website")</f>
        <v>Website</v>
      </c>
      <c r="C1582" t="str">
        <f>HYPERLINK("https://www.dasschnelle.at/wurm-sabine-gols-untere-hauptstra%C3%9Fe","Website")</f>
        <v>Website</v>
      </c>
      <c r="D1582" t="str">
        <f>HYPERLINK("http://www.google.com/maps/place/47.894,16.9155","Location")</f>
        <v>Location</v>
      </c>
      <c r="E1582" t="s">
        <v>14209</v>
      </c>
      <c r="F1582" t="s">
        <v>14210</v>
      </c>
      <c r="G1582" t="s">
        <v>1910</v>
      </c>
      <c r="H1582" t="s">
        <v>1911</v>
      </c>
      <c r="I1582" t="s">
        <v>1834</v>
      </c>
      <c r="J1582" t="s">
        <v>22</v>
      </c>
      <c r="K1582" t="s">
        <v>14211</v>
      </c>
      <c r="L1582" t="s">
        <v>14214</v>
      </c>
      <c r="M1582" t="s">
        <v>25</v>
      </c>
      <c r="N1582" t="s">
        <v>14215</v>
      </c>
      <c r="O1582" t="s">
        <v>25</v>
      </c>
      <c r="P1582" t="s">
        <v>14216</v>
      </c>
      <c r="Q1582" t="s">
        <v>29</v>
      </c>
      <c r="R1582" t="s">
        <v>14212</v>
      </c>
      <c r="S1582" t="s">
        <v>14213</v>
      </c>
    </row>
    <row r="1583" spans="1:19" x14ac:dyDescent="0.25">
      <c r="A1583" s="1">
        <v>1581</v>
      </c>
      <c r="B1583" t="str">
        <f>HYPERLINK("https://www.dasschnelle.at/paar-peter-betriebsgmbh-frauenkirchen-neustiftstraße","Website")</f>
        <v>Website</v>
      </c>
      <c r="C1583" t="str">
        <f>HYPERLINK("http://www.betonwerkpaar.at","Website")</f>
        <v>Website</v>
      </c>
      <c r="D1583" t="str">
        <f>HYPERLINK("http://www.google.com/maps/place/47.83821,16.92044","Location")</f>
        <v>Location</v>
      </c>
      <c r="E1583" t="s">
        <v>14217</v>
      </c>
      <c r="F1583" t="s">
        <v>14218</v>
      </c>
      <c r="G1583" t="s">
        <v>1930</v>
      </c>
      <c r="H1583" t="s">
        <v>1931</v>
      </c>
      <c r="I1583" t="s">
        <v>1834</v>
      </c>
      <c r="J1583" t="s">
        <v>22</v>
      </c>
      <c r="K1583" t="s">
        <v>14219</v>
      </c>
      <c r="L1583" t="s">
        <v>14222</v>
      </c>
      <c r="M1583" t="s">
        <v>25</v>
      </c>
      <c r="N1583" t="s">
        <v>14223</v>
      </c>
      <c r="O1583" t="s">
        <v>25</v>
      </c>
      <c r="P1583" t="s">
        <v>14224</v>
      </c>
      <c r="Q1583" t="s">
        <v>29</v>
      </c>
      <c r="R1583" t="s">
        <v>14220</v>
      </c>
      <c r="S1583" t="s">
        <v>14221</v>
      </c>
    </row>
    <row r="1584" spans="1:19" x14ac:dyDescent="0.25">
      <c r="A1584" s="1">
        <v>1582</v>
      </c>
      <c r="B1584" t="str">
        <f>HYPERLINK("https://www.dasschnelle.at/ermler-e-ing-gmbh-neusiedl-am-see-obere-hauptstraße","Website")</f>
        <v>Website</v>
      </c>
      <c r="C1584" t="str">
        <f>HYPERLINK("http://www.ermler.at","Website")</f>
        <v>Website</v>
      </c>
      <c r="D1584" t="str">
        <f>HYPERLINK("http://www.google.com/maps/place/47.9374394,16.8553573","Location")</f>
        <v>Location</v>
      </c>
      <c r="E1584" t="s">
        <v>14225</v>
      </c>
      <c r="F1584" t="s">
        <v>14226</v>
      </c>
      <c r="G1584" t="s">
        <v>1939</v>
      </c>
      <c r="H1584" t="s">
        <v>1940</v>
      </c>
      <c r="I1584" t="s">
        <v>1834</v>
      </c>
      <c r="J1584" t="s">
        <v>22</v>
      </c>
      <c r="K1584" t="s">
        <v>14227</v>
      </c>
      <c r="L1584" t="s">
        <v>14230</v>
      </c>
      <c r="M1584" t="s">
        <v>25</v>
      </c>
      <c r="N1584" t="s">
        <v>14231</v>
      </c>
      <c r="O1584" t="s">
        <v>14232</v>
      </c>
      <c r="P1584" t="s">
        <v>14233</v>
      </c>
      <c r="Q1584" t="s">
        <v>29</v>
      </c>
      <c r="R1584" t="s">
        <v>14228</v>
      </c>
      <c r="S1584" t="s">
        <v>14229</v>
      </c>
    </row>
    <row r="1585" spans="1:19" x14ac:dyDescent="0.25">
      <c r="A1585" s="1">
        <v>1583</v>
      </c>
      <c r="B1585" t="str">
        <f>HYPERLINK("https://www.dasschnelle.at/michael-rettenbacher-adnet-waidach","Website")</f>
        <v>Website</v>
      </c>
      <c r="C1585" t="str">
        <f>HYPERLINK("http://www.rettmich.at","Website")</f>
        <v>Website</v>
      </c>
      <c r="D1585" t="str">
        <f>HYPERLINK("http://www.google.com/maps/place/47.6893838,13.1374106","Location")</f>
        <v>Location</v>
      </c>
      <c r="E1585" t="s">
        <v>14234</v>
      </c>
      <c r="F1585" t="s">
        <v>14235</v>
      </c>
      <c r="G1585" t="s">
        <v>7604</v>
      </c>
      <c r="H1585" t="s">
        <v>7605</v>
      </c>
      <c r="I1585" t="s">
        <v>2239</v>
      </c>
      <c r="J1585" t="s">
        <v>22</v>
      </c>
      <c r="K1585" t="s">
        <v>7603</v>
      </c>
      <c r="L1585" t="s">
        <v>14236</v>
      </c>
      <c r="M1585" t="s">
        <v>25</v>
      </c>
      <c r="N1585" t="s">
        <v>7609</v>
      </c>
      <c r="O1585" t="s">
        <v>25</v>
      </c>
      <c r="P1585" t="s">
        <v>14237</v>
      </c>
      <c r="Q1585" t="s">
        <v>29</v>
      </c>
      <c r="R1585" t="s">
        <v>7606</v>
      </c>
      <c r="S1585" t="s">
        <v>7607</v>
      </c>
    </row>
    <row r="1586" spans="1:19" x14ac:dyDescent="0.25">
      <c r="A1586" s="1">
        <v>1584</v>
      </c>
      <c r="B1586" t="str">
        <f>HYPERLINK("https://www.dasschnelle.at/ribitsch-diether-dr-eselsbach-mühlleite","Website")</f>
        <v>Website</v>
      </c>
      <c r="C1586" t="str">
        <f>HYPERLINK("http://www.schmerzpraxis-badaussee.at","Website")</f>
        <v>Website</v>
      </c>
      <c r="D1586" t="str">
        <f>HYPERLINK("http://www.google.com/maps/place/47.60855,13.78612","Location")</f>
        <v>Location</v>
      </c>
      <c r="E1586" t="s">
        <v>14238</v>
      </c>
      <c r="F1586" t="s">
        <v>14239</v>
      </c>
      <c r="G1586" t="s">
        <v>1195</v>
      </c>
      <c r="H1586" t="s">
        <v>14241</v>
      </c>
      <c r="I1586" t="s">
        <v>451</v>
      </c>
      <c r="J1586" t="s">
        <v>22</v>
      </c>
      <c r="K1586" t="s">
        <v>14240</v>
      </c>
      <c r="L1586" t="s">
        <v>14244</v>
      </c>
      <c r="M1586" t="s">
        <v>25</v>
      </c>
      <c r="N1586" t="s">
        <v>14245</v>
      </c>
      <c r="O1586" t="s">
        <v>25</v>
      </c>
      <c r="P1586" t="s">
        <v>14246</v>
      </c>
      <c r="Q1586" t="s">
        <v>29</v>
      </c>
      <c r="R1586" t="s">
        <v>14242</v>
      </c>
      <c r="S1586" t="s">
        <v>14243</v>
      </c>
    </row>
    <row r="1587" spans="1:19" x14ac:dyDescent="0.25">
      <c r="A1587" s="1">
        <v>1585</v>
      </c>
      <c r="B1587" t="str">
        <f>HYPERLINK("https://www.dasschnelle.at/schmiedhofer-metallbau-gmbh-kindberg-stanzer-straße","Website")</f>
        <v>Website</v>
      </c>
      <c r="C1587" t="str">
        <f>HYPERLINK("http://www.schmiedhofergmbh.at","Website")</f>
        <v>Website</v>
      </c>
      <c r="D1587" t="str">
        <f>HYPERLINK("http://www.google.com/maps/place/47.49937,15.4454","Location")</f>
        <v>Location</v>
      </c>
      <c r="E1587" t="s">
        <v>14247</v>
      </c>
      <c r="F1587" t="s">
        <v>14248</v>
      </c>
      <c r="G1587" t="s">
        <v>6633</v>
      </c>
      <c r="H1587" t="s">
        <v>6634</v>
      </c>
      <c r="I1587" t="s">
        <v>451</v>
      </c>
      <c r="J1587" t="s">
        <v>22</v>
      </c>
      <c r="K1587" t="s">
        <v>14249</v>
      </c>
      <c r="L1587" t="s">
        <v>14250</v>
      </c>
      <c r="M1587" t="s">
        <v>25</v>
      </c>
      <c r="N1587" t="s">
        <v>14251</v>
      </c>
      <c r="O1587" t="s">
        <v>25</v>
      </c>
      <c r="P1587" t="s">
        <v>14252</v>
      </c>
      <c r="Q1587" t="s">
        <v>29</v>
      </c>
      <c r="R1587" t="s">
        <v>6635</v>
      </c>
      <c r="S1587" t="s">
        <v>6636</v>
      </c>
    </row>
    <row r="1588" spans="1:19" x14ac:dyDescent="0.25">
      <c r="A1588" s="1">
        <v>1586</v>
      </c>
      <c r="B1588" t="str">
        <f>HYPERLINK("https://www.dasschnelle.at/schuh-günther-sankt-marein-im-mürztal-brunnenweg","Website")</f>
        <v>Website</v>
      </c>
      <c r="C1588" t="str">
        <f>HYPERLINK("http://www.steinbau-schuh.at","Website")</f>
        <v>Website</v>
      </c>
      <c r="D1588" t="str">
        <f>HYPERLINK("http://www.google.com/maps/place/47.47076,15.36557","Location")</f>
        <v>Location</v>
      </c>
      <c r="E1588" t="s">
        <v>14253</v>
      </c>
      <c r="F1588" t="s">
        <v>14254</v>
      </c>
      <c r="G1588" t="s">
        <v>3081</v>
      </c>
      <c r="H1588" t="s">
        <v>3082</v>
      </c>
      <c r="I1588" t="s">
        <v>451</v>
      </c>
      <c r="J1588" t="s">
        <v>22</v>
      </c>
      <c r="K1588" t="s">
        <v>14255</v>
      </c>
      <c r="L1588" t="s">
        <v>14258</v>
      </c>
      <c r="M1588" t="s">
        <v>25</v>
      </c>
      <c r="N1588" t="s">
        <v>14259</v>
      </c>
      <c r="O1588" t="s">
        <v>14260</v>
      </c>
      <c r="P1588" t="s">
        <v>14261</v>
      </c>
      <c r="Q1588" t="s">
        <v>29</v>
      </c>
      <c r="R1588" t="s">
        <v>14256</v>
      </c>
      <c r="S1588" t="s">
        <v>14257</v>
      </c>
    </row>
    <row r="1589" spans="1:19" x14ac:dyDescent="0.25">
      <c r="A1589" s="1">
        <v>1587</v>
      </c>
      <c r="B1589" t="str">
        <f>HYPERLINK("https://www.dasschnelle.at/popp-beate-mürzzuschlag-wiener-straße","Website")</f>
        <v>Website</v>
      </c>
      <c r="C1589" t="str">
        <f>HYPERLINK("http://www.beatepopp.at","Website")</f>
        <v>Website</v>
      </c>
      <c r="D1589" t="str">
        <f>HYPERLINK("http://www.google.com/maps/place/47.60578,15.67326","Location")</f>
        <v>Location</v>
      </c>
      <c r="E1589" t="s">
        <v>14262</v>
      </c>
      <c r="F1589" t="s">
        <v>14263</v>
      </c>
      <c r="G1589" t="s">
        <v>6670</v>
      </c>
      <c r="H1589" t="s">
        <v>6671</v>
      </c>
      <c r="I1589" t="s">
        <v>451</v>
      </c>
      <c r="J1589" t="s">
        <v>22</v>
      </c>
      <c r="K1589" t="s">
        <v>14264</v>
      </c>
      <c r="L1589" t="s">
        <v>14267</v>
      </c>
      <c r="M1589" t="s">
        <v>25</v>
      </c>
      <c r="N1589" t="s">
        <v>14268</v>
      </c>
      <c r="O1589" t="s">
        <v>14269</v>
      </c>
      <c r="P1589" t="s">
        <v>14270</v>
      </c>
      <c r="Q1589" t="s">
        <v>29</v>
      </c>
      <c r="R1589" t="s">
        <v>14265</v>
      </c>
      <c r="S1589" t="s">
        <v>14266</v>
      </c>
    </row>
    <row r="1590" spans="1:19" x14ac:dyDescent="0.25">
      <c r="A1590" s="1">
        <v>1588</v>
      </c>
      <c r="B1590" t="str">
        <f>HYPERLINK("https://www.dasschnelle.at/windhaber-gmbh-langenwang-wehrgasse","Website")</f>
        <v>Website</v>
      </c>
      <c r="C1590" t="str">
        <f>HYPERLINK("http://www.windhaber.at","Website")</f>
        <v>Website</v>
      </c>
      <c r="D1590" t="str">
        <f>HYPERLINK("http://www.google.com/maps/place/47.5739500,15.6336300","Location")</f>
        <v>Location</v>
      </c>
      <c r="E1590" t="s">
        <v>14271</v>
      </c>
      <c r="F1590" t="s">
        <v>14272</v>
      </c>
      <c r="G1590" t="s">
        <v>6732</v>
      </c>
      <c r="H1590" t="s">
        <v>6733</v>
      </c>
      <c r="I1590" t="s">
        <v>451</v>
      </c>
      <c r="J1590" t="s">
        <v>22</v>
      </c>
      <c r="K1590" t="s">
        <v>14273</v>
      </c>
      <c r="L1590" t="s">
        <v>14276</v>
      </c>
      <c r="M1590" t="s">
        <v>25</v>
      </c>
      <c r="N1590" t="s">
        <v>14277</v>
      </c>
      <c r="O1590" t="s">
        <v>25</v>
      </c>
      <c r="P1590" t="s">
        <v>14278</v>
      </c>
      <c r="Q1590" t="s">
        <v>29</v>
      </c>
      <c r="R1590" t="s">
        <v>14274</v>
      </c>
      <c r="S1590" t="s">
        <v>14275</v>
      </c>
    </row>
    <row r="1591" spans="1:19" x14ac:dyDescent="0.25">
      <c r="A1591" s="1">
        <v>1589</v>
      </c>
      <c r="B1591" t="str">
        <f>HYPERLINK("https://www.dasschnelle.at/nierer-manfred-mürzzuschlag-grazer-straße","Website")</f>
        <v>Website</v>
      </c>
      <c r="C1591" t="str">
        <f>HYPERLINK("http://www.auto-nierer.at","Website")</f>
        <v>Website</v>
      </c>
      <c r="D1591" t="str">
        <f>HYPERLINK("http://www.google.com/maps/place/47.57921,15.64234","Location")</f>
        <v>Location</v>
      </c>
      <c r="E1591" t="s">
        <v>14279</v>
      </c>
      <c r="F1591" t="s">
        <v>14280</v>
      </c>
      <c r="G1591" t="s">
        <v>6690</v>
      </c>
      <c r="H1591" t="s">
        <v>6671</v>
      </c>
      <c r="I1591" t="s">
        <v>451</v>
      </c>
      <c r="J1591" t="s">
        <v>22</v>
      </c>
      <c r="K1591" t="s">
        <v>14281</v>
      </c>
      <c r="L1591" t="s">
        <v>14284</v>
      </c>
      <c r="M1591" t="s">
        <v>25</v>
      </c>
      <c r="N1591" t="s">
        <v>14285</v>
      </c>
      <c r="O1591" t="s">
        <v>25</v>
      </c>
      <c r="P1591" t="s">
        <v>14286</v>
      </c>
      <c r="Q1591" t="s">
        <v>29</v>
      </c>
      <c r="R1591" t="s">
        <v>14282</v>
      </c>
      <c r="S1591" t="s">
        <v>14283</v>
      </c>
    </row>
    <row r="1592" spans="1:19" x14ac:dyDescent="0.25">
      <c r="A1592" s="1">
        <v>1590</v>
      </c>
      <c r="B1592" t="str">
        <f>HYPERLINK("https://www.dasschnelle.at/gutschelhofer-harald-neuberg-an-der-mürz-mariazeller-straße","Website")</f>
        <v>Website</v>
      </c>
      <c r="C1592" t="str">
        <f>HYPERLINK("http://www.hg-installation.at","Website")</f>
        <v>Website</v>
      </c>
      <c r="D1592" t="str">
        <f>HYPERLINK("http://www.google.com/maps/place/47.66751,15.57426","Location")</f>
        <v>Location</v>
      </c>
      <c r="E1592" t="s">
        <v>14287</v>
      </c>
      <c r="F1592" t="s">
        <v>14288</v>
      </c>
      <c r="G1592" t="s">
        <v>6623</v>
      </c>
      <c r="H1592" t="s">
        <v>6624</v>
      </c>
      <c r="I1592" t="s">
        <v>451</v>
      </c>
      <c r="J1592" t="s">
        <v>22</v>
      </c>
      <c r="K1592" t="s">
        <v>14289</v>
      </c>
      <c r="L1592" t="s">
        <v>14292</v>
      </c>
      <c r="M1592" t="s">
        <v>25</v>
      </c>
      <c r="N1592" t="s">
        <v>14293</v>
      </c>
      <c r="O1592" t="s">
        <v>25</v>
      </c>
      <c r="P1592" t="s">
        <v>14294</v>
      </c>
      <c r="Q1592" t="s">
        <v>29</v>
      </c>
      <c r="R1592" t="s">
        <v>14290</v>
      </c>
      <c r="S1592" t="s">
        <v>14291</v>
      </c>
    </row>
    <row r="1593" spans="1:19" x14ac:dyDescent="0.25">
      <c r="A1593" s="1">
        <v>1591</v>
      </c>
      <c r="B1593" t="str">
        <f>HYPERLINK("https://www.dasschnelle.at/anita-hinterhofer-neualm-salzburger-schützen-weg","Website")</f>
        <v>Website</v>
      </c>
      <c r="C1593" t="str">
        <f>HYPERLINK("http://www.friseur-hallein.at","Website")</f>
        <v>Website</v>
      </c>
      <c r="D1593" t="str">
        <f>HYPERLINK("http://www.google.com/maps/place/47.69508,13.08735","Location")</f>
        <v>Location</v>
      </c>
      <c r="E1593" t="s">
        <v>14295</v>
      </c>
      <c r="F1593" t="s">
        <v>14296</v>
      </c>
      <c r="G1593" t="s">
        <v>7584</v>
      </c>
      <c r="H1593" t="s">
        <v>14298</v>
      </c>
      <c r="I1593" t="s">
        <v>2239</v>
      </c>
      <c r="J1593" t="s">
        <v>22</v>
      </c>
      <c r="K1593" t="s">
        <v>14297</v>
      </c>
      <c r="L1593" t="s">
        <v>7588</v>
      </c>
      <c r="M1593" t="s">
        <v>25</v>
      </c>
      <c r="N1593" t="s">
        <v>7589</v>
      </c>
      <c r="O1593" t="s">
        <v>14299</v>
      </c>
      <c r="P1593" t="s">
        <v>14300</v>
      </c>
      <c r="Q1593" t="s">
        <v>29</v>
      </c>
      <c r="R1593" t="s">
        <v>7586</v>
      </c>
      <c r="S1593" t="s">
        <v>7587</v>
      </c>
    </row>
    <row r="1594" spans="1:19" x14ac:dyDescent="0.25">
      <c r="A1594" s="1">
        <v>1592</v>
      </c>
      <c r="B1594" t="str">
        <f>HYPERLINK("https://www.dasschnelle.at/biro-sonnenluk-e-u-mannersdorf-am-leithagebirge-hauptstraße-mannersdorf","Website")</f>
        <v>Website</v>
      </c>
      <c r="C1594" t="str">
        <f>HYPERLINK("http://www.sonnenschutz-aussenrollos.at","Website")</f>
        <v>Website</v>
      </c>
      <c r="D1594" t="str">
        <f>HYPERLINK("http://www.google.com/maps/place/47.97484,16.60694","Location")</f>
        <v>Location</v>
      </c>
      <c r="E1594" t="s">
        <v>14301</v>
      </c>
      <c r="F1594" t="s">
        <v>14302</v>
      </c>
      <c r="G1594" t="s">
        <v>14304</v>
      </c>
      <c r="H1594" t="s">
        <v>14305</v>
      </c>
      <c r="I1594" t="s">
        <v>177</v>
      </c>
      <c r="J1594" t="s">
        <v>22</v>
      </c>
      <c r="K1594" t="s">
        <v>14303</v>
      </c>
      <c r="L1594" t="s">
        <v>14308</v>
      </c>
      <c r="M1594" t="s">
        <v>25</v>
      </c>
      <c r="N1594" t="s">
        <v>14309</v>
      </c>
      <c r="O1594" t="s">
        <v>14310</v>
      </c>
      <c r="P1594" t="s">
        <v>14311</v>
      </c>
      <c r="Q1594" t="s">
        <v>29</v>
      </c>
      <c r="R1594" t="s">
        <v>14306</v>
      </c>
      <c r="S1594" t="s">
        <v>14307</v>
      </c>
    </row>
    <row r="1595" spans="1:19" x14ac:dyDescent="0.25">
      <c r="A1595" s="1">
        <v>1593</v>
      </c>
      <c r="B1595" t="str">
        <f>HYPERLINK("https://www.dasschnelle.at/hitzinger-andreas-neusiedl-gartenweg","Website")</f>
        <v>Website</v>
      </c>
      <c r="C1595" t="str">
        <f>HYPERLINK("http://www.bestattung-hitzinger.at","Website")</f>
        <v>Website</v>
      </c>
      <c r="D1595" t="str">
        <f>HYPERLINK("http://www.google.com/maps/place/47.9456577,16.8467241","Location")</f>
        <v>Location</v>
      </c>
      <c r="E1595" t="s">
        <v>14312</v>
      </c>
      <c r="F1595" t="s">
        <v>14313</v>
      </c>
      <c r="G1595" t="s">
        <v>1939</v>
      </c>
      <c r="H1595" t="s">
        <v>1949</v>
      </c>
      <c r="I1595" t="s">
        <v>1834</v>
      </c>
      <c r="J1595" t="s">
        <v>22</v>
      </c>
      <c r="K1595" t="s">
        <v>14314</v>
      </c>
      <c r="L1595" t="s">
        <v>14317</v>
      </c>
      <c r="M1595" t="s">
        <v>25</v>
      </c>
      <c r="N1595" t="s">
        <v>14318</v>
      </c>
      <c r="O1595" t="s">
        <v>25</v>
      </c>
      <c r="P1595" t="s">
        <v>14319</v>
      </c>
      <c r="Q1595" t="s">
        <v>29</v>
      </c>
      <c r="R1595" t="s">
        <v>14315</v>
      </c>
      <c r="S1595" t="s">
        <v>14316</v>
      </c>
    </row>
    <row r="1596" spans="1:19" x14ac:dyDescent="0.25">
      <c r="A1596" s="1">
        <v>1594</v>
      </c>
      <c r="B1596" t="str">
        <f>HYPERLINK("https://www.dasschnelle.at/glaserei-gruber-gmbh-bruck-an-der-mur-koloman-wallisch-platz","Website")</f>
        <v>Website</v>
      </c>
      <c r="C1596" t="str">
        <f>HYPERLINK("http://www.glaserei-gruber.at","Website")</f>
        <v>Website</v>
      </c>
      <c r="D1596" t="str">
        <f>HYPERLINK("http://www.google.com/maps/place/47.4096,15.26893","Location")</f>
        <v>Location</v>
      </c>
      <c r="E1596" t="s">
        <v>14320</v>
      </c>
      <c r="F1596" t="s">
        <v>14321</v>
      </c>
      <c r="G1596" t="s">
        <v>3052</v>
      </c>
      <c r="H1596" t="s">
        <v>3053</v>
      </c>
      <c r="I1596" t="s">
        <v>451</v>
      </c>
      <c r="J1596" t="s">
        <v>22</v>
      </c>
      <c r="K1596" t="s">
        <v>14322</v>
      </c>
      <c r="L1596" t="s">
        <v>14325</v>
      </c>
      <c r="M1596" t="s">
        <v>25</v>
      </c>
      <c r="N1596" t="s">
        <v>14326</v>
      </c>
      <c r="O1596" t="s">
        <v>25</v>
      </c>
      <c r="P1596" t="s">
        <v>14327</v>
      </c>
      <c r="Q1596" t="s">
        <v>29</v>
      </c>
      <c r="R1596" t="s">
        <v>14323</v>
      </c>
      <c r="S1596" t="s">
        <v>14324</v>
      </c>
    </row>
    <row r="1597" spans="1:19" x14ac:dyDescent="0.25">
      <c r="A1597" s="1">
        <v>1595</v>
      </c>
      <c r="B1597" t="str">
        <f>HYPERLINK("https://www.dasschnelle.at/kala-egon-mürzzuschlag-grazer-straße","Website")</f>
        <v>Website</v>
      </c>
      <c r="C1597" t="str">
        <f>HYPERLINK("http://www.kala.at","Website")</f>
        <v>Website</v>
      </c>
      <c r="D1597" t="str">
        <f>HYPERLINK("http://www.google.com/maps/place/47.59979,15.6675","Location")</f>
        <v>Location</v>
      </c>
      <c r="E1597" t="s">
        <v>14328</v>
      </c>
      <c r="F1597" t="s">
        <v>14329</v>
      </c>
      <c r="G1597" t="s">
        <v>6670</v>
      </c>
      <c r="H1597" t="s">
        <v>6671</v>
      </c>
      <c r="I1597" t="s">
        <v>451</v>
      </c>
      <c r="J1597" t="s">
        <v>22</v>
      </c>
      <c r="K1597" t="s">
        <v>14330</v>
      </c>
      <c r="L1597" t="s">
        <v>14333</v>
      </c>
      <c r="M1597" t="s">
        <v>14334</v>
      </c>
      <c r="N1597" t="s">
        <v>14335</v>
      </c>
      <c r="O1597" t="s">
        <v>25</v>
      </c>
      <c r="P1597" t="s">
        <v>14336</v>
      </c>
      <c r="Q1597" t="s">
        <v>29</v>
      </c>
      <c r="R1597" t="s">
        <v>14331</v>
      </c>
      <c r="S1597" t="s">
        <v>14332</v>
      </c>
    </row>
    <row r="1598" spans="1:19" x14ac:dyDescent="0.25">
      <c r="A1598" s="1">
        <v>1596</v>
      </c>
      <c r="B1598" t="str">
        <f>HYPERLINK("https://www.dasschnelle.at/farben-schurz-mürzzuschlag-stadtplatz","Website")</f>
        <v>Website</v>
      </c>
      <c r="C1598" t="str">
        <f>HYPERLINK("http://www.fabenschurz.at","Website")</f>
        <v>Website</v>
      </c>
      <c r="D1598" t="str">
        <f>HYPERLINK("http://www.google.com/maps/place/47.60653,15.67229","Location")</f>
        <v>Location</v>
      </c>
      <c r="E1598" t="s">
        <v>14337</v>
      </c>
      <c r="F1598" t="s">
        <v>14338</v>
      </c>
      <c r="G1598" t="s">
        <v>6670</v>
      </c>
      <c r="H1598" t="s">
        <v>6671</v>
      </c>
      <c r="I1598" t="s">
        <v>451</v>
      </c>
      <c r="J1598" t="s">
        <v>22</v>
      </c>
      <c r="K1598" t="s">
        <v>14339</v>
      </c>
      <c r="L1598" t="s">
        <v>25</v>
      </c>
      <c r="M1598" t="s">
        <v>14342</v>
      </c>
      <c r="N1598" t="s">
        <v>14343</v>
      </c>
      <c r="O1598" t="s">
        <v>25</v>
      </c>
      <c r="P1598" t="s">
        <v>14344</v>
      </c>
      <c r="Q1598" t="s">
        <v>29</v>
      </c>
      <c r="R1598" t="s">
        <v>14340</v>
      </c>
      <c r="S1598" t="s">
        <v>14341</v>
      </c>
    </row>
    <row r="1599" spans="1:19" x14ac:dyDescent="0.25">
      <c r="A1599" s="1">
        <v>1597</v>
      </c>
      <c r="B1599" t="str">
        <f>HYPERLINK("https://www.dasschnelle.at/schrittwieser-carina-mürzzuschlag-stadtplatz","Website")</f>
        <v>Website</v>
      </c>
      <c r="C1599" t="str">
        <f>HYPERLINK("http://www.wellnesstudio-grete.at","Website")</f>
        <v>Website</v>
      </c>
      <c r="D1599" t="str">
        <f>HYPERLINK("http://www.google.com/maps/place/47.60667,15.67374","Location")</f>
        <v>Location</v>
      </c>
      <c r="E1599" t="s">
        <v>14345</v>
      </c>
      <c r="F1599" t="s">
        <v>14346</v>
      </c>
      <c r="G1599" t="s">
        <v>6670</v>
      </c>
      <c r="H1599" t="s">
        <v>6671</v>
      </c>
      <c r="I1599" t="s">
        <v>451</v>
      </c>
      <c r="J1599" t="s">
        <v>22</v>
      </c>
      <c r="K1599" t="s">
        <v>14347</v>
      </c>
      <c r="L1599" t="s">
        <v>14350</v>
      </c>
      <c r="M1599" t="s">
        <v>25</v>
      </c>
      <c r="N1599" t="s">
        <v>14351</v>
      </c>
      <c r="O1599" t="s">
        <v>25</v>
      </c>
      <c r="P1599" t="s">
        <v>14352</v>
      </c>
      <c r="Q1599" t="s">
        <v>29</v>
      </c>
      <c r="R1599" t="s">
        <v>14348</v>
      </c>
      <c r="S1599" t="s">
        <v>14349</v>
      </c>
    </row>
    <row r="1600" spans="1:19" x14ac:dyDescent="0.25">
      <c r="A1600" s="1">
        <v>1598</v>
      </c>
      <c r="B1600" t="str">
        <f>HYPERLINK("https://www.dasschnelle.at/sommer-schuh-und-orthopädie-gmbh-bruck-an-der-mur-minoritenplatz","Website")</f>
        <v>Website</v>
      </c>
      <c r="C1600" t="str">
        <f>HYPERLINK("http://www.orthopaedie-steiermark.at","Website")</f>
        <v>Website</v>
      </c>
      <c r="D1600" t="str">
        <f>HYPERLINK("http://www.google.com/maps/place/47.54514,15.55964","Location")</f>
        <v>Location</v>
      </c>
      <c r="E1600" t="s">
        <v>14353</v>
      </c>
      <c r="F1600" t="s">
        <v>14354</v>
      </c>
      <c r="G1600" t="s">
        <v>3052</v>
      </c>
      <c r="H1600" t="s">
        <v>3053</v>
      </c>
      <c r="I1600" t="s">
        <v>451</v>
      </c>
      <c r="J1600" t="s">
        <v>22</v>
      </c>
      <c r="K1600" t="s">
        <v>14355</v>
      </c>
      <c r="L1600" t="s">
        <v>14358</v>
      </c>
      <c r="M1600" t="s">
        <v>25</v>
      </c>
      <c r="N1600" t="s">
        <v>14359</v>
      </c>
      <c r="O1600" t="s">
        <v>25</v>
      </c>
      <c r="P1600" t="s">
        <v>14360</v>
      </c>
      <c r="Q1600" t="s">
        <v>29</v>
      </c>
      <c r="R1600" t="s">
        <v>14356</v>
      </c>
      <c r="S1600" t="s">
        <v>14357</v>
      </c>
    </row>
    <row r="1601" spans="1:19" x14ac:dyDescent="0.25">
      <c r="A1601" s="1">
        <v>1599</v>
      </c>
      <c r="B1601" t="str">
        <f>HYPERLINK("https://www.dasschnelle.at/sommer-schuh-u-orthopädie-gmbh-mürzzuschlag-wiener-straße","Website")</f>
        <v>Website</v>
      </c>
      <c r="C1601" t="str">
        <f>HYPERLINK("http://www.orthopaedie-steiermark.at","Website")</f>
        <v>Website</v>
      </c>
      <c r="D1601" t="str">
        <f>HYPERLINK("http://www.google.com/maps/place/47.54514,15.55964","Location")</f>
        <v>Location</v>
      </c>
      <c r="E1601" t="s">
        <v>14361</v>
      </c>
      <c r="F1601" t="s">
        <v>14362</v>
      </c>
      <c r="G1601" t="s">
        <v>6670</v>
      </c>
      <c r="H1601" t="s">
        <v>6671</v>
      </c>
      <c r="I1601" t="s">
        <v>451</v>
      </c>
      <c r="J1601" t="s">
        <v>22</v>
      </c>
      <c r="K1601" t="s">
        <v>3361</v>
      </c>
      <c r="L1601" t="s">
        <v>14363</v>
      </c>
      <c r="M1601" t="s">
        <v>25</v>
      </c>
      <c r="N1601" t="s">
        <v>14359</v>
      </c>
      <c r="O1601" t="s">
        <v>25</v>
      </c>
      <c r="P1601" t="s">
        <v>14364</v>
      </c>
      <c r="Q1601" t="s">
        <v>29</v>
      </c>
      <c r="R1601" t="s">
        <v>14356</v>
      </c>
      <c r="S1601" t="s">
        <v>14357</v>
      </c>
    </row>
    <row r="1602" spans="1:19" x14ac:dyDescent="0.25">
      <c r="A1602" s="1">
        <v>1600</v>
      </c>
      <c r="B1602" t="str">
        <f>HYPERLINK("https://www.dasschnelle.at/sommer-schuh-u-othopädie-gmbh-krieglach-hauptplatz","Website")</f>
        <v>Website</v>
      </c>
      <c r="C1602" t="str">
        <f>HYPERLINK("http://www.orthopaedie-steiermark.at","Website")</f>
        <v>Website</v>
      </c>
      <c r="D1602" t="str">
        <f>HYPERLINK("http://www.google.com/maps/place/47.54514,15.55964","Location")</f>
        <v>Location</v>
      </c>
      <c r="E1602" t="s">
        <v>14365</v>
      </c>
      <c r="F1602" t="s">
        <v>14366</v>
      </c>
      <c r="G1602" t="s">
        <v>14367</v>
      </c>
      <c r="H1602" t="s">
        <v>14368</v>
      </c>
      <c r="I1602" t="s">
        <v>451</v>
      </c>
      <c r="J1602" t="s">
        <v>22</v>
      </c>
      <c r="K1602" t="s">
        <v>11223</v>
      </c>
      <c r="L1602" t="s">
        <v>14369</v>
      </c>
      <c r="M1602" t="s">
        <v>25</v>
      </c>
      <c r="N1602" t="s">
        <v>14359</v>
      </c>
      <c r="O1602" t="s">
        <v>25</v>
      </c>
      <c r="P1602" t="s">
        <v>14370</v>
      </c>
      <c r="Q1602" t="s">
        <v>29</v>
      </c>
      <c r="R1602" t="s">
        <v>14356</v>
      </c>
      <c r="S1602" t="s">
        <v>14357</v>
      </c>
    </row>
    <row r="1603" spans="1:19" x14ac:dyDescent="0.25">
      <c r="A1603" s="1">
        <v>1601</v>
      </c>
      <c r="B1603" t="str">
        <f>HYPERLINK("https://www.dasschnelle.at/filzwieser-herbert-krieglach-freßnitzstraße","Website")</f>
        <v>Website</v>
      </c>
      <c r="C1603" t="str">
        <f>HYPERLINK("http://www.filzwieser.at","Website")</f>
        <v>Website</v>
      </c>
      <c r="D1603" t="str">
        <f>HYPERLINK("http://www.google.com/maps/place/47.54174,15.53666","Location")</f>
        <v>Location</v>
      </c>
      <c r="E1603" t="s">
        <v>14371</v>
      </c>
      <c r="F1603" t="s">
        <v>14372</v>
      </c>
      <c r="G1603" t="s">
        <v>14367</v>
      </c>
      <c r="H1603" t="s">
        <v>14368</v>
      </c>
      <c r="I1603" t="s">
        <v>451</v>
      </c>
      <c r="J1603" t="s">
        <v>22</v>
      </c>
      <c r="K1603" t="s">
        <v>14373</v>
      </c>
      <c r="L1603" t="s">
        <v>14376</v>
      </c>
      <c r="M1603" t="s">
        <v>25</v>
      </c>
      <c r="N1603" t="s">
        <v>14377</v>
      </c>
      <c r="O1603" t="s">
        <v>25</v>
      </c>
      <c r="P1603" t="s">
        <v>14378</v>
      </c>
      <c r="Q1603" t="s">
        <v>29</v>
      </c>
      <c r="R1603" t="s">
        <v>14374</v>
      </c>
      <c r="S1603" t="s">
        <v>14375</v>
      </c>
    </row>
    <row r="1604" spans="1:19" x14ac:dyDescent="0.25">
      <c r="A1604" s="1">
        <v>1602</v>
      </c>
      <c r="B1604" t="str">
        <f>HYPERLINK("https://www.dasschnelle.at/radsport-waldherr-podersdorf-am-see-hauptstraße","Website")</f>
        <v>Website</v>
      </c>
      <c r="C1604" t="str">
        <f>HYPERLINK("http://www.radsport-waldherr.at","Website")</f>
        <v>Website</v>
      </c>
      <c r="D1604" t="str">
        <f>HYPERLINK("http://www.google.com/maps/place/47.85282,16.83867","Location")</f>
        <v>Location</v>
      </c>
      <c r="E1604" t="s">
        <v>14379</v>
      </c>
      <c r="F1604" t="s">
        <v>14380</v>
      </c>
      <c r="G1604" t="s">
        <v>1873</v>
      </c>
      <c r="H1604" t="s">
        <v>1874</v>
      </c>
      <c r="I1604" t="s">
        <v>1834</v>
      </c>
      <c r="J1604" t="s">
        <v>22</v>
      </c>
      <c r="K1604" t="s">
        <v>10457</v>
      </c>
      <c r="L1604" t="s">
        <v>14383</v>
      </c>
      <c r="M1604" t="s">
        <v>25</v>
      </c>
      <c r="N1604" t="s">
        <v>14384</v>
      </c>
      <c r="O1604" t="s">
        <v>25</v>
      </c>
      <c r="P1604" t="s">
        <v>14385</v>
      </c>
      <c r="Q1604" t="s">
        <v>29</v>
      </c>
      <c r="R1604" t="s">
        <v>14381</v>
      </c>
      <c r="S1604" t="s">
        <v>14382</v>
      </c>
    </row>
    <row r="1605" spans="1:19" x14ac:dyDescent="0.25">
      <c r="A1605" s="1">
        <v>1603</v>
      </c>
      <c r="B1605" t="str">
        <f>HYPERLINK("https://www.dasschnelle.at/peter-auer-zimmerei-holzbau-gmbh-und-co-kg-abtenau-au","Website")</f>
        <v>Website</v>
      </c>
      <c r="C1605" t="str">
        <f>HYPERLINK("http://www.holzbau-peterauer.at","Website")</f>
        <v>Website</v>
      </c>
      <c r="D1605" t="str">
        <f>HYPERLINK("http://www.google.com/maps/place/47.5586534,13.3538528","Location")</f>
        <v>Location</v>
      </c>
      <c r="E1605" t="s">
        <v>14386</v>
      </c>
      <c r="F1605" t="s">
        <v>14387</v>
      </c>
      <c r="G1605" t="s">
        <v>7614</v>
      </c>
      <c r="H1605" t="s">
        <v>7615</v>
      </c>
      <c r="I1605" t="s">
        <v>2239</v>
      </c>
      <c r="J1605" t="s">
        <v>22</v>
      </c>
      <c r="K1605" t="s">
        <v>7613</v>
      </c>
      <c r="L1605" t="s">
        <v>14388</v>
      </c>
      <c r="M1605" t="s">
        <v>25</v>
      </c>
      <c r="N1605" t="s">
        <v>7619</v>
      </c>
      <c r="O1605" t="s">
        <v>14389</v>
      </c>
      <c r="P1605" t="s">
        <v>14390</v>
      </c>
      <c r="Q1605" t="s">
        <v>29</v>
      </c>
      <c r="R1605" t="s">
        <v>7616</v>
      </c>
      <c r="S1605" t="s">
        <v>7617</v>
      </c>
    </row>
    <row r="1606" spans="1:19" x14ac:dyDescent="0.25">
      <c r="A1606" s="1">
        <v>1604</v>
      </c>
      <c r="B1606" t="str">
        <f>HYPERLINK("https://www.dasschnelle.at/franz-gartner-illmitz-apetlonerstraße","Website")</f>
        <v>Website</v>
      </c>
      <c r="C1606" t="str">
        <f>HYPERLINK("https://www.dasschnelle.at/franz-gartner-illmitz-apetlonerstra%C3%9Fe","Website")</f>
        <v>Website</v>
      </c>
      <c r="D1606" t="str">
        <f>HYPERLINK("http://www.google.com/maps/place/47.76227,16.80426","Location")</f>
        <v>Location</v>
      </c>
      <c r="E1606" t="s">
        <v>14391</v>
      </c>
      <c r="F1606" t="s">
        <v>14392</v>
      </c>
      <c r="G1606" t="s">
        <v>14394</v>
      </c>
      <c r="H1606" t="s">
        <v>14395</v>
      </c>
      <c r="I1606" t="s">
        <v>1834</v>
      </c>
      <c r="J1606" t="s">
        <v>22</v>
      </c>
      <c r="K1606" t="s">
        <v>14393</v>
      </c>
      <c r="L1606" t="s">
        <v>14398</v>
      </c>
      <c r="M1606" t="s">
        <v>25</v>
      </c>
      <c r="N1606" t="s">
        <v>14399</v>
      </c>
      <c r="O1606" t="s">
        <v>25</v>
      </c>
      <c r="P1606" t="s">
        <v>14400</v>
      </c>
      <c r="Q1606" t="s">
        <v>29</v>
      </c>
      <c r="R1606" t="s">
        <v>14396</v>
      </c>
      <c r="S1606" t="s">
        <v>14397</v>
      </c>
    </row>
    <row r="1607" spans="1:19" x14ac:dyDescent="0.25">
      <c r="A1607" s="1">
        <v>1605</v>
      </c>
      <c r="B1607" t="str">
        <f>HYPERLINK("https://www.dasschnelle.at/hofbauer-und-nokaj-rechtsanwalts-gmbh-ybbs-an-der-donau-hauptplatz","Website")</f>
        <v>Website</v>
      </c>
      <c r="C1607" t="str">
        <f>HYPERLINK("http://www.rechtsanwalt-hofbauer-nokaj.at","Website")</f>
        <v>Website</v>
      </c>
      <c r="D1607" t="str">
        <f>HYPERLINK("http://www.google.com/maps/place/48.1773589,15.0856169","Location")</f>
        <v>Location</v>
      </c>
      <c r="E1607" t="s">
        <v>14401</v>
      </c>
      <c r="F1607" t="s">
        <v>14402</v>
      </c>
      <c r="G1607" t="s">
        <v>6019</v>
      </c>
      <c r="H1607" t="s">
        <v>6195</v>
      </c>
      <c r="I1607" t="s">
        <v>177</v>
      </c>
      <c r="J1607" t="s">
        <v>22</v>
      </c>
      <c r="K1607" t="s">
        <v>1594</v>
      </c>
      <c r="L1607" t="s">
        <v>14405</v>
      </c>
      <c r="M1607" t="s">
        <v>25</v>
      </c>
      <c r="N1607" t="s">
        <v>14406</v>
      </c>
      <c r="O1607" t="s">
        <v>25</v>
      </c>
      <c r="P1607" t="s">
        <v>14407</v>
      </c>
      <c r="Q1607" t="s">
        <v>29</v>
      </c>
      <c r="R1607" t="s">
        <v>14403</v>
      </c>
      <c r="S1607" t="s">
        <v>14404</v>
      </c>
    </row>
    <row r="1608" spans="1:19" x14ac:dyDescent="0.25">
      <c r="A1608" s="1">
        <v>1606</v>
      </c>
      <c r="B1608" t="str">
        <f>HYPERLINK("https://www.dasschnelle.at/möbel-peer-bad-aussee-grundlseer-straße","Website")</f>
        <v>Website</v>
      </c>
      <c r="C1608" t="str">
        <f>HYPERLINK("http://www.moebelpeer.at","Website")</f>
        <v>Website</v>
      </c>
      <c r="D1608" t="str">
        <f>HYPERLINK("http://www.google.com/maps/place/47.61323,13.79002","Location")</f>
        <v>Location</v>
      </c>
      <c r="E1608" t="s">
        <v>14408</v>
      </c>
      <c r="F1608" t="s">
        <v>14409</v>
      </c>
      <c r="G1608" t="s">
        <v>1195</v>
      </c>
      <c r="H1608" t="s">
        <v>1196</v>
      </c>
      <c r="I1608" t="s">
        <v>451</v>
      </c>
      <c r="J1608" t="s">
        <v>22</v>
      </c>
      <c r="K1608" t="s">
        <v>14410</v>
      </c>
      <c r="L1608" t="s">
        <v>14413</v>
      </c>
      <c r="M1608" t="s">
        <v>14414</v>
      </c>
      <c r="N1608" t="s">
        <v>14415</v>
      </c>
      <c r="O1608" t="s">
        <v>25</v>
      </c>
      <c r="P1608" t="s">
        <v>14416</v>
      </c>
      <c r="Q1608" t="s">
        <v>29</v>
      </c>
      <c r="R1608" t="s">
        <v>14411</v>
      </c>
      <c r="S1608" t="s">
        <v>14412</v>
      </c>
    </row>
    <row r="1609" spans="1:19" x14ac:dyDescent="0.25">
      <c r="A1609" s="1">
        <v>1607</v>
      </c>
      <c r="B1609" t="str">
        <f>HYPERLINK("https://www.dasschnelle.at/grebien-peter-schrift-design-grebien-gmbh-bruck-an-der-mur-bergstraße","Website")</f>
        <v>Website</v>
      </c>
      <c r="C1609" t="str">
        <f>HYPERLINK("http://www.gebien-design.at","Website")</f>
        <v>Website</v>
      </c>
      <c r="D1609" t="str">
        <f>HYPERLINK("http://www.google.com/maps/place/47.41315,15.26104","Location")</f>
        <v>Location</v>
      </c>
      <c r="E1609" t="s">
        <v>14417</v>
      </c>
      <c r="F1609" t="s">
        <v>14418</v>
      </c>
      <c r="G1609" t="s">
        <v>3052</v>
      </c>
      <c r="H1609" t="s">
        <v>3053</v>
      </c>
      <c r="I1609" t="s">
        <v>451</v>
      </c>
      <c r="J1609" t="s">
        <v>22</v>
      </c>
      <c r="K1609" t="s">
        <v>14419</v>
      </c>
      <c r="L1609" t="s">
        <v>14422</v>
      </c>
      <c r="M1609" t="s">
        <v>14423</v>
      </c>
      <c r="N1609" t="s">
        <v>14424</v>
      </c>
      <c r="O1609" t="s">
        <v>14425</v>
      </c>
      <c r="P1609" t="s">
        <v>14426</v>
      </c>
      <c r="Q1609" t="s">
        <v>29</v>
      </c>
      <c r="R1609" t="s">
        <v>14420</v>
      </c>
      <c r="S1609" t="s">
        <v>14421</v>
      </c>
    </row>
    <row r="1610" spans="1:19" x14ac:dyDescent="0.25">
      <c r="A1610" s="1">
        <v>1608</v>
      </c>
      <c r="B1610" t="str">
        <f>HYPERLINK("https://www.dasschnelle.at/sajowitz-franz-kg-dachdeckerei-u-spenglerei-in-kapfenberg-kapfenberg-hafendorf","Website")</f>
        <v>Website</v>
      </c>
      <c r="C1610" t="str">
        <f>HYPERLINK("http://www.sajowitz-kapfenberg.at","Website")</f>
        <v>Website</v>
      </c>
      <c r="D1610" t="str">
        <f>HYPERLINK("http://www.google.com/maps/place/47.4554525,15.3186358","Location")</f>
        <v>Location</v>
      </c>
      <c r="E1610" t="s">
        <v>14427</v>
      </c>
      <c r="F1610" t="s">
        <v>14428</v>
      </c>
      <c r="G1610" t="s">
        <v>14430</v>
      </c>
      <c r="H1610" t="s">
        <v>14431</v>
      </c>
      <c r="I1610" t="s">
        <v>451</v>
      </c>
      <c r="J1610" t="s">
        <v>22</v>
      </c>
      <c r="K1610" t="s">
        <v>14429</v>
      </c>
      <c r="L1610" t="s">
        <v>14434</v>
      </c>
      <c r="M1610" t="s">
        <v>25</v>
      </c>
      <c r="N1610" t="s">
        <v>14435</v>
      </c>
      <c r="O1610" t="s">
        <v>14436</v>
      </c>
      <c r="P1610" t="s">
        <v>14437</v>
      </c>
      <c r="Q1610" t="s">
        <v>29</v>
      </c>
      <c r="R1610" t="s">
        <v>14432</v>
      </c>
      <c r="S1610" t="s">
        <v>14433</v>
      </c>
    </row>
    <row r="1611" spans="1:19" x14ac:dyDescent="0.25">
      <c r="A1611" s="1">
        <v>1609</v>
      </c>
      <c r="B1611" t="str">
        <f>HYPERLINK("https://www.dasschnelle.at/zeilbauer-christian-sankt-marein-im-mürztal-hauptstraße","Website")</f>
        <v>Website</v>
      </c>
      <c r="C1611" t="str">
        <f>HYPERLINK("http://www.zeilbauer.at","Website")</f>
        <v>Website</v>
      </c>
      <c r="D1611" t="str">
        <f>HYPERLINK("http://www.google.com/maps/place/47.47269,15.36567","Location")</f>
        <v>Location</v>
      </c>
      <c r="E1611" t="s">
        <v>14438</v>
      </c>
      <c r="F1611" t="s">
        <v>14439</v>
      </c>
      <c r="G1611" t="s">
        <v>3081</v>
      </c>
      <c r="H1611" t="s">
        <v>3082</v>
      </c>
      <c r="I1611" t="s">
        <v>451</v>
      </c>
      <c r="J1611" t="s">
        <v>22</v>
      </c>
      <c r="K1611" t="s">
        <v>14440</v>
      </c>
      <c r="L1611" t="s">
        <v>14443</v>
      </c>
      <c r="M1611" t="s">
        <v>14444</v>
      </c>
      <c r="N1611" t="s">
        <v>14445</v>
      </c>
      <c r="O1611" t="s">
        <v>25</v>
      </c>
      <c r="P1611" t="s">
        <v>14446</v>
      </c>
      <c r="Q1611" t="s">
        <v>29</v>
      </c>
      <c r="R1611" t="s">
        <v>14441</v>
      </c>
      <c r="S1611" t="s">
        <v>14442</v>
      </c>
    </row>
    <row r="1612" spans="1:19" x14ac:dyDescent="0.25">
      <c r="A1612" s="1">
        <v>1610</v>
      </c>
      <c r="B1612" t="str">
        <f>HYPERLINK("https://www.dasschnelle.at/bestattung-lesiak-konrad-sankt-gilgen-claus-von-gagernweg","Website")</f>
        <v>Website</v>
      </c>
      <c r="C1612" t="str">
        <f>HYPERLINK("http://www.bestattung-lesiak.at","Website")</f>
        <v>Website</v>
      </c>
      <c r="D1612" t="str">
        <f>HYPERLINK("http://www.google.com/maps/place/47.77488,13.35962","Location")</f>
        <v>Location</v>
      </c>
      <c r="E1612" t="s">
        <v>14447</v>
      </c>
      <c r="F1612" t="s">
        <v>14448</v>
      </c>
      <c r="G1612" t="s">
        <v>2326</v>
      </c>
      <c r="H1612" t="s">
        <v>2327</v>
      </c>
      <c r="I1612" t="s">
        <v>2239</v>
      </c>
      <c r="J1612" t="s">
        <v>22</v>
      </c>
      <c r="K1612" t="s">
        <v>14449</v>
      </c>
      <c r="L1612" t="s">
        <v>14452</v>
      </c>
      <c r="M1612" t="s">
        <v>25</v>
      </c>
      <c r="N1612" t="s">
        <v>14453</v>
      </c>
      <c r="O1612" t="s">
        <v>25</v>
      </c>
      <c r="P1612" t="s">
        <v>14454</v>
      </c>
      <c r="Q1612" t="s">
        <v>29</v>
      </c>
      <c r="R1612" t="s">
        <v>14450</v>
      </c>
      <c r="S1612" t="s">
        <v>14451</v>
      </c>
    </row>
    <row r="1613" spans="1:19" x14ac:dyDescent="0.25">
      <c r="A1613" s="1">
        <v>1611</v>
      </c>
      <c r="B1613" t="str">
        <f>HYPERLINK("https://www.dasschnelle.at/jurak-gmbh-kapfenberg-mariazeller-straße","Website")</f>
        <v>Website</v>
      </c>
      <c r="C1613" t="str">
        <f>HYPERLINK("http://www.jurakgmbh.at","Website")</f>
        <v>Website</v>
      </c>
      <c r="D1613" t="str">
        <f>HYPERLINK("http://www.google.com/maps/place/47.44883,15.2756","Location")</f>
        <v>Location</v>
      </c>
      <c r="E1613" t="s">
        <v>14455</v>
      </c>
      <c r="F1613" t="s">
        <v>14456</v>
      </c>
      <c r="G1613" t="s">
        <v>14430</v>
      </c>
      <c r="H1613" t="s">
        <v>14431</v>
      </c>
      <c r="I1613" t="s">
        <v>451</v>
      </c>
      <c r="J1613" t="s">
        <v>22</v>
      </c>
      <c r="K1613" t="s">
        <v>14457</v>
      </c>
      <c r="L1613" t="s">
        <v>14460</v>
      </c>
      <c r="M1613" t="s">
        <v>25</v>
      </c>
      <c r="N1613" t="s">
        <v>14461</v>
      </c>
      <c r="O1613" t="s">
        <v>14462</v>
      </c>
      <c r="P1613" t="s">
        <v>14463</v>
      </c>
      <c r="Q1613" t="s">
        <v>29</v>
      </c>
      <c r="R1613" t="s">
        <v>14458</v>
      </c>
      <c r="S1613" t="s">
        <v>14459</v>
      </c>
    </row>
    <row r="1614" spans="1:19" x14ac:dyDescent="0.25">
      <c r="A1614" s="1">
        <v>1612</v>
      </c>
      <c r="B1614" t="str">
        <f>HYPERLINK("https://www.dasschnelle.at/wohninsel-geschenke-kindberg-hauptstraße","Website")</f>
        <v>Website</v>
      </c>
      <c r="C1614" t="str">
        <f>HYPERLINK("http://www.fladischer-wohninsel.at","Website")</f>
        <v>Website</v>
      </c>
      <c r="D1614" t="str">
        <f>HYPERLINK("http://www.google.com/maps/place/47.5046,15.44759","Location")</f>
        <v>Location</v>
      </c>
      <c r="E1614" t="s">
        <v>14464</v>
      </c>
      <c r="F1614" t="s">
        <v>14465</v>
      </c>
      <c r="G1614" t="s">
        <v>6633</v>
      </c>
      <c r="H1614" t="s">
        <v>6634</v>
      </c>
      <c r="I1614" t="s">
        <v>451</v>
      </c>
      <c r="J1614" t="s">
        <v>22</v>
      </c>
      <c r="K1614" t="s">
        <v>14466</v>
      </c>
      <c r="L1614" t="s">
        <v>14469</v>
      </c>
      <c r="M1614" t="s">
        <v>25</v>
      </c>
      <c r="N1614" t="s">
        <v>14470</v>
      </c>
      <c r="O1614" t="s">
        <v>25</v>
      </c>
      <c r="P1614" t="s">
        <v>14471</v>
      </c>
      <c r="Q1614" t="s">
        <v>29</v>
      </c>
      <c r="R1614" t="s">
        <v>14467</v>
      </c>
      <c r="S1614" t="s">
        <v>14468</v>
      </c>
    </row>
    <row r="1615" spans="1:19" x14ac:dyDescent="0.25">
      <c r="A1615" s="1">
        <v>1613</v>
      </c>
      <c r="B1615" t="str">
        <f>HYPERLINK("https://www.dasschnelle.at/gollner-gmbh-kapfenberg-anton-buchalka-straße","Website")</f>
        <v>Website</v>
      </c>
      <c r="C1615" t="str">
        <f>HYPERLINK("http://www.gollnerdach-garten.at","Website")</f>
        <v>Website</v>
      </c>
      <c r="D1615" t="str">
        <f>HYPERLINK("http://www.google.com/maps/place/47.44575,15.29063","Location")</f>
        <v>Location</v>
      </c>
      <c r="E1615" t="s">
        <v>14472</v>
      </c>
      <c r="F1615" t="s">
        <v>14473</v>
      </c>
      <c r="G1615" t="s">
        <v>14430</v>
      </c>
      <c r="H1615" t="s">
        <v>14431</v>
      </c>
      <c r="I1615" t="s">
        <v>451</v>
      </c>
      <c r="J1615" t="s">
        <v>22</v>
      </c>
      <c r="K1615" t="s">
        <v>14474</v>
      </c>
      <c r="L1615" t="s">
        <v>14477</v>
      </c>
      <c r="M1615" t="s">
        <v>14478</v>
      </c>
      <c r="N1615" t="s">
        <v>14479</v>
      </c>
      <c r="O1615" t="s">
        <v>14480</v>
      </c>
      <c r="P1615" t="s">
        <v>14481</v>
      </c>
      <c r="Q1615" t="s">
        <v>29</v>
      </c>
      <c r="R1615" t="s">
        <v>14475</v>
      </c>
      <c r="S1615" t="s">
        <v>14476</v>
      </c>
    </row>
    <row r="1616" spans="1:19" x14ac:dyDescent="0.25">
      <c r="A1616" s="1">
        <v>1614</v>
      </c>
      <c r="B1616" t="str">
        <f>HYPERLINK("https://www.dasschnelle.at/kohlhuber-herbert-stanz-im-mürztal-stanz-im-mürztal","Website")</f>
        <v>Website</v>
      </c>
      <c r="C1616" t="str">
        <f>HYPERLINK("https://www.dasschnelle.at/kohlhuber-herbert-stanz-im-m%C3%BCrztal-stanz-im-m%C3%BCrztal","Website")</f>
        <v>Website</v>
      </c>
      <c r="D1616" t="str">
        <f>HYPERLINK("http://www.google.com/maps/place/47.4653193,15.5083987","Location")</f>
        <v>Location</v>
      </c>
      <c r="E1616" t="s">
        <v>14482</v>
      </c>
      <c r="F1616" t="s">
        <v>14483</v>
      </c>
      <c r="G1616" t="s">
        <v>6680</v>
      </c>
      <c r="H1616" t="s">
        <v>6681</v>
      </c>
      <c r="I1616" t="s">
        <v>451</v>
      </c>
      <c r="J1616" t="s">
        <v>22</v>
      </c>
      <c r="K1616" t="s">
        <v>14484</v>
      </c>
      <c r="L1616" t="s">
        <v>14487</v>
      </c>
      <c r="M1616" t="s">
        <v>25</v>
      </c>
      <c r="N1616" t="s">
        <v>14488</v>
      </c>
      <c r="O1616" t="s">
        <v>25</v>
      </c>
      <c r="P1616" t="s">
        <v>14489</v>
      </c>
      <c r="Q1616" t="s">
        <v>29</v>
      </c>
      <c r="R1616" t="s">
        <v>14485</v>
      </c>
      <c r="S1616" t="s">
        <v>14486</v>
      </c>
    </row>
    <row r="1617" spans="1:19" x14ac:dyDescent="0.25">
      <c r="A1617" s="1">
        <v>1615</v>
      </c>
      <c r="B1617" t="str">
        <f>HYPERLINK("https://www.dasschnelle.at/landesverband-vom-roten-kreuz-bezirksstelle-hainburg-hainburg-an-der-donau-rotkreuzstr","Website")</f>
        <v>Website</v>
      </c>
      <c r="C1617" t="str">
        <f>HYPERLINK("http://www.roteskreuz.at/niederoesterreich/hainburg/home","Website")</f>
        <v>Website</v>
      </c>
      <c r="D1617" t="str">
        <f>HYPERLINK("http://www.google.com/maps/place/48.1436585,16.9595076","Location")</f>
        <v>Location</v>
      </c>
      <c r="E1617" t="s">
        <v>14490</v>
      </c>
      <c r="F1617" t="s">
        <v>14491</v>
      </c>
      <c r="G1617" t="s">
        <v>1822</v>
      </c>
      <c r="H1617" t="s">
        <v>1823</v>
      </c>
      <c r="I1617" t="s">
        <v>177</v>
      </c>
      <c r="J1617" t="s">
        <v>22</v>
      </c>
      <c r="K1617" t="s">
        <v>14492</v>
      </c>
      <c r="L1617" t="s">
        <v>14495</v>
      </c>
      <c r="M1617" t="s">
        <v>25</v>
      </c>
      <c r="N1617" t="s">
        <v>14496</v>
      </c>
      <c r="O1617" t="s">
        <v>25</v>
      </c>
      <c r="P1617" t="s">
        <v>14497</v>
      </c>
      <c r="Q1617" t="s">
        <v>29</v>
      </c>
      <c r="R1617" t="s">
        <v>14493</v>
      </c>
      <c r="S1617" t="s">
        <v>14494</v>
      </c>
    </row>
    <row r="1618" spans="1:19" x14ac:dyDescent="0.25">
      <c r="A1618" s="1">
        <v>1616</v>
      </c>
      <c r="B1618" t="str">
        <f>HYPERLINK("https://www.dasschnelle.at/fernsebner-baugesmbh-unken-unken","Website")</f>
        <v>Website</v>
      </c>
      <c r="C1618" t="str">
        <f>HYPERLINK("http://www.fernsebner-bau.at","Website")</f>
        <v>Website</v>
      </c>
      <c r="D1618" t="str">
        <f>HYPERLINK("http://www.google.com/maps/place/47.6440761,12.7168010","Location")</f>
        <v>Location</v>
      </c>
      <c r="E1618" t="s">
        <v>14498</v>
      </c>
      <c r="F1618" t="s">
        <v>14499</v>
      </c>
      <c r="G1618" t="s">
        <v>14501</v>
      </c>
      <c r="H1618" t="s">
        <v>14502</v>
      </c>
      <c r="I1618" t="s">
        <v>2239</v>
      </c>
      <c r="J1618" t="s">
        <v>22</v>
      </c>
      <c r="K1618" t="s">
        <v>14500</v>
      </c>
      <c r="L1618" t="s">
        <v>14505</v>
      </c>
      <c r="M1618" t="s">
        <v>25</v>
      </c>
      <c r="N1618" t="s">
        <v>14506</v>
      </c>
      <c r="O1618" t="s">
        <v>25</v>
      </c>
      <c r="P1618" t="s">
        <v>14507</v>
      </c>
      <c r="Q1618" t="s">
        <v>29</v>
      </c>
      <c r="R1618" t="s">
        <v>14503</v>
      </c>
      <c r="S1618" t="s">
        <v>14504</v>
      </c>
    </row>
    <row r="1619" spans="1:19" x14ac:dyDescent="0.25">
      <c r="A1619" s="1">
        <v>1617</v>
      </c>
      <c r="B1619" t="str">
        <f>HYPERLINK("https://www.dasschnelle.at/petritsch-georg-dr-bad-aussee-chlumeckyplatz","Website")</f>
        <v>Website</v>
      </c>
      <c r="C1619" t="str">
        <f>HYPERLINK("http://www.ra-petritsch.at","Website")</f>
        <v>Website</v>
      </c>
      <c r="D1619" t="str">
        <f>HYPERLINK("http://www.google.com/maps/place/47.61117,13.78462","Location")</f>
        <v>Location</v>
      </c>
      <c r="E1619" t="s">
        <v>14508</v>
      </c>
      <c r="F1619" t="s">
        <v>14509</v>
      </c>
      <c r="G1619" t="s">
        <v>1195</v>
      </c>
      <c r="H1619" t="s">
        <v>1196</v>
      </c>
      <c r="I1619" t="s">
        <v>451</v>
      </c>
      <c r="J1619" t="s">
        <v>22</v>
      </c>
      <c r="K1619" t="s">
        <v>14510</v>
      </c>
      <c r="L1619" t="s">
        <v>14513</v>
      </c>
      <c r="M1619" t="s">
        <v>14514</v>
      </c>
      <c r="N1619" t="s">
        <v>14515</v>
      </c>
      <c r="O1619" t="s">
        <v>25</v>
      </c>
      <c r="P1619" t="s">
        <v>14516</v>
      </c>
      <c r="Q1619" t="s">
        <v>29</v>
      </c>
      <c r="R1619" t="s">
        <v>14511</v>
      </c>
      <c r="S1619" t="s">
        <v>14512</v>
      </c>
    </row>
    <row r="1620" spans="1:19" x14ac:dyDescent="0.25">
      <c r="A1620" s="1">
        <v>1618</v>
      </c>
      <c r="B1620" t="str">
        <f>HYPERLINK("https://www.dasschnelle.at/schwarzl-robert-aflenz","Website")</f>
        <v>Website</v>
      </c>
      <c r="C1620" t="str">
        <f>HYPERLINK("http://www.kfz-technik-schwarzl.at","Website")</f>
        <v>Website</v>
      </c>
      <c r="D1620" t="str">
        <f>HYPERLINK("http://www.google.com/maps/place/47.5375745,15.2385135","Location")</f>
        <v>Location</v>
      </c>
      <c r="E1620" t="s">
        <v>14517</v>
      </c>
      <c r="F1620" t="s">
        <v>14518</v>
      </c>
      <c r="G1620" t="s">
        <v>14519</v>
      </c>
      <c r="H1620" t="s">
        <v>14520</v>
      </c>
      <c r="I1620" t="s">
        <v>451</v>
      </c>
      <c r="J1620" t="s">
        <v>22</v>
      </c>
      <c r="K1620" t="s">
        <v>25</v>
      </c>
      <c r="L1620" t="s">
        <v>14523</v>
      </c>
      <c r="M1620" t="s">
        <v>25</v>
      </c>
      <c r="N1620" t="s">
        <v>14524</v>
      </c>
      <c r="O1620" t="s">
        <v>25</v>
      </c>
      <c r="P1620" t="s">
        <v>14525</v>
      </c>
      <c r="Q1620" t="s">
        <v>29</v>
      </c>
      <c r="R1620" t="s">
        <v>14521</v>
      </c>
      <c r="S1620" t="s">
        <v>14522</v>
      </c>
    </row>
    <row r="1621" spans="1:19" x14ac:dyDescent="0.25">
      <c r="A1621" s="1">
        <v>1619</v>
      </c>
      <c r="B1621" t="str">
        <f>HYPERLINK("https://www.dasschnelle.at/grünbichler-kurt-neuberg-an-der-mürz-lechen","Website")</f>
        <v>Website</v>
      </c>
      <c r="C1621" t="str">
        <f>HYPERLINK("http://www.tischlerei-gruenbichler.at","Website")</f>
        <v>Website</v>
      </c>
      <c r="D1621" t="str">
        <f>HYPERLINK("http://www.google.com/maps/place/47.6549483,15.6134744","Location")</f>
        <v>Location</v>
      </c>
      <c r="E1621" t="s">
        <v>14526</v>
      </c>
      <c r="F1621" t="s">
        <v>14527</v>
      </c>
      <c r="G1621" t="s">
        <v>6623</v>
      </c>
      <c r="H1621" t="s">
        <v>6624</v>
      </c>
      <c r="I1621" t="s">
        <v>451</v>
      </c>
      <c r="J1621" t="s">
        <v>22</v>
      </c>
      <c r="K1621" t="s">
        <v>14528</v>
      </c>
      <c r="L1621" t="s">
        <v>14531</v>
      </c>
      <c r="M1621" t="s">
        <v>25</v>
      </c>
      <c r="N1621" t="s">
        <v>14532</v>
      </c>
      <c r="O1621" t="s">
        <v>14533</v>
      </c>
      <c r="P1621" t="s">
        <v>14534</v>
      </c>
      <c r="Q1621" t="s">
        <v>29</v>
      </c>
      <c r="R1621" t="s">
        <v>14529</v>
      </c>
      <c r="S1621" t="s">
        <v>14530</v>
      </c>
    </row>
    <row r="1622" spans="1:19" x14ac:dyDescent="0.25">
      <c r="A1622" s="1">
        <v>1620</v>
      </c>
      <c r="B1622" t="str">
        <f>HYPERLINK("https://www.dasschnelle.at/nachbargauer-michael-bruck-an-der-mur-bahnweg","Website")</f>
        <v>Website</v>
      </c>
      <c r="C1622" t="str">
        <f>HYPERLINK("http://www.malerei-nachbargauer.at","Website")</f>
        <v>Website</v>
      </c>
      <c r="D1622" t="str">
        <f>HYPERLINK("http://www.google.com/maps/place/47.40545,15.27095","Location")</f>
        <v>Location</v>
      </c>
      <c r="E1622" t="s">
        <v>14535</v>
      </c>
      <c r="F1622" t="s">
        <v>14536</v>
      </c>
      <c r="G1622" t="s">
        <v>3052</v>
      </c>
      <c r="H1622" t="s">
        <v>3053</v>
      </c>
      <c r="I1622" t="s">
        <v>451</v>
      </c>
      <c r="J1622" t="s">
        <v>22</v>
      </c>
      <c r="K1622" t="s">
        <v>14537</v>
      </c>
      <c r="L1622" t="s">
        <v>14540</v>
      </c>
      <c r="M1622" t="s">
        <v>25</v>
      </c>
      <c r="N1622" t="s">
        <v>14541</v>
      </c>
      <c r="O1622" t="s">
        <v>14542</v>
      </c>
      <c r="P1622" t="s">
        <v>14543</v>
      </c>
      <c r="Q1622" t="s">
        <v>29</v>
      </c>
      <c r="R1622" t="s">
        <v>14538</v>
      </c>
      <c r="S1622" t="s">
        <v>14539</v>
      </c>
    </row>
    <row r="1623" spans="1:19" x14ac:dyDescent="0.25">
      <c r="A1623" s="1">
        <v>1621</v>
      </c>
      <c r="B1623" t="str">
        <f>HYPERLINK("https://www.dasschnelle.at/köppl-christian-kapfenberg-gustav-kramer-straße","Website")</f>
        <v>Website</v>
      </c>
      <c r="C1623" t="str">
        <f>HYPERLINK("http://www.maler-koeppl.at","Website")</f>
        <v>Website</v>
      </c>
      <c r="D1623" t="str">
        <f>HYPERLINK("http://www.google.com/maps/place/47.43312,15.27598","Location")</f>
        <v>Location</v>
      </c>
      <c r="E1623" t="s">
        <v>14544</v>
      </c>
      <c r="F1623" t="s">
        <v>14545</v>
      </c>
      <c r="G1623" t="s">
        <v>14430</v>
      </c>
      <c r="H1623" t="s">
        <v>14431</v>
      </c>
      <c r="I1623" t="s">
        <v>451</v>
      </c>
      <c r="J1623" t="s">
        <v>22</v>
      </c>
      <c r="K1623" t="s">
        <v>14546</v>
      </c>
      <c r="L1623" t="s">
        <v>14549</v>
      </c>
      <c r="M1623" t="s">
        <v>25</v>
      </c>
      <c r="N1623" t="s">
        <v>14550</v>
      </c>
      <c r="O1623" t="s">
        <v>14551</v>
      </c>
      <c r="P1623" t="s">
        <v>14552</v>
      </c>
      <c r="Q1623" t="s">
        <v>29</v>
      </c>
      <c r="R1623" t="s">
        <v>14547</v>
      </c>
      <c r="S1623" t="s">
        <v>14548</v>
      </c>
    </row>
    <row r="1624" spans="1:19" x14ac:dyDescent="0.25">
      <c r="A1624" s="1">
        <v>1622</v>
      </c>
      <c r="B1624" t="str">
        <f>HYPERLINK("https://www.dasschnelle.at/gangl-w-ing-gmbh-mönchhof-betriebsgebiet-nord","Website")</f>
        <v>Website</v>
      </c>
      <c r="C1624" t="str">
        <f>HYPERLINK("http://www.gangl-haustechnik.at","Website")</f>
        <v>Website</v>
      </c>
      <c r="D1624" t="str">
        <f>HYPERLINK("http://www.google.com/maps/place/47.88956,16.95603","Location")</f>
        <v>Location</v>
      </c>
      <c r="E1624" t="s">
        <v>14553</v>
      </c>
      <c r="F1624" t="s">
        <v>14554</v>
      </c>
      <c r="G1624" t="s">
        <v>1958</v>
      </c>
      <c r="H1624" t="s">
        <v>1959</v>
      </c>
      <c r="I1624" t="s">
        <v>1834</v>
      </c>
      <c r="J1624" t="s">
        <v>22</v>
      </c>
      <c r="K1624" t="s">
        <v>14555</v>
      </c>
      <c r="L1624" t="s">
        <v>14558</v>
      </c>
      <c r="M1624" t="s">
        <v>14559</v>
      </c>
      <c r="N1624" t="s">
        <v>14560</v>
      </c>
      <c r="O1624" t="s">
        <v>25</v>
      </c>
      <c r="P1624" t="s">
        <v>14561</v>
      </c>
      <c r="Q1624" t="s">
        <v>29</v>
      </c>
      <c r="R1624" t="s">
        <v>14556</v>
      </c>
      <c r="S1624" t="s">
        <v>14557</v>
      </c>
    </row>
    <row r="1625" spans="1:19" x14ac:dyDescent="0.25">
      <c r="A1625" s="1">
        <v>1623</v>
      </c>
      <c r="B1625" t="str">
        <f>HYPERLINK("https://www.dasschnelle.at/svejnoha-gerhard-bruck-an-der-leitha-schillerstraße","Website")</f>
        <v>Website</v>
      </c>
      <c r="C1625" t="str">
        <f>HYPERLINK("https://www.dasschnelle.at/svejnoha-gerhard-bruck-an-der-leitha-schillerstra%C3%9Fe","Website")</f>
        <v>Website</v>
      </c>
      <c r="D1625" t="str">
        <f>HYPERLINK("http://www.google.com/maps/place/48.0250072,16.7801676","Location")</f>
        <v>Location</v>
      </c>
      <c r="E1625" t="s">
        <v>14562</v>
      </c>
      <c r="F1625" t="s">
        <v>14563</v>
      </c>
      <c r="G1625" t="s">
        <v>1769</v>
      </c>
      <c r="H1625" t="s">
        <v>14565</v>
      </c>
      <c r="I1625" t="s">
        <v>177</v>
      </c>
      <c r="J1625" t="s">
        <v>22</v>
      </c>
      <c r="K1625" t="s">
        <v>14564</v>
      </c>
      <c r="L1625" t="s">
        <v>14568</v>
      </c>
      <c r="M1625" t="s">
        <v>25</v>
      </c>
      <c r="N1625" t="s">
        <v>14569</v>
      </c>
      <c r="O1625" t="s">
        <v>25</v>
      </c>
      <c r="P1625" t="s">
        <v>14570</v>
      </c>
      <c r="Q1625" t="s">
        <v>29</v>
      </c>
      <c r="R1625" t="s">
        <v>14566</v>
      </c>
      <c r="S1625" t="s">
        <v>14567</v>
      </c>
    </row>
    <row r="1626" spans="1:19" x14ac:dyDescent="0.25">
      <c r="A1626" s="1">
        <v>1624</v>
      </c>
      <c r="B1626" t="str">
        <f>HYPERLINK("https://www.dasschnelle.at/autohaus-haas-gmbh-und-co-kg-lannach-hauptstraße","Website")</f>
        <v>Website</v>
      </c>
      <c r="C1626" t="str">
        <f>HYPERLINK("http://www.toyota-haas.at","Website")</f>
        <v>Website</v>
      </c>
      <c r="D1626" t="str">
        <f>HYPERLINK("http://www.google.com/maps/place/46.94165,15.3308","Location")</f>
        <v>Location</v>
      </c>
      <c r="E1626" t="s">
        <v>14571</v>
      </c>
      <c r="F1626" t="s">
        <v>14572</v>
      </c>
      <c r="G1626" t="s">
        <v>2964</v>
      </c>
      <c r="H1626" t="s">
        <v>2965</v>
      </c>
      <c r="I1626" t="s">
        <v>451</v>
      </c>
      <c r="J1626" t="s">
        <v>22</v>
      </c>
      <c r="K1626" t="s">
        <v>14573</v>
      </c>
      <c r="L1626" t="s">
        <v>14576</v>
      </c>
      <c r="M1626" t="s">
        <v>25</v>
      </c>
      <c r="N1626" t="s">
        <v>14577</v>
      </c>
      <c r="O1626" t="s">
        <v>25</v>
      </c>
      <c r="P1626" t="s">
        <v>14578</v>
      </c>
      <c r="Q1626" t="s">
        <v>29</v>
      </c>
      <c r="R1626" t="s">
        <v>14574</v>
      </c>
      <c r="S1626" t="s">
        <v>14575</v>
      </c>
    </row>
    <row r="1627" spans="1:19" x14ac:dyDescent="0.25">
      <c r="A1627" s="1">
        <v>1625</v>
      </c>
      <c r="B1627" t="str">
        <f>HYPERLINK("https://www.dasschnelle.at/g-und-a-nikolic-bau-und-galanterie-spenglerei-gmbh-bruck-an-der-leitha-ernst-pfiel-gasse","Website")</f>
        <v>Website</v>
      </c>
      <c r="C1627" t="str">
        <f>HYPERLINK("http://www.g-a-nikolic.at","Website")</f>
        <v>Website</v>
      </c>
      <c r="D1627" t="str">
        <f>HYPERLINK("http://www.google.com/maps/place/48.0315132,16.7716449","Location")</f>
        <v>Location</v>
      </c>
      <c r="E1627" t="s">
        <v>14579</v>
      </c>
      <c r="F1627" t="s">
        <v>14580</v>
      </c>
      <c r="G1627" t="s">
        <v>1769</v>
      </c>
      <c r="H1627" t="s">
        <v>14565</v>
      </c>
      <c r="I1627" t="s">
        <v>177</v>
      </c>
      <c r="J1627" t="s">
        <v>22</v>
      </c>
      <c r="K1627" t="s">
        <v>14581</v>
      </c>
      <c r="L1627" t="s">
        <v>14584</v>
      </c>
      <c r="M1627" t="s">
        <v>25</v>
      </c>
      <c r="N1627" t="s">
        <v>14585</v>
      </c>
      <c r="O1627" t="s">
        <v>25</v>
      </c>
      <c r="P1627" t="s">
        <v>14586</v>
      </c>
      <c r="Q1627" t="s">
        <v>29</v>
      </c>
      <c r="R1627" t="s">
        <v>14582</v>
      </c>
      <c r="S1627" t="s">
        <v>14583</v>
      </c>
    </row>
    <row r="1628" spans="1:19" x14ac:dyDescent="0.25">
      <c r="A1628" s="1">
        <v>1626</v>
      </c>
      <c r="B1628" t="str">
        <f>HYPERLINK("https://www.dasschnelle.at/autohaus-schiffner-gesmbh-kraftfahrzeugtechniker-bad-aussee-grundlseer-straße","Website")</f>
        <v>Website</v>
      </c>
      <c r="C1628" t="str">
        <f>HYPERLINK("http://www.autohaus-schiffner.at","Website")</f>
        <v>Website</v>
      </c>
      <c r="D1628" t="str">
        <f>HYPERLINK("http://www.google.com/maps/place/47.61479,13.79094","Location")</f>
        <v>Location</v>
      </c>
      <c r="E1628" t="s">
        <v>14587</v>
      </c>
      <c r="F1628" t="s">
        <v>14588</v>
      </c>
      <c r="G1628" t="s">
        <v>1195</v>
      </c>
      <c r="H1628" t="s">
        <v>1196</v>
      </c>
      <c r="I1628" t="s">
        <v>451</v>
      </c>
      <c r="J1628" t="s">
        <v>22</v>
      </c>
      <c r="K1628" t="s">
        <v>14589</v>
      </c>
      <c r="L1628" t="s">
        <v>14592</v>
      </c>
      <c r="M1628" t="s">
        <v>25</v>
      </c>
      <c r="N1628" t="s">
        <v>14593</v>
      </c>
      <c r="O1628" t="s">
        <v>25</v>
      </c>
      <c r="P1628" t="s">
        <v>14594</v>
      </c>
      <c r="Q1628" t="s">
        <v>29</v>
      </c>
      <c r="R1628" t="s">
        <v>14590</v>
      </c>
      <c r="S1628" t="s">
        <v>14591</v>
      </c>
    </row>
    <row r="1629" spans="1:19" x14ac:dyDescent="0.25">
      <c r="A1629" s="1">
        <v>1627</v>
      </c>
      <c r="B1629" t="str">
        <f>HYPERLINK("https://www.dasschnelle.at/gartner-schiener-bau-gesmbh-halbturn-friedhofgasse","Website")</f>
        <v>Website</v>
      </c>
      <c r="C1629" t="str">
        <f>HYPERLINK("http://www.gs-bau.at","Website")</f>
        <v>Website</v>
      </c>
      <c r="D1629" t="str">
        <f>HYPERLINK("http://www.google.com/maps/place/47.8663100,16.9790400","Location")</f>
        <v>Location</v>
      </c>
      <c r="E1629" t="s">
        <v>14595</v>
      </c>
      <c r="F1629" t="s">
        <v>14596</v>
      </c>
      <c r="G1629" t="s">
        <v>1853</v>
      </c>
      <c r="H1629" t="s">
        <v>1854</v>
      </c>
      <c r="I1629" t="s">
        <v>1834</v>
      </c>
      <c r="J1629" t="s">
        <v>22</v>
      </c>
      <c r="K1629" t="s">
        <v>14597</v>
      </c>
      <c r="L1629" t="s">
        <v>14600</v>
      </c>
      <c r="M1629" t="s">
        <v>14601</v>
      </c>
      <c r="N1629" t="s">
        <v>14602</v>
      </c>
      <c r="O1629" t="s">
        <v>25</v>
      </c>
      <c r="P1629" t="s">
        <v>14603</v>
      </c>
      <c r="Q1629" t="s">
        <v>29</v>
      </c>
      <c r="R1629" t="s">
        <v>14598</v>
      </c>
      <c r="S1629" t="s">
        <v>14599</v>
      </c>
    </row>
    <row r="1630" spans="1:19" x14ac:dyDescent="0.25">
      <c r="A1630" s="1">
        <v>1628</v>
      </c>
      <c r="B1630" t="str">
        <f>HYPERLINK("https://www.dasschnelle.at/mühlhans-christian-krieglach-lohnackerstraße","Website")</f>
        <v>Website</v>
      </c>
      <c r="C1630" t="str">
        <f>HYPERLINK("https://www.dasschnelle.at/m%C3%BChlhans-christian-krieglach-lohnackerstra%C3%9Fe","Website")</f>
        <v>Website</v>
      </c>
      <c r="D1630" t="str">
        <f>HYPERLINK("http://www.google.com/maps/place/47.54502,15.54445","Location")</f>
        <v>Location</v>
      </c>
      <c r="E1630" t="s">
        <v>14604</v>
      </c>
      <c r="F1630" t="s">
        <v>14605</v>
      </c>
      <c r="G1630" t="s">
        <v>14367</v>
      </c>
      <c r="H1630" t="s">
        <v>14368</v>
      </c>
      <c r="I1630" t="s">
        <v>451</v>
      </c>
      <c r="J1630" t="s">
        <v>22</v>
      </c>
      <c r="K1630" t="s">
        <v>14606</v>
      </c>
      <c r="L1630" t="s">
        <v>14609</v>
      </c>
      <c r="M1630" t="s">
        <v>25</v>
      </c>
      <c r="N1630" t="s">
        <v>14610</v>
      </c>
      <c r="O1630" t="s">
        <v>25</v>
      </c>
      <c r="P1630" t="s">
        <v>14611</v>
      </c>
      <c r="Q1630" t="s">
        <v>29</v>
      </c>
      <c r="R1630" t="s">
        <v>14607</v>
      </c>
      <c r="S1630" t="s">
        <v>14608</v>
      </c>
    </row>
    <row r="1631" spans="1:19" x14ac:dyDescent="0.25">
      <c r="A1631" s="1">
        <v>1629</v>
      </c>
      <c r="B1631" t="str">
        <f>HYPERLINK("https://www.dasschnelle.at/elektro-mann-e-u-krieglach-rittisstraße","Website")</f>
        <v>Website</v>
      </c>
      <c r="C1631" t="str">
        <f>HYPERLINK("http://www.emann.at","Website")</f>
        <v>Website</v>
      </c>
      <c r="D1631" t="str">
        <f>HYPERLINK("http://www.google.com/maps/place/47.55062,15.54457","Location")</f>
        <v>Location</v>
      </c>
      <c r="E1631" t="s">
        <v>14612</v>
      </c>
      <c r="F1631" t="s">
        <v>14613</v>
      </c>
      <c r="G1631" t="s">
        <v>14367</v>
      </c>
      <c r="H1631" t="s">
        <v>14368</v>
      </c>
      <c r="I1631" t="s">
        <v>451</v>
      </c>
      <c r="J1631" t="s">
        <v>22</v>
      </c>
      <c r="K1631" t="s">
        <v>14614</v>
      </c>
      <c r="L1631" t="s">
        <v>14617</v>
      </c>
      <c r="M1631" t="s">
        <v>25</v>
      </c>
      <c r="N1631" t="s">
        <v>14618</v>
      </c>
      <c r="O1631" t="s">
        <v>25</v>
      </c>
      <c r="P1631" t="s">
        <v>14619</v>
      </c>
      <c r="Q1631" t="s">
        <v>29</v>
      </c>
      <c r="R1631" t="s">
        <v>14615</v>
      </c>
      <c r="S1631" t="s">
        <v>14616</v>
      </c>
    </row>
    <row r="1632" spans="1:19" x14ac:dyDescent="0.25">
      <c r="A1632" s="1">
        <v>1630</v>
      </c>
      <c r="B1632" t="str">
        <f>HYPERLINK("https://www.dasschnelle.at/gasthof-pollerus-spital-am-semmering-bundesstraße","Website")</f>
        <v>Website</v>
      </c>
      <c r="C1632" t="str">
        <f>HYPERLINK("https://www.dasschnelle.at/gasthof-pollerus-spital-am-semmering-bundesstra%C3%9Fe","Website")</f>
        <v>Website</v>
      </c>
      <c r="D1632" t="str">
        <f>HYPERLINK("http://www.google.com/maps/place/47.6140292,15.7489496","Location")</f>
        <v>Location</v>
      </c>
      <c r="E1632" t="s">
        <v>14620</v>
      </c>
      <c r="F1632" t="s">
        <v>14621</v>
      </c>
      <c r="G1632" t="s">
        <v>14623</v>
      </c>
      <c r="H1632" t="s">
        <v>14624</v>
      </c>
      <c r="I1632" t="s">
        <v>451</v>
      </c>
      <c r="J1632" t="s">
        <v>22</v>
      </c>
      <c r="K1632" t="s">
        <v>14622</v>
      </c>
      <c r="L1632" t="s">
        <v>14627</v>
      </c>
      <c r="M1632" t="s">
        <v>25</v>
      </c>
      <c r="N1632" t="s">
        <v>14628</v>
      </c>
      <c r="O1632" t="s">
        <v>25</v>
      </c>
      <c r="P1632" t="s">
        <v>14629</v>
      </c>
      <c r="Q1632" t="s">
        <v>29</v>
      </c>
      <c r="R1632" t="s">
        <v>14625</v>
      </c>
      <c r="S1632" t="s">
        <v>14626</v>
      </c>
    </row>
    <row r="1633" spans="1:19" x14ac:dyDescent="0.25">
      <c r="A1633" s="1">
        <v>1631</v>
      </c>
      <c r="B1633" t="str">
        <f>HYPERLINK("https://www.dasschnelle.at/ziniel-gerald-sankt-andrä-windmühlgasse","Website")</f>
        <v>Website</v>
      </c>
      <c r="C1633" t="str">
        <f>HYPERLINK("http://www.glaserei-ziniel.at","Website")</f>
        <v>Website</v>
      </c>
      <c r="D1633" t="str">
        <f>HYPERLINK("http://www.google.com/maps/place/47.7849996,16.9294549","Location")</f>
        <v>Location</v>
      </c>
      <c r="E1633" t="s">
        <v>14630</v>
      </c>
      <c r="F1633" t="s">
        <v>14631</v>
      </c>
      <c r="G1633" t="s">
        <v>14633</v>
      </c>
      <c r="H1633" t="s">
        <v>11554</v>
      </c>
      <c r="I1633" t="s">
        <v>1834</v>
      </c>
      <c r="J1633" t="s">
        <v>22</v>
      </c>
      <c r="K1633" t="s">
        <v>14632</v>
      </c>
      <c r="L1633" t="s">
        <v>14636</v>
      </c>
      <c r="M1633" t="s">
        <v>25</v>
      </c>
      <c r="N1633" t="s">
        <v>14637</v>
      </c>
      <c r="O1633" t="s">
        <v>14638</v>
      </c>
      <c r="P1633" t="s">
        <v>14639</v>
      </c>
      <c r="Q1633" t="s">
        <v>29</v>
      </c>
      <c r="R1633" t="s">
        <v>14634</v>
      </c>
      <c r="S1633" t="s">
        <v>14635</v>
      </c>
    </row>
    <row r="1634" spans="1:19" x14ac:dyDescent="0.25">
      <c r="A1634" s="1">
        <v>1632</v>
      </c>
      <c r="B1634" t="str">
        <f>HYPERLINK("https://www.dasschnelle.at/hoell-christian-abtenau-döllerhof","Website")</f>
        <v>Website</v>
      </c>
      <c r="C1634" t="str">
        <f>HYPERLINK("http://www.installationen-hoell.at","Website")</f>
        <v>Website</v>
      </c>
      <c r="D1634" t="str">
        <f>HYPERLINK("http://www.google.com/maps/place/47.5671100,13.3372500","Location")</f>
        <v>Location</v>
      </c>
      <c r="E1634" t="s">
        <v>14640</v>
      </c>
      <c r="F1634" t="s">
        <v>14641</v>
      </c>
      <c r="G1634" t="s">
        <v>7614</v>
      </c>
      <c r="H1634" t="s">
        <v>7615</v>
      </c>
      <c r="I1634" t="s">
        <v>2239</v>
      </c>
      <c r="J1634" t="s">
        <v>22</v>
      </c>
      <c r="K1634" t="s">
        <v>14642</v>
      </c>
      <c r="L1634" t="s">
        <v>14645</v>
      </c>
      <c r="M1634" t="s">
        <v>25</v>
      </c>
      <c r="N1634" t="s">
        <v>14646</v>
      </c>
      <c r="O1634" t="s">
        <v>25</v>
      </c>
      <c r="P1634" t="s">
        <v>14647</v>
      </c>
      <c r="Q1634" t="s">
        <v>29</v>
      </c>
      <c r="R1634" t="s">
        <v>14643</v>
      </c>
      <c r="S1634" t="s">
        <v>14644</v>
      </c>
    </row>
    <row r="1635" spans="1:19" x14ac:dyDescent="0.25">
      <c r="A1635" s="1">
        <v>1633</v>
      </c>
      <c r="B1635" t="str">
        <f>HYPERLINK("https://www.dasschnelle.at/haare-by-silvia-team-silvia-quehenberger-og-abtenau-markt","Website")</f>
        <v>Website</v>
      </c>
      <c r="C1635" t="str">
        <f>HYPERLINK("http://www.haarebysilvia.at","Website")</f>
        <v>Website</v>
      </c>
      <c r="D1635" t="str">
        <f>HYPERLINK("http://www.google.com/maps/place/47.56421,13.34345","Location")</f>
        <v>Location</v>
      </c>
      <c r="E1635" t="s">
        <v>14648</v>
      </c>
      <c r="F1635" t="s">
        <v>14649</v>
      </c>
      <c r="G1635" t="s">
        <v>7614</v>
      </c>
      <c r="H1635" t="s">
        <v>7615</v>
      </c>
      <c r="I1635" t="s">
        <v>2239</v>
      </c>
      <c r="J1635" t="s">
        <v>22</v>
      </c>
      <c r="K1635" t="s">
        <v>14650</v>
      </c>
      <c r="L1635" t="s">
        <v>14653</v>
      </c>
      <c r="M1635" t="s">
        <v>25</v>
      </c>
      <c r="N1635" t="s">
        <v>14654</v>
      </c>
      <c r="O1635" t="s">
        <v>25</v>
      </c>
      <c r="P1635" t="s">
        <v>14655</v>
      </c>
      <c r="Q1635" t="s">
        <v>29</v>
      </c>
      <c r="R1635" t="s">
        <v>14651</v>
      </c>
      <c r="S1635" t="s">
        <v>14652</v>
      </c>
    </row>
    <row r="1636" spans="1:19" x14ac:dyDescent="0.25">
      <c r="A1636" s="1">
        <v>1634</v>
      </c>
      <c r="B1636" t="str">
        <f>HYPERLINK("https://www.dasschnelle.at/brunauer-installationen-gmbh-oberalm-jobstengutgasse","Website")</f>
        <v>Website</v>
      </c>
      <c r="C1636" t="str">
        <f>HYPERLINK("http://www.brunauer.at","Website")</f>
        <v>Website</v>
      </c>
      <c r="D1636" t="str">
        <f>HYPERLINK("http://www.google.com/maps/place/47.69747,13.09928","Location")</f>
        <v>Location</v>
      </c>
      <c r="E1636" t="s">
        <v>14656</v>
      </c>
      <c r="F1636" t="s">
        <v>14657</v>
      </c>
      <c r="G1636" t="s">
        <v>7767</v>
      </c>
      <c r="H1636" t="s">
        <v>7768</v>
      </c>
      <c r="I1636" t="s">
        <v>2239</v>
      </c>
      <c r="J1636" t="s">
        <v>22</v>
      </c>
      <c r="K1636" t="s">
        <v>14658</v>
      </c>
      <c r="L1636" t="s">
        <v>14661</v>
      </c>
      <c r="M1636" t="s">
        <v>25</v>
      </c>
      <c r="N1636" t="s">
        <v>14662</v>
      </c>
      <c r="O1636" t="s">
        <v>25</v>
      </c>
      <c r="P1636" t="s">
        <v>14663</v>
      </c>
      <c r="Q1636" t="s">
        <v>29</v>
      </c>
      <c r="R1636" t="s">
        <v>14659</v>
      </c>
      <c r="S1636" t="s">
        <v>14660</v>
      </c>
    </row>
    <row r="1637" spans="1:19" x14ac:dyDescent="0.25">
      <c r="A1637" s="1">
        <v>1635</v>
      </c>
      <c r="B1637" t="str">
        <f>HYPERLINK("https://www.dasschnelle.at/zechner-norbert-kuchl-georgenberg","Website")</f>
        <v>Website</v>
      </c>
      <c r="C1637" t="str">
        <f>HYPERLINK("http://www.glaserei-zechner.at","Website")</f>
        <v>Website</v>
      </c>
      <c r="D1637" t="str">
        <f>HYPERLINK("http://www.google.com/maps/place/47.6219182,13.1557238","Location")</f>
        <v>Location</v>
      </c>
      <c r="E1637" t="s">
        <v>14664</v>
      </c>
      <c r="F1637" t="s">
        <v>14665</v>
      </c>
      <c r="G1637" t="s">
        <v>7697</v>
      </c>
      <c r="H1637" t="s">
        <v>7698</v>
      </c>
      <c r="I1637" t="s">
        <v>2239</v>
      </c>
      <c r="J1637" t="s">
        <v>22</v>
      </c>
      <c r="K1637" t="s">
        <v>14666</v>
      </c>
      <c r="L1637" t="s">
        <v>14669</v>
      </c>
      <c r="M1637" t="s">
        <v>14670</v>
      </c>
      <c r="N1637" t="s">
        <v>14671</v>
      </c>
      <c r="O1637" t="s">
        <v>25</v>
      </c>
      <c r="P1637" t="s">
        <v>14672</v>
      </c>
      <c r="Q1637" t="s">
        <v>29</v>
      </c>
      <c r="R1637" t="s">
        <v>14667</v>
      </c>
      <c r="S1637" t="s">
        <v>14668</v>
      </c>
    </row>
    <row r="1638" spans="1:19" x14ac:dyDescent="0.25">
      <c r="A1638" s="1">
        <v>1636</v>
      </c>
      <c r="B1638" t="str">
        <f>HYPERLINK("https://www.dasschnelle.at/stadtgemeinde-kapfenberg-kapfenberg-koloman-wallisch-platz","Website")</f>
        <v>Website</v>
      </c>
      <c r="C1638" t="str">
        <f>HYPERLINK("http://www.kapfenberg.gv.at","Website")</f>
        <v>Website</v>
      </c>
      <c r="D1638" t="str">
        <f>HYPERLINK("http://www.google.com/maps/place/47.43955,15.28939","Location")</f>
        <v>Location</v>
      </c>
      <c r="E1638" t="s">
        <v>14673</v>
      </c>
      <c r="F1638" t="s">
        <v>14674</v>
      </c>
      <c r="G1638" t="s">
        <v>14430</v>
      </c>
      <c r="H1638" t="s">
        <v>14431</v>
      </c>
      <c r="I1638" t="s">
        <v>451</v>
      </c>
      <c r="J1638" t="s">
        <v>22</v>
      </c>
      <c r="K1638" t="s">
        <v>14675</v>
      </c>
      <c r="L1638" t="s">
        <v>14678</v>
      </c>
      <c r="M1638" t="s">
        <v>14679</v>
      </c>
      <c r="N1638" t="s">
        <v>14680</v>
      </c>
      <c r="O1638" t="s">
        <v>25</v>
      </c>
      <c r="P1638" t="s">
        <v>14681</v>
      </c>
      <c r="Q1638" t="s">
        <v>29</v>
      </c>
      <c r="R1638" t="s">
        <v>14676</v>
      </c>
      <c r="S1638" t="s">
        <v>14677</v>
      </c>
    </row>
    <row r="1639" spans="1:19" x14ac:dyDescent="0.25">
      <c r="A1639" s="1">
        <v>1637</v>
      </c>
      <c r="B1639" t="str">
        <f>HYPERLINK("https://www.dasschnelle.at/spenglerei-pfaffelmoser-weißenbach-am-lech-mühlbachweg","Website")</f>
        <v>Website</v>
      </c>
      <c r="C1639" t="str">
        <f>HYPERLINK("http://www.spenglerei-pfaffelmoser.at","Website")</f>
        <v>Website</v>
      </c>
      <c r="D1639" t="str">
        <f>HYPERLINK("http://www.google.com/maps/place/47.44205,10.64747","Location")</f>
        <v>Location</v>
      </c>
      <c r="E1639" t="s">
        <v>14682</v>
      </c>
      <c r="F1639" t="s">
        <v>14683</v>
      </c>
      <c r="G1639" t="s">
        <v>14685</v>
      </c>
      <c r="H1639" t="s">
        <v>14686</v>
      </c>
      <c r="I1639" t="s">
        <v>21</v>
      </c>
      <c r="J1639" t="s">
        <v>22</v>
      </c>
      <c r="K1639" t="s">
        <v>14684</v>
      </c>
      <c r="L1639" t="s">
        <v>14689</v>
      </c>
      <c r="M1639" t="s">
        <v>25</v>
      </c>
      <c r="N1639" t="s">
        <v>14690</v>
      </c>
      <c r="O1639" t="s">
        <v>25</v>
      </c>
      <c r="P1639" t="s">
        <v>14691</v>
      </c>
      <c r="Q1639" t="s">
        <v>29</v>
      </c>
      <c r="R1639" t="s">
        <v>14687</v>
      </c>
      <c r="S1639" t="s">
        <v>14688</v>
      </c>
    </row>
    <row r="1640" spans="1:19" x14ac:dyDescent="0.25">
      <c r="A1640" s="1">
        <v>1638</v>
      </c>
      <c r="B1640" t="str">
        <f>HYPERLINK("https://www.dasschnelle.at/langer-und-frey-hainburg-hofmeisterstraße","Website")</f>
        <v>Website</v>
      </c>
      <c r="C1640" t="str">
        <f>HYPERLINK("http://www.langer-frey.at","Website")</f>
        <v>Website</v>
      </c>
      <c r="D1640" t="str">
        <f>HYPERLINK("http://www.google.com/maps/place/48.14697,16.94898","Location")</f>
        <v>Location</v>
      </c>
      <c r="E1640" t="s">
        <v>14692</v>
      </c>
      <c r="F1640" t="s">
        <v>14693</v>
      </c>
      <c r="G1640" t="s">
        <v>1822</v>
      </c>
      <c r="H1640" t="s">
        <v>14695</v>
      </c>
      <c r="I1640" t="s">
        <v>177</v>
      </c>
      <c r="J1640" t="s">
        <v>22</v>
      </c>
      <c r="K1640" t="s">
        <v>14694</v>
      </c>
      <c r="L1640" t="s">
        <v>14698</v>
      </c>
      <c r="M1640" t="s">
        <v>25</v>
      </c>
      <c r="N1640" t="s">
        <v>14699</v>
      </c>
      <c r="O1640" t="s">
        <v>25</v>
      </c>
      <c r="P1640" t="s">
        <v>14700</v>
      </c>
      <c r="Q1640" t="s">
        <v>29</v>
      </c>
      <c r="R1640" t="s">
        <v>14696</v>
      </c>
      <c r="S1640" t="s">
        <v>14697</v>
      </c>
    </row>
    <row r="1641" spans="1:19" x14ac:dyDescent="0.25">
      <c r="A1641" s="1">
        <v>1639</v>
      </c>
      <c r="B1641" t="str">
        <f>HYPERLINK("https://www.dasschnelle.at/auer-abfallwirtschaft-gmbh-abtenau-waldhof","Website")</f>
        <v>Website</v>
      </c>
      <c r="C1641" t="str">
        <f>HYPERLINK("http://www.auer-abfallwirtschaft.at","Website")</f>
        <v>Website</v>
      </c>
      <c r="D1641" t="str">
        <f>HYPERLINK("http://www.google.com/maps/place/47.5797296,13.3221206","Location")</f>
        <v>Location</v>
      </c>
      <c r="E1641" t="s">
        <v>14701</v>
      </c>
      <c r="F1641" t="s">
        <v>14702</v>
      </c>
      <c r="G1641" t="s">
        <v>7614</v>
      </c>
      <c r="H1641" t="s">
        <v>7615</v>
      </c>
      <c r="I1641" t="s">
        <v>2239</v>
      </c>
      <c r="J1641" t="s">
        <v>22</v>
      </c>
      <c r="K1641" t="s">
        <v>14703</v>
      </c>
      <c r="L1641" t="s">
        <v>14706</v>
      </c>
      <c r="M1641" t="s">
        <v>25</v>
      </c>
      <c r="N1641" t="s">
        <v>14707</v>
      </c>
      <c r="O1641" t="s">
        <v>25</v>
      </c>
      <c r="P1641" t="s">
        <v>14708</v>
      </c>
      <c r="Q1641" t="s">
        <v>29</v>
      </c>
      <c r="R1641" t="s">
        <v>14704</v>
      </c>
      <c r="S1641" t="s">
        <v>14705</v>
      </c>
    </row>
    <row r="1642" spans="1:19" x14ac:dyDescent="0.25">
      <c r="A1642" s="1">
        <v>1640</v>
      </c>
      <c r="B1642" t="str">
        <f>HYPERLINK("https://www.dasschnelle.at/martini-sportswear-gesmbh-annaberg-im-lammertal-annaberg-im-lammertal","Website")</f>
        <v>Website</v>
      </c>
      <c r="C1642" t="str">
        <f>HYPERLINK("http://www.martini-sportswear.com","Website")</f>
        <v>Website</v>
      </c>
      <c r="D1642" t="str">
        <f>HYPERLINK("http://www.google.com/maps/place/47.5150200,13.4498950","Location")</f>
        <v>Location</v>
      </c>
      <c r="E1642" t="s">
        <v>14709</v>
      </c>
      <c r="F1642" t="s">
        <v>14710</v>
      </c>
      <c r="G1642" t="s">
        <v>7740</v>
      </c>
      <c r="H1642" t="s">
        <v>7741</v>
      </c>
      <c r="I1642" t="s">
        <v>2239</v>
      </c>
      <c r="J1642" t="s">
        <v>22</v>
      </c>
      <c r="K1642" t="s">
        <v>14711</v>
      </c>
      <c r="L1642" t="s">
        <v>14714</v>
      </c>
      <c r="M1642" t="s">
        <v>25</v>
      </c>
      <c r="N1642" t="s">
        <v>14715</v>
      </c>
      <c r="O1642" t="s">
        <v>25</v>
      </c>
      <c r="P1642" t="s">
        <v>14716</v>
      </c>
      <c r="Q1642" t="s">
        <v>29</v>
      </c>
      <c r="R1642" t="s">
        <v>14712</v>
      </c>
      <c r="S1642" t="s">
        <v>14713</v>
      </c>
    </row>
    <row r="1643" spans="1:19" x14ac:dyDescent="0.25">
      <c r="A1643" s="1">
        <v>1641</v>
      </c>
      <c r="B1643" t="str">
        <f>HYPERLINK("https://www.dasschnelle.at/glaserei-kovacs-mannersdorf-am-leithagebirge-untere-kirchengasse","Website")</f>
        <v>Website</v>
      </c>
      <c r="C1643" t="str">
        <f>HYPERLINK("http://www.glasereikovacs.at","Website")</f>
        <v>Website</v>
      </c>
      <c r="D1643" t="str">
        <f>HYPERLINK("http://www.google.com/maps/place/47.97138,16.60213","Location")</f>
        <v>Location</v>
      </c>
      <c r="E1643" t="s">
        <v>14717</v>
      </c>
      <c r="F1643" t="s">
        <v>14718</v>
      </c>
      <c r="G1643" t="s">
        <v>14304</v>
      </c>
      <c r="H1643" t="s">
        <v>14305</v>
      </c>
      <c r="I1643" t="s">
        <v>177</v>
      </c>
      <c r="J1643" t="s">
        <v>22</v>
      </c>
      <c r="K1643" t="s">
        <v>14719</v>
      </c>
      <c r="L1643" t="s">
        <v>14722</v>
      </c>
      <c r="M1643" t="s">
        <v>25</v>
      </c>
      <c r="N1643" t="s">
        <v>14723</v>
      </c>
      <c r="O1643" t="s">
        <v>14724</v>
      </c>
      <c r="P1643" t="s">
        <v>14725</v>
      </c>
      <c r="Q1643" t="s">
        <v>29</v>
      </c>
      <c r="R1643" t="s">
        <v>14720</v>
      </c>
      <c r="S1643" t="s">
        <v>14721</v>
      </c>
    </row>
    <row r="1644" spans="1:19" x14ac:dyDescent="0.25">
      <c r="A1644" s="1">
        <v>1642</v>
      </c>
      <c r="B1644" t="str">
        <f>HYPERLINK("https://www.dasschnelle.at/höll-matthias-abtenau-markt","Website")</f>
        <v>Website</v>
      </c>
      <c r="C1644" t="str">
        <f>HYPERLINK("https://www.dasschnelle.at/h%C3%B6ll-matthias-abtenau-markt","Website")</f>
        <v>Website</v>
      </c>
      <c r="D1644" t="str">
        <f>HYPERLINK("http://www.google.com/maps/place/47.56511,13.34628","Location")</f>
        <v>Location</v>
      </c>
      <c r="E1644" t="s">
        <v>14726</v>
      </c>
      <c r="F1644" t="s">
        <v>14727</v>
      </c>
      <c r="G1644" t="s">
        <v>7614</v>
      </c>
      <c r="H1644" t="s">
        <v>7615</v>
      </c>
      <c r="I1644" t="s">
        <v>2239</v>
      </c>
      <c r="J1644" t="s">
        <v>22</v>
      </c>
      <c r="K1644" t="s">
        <v>14728</v>
      </c>
      <c r="L1644" t="s">
        <v>14731</v>
      </c>
      <c r="M1644" t="s">
        <v>25</v>
      </c>
      <c r="N1644" t="s">
        <v>14732</v>
      </c>
      <c r="O1644" t="s">
        <v>25</v>
      </c>
      <c r="P1644" t="s">
        <v>14733</v>
      </c>
      <c r="Q1644" t="s">
        <v>29</v>
      </c>
      <c r="R1644" t="s">
        <v>14729</v>
      </c>
      <c r="S1644" t="s">
        <v>14730</v>
      </c>
    </row>
    <row r="1645" spans="1:19" x14ac:dyDescent="0.25">
      <c r="A1645" s="1">
        <v>1643</v>
      </c>
      <c r="B1645" t="str">
        <f>HYPERLINK("https://www.dasschnelle.at/schnitzhofer-josef-abtenau-markt","Website")</f>
        <v>Website</v>
      </c>
      <c r="C1645" t="str">
        <f>HYPERLINK("http://www.schnitzhofer.at","Website")</f>
        <v>Website</v>
      </c>
      <c r="D1645" t="str">
        <f>HYPERLINK("http://www.google.com/maps/place/47.56299,13.34918","Location")</f>
        <v>Location</v>
      </c>
      <c r="E1645" t="s">
        <v>14734</v>
      </c>
      <c r="F1645" t="s">
        <v>14735</v>
      </c>
      <c r="G1645" t="s">
        <v>7614</v>
      </c>
      <c r="H1645" t="s">
        <v>7615</v>
      </c>
      <c r="I1645" t="s">
        <v>2239</v>
      </c>
      <c r="J1645" t="s">
        <v>22</v>
      </c>
      <c r="K1645" t="s">
        <v>14736</v>
      </c>
      <c r="L1645" t="s">
        <v>14739</v>
      </c>
      <c r="M1645" t="s">
        <v>25</v>
      </c>
      <c r="N1645" t="s">
        <v>14740</v>
      </c>
      <c r="O1645" t="s">
        <v>25</v>
      </c>
      <c r="P1645" t="s">
        <v>14741</v>
      </c>
      <c r="Q1645" t="s">
        <v>29</v>
      </c>
      <c r="R1645" t="s">
        <v>14737</v>
      </c>
      <c r="S1645" t="s">
        <v>14738</v>
      </c>
    </row>
    <row r="1646" spans="1:19" x14ac:dyDescent="0.25">
      <c r="A1646" s="1">
        <v>1644</v>
      </c>
      <c r="B1646" t="str">
        <f>HYPERLINK("https://www.dasschnelle.at/wolf-gabi-reutte-obermarkt","Website")</f>
        <v>Website</v>
      </c>
      <c r="C1646" t="str">
        <f>HYPERLINK("https://www.dasschnelle.at/wolf-gabi-reutte-obermarkt","Website")</f>
        <v>Website</v>
      </c>
      <c r="D1646" t="str">
        <f>HYPERLINK("http://www.google.com/maps/place/47.48787,10.71956","Location")</f>
        <v>Location</v>
      </c>
      <c r="E1646" t="s">
        <v>14742</v>
      </c>
      <c r="F1646" t="s">
        <v>14743</v>
      </c>
      <c r="G1646" t="s">
        <v>6823</v>
      </c>
      <c r="H1646" t="s">
        <v>6824</v>
      </c>
      <c r="I1646" t="s">
        <v>21</v>
      </c>
      <c r="J1646" t="s">
        <v>22</v>
      </c>
      <c r="K1646" t="s">
        <v>14744</v>
      </c>
      <c r="L1646" t="s">
        <v>14747</v>
      </c>
      <c r="M1646" t="s">
        <v>25</v>
      </c>
      <c r="N1646" t="s">
        <v>14748</v>
      </c>
      <c r="O1646" t="s">
        <v>25</v>
      </c>
      <c r="P1646" t="s">
        <v>14749</v>
      </c>
      <c r="Q1646" t="s">
        <v>29</v>
      </c>
      <c r="R1646" t="s">
        <v>14745</v>
      </c>
      <c r="S1646" t="s">
        <v>14746</v>
      </c>
    </row>
    <row r="1647" spans="1:19" x14ac:dyDescent="0.25">
      <c r="A1647" s="1">
        <v>1645</v>
      </c>
      <c r="B1647" t="str">
        <f>HYPERLINK("https://www.dasschnelle.at/niggl-marcus-vils-stegen","Website")</f>
        <v>Website</v>
      </c>
      <c r="C1647" t="str">
        <f>HYPERLINK("http://www.tischlerei-niggl.at","Website")</f>
        <v>Website</v>
      </c>
      <c r="D1647" t="str">
        <f>HYPERLINK("http://www.google.com/maps/place/47.5482200,10.6580600","Location")</f>
        <v>Location</v>
      </c>
      <c r="E1647" t="s">
        <v>14750</v>
      </c>
      <c r="F1647" t="s">
        <v>14751</v>
      </c>
      <c r="G1647" t="s">
        <v>14753</v>
      </c>
      <c r="H1647" t="s">
        <v>14754</v>
      </c>
      <c r="I1647" t="s">
        <v>21</v>
      </c>
      <c r="J1647" t="s">
        <v>22</v>
      </c>
      <c r="K1647" t="s">
        <v>14752</v>
      </c>
      <c r="L1647" t="s">
        <v>14757</v>
      </c>
      <c r="M1647" t="s">
        <v>25</v>
      </c>
      <c r="N1647" t="s">
        <v>14758</v>
      </c>
      <c r="O1647" t="s">
        <v>25</v>
      </c>
      <c r="P1647" t="s">
        <v>14759</v>
      </c>
      <c r="Q1647" t="s">
        <v>29</v>
      </c>
      <c r="R1647" t="s">
        <v>14755</v>
      </c>
      <c r="S1647" t="s">
        <v>14756</v>
      </c>
    </row>
    <row r="1648" spans="1:19" x14ac:dyDescent="0.25">
      <c r="A1648" s="1">
        <v>1646</v>
      </c>
      <c r="B1648" t="str">
        <f>HYPERLINK("https://www.dasschnelle.at/wiener-verein-bestattungs-u-versicherungsservicegesmbh-hallein-salzachtalstraße","Website")</f>
        <v>Website</v>
      </c>
      <c r="C1648" t="str">
        <f>HYPERLINK("http://www.wv-bestattung.at/","Website")</f>
        <v>Website</v>
      </c>
      <c r="D1648" t="str">
        <f>HYPERLINK("http://www.google.com/maps/place/47.6779,13.09699","Location")</f>
        <v>Location</v>
      </c>
      <c r="E1648" t="s">
        <v>14760</v>
      </c>
      <c r="F1648" t="s">
        <v>14761</v>
      </c>
      <c r="G1648" t="s">
        <v>7584</v>
      </c>
      <c r="H1648" t="s">
        <v>7585</v>
      </c>
      <c r="I1648" t="s">
        <v>2239</v>
      </c>
      <c r="J1648" t="s">
        <v>22</v>
      </c>
      <c r="K1648" t="s">
        <v>14762</v>
      </c>
      <c r="L1648" t="s">
        <v>14765</v>
      </c>
      <c r="M1648" t="s">
        <v>14765</v>
      </c>
      <c r="N1648" t="s">
        <v>14766</v>
      </c>
      <c r="O1648" t="s">
        <v>25</v>
      </c>
      <c r="P1648" t="s">
        <v>14767</v>
      </c>
      <c r="Q1648" t="s">
        <v>29</v>
      </c>
      <c r="R1648" t="s">
        <v>14763</v>
      </c>
      <c r="S1648" t="s">
        <v>14764</v>
      </c>
    </row>
    <row r="1649" spans="1:19" x14ac:dyDescent="0.25">
      <c r="A1649" s="1">
        <v>1647</v>
      </c>
      <c r="B1649" t="str">
        <f>HYPERLINK("https://www.dasschnelle.at/bachler-erdbau-gmbh-abtenau-lindenthal","Website")</f>
        <v>Website</v>
      </c>
      <c r="C1649" t="str">
        <f>HYPERLINK("http://www.erdbau-bachler.at","Website")</f>
        <v>Website</v>
      </c>
      <c r="D1649" t="str">
        <f>HYPERLINK("http://www.google.com/maps/place/47.5621001,13.3927918","Location")</f>
        <v>Location</v>
      </c>
      <c r="E1649" t="s">
        <v>14768</v>
      </c>
      <c r="F1649" t="s">
        <v>14769</v>
      </c>
      <c r="G1649" t="s">
        <v>7614</v>
      </c>
      <c r="H1649" t="s">
        <v>7615</v>
      </c>
      <c r="I1649" t="s">
        <v>2239</v>
      </c>
      <c r="J1649" t="s">
        <v>22</v>
      </c>
      <c r="K1649" t="s">
        <v>14770</v>
      </c>
      <c r="L1649" t="s">
        <v>14773</v>
      </c>
      <c r="M1649" t="s">
        <v>14774</v>
      </c>
      <c r="N1649" t="s">
        <v>14775</v>
      </c>
      <c r="O1649" t="s">
        <v>25</v>
      </c>
      <c r="P1649" t="s">
        <v>14776</v>
      </c>
      <c r="Q1649" t="s">
        <v>29</v>
      </c>
      <c r="R1649" t="s">
        <v>14771</v>
      </c>
      <c r="S1649" t="s">
        <v>14772</v>
      </c>
    </row>
    <row r="1650" spans="1:19" x14ac:dyDescent="0.25">
      <c r="A1650" s="1">
        <v>1648</v>
      </c>
      <c r="B1650" t="str">
        <f>HYPERLINK("https://www.dasschnelle.at/krötzl-werner-meggenhofen-bruckhof","Website")</f>
        <v>Website</v>
      </c>
      <c r="C1650" t="str">
        <f>HYPERLINK("http://www.werner-baggerungen.at","Website")</f>
        <v>Website</v>
      </c>
      <c r="D1650" t="str">
        <f>HYPERLINK("http://www.google.com/maps/place/48.1717332,13.8096860","Location")</f>
        <v>Location</v>
      </c>
      <c r="E1650" t="s">
        <v>14777</v>
      </c>
      <c r="F1650" t="s">
        <v>14778</v>
      </c>
      <c r="G1650" t="s">
        <v>14780</v>
      </c>
      <c r="H1650" t="s">
        <v>14781</v>
      </c>
      <c r="I1650" t="s">
        <v>85</v>
      </c>
      <c r="J1650" t="s">
        <v>22</v>
      </c>
      <c r="K1650" t="s">
        <v>14779</v>
      </c>
      <c r="L1650" t="s">
        <v>14784</v>
      </c>
      <c r="M1650" t="s">
        <v>25</v>
      </c>
      <c r="N1650" t="s">
        <v>14785</v>
      </c>
      <c r="O1650" t="s">
        <v>14786</v>
      </c>
      <c r="P1650" t="s">
        <v>14787</v>
      </c>
      <c r="Q1650" t="s">
        <v>29</v>
      </c>
      <c r="R1650" t="s">
        <v>14782</v>
      </c>
      <c r="S1650" t="s">
        <v>14783</v>
      </c>
    </row>
    <row r="1651" spans="1:19" x14ac:dyDescent="0.25">
      <c r="A1651" s="1">
        <v>1649</v>
      </c>
      <c r="B1651" t="str">
        <f>HYPERLINK("https://www.dasschnelle.at/dr-secklehner-rechtsanwalts-kg-windischgarsten-rosenauerweg","Website")</f>
        <v>Website</v>
      </c>
      <c r="C1651" t="str">
        <f>HYPERLINK("http://www.advoc.at","Website")</f>
        <v>Website</v>
      </c>
      <c r="D1651" t="str">
        <f>HYPERLINK("http://www.google.com/maps/place/47.71903,14.3335","Location")</f>
        <v>Location</v>
      </c>
      <c r="E1651" t="s">
        <v>14788</v>
      </c>
      <c r="F1651" t="s">
        <v>14789</v>
      </c>
      <c r="G1651" t="s">
        <v>10646</v>
      </c>
      <c r="H1651" t="s">
        <v>10647</v>
      </c>
      <c r="I1651" t="s">
        <v>85</v>
      </c>
      <c r="J1651" t="s">
        <v>22</v>
      </c>
      <c r="K1651" t="s">
        <v>14790</v>
      </c>
      <c r="L1651" t="s">
        <v>14793</v>
      </c>
      <c r="M1651" t="s">
        <v>25</v>
      </c>
      <c r="N1651" t="s">
        <v>14794</v>
      </c>
      <c r="O1651" t="s">
        <v>25</v>
      </c>
      <c r="P1651" t="s">
        <v>697</v>
      </c>
      <c r="Q1651" t="s">
        <v>29</v>
      </c>
      <c r="R1651" t="s">
        <v>14791</v>
      </c>
      <c r="S1651" t="s">
        <v>14792</v>
      </c>
    </row>
    <row r="1652" spans="1:19" x14ac:dyDescent="0.25">
      <c r="A1652" s="1">
        <v>1650</v>
      </c>
      <c r="B1652" t="str">
        <f>HYPERLINK("https://www.dasschnelle.at/schwarz-christian-dr-med-stadl-traun-maximilian-pagl-straße","Website")</f>
        <v>Website</v>
      </c>
      <c r="C1652" t="str">
        <f>HYPERLINK("http://www.doktor-schwarz.at","Website")</f>
        <v>Website</v>
      </c>
      <c r="D1652" t="str">
        <f>HYPERLINK("http://www.google.com/maps/place/48.08576,13.87222","Location")</f>
        <v>Location</v>
      </c>
      <c r="E1652" t="s">
        <v>14795</v>
      </c>
      <c r="F1652" t="s">
        <v>14796</v>
      </c>
      <c r="G1652" t="s">
        <v>10875</v>
      </c>
      <c r="H1652" t="s">
        <v>14798</v>
      </c>
      <c r="I1652" t="s">
        <v>85</v>
      </c>
      <c r="J1652" t="s">
        <v>22</v>
      </c>
      <c r="K1652" t="s">
        <v>14797</v>
      </c>
      <c r="L1652" t="s">
        <v>14801</v>
      </c>
      <c r="M1652" t="s">
        <v>25</v>
      </c>
      <c r="N1652" t="s">
        <v>14802</v>
      </c>
      <c r="O1652" t="s">
        <v>25</v>
      </c>
      <c r="P1652" t="s">
        <v>14803</v>
      </c>
      <c r="Q1652" t="s">
        <v>29</v>
      </c>
      <c r="R1652" t="s">
        <v>14799</v>
      </c>
      <c r="S1652" t="s">
        <v>14800</v>
      </c>
    </row>
    <row r="1653" spans="1:19" x14ac:dyDescent="0.25">
      <c r="A1653" s="1">
        <v>1651</v>
      </c>
      <c r="B1653" t="str">
        <f>HYPERLINK("https://www.dasschnelle.at/gehring-martin-schattwald-schattwald","Website")</f>
        <v>Website</v>
      </c>
      <c r="C1653" t="str">
        <f>HYPERLINK("http://www.erdbau-gehring.at","Website")</f>
        <v>Website</v>
      </c>
      <c r="D1653" t="str">
        <f>HYPERLINK("http://www.google.com/maps/place/47.5159138,10.4584383","Location")</f>
        <v>Location</v>
      </c>
      <c r="E1653" t="s">
        <v>14804</v>
      </c>
      <c r="F1653" t="s">
        <v>14805</v>
      </c>
      <c r="G1653" t="s">
        <v>14807</v>
      </c>
      <c r="H1653" t="s">
        <v>14808</v>
      </c>
      <c r="I1653" t="s">
        <v>21</v>
      </c>
      <c r="J1653" t="s">
        <v>22</v>
      </c>
      <c r="K1653" t="s">
        <v>14806</v>
      </c>
      <c r="L1653" t="s">
        <v>14811</v>
      </c>
      <c r="M1653" t="s">
        <v>25</v>
      </c>
      <c r="N1653" t="s">
        <v>14812</v>
      </c>
      <c r="O1653" t="s">
        <v>25</v>
      </c>
      <c r="P1653" t="s">
        <v>14813</v>
      </c>
      <c r="Q1653" t="s">
        <v>29</v>
      </c>
      <c r="R1653" t="s">
        <v>14809</v>
      </c>
      <c r="S1653" t="s">
        <v>14810</v>
      </c>
    </row>
    <row r="1654" spans="1:19" x14ac:dyDescent="0.25">
      <c r="A1654" s="1">
        <v>1652</v>
      </c>
      <c r="B1654" t="str">
        <f>HYPERLINK("https://www.dasschnelle.at/mayr-entsorgungs-und-transport-gmb-kanal-und-grubendienst-wartberg-an-der-krems-hiersdorf","Website")</f>
        <v>Website</v>
      </c>
      <c r="C1654" t="str">
        <f>HYPERLINK("https://www.dasschnelle.at/mayr-entsorgungs-und-transport-gmb-kanal-und-grubendienst-wartberg-an-der-krems-hiersdorf","Website")</f>
        <v>Website</v>
      </c>
      <c r="D1654" t="str">
        <f>HYPERLINK("http://www.google.com/maps/place/47.9853322,14.0859995","Location")</f>
        <v>Location</v>
      </c>
      <c r="E1654" t="s">
        <v>14814</v>
      </c>
      <c r="F1654" t="s">
        <v>14815</v>
      </c>
      <c r="G1654" t="s">
        <v>12381</v>
      </c>
      <c r="H1654" t="s">
        <v>12382</v>
      </c>
      <c r="I1654" t="s">
        <v>85</v>
      </c>
      <c r="J1654" t="s">
        <v>22</v>
      </c>
      <c r="K1654" t="s">
        <v>14816</v>
      </c>
      <c r="L1654" t="s">
        <v>14819</v>
      </c>
      <c r="M1654" t="s">
        <v>25</v>
      </c>
      <c r="N1654" t="s">
        <v>14820</v>
      </c>
      <c r="O1654" t="s">
        <v>25</v>
      </c>
      <c r="P1654" t="s">
        <v>14821</v>
      </c>
      <c r="Q1654" t="s">
        <v>29</v>
      </c>
      <c r="R1654" t="s">
        <v>14817</v>
      </c>
      <c r="S1654" t="s">
        <v>14818</v>
      </c>
    </row>
    <row r="1655" spans="1:19" x14ac:dyDescent="0.25">
      <c r="A1655" s="1">
        <v>1653</v>
      </c>
      <c r="B1655" t="str">
        <f>HYPERLINK("https://www.dasschnelle.at/krammer-richard-leopoldsdorf-hauptstraße","Website")</f>
        <v>Website</v>
      </c>
      <c r="C1655" t="str">
        <f>HYPERLINK("http://www.krammer-installationen.at","Website")</f>
        <v>Website</v>
      </c>
      <c r="D1655" t="str">
        <f>HYPERLINK("http://www.google.com/maps/place/48.1085400,16.3954300","Location")</f>
        <v>Location</v>
      </c>
      <c r="E1655" t="s">
        <v>14822</v>
      </c>
      <c r="F1655" t="s">
        <v>14823</v>
      </c>
      <c r="G1655" t="s">
        <v>14824</v>
      </c>
      <c r="H1655" t="s">
        <v>14825</v>
      </c>
      <c r="I1655" t="s">
        <v>177</v>
      </c>
      <c r="J1655" t="s">
        <v>22</v>
      </c>
      <c r="K1655" t="s">
        <v>13133</v>
      </c>
      <c r="L1655" t="s">
        <v>14828</v>
      </c>
      <c r="M1655" t="s">
        <v>14829</v>
      </c>
      <c r="N1655" t="s">
        <v>14830</v>
      </c>
      <c r="O1655" t="s">
        <v>14831</v>
      </c>
      <c r="P1655" t="s">
        <v>14832</v>
      </c>
      <c r="Q1655" t="s">
        <v>29</v>
      </c>
      <c r="R1655" t="s">
        <v>14826</v>
      </c>
      <c r="S1655" t="s">
        <v>14827</v>
      </c>
    </row>
    <row r="1656" spans="1:19" x14ac:dyDescent="0.25">
      <c r="A1656" s="1">
        <v>1654</v>
      </c>
      <c r="B1656" t="str">
        <f>HYPERLINK("https://www.dasschnelle.at/pichler-martin-oberalm-kohlreitgutweg","Website")</f>
        <v>Website</v>
      </c>
      <c r="C1656" t="str">
        <f>HYPERLINK("http://www.glas-pichler.at","Website")</f>
        <v>Website</v>
      </c>
      <c r="D1656" t="str">
        <f>HYPERLINK("http://www.google.com/maps/place/47.70124,13.0977","Location")</f>
        <v>Location</v>
      </c>
      <c r="E1656" t="s">
        <v>14833</v>
      </c>
      <c r="F1656" t="s">
        <v>14834</v>
      </c>
      <c r="G1656" t="s">
        <v>7767</v>
      </c>
      <c r="H1656" t="s">
        <v>7768</v>
      </c>
      <c r="I1656" t="s">
        <v>2239</v>
      </c>
      <c r="J1656" t="s">
        <v>22</v>
      </c>
      <c r="K1656" t="s">
        <v>14835</v>
      </c>
      <c r="L1656" t="s">
        <v>14838</v>
      </c>
      <c r="M1656" t="s">
        <v>14839</v>
      </c>
      <c r="N1656" t="s">
        <v>14840</v>
      </c>
      <c r="O1656" t="s">
        <v>25</v>
      </c>
      <c r="P1656" t="s">
        <v>14841</v>
      </c>
      <c r="Q1656" t="s">
        <v>29</v>
      </c>
      <c r="R1656" t="s">
        <v>14836</v>
      </c>
      <c r="S1656" t="s">
        <v>14837</v>
      </c>
    </row>
    <row r="1657" spans="1:19" x14ac:dyDescent="0.25">
      <c r="A1657" s="1">
        <v>1655</v>
      </c>
      <c r="B1657" t="str">
        <f>HYPERLINK("https://www.dasschnelle.at/vogl-und-co-autoverkaufsgesmbh-kapfenberg-werk-vi-straße","Website")</f>
        <v>Website</v>
      </c>
      <c r="C1657" t="str">
        <f>HYPERLINK("http://www.vogl-auto.at","Website")</f>
        <v>Website</v>
      </c>
      <c r="D1657" t="str">
        <f>HYPERLINK("http://www.google.com/maps/place/47.45078,15.32202","Location")</f>
        <v>Location</v>
      </c>
      <c r="E1657" t="s">
        <v>14842</v>
      </c>
      <c r="F1657" t="s">
        <v>14843</v>
      </c>
      <c r="G1657" t="s">
        <v>14430</v>
      </c>
      <c r="H1657" t="s">
        <v>14431</v>
      </c>
      <c r="I1657" t="s">
        <v>451</v>
      </c>
      <c r="J1657" t="s">
        <v>22</v>
      </c>
      <c r="K1657" t="s">
        <v>14844</v>
      </c>
      <c r="L1657" t="s">
        <v>14847</v>
      </c>
      <c r="M1657" t="s">
        <v>25</v>
      </c>
      <c r="N1657" t="s">
        <v>14848</v>
      </c>
      <c r="O1657" t="s">
        <v>25</v>
      </c>
      <c r="P1657" t="s">
        <v>14849</v>
      </c>
      <c r="Q1657" t="s">
        <v>29</v>
      </c>
      <c r="R1657" t="s">
        <v>14845</v>
      </c>
      <c r="S1657" t="s">
        <v>14846</v>
      </c>
    </row>
    <row r="1658" spans="1:19" x14ac:dyDescent="0.25">
      <c r="A1658" s="1">
        <v>1656</v>
      </c>
      <c r="B1658" t="str">
        <f>HYPERLINK("https://www.dasschnelle.at/gstettner-roland-langenwang-schwöbing","Website")</f>
        <v>Website</v>
      </c>
      <c r="C1658" t="str">
        <f>HYPERLINK("http://www.gstettner.co.at","Website")</f>
        <v>Website</v>
      </c>
      <c r="D1658" t="str">
        <f>HYPERLINK("http://www.google.com/maps/place/47.5586006,15.5857910","Location")</f>
        <v>Location</v>
      </c>
      <c r="E1658" t="s">
        <v>14850</v>
      </c>
      <c r="F1658" t="s">
        <v>14851</v>
      </c>
      <c r="G1658" t="s">
        <v>6732</v>
      </c>
      <c r="H1658" t="s">
        <v>6733</v>
      </c>
      <c r="I1658" t="s">
        <v>451</v>
      </c>
      <c r="J1658" t="s">
        <v>22</v>
      </c>
      <c r="K1658" t="s">
        <v>14852</v>
      </c>
      <c r="L1658" t="s">
        <v>14855</v>
      </c>
      <c r="M1658" t="s">
        <v>25</v>
      </c>
      <c r="N1658" t="s">
        <v>14856</v>
      </c>
      <c r="O1658" t="s">
        <v>25</v>
      </c>
      <c r="P1658" t="s">
        <v>14857</v>
      </c>
      <c r="Q1658" t="s">
        <v>29</v>
      </c>
      <c r="R1658" t="s">
        <v>14853</v>
      </c>
      <c r="S1658" t="s">
        <v>14854</v>
      </c>
    </row>
    <row r="1659" spans="1:19" x14ac:dyDescent="0.25">
      <c r="A1659" s="1">
        <v>1657</v>
      </c>
      <c r="B1659" t="str">
        <f>HYPERLINK("https://www.dasschnelle.at/knittel-michael-reutte-obermarkt","Website")</f>
        <v>Website</v>
      </c>
      <c r="C1659" t="str">
        <f>HYPERLINK("https://www.dasschnelle.at/knittel-michael-reutte-obermarkt","Website")</f>
        <v>Website</v>
      </c>
      <c r="D1659" t="str">
        <f>HYPERLINK("http://www.google.com/maps/place/47.48826,10.71934","Location")</f>
        <v>Location</v>
      </c>
      <c r="E1659" t="s">
        <v>14858</v>
      </c>
      <c r="F1659" t="s">
        <v>14859</v>
      </c>
      <c r="G1659" t="s">
        <v>6823</v>
      </c>
      <c r="H1659" t="s">
        <v>6824</v>
      </c>
      <c r="I1659" t="s">
        <v>21</v>
      </c>
      <c r="J1659" t="s">
        <v>22</v>
      </c>
      <c r="K1659" t="s">
        <v>14860</v>
      </c>
      <c r="L1659" t="s">
        <v>14863</v>
      </c>
      <c r="M1659" t="s">
        <v>25</v>
      </c>
      <c r="N1659" t="s">
        <v>14864</v>
      </c>
      <c r="O1659" t="s">
        <v>25</v>
      </c>
      <c r="P1659" t="s">
        <v>14865</v>
      </c>
      <c r="Q1659" t="s">
        <v>29</v>
      </c>
      <c r="R1659" t="s">
        <v>14861</v>
      </c>
      <c r="S1659" t="s">
        <v>14862</v>
      </c>
    </row>
    <row r="1660" spans="1:19" x14ac:dyDescent="0.25">
      <c r="A1660" s="1">
        <v>1658</v>
      </c>
      <c r="B1660" t="str">
        <f>HYPERLINK("https://www.dasschnelle.at/loidl-golling-an-der-salzach-markt","Website")</f>
        <v>Website</v>
      </c>
      <c r="C1660" t="str">
        <f>HYPERLINK("http://www.elektroloidl.at","Website")</f>
        <v>Website</v>
      </c>
      <c r="D1660" t="str">
        <f>HYPERLINK("http://www.google.com/maps/place/47.59783,13.16662","Location")</f>
        <v>Location</v>
      </c>
      <c r="E1660" t="s">
        <v>14866</v>
      </c>
      <c r="F1660" t="s">
        <v>14867</v>
      </c>
      <c r="G1660" t="s">
        <v>7653</v>
      </c>
      <c r="H1660" t="s">
        <v>7654</v>
      </c>
      <c r="I1660" t="s">
        <v>2239</v>
      </c>
      <c r="J1660" t="s">
        <v>22</v>
      </c>
      <c r="K1660" t="s">
        <v>14868</v>
      </c>
      <c r="L1660" t="s">
        <v>14871</v>
      </c>
      <c r="M1660" t="s">
        <v>14872</v>
      </c>
      <c r="N1660" t="s">
        <v>14873</v>
      </c>
      <c r="O1660" t="s">
        <v>25</v>
      </c>
      <c r="P1660" t="s">
        <v>14874</v>
      </c>
      <c r="Q1660" t="s">
        <v>29</v>
      </c>
      <c r="R1660" t="s">
        <v>14869</v>
      </c>
      <c r="S1660" t="s">
        <v>14870</v>
      </c>
    </row>
    <row r="1661" spans="1:19" x14ac:dyDescent="0.25">
      <c r="A1661" s="1">
        <v>1659</v>
      </c>
      <c r="B1661" t="str">
        <f>HYPERLINK("https://www.dasschnelle.at/herbst-patrick-wartberg-im-mürztal-volksheimstraße","Website")</f>
        <v>Website</v>
      </c>
      <c r="C1661" t="str">
        <f>HYPERLINK("http://www.patrick-herbst.at","Website")</f>
        <v>Website</v>
      </c>
      <c r="D1661" t="str">
        <f>HYPERLINK("http://www.google.com/maps/place/47.52855,15.49812","Location")</f>
        <v>Location</v>
      </c>
      <c r="E1661" t="s">
        <v>14875</v>
      </c>
      <c r="F1661" t="s">
        <v>14876</v>
      </c>
      <c r="G1661" t="s">
        <v>14878</v>
      </c>
      <c r="H1661" t="s">
        <v>14879</v>
      </c>
      <c r="I1661" t="s">
        <v>451</v>
      </c>
      <c r="J1661" t="s">
        <v>22</v>
      </c>
      <c r="K1661" t="s">
        <v>14877</v>
      </c>
      <c r="L1661" t="s">
        <v>14882</v>
      </c>
      <c r="M1661" t="s">
        <v>25</v>
      </c>
      <c r="N1661" t="s">
        <v>14883</v>
      </c>
      <c r="O1661" t="s">
        <v>25</v>
      </c>
      <c r="P1661" t="s">
        <v>14884</v>
      </c>
      <c r="Q1661" t="s">
        <v>29</v>
      </c>
      <c r="R1661" t="s">
        <v>14880</v>
      </c>
      <c r="S1661" t="s">
        <v>14881</v>
      </c>
    </row>
    <row r="1662" spans="1:19" x14ac:dyDescent="0.25">
      <c r="A1662" s="1">
        <v>1660</v>
      </c>
      <c r="B1662" t="str">
        <f>HYPERLINK("https://www.dasschnelle.at/malerei-erik-van-de-meerakker-lindenthal","Website")</f>
        <v>Website</v>
      </c>
      <c r="C1662" t="str">
        <f>HYPERLINK("http://www.meerakker.at","Website")</f>
        <v>Website</v>
      </c>
      <c r="D1662" t="str">
        <f>HYPERLINK("http://www.google.com/maps/place/47.5632016,13.3711190","Location")</f>
        <v>Location</v>
      </c>
      <c r="E1662" t="s">
        <v>14885</v>
      </c>
      <c r="F1662" t="s">
        <v>14886</v>
      </c>
      <c r="G1662" t="s">
        <v>7614</v>
      </c>
      <c r="H1662" t="s">
        <v>14887</v>
      </c>
      <c r="I1662" t="s">
        <v>2239</v>
      </c>
      <c r="J1662" t="s">
        <v>22</v>
      </c>
      <c r="K1662" t="s">
        <v>25</v>
      </c>
      <c r="L1662" t="s">
        <v>14890</v>
      </c>
      <c r="M1662" t="s">
        <v>25</v>
      </c>
      <c r="N1662" t="s">
        <v>14891</v>
      </c>
      <c r="O1662" t="s">
        <v>25</v>
      </c>
      <c r="P1662" t="s">
        <v>14892</v>
      </c>
      <c r="Q1662" t="s">
        <v>29</v>
      </c>
      <c r="R1662" t="s">
        <v>14888</v>
      </c>
      <c r="S1662" t="s">
        <v>14889</v>
      </c>
    </row>
    <row r="1663" spans="1:19" x14ac:dyDescent="0.25">
      <c r="A1663" s="1">
        <v>1661</v>
      </c>
      <c r="B1663" t="str">
        <f>HYPERLINK("https://www.dasschnelle.at/des-is-a-taxi-e-u-hallein-brennerhofstraße","Website")</f>
        <v>Website</v>
      </c>
      <c r="C1663" t="str">
        <f>HYPERLINK("http://www.taxi-hallein.com","Website")</f>
        <v>Website</v>
      </c>
      <c r="D1663" t="str">
        <f>HYPERLINK("http://www.google.com/maps/place/47.67822,13.11489","Location")</f>
        <v>Location</v>
      </c>
      <c r="E1663" t="s">
        <v>14893</v>
      </c>
      <c r="F1663" t="s">
        <v>14894</v>
      </c>
      <c r="G1663" t="s">
        <v>7584</v>
      </c>
      <c r="H1663" t="s">
        <v>7585</v>
      </c>
      <c r="I1663" t="s">
        <v>2239</v>
      </c>
      <c r="J1663" t="s">
        <v>22</v>
      </c>
      <c r="K1663" t="s">
        <v>14895</v>
      </c>
      <c r="L1663" t="s">
        <v>14898</v>
      </c>
      <c r="M1663" t="s">
        <v>25</v>
      </c>
      <c r="N1663" t="s">
        <v>14899</v>
      </c>
      <c r="O1663" t="s">
        <v>25</v>
      </c>
      <c r="P1663" t="s">
        <v>14900</v>
      </c>
      <c r="Q1663" t="s">
        <v>29</v>
      </c>
      <c r="R1663" t="s">
        <v>14896</v>
      </c>
      <c r="S1663" t="s">
        <v>14897</v>
      </c>
    </row>
    <row r="1664" spans="1:19" x14ac:dyDescent="0.25">
      <c r="A1664" s="1">
        <v>1662</v>
      </c>
      <c r="B1664" t="str">
        <f>HYPERLINK("https://www.dasschnelle.at/schwarzkogler-reinhard-dr-iur-lambach-marktplatz","Website")</f>
        <v>Website</v>
      </c>
      <c r="C1664" t="str">
        <f>HYPERLINK("http://www.lawmaster.at","Website")</f>
        <v>Website</v>
      </c>
      <c r="D1664" t="str">
        <f>HYPERLINK("http://www.google.com/maps/place/48.0909831,13.8744781","Location")</f>
        <v>Location</v>
      </c>
      <c r="E1664" t="s">
        <v>14901</v>
      </c>
      <c r="F1664" t="s">
        <v>14902</v>
      </c>
      <c r="G1664" t="s">
        <v>12956</v>
      </c>
      <c r="H1664" t="s">
        <v>12957</v>
      </c>
      <c r="I1664" t="s">
        <v>85</v>
      </c>
      <c r="J1664" t="s">
        <v>22</v>
      </c>
      <c r="K1664" t="s">
        <v>2989</v>
      </c>
      <c r="L1664" t="s">
        <v>14905</v>
      </c>
      <c r="M1664" t="s">
        <v>14906</v>
      </c>
      <c r="N1664" t="s">
        <v>14907</v>
      </c>
      <c r="O1664" t="s">
        <v>25</v>
      </c>
      <c r="P1664" t="s">
        <v>14908</v>
      </c>
      <c r="Q1664" t="s">
        <v>29</v>
      </c>
      <c r="R1664" t="s">
        <v>14903</v>
      </c>
      <c r="S1664" t="s">
        <v>14904</v>
      </c>
    </row>
    <row r="1665" spans="1:19" x14ac:dyDescent="0.25">
      <c r="A1665" s="1">
        <v>1663</v>
      </c>
      <c r="B1665" t="str">
        <f>HYPERLINK("https://www.dasschnelle.at/nsm-taxi-gmbh-taxi-enterprise-völkermarkt-switbert-lobisser-straße","Website")</f>
        <v>Website</v>
      </c>
      <c r="C1665" t="str">
        <f>HYPERLINK("http://www.taxi-enterprise.at","Website")</f>
        <v>Website</v>
      </c>
      <c r="D1665" t="str">
        <f>HYPERLINK("http://www.google.com/maps/place/46.7338200,14.8823000","Location")</f>
        <v>Location</v>
      </c>
      <c r="E1665" t="s">
        <v>14909</v>
      </c>
      <c r="F1665" t="s">
        <v>14910</v>
      </c>
      <c r="G1665" t="s">
        <v>5079</v>
      </c>
      <c r="H1665" t="s">
        <v>5080</v>
      </c>
      <c r="I1665" t="s">
        <v>4130</v>
      </c>
      <c r="J1665" t="s">
        <v>22</v>
      </c>
      <c r="K1665" t="s">
        <v>14911</v>
      </c>
      <c r="L1665" t="s">
        <v>14914</v>
      </c>
      <c r="M1665" t="s">
        <v>25</v>
      </c>
      <c r="N1665" t="s">
        <v>14915</v>
      </c>
      <c r="O1665" t="s">
        <v>14916</v>
      </c>
      <c r="P1665" t="s">
        <v>14917</v>
      </c>
      <c r="Q1665" t="s">
        <v>29</v>
      </c>
      <c r="R1665" t="s">
        <v>14912</v>
      </c>
      <c r="S1665" t="s">
        <v>14913</v>
      </c>
    </row>
    <row r="1666" spans="1:19" x14ac:dyDescent="0.25">
      <c r="A1666" s="1">
        <v>1664</v>
      </c>
      <c r="B1666" t="str">
        <f>HYPERLINK("https://www.dasschnelle.at/happenhofer-bau-gmbh-dörflach-draiach","Website")</f>
        <v>Website</v>
      </c>
      <c r="C1666" t="str">
        <f>HYPERLINK("http://www.happenhofer-bau.at","Website")</f>
        <v>Website</v>
      </c>
      <c r="D1666" t="str">
        <f>HYPERLINK("http://www.google.com/maps/place/47.5495324,15.2726571","Location")</f>
        <v>Location</v>
      </c>
      <c r="E1666" t="s">
        <v>14918</v>
      </c>
      <c r="F1666" t="s">
        <v>14919</v>
      </c>
      <c r="G1666" t="s">
        <v>14519</v>
      </c>
      <c r="H1666" t="s">
        <v>14921</v>
      </c>
      <c r="I1666" t="s">
        <v>451</v>
      </c>
      <c r="J1666" t="s">
        <v>22</v>
      </c>
      <c r="K1666" t="s">
        <v>14920</v>
      </c>
      <c r="L1666" t="s">
        <v>14924</v>
      </c>
      <c r="M1666" t="s">
        <v>25</v>
      </c>
      <c r="N1666" t="s">
        <v>14925</v>
      </c>
      <c r="O1666" t="s">
        <v>25</v>
      </c>
      <c r="P1666" t="s">
        <v>14926</v>
      </c>
      <c r="Q1666" t="s">
        <v>29</v>
      </c>
      <c r="R1666" t="s">
        <v>14922</v>
      </c>
      <c r="S1666" t="s">
        <v>14923</v>
      </c>
    </row>
    <row r="1667" spans="1:19" x14ac:dyDescent="0.25">
      <c r="A1667" s="1">
        <v>1665</v>
      </c>
      <c r="B1667" t="str">
        <f>HYPERLINK("https://www.dasschnelle.at/guem-alexander-ehrwald-wettersteinstraße","Website")</f>
        <v>Website</v>
      </c>
      <c r="C1667" t="str">
        <f>HYPERLINK("http://www.guem-schlosserei.com","Website")</f>
        <v>Website</v>
      </c>
      <c r="D1667" t="str">
        <f>HYPERLINK("http://www.google.com/maps/place/47.40032,10.92163","Location")</f>
        <v>Location</v>
      </c>
      <c r="E1667" t="s">
        <v>14927</v>
      </c>
      <c r="F1667" t="s">
        <v>14928</v>
      </c>
      <c r="G1667" t="s">
        <v>14930</v>
      </c>
      <c r="H1667" t="s">
        <v>14931</v>
      </c>
      <c r="I1667" t="s">
        <v>21</v>
      </c>
      <c r="J1667" t="s">
        <v>22</v>
      </c>
      <c r="K1667" t="s">
        <v>14929</v>
      </c>
      <c r="L1667" t="s">
        <v>14934</v>
      </c>
      <c r="M1667" t="s">
        <v>25</v>
      </c>
      <c r="N1667" t="s">
        <v>14935</v>
      </c>
      <c r="O1667" t="s">
        <v>25</v>
      </c>
      <c r="P1667" t="s">
        <v>14936</v>
      </c>
      <c r="Q1667" t="s">
        <v>29</v>
      </c>
      <c r="R1667" t="s">
        <v>14932</v>
      </c>
      <c r="S1667" t="s">
        <v>14933</v>
      </c>
    </row>
    <row r="1668" spans="1:19" x14ac:dyDescent="0.25">
      <c r="A1668" s="1">
        <v>1666</v>
      </c>
      <c r="B1668" t="str">
        <f>HYPERLINK("https://www.dasschnelle.at/thaler-eva-hefenscher","Website")</f>
        <v>Website</v>
      </c>
      <c r="C1668" t="str">
        <f>HYPERLINK("https://www.dasschnelle.at/thaler-eva-hefenscher","Website")</f>
        <v>Website</v>
      </c>
      <c r="D1668" t="str">
        <f>HYPERLINK("http://www.google.com/maps/place/47.5209389,13.4292776","Location")</f>
        <v>Location</v>
      </c>
      <c r="E1668" t="s">
        <v>14937</v>
      </c>
      <c r="F1668" t="s">
        <v>14938</v>
      </c>
      <c r="G1668" t="s">
        <v>7740</v>
      </c>
      <c r="H1668" t="s">
        <v>14939</v>
      </c>
      <c r="I1668" t="s">
        <v>2239</v>
      </c>
      <c r="J1668" t="s">
        <v>22</v>
      </c>
      <c r="K1668" t="s">
        <v>25</v>
      </c>
      <c r="L1668" t="s">
        <v>14942</v>
      </c>
      <c r="M1668" t="s">
        <v>25</v>
      </c>
      <c r="N1668" t="s">
        <v>25</v>
      </c>
      <c r="O1668" t="s">
        <v>25</v>
      </c>
      <c r="P1668" t="s">
        <v>14943</v>
      </c>
      <c r="Q1668" t="s">
        <v>29</v>
      </c>
      <c r="R1668" t="s">
        <v>14940</v>
      </c>
      <c r="S1668" t="s">
        <v>14941</v>
      </c>
    </row>
    <row r="1669" spans="1:19" x14ac:dyDescent="0.25">
      <c r="A1669" s="1">
        <v>1667</v>
      </c>
      <c r="B1669" t="str">
        <f>HYPERLINK("https://www.dasschnelle.at/tischlerei-wallinger-gesmbh-und-co-kg-sankt-koloman-tiefenbachstraße","Website")</f>
        <v>Website</v>
      </c>
      <c r="C1669" t="str">
        <f>HYPERLINK("http://www.wallinger.co.at","Website")</f>
        <v>Website</v>
      </c>
      <c r="D1669" t="str">
        <f>HYPERLINK("http://www.google.com/maps/place/47.64849,13.20573","Location")</f>
        <v>Location</v>
      </c>
      <c r="E1669" t="s">
        <v>14944</v>
      </c>
      <c r="F1669" t="s">
        <v>14945</v>
      </c>
      <c r="G1669" t="s">
        <v>14947</v>
      </c>
      <c r="H1669" t="s">
        <v>14948</v>
      </c>
      <c r="I1669" t="s">
        <v>2239</v>
      </c>
      <c r="J1669" t="s">
        <v>22</v>
      </c>
      <c r="K1669" t="s">
        <v>14946</v>
      </c>
      <c r="L1669" t="s">
        <v>14951</v>
      </c>
      <c r="M1669" t="s">
        <v>25</v>
      </c>
      <c r="N1669" t="s">
        <v>14952</v>
      </c>
      <c r="O1669" t="s">
        <v>25</v>
      </c>
      <c r="P1669" t="s">
        <v>14953</v>
      </c>
      <c r="Q1669" t="s">
        <v>29</v>
      </c>
      <c r="R1669" t="s">
        <v>14949</v>
      </c>
      <c r="S1669" t="s">
        <v>14950</v>
      </c>
    </row>
    <row r="1670" spans="1:19" x14ac:dyDescent="0.25">
      <c r="A1670" s="1">
        <v>1668</v>
      </c>
      <c r="B1670" t="str">
        <f>HYPERLINK("https://www.dasschnelle.at/prinz-gregor-dr-med-eferding-welser-straße","Website")</f>
        <v>Website</v>
      </c>
      <c r="C1670" t="str">
        <f>HYPERLINK("https://www.dasschnelle.at/prinz-gregor-dr-med-eferding-welser-stra%C3%9Fe","Website")</f>
        <v>Website</v>
      </c>
      <c r="D1670" t="str">
        <f>HYPERLINK("http://www.google.com/maps/place/48.30633,14.02269","Location")</f>
        <v>Location</v>
      </c>
      <c r="E1670" t="s">
        <v>14954</v>
      </c>
      <c r="F1670" t="s">
        <v>14955</v>
      </c>
      <c r="G1670" t="s">
        <v>3101</v>
      </c>
      <c r="H1670" t="s">
        <v>3102</v>
      </c>
      <c r="I1670" t="s">
        <v>85</v>
      </c>
      <c r="J1670" t="s">
        <v>22</v>
      </c>
      <c r="K1670" t="s">
        <v>14956</v>
      </c>
      <c r="L1670" t="s">
        <v>14959</v>
      </c>
      <c r="M1670" t="s">
        <v>14960</v>
      </c>
      <c r="N1670" t="s">
        <v>25</v>
      </c>
      <c r="O1670" t="s">
        <v>25</v>
      </c>
      <c r="P1670" t="s">
        <v>14961</v>
      </c>
      <c r="Q1670" t="s">
        <v>29</v>
      </c>
      <c r="R1670" t="s">
        <v>14957</v>
      </c>
      <c r="S1670" t="s">
        <v>14958</v>
      </c>
    </row>
    <row r="1671" spans="1:19" x14ac:dyDescent="0.25">
      <c r="A1671" s="1">
        <v>1669</v>
      </c>
      <c r="B1671" t="str">
        <f>HYPERLINK("https://www.dasschnelle.at/wallner-otto-gmbh-und-co-kg-bruck-an-der-mur-wiener-straße","Website")</f>
        <v>Website</v>
      </c>
      <c r="C1671" t="str">
        <f>HYPERLINK("http://www.wallnerholz.at","Website")</f>
        <v>Website</v>
      </c>
      <c r="D1671" t="str">
        <f>HYPERLINK("http://www.google.com/maps/place/47.4199453,15.2739872","Location")</f>
        <v>Location</v>
      </c>
      <c r="E1671" t="s">
        <v>14962</v>
      </c>
      <c r="F1671" t="s">
        <v>14963</v>
      </c>
      <c r="G1671" t="s">
        <v>3052</v>
      </c>
      <c r="H1671" t="s">
        <v>3053</v>
      </c>
      <c r="I1671" t="s">
        <v>451</v>
      </c>
      <c r="J1671" t="s">
        <v>22</v>
      </c>
      <c r="K1671" t="s">
        <v>6028</v>
      </c>
      <c r="L1671" t="s">
        <v>14966</v>
      </c>
      <c r="M1671" t="s">
        <v>14967</v>
      </c>
      <c r="N1671" t="s">
        <v>14968</v>
      </c>
      <c r="O1671" t="s">
        <v>14969</v>
      </c>
      <c r="P1671" t="s">
        <v>14970</v>
      </c>
      <c r="Q1671" t="s">
        <v>29</v>
      </c>
      <c r="R1671" t="s">
        <v>14964</v>
      </c>
      <c r="S1671" t="s">
        <v>14965</v>
      </c>
    </row>
    <row r="1672" spans="1:19" x14ac:dyDescent="0.25">
      <c r="A1672" s="1">
        <v>1670</v>
      </c>
      <c r="B1672" t="str">
        <f>HYPERLINK("https://www.dasschnelle.at/fensterladen-ing-christian-höller-kindberg-mürzhofen-grazerstraße","Website")</f>
        <v>Website</v>
      </c>
      <c r="C1672" t="str">
        <f>HYPERLINK("http://www.meinfensterladen.at","Website")</f>
        <v>Website</v>
      </c>
      <c r="D1672" t="str">
        <f>HYPERLINK("http://www.google.com/maps/place/47.4753139,15.3586975","Location")</f>
        <v>Location</v>
      </c>
      <c r="E1672" t="s">
        <v>14971</v>
      </c>
      <c r="F1672" t="s">
        <v>14972</v>
      </c>
      <c r="G1672" t="s">
        <v>6805</v>
      </c>
      <c r="H1672" t="s">
        <v>14974</v>
      </c>
      <c r="I1672" t="s">
        <v>451</v>
      </c>
      <c r="J1672" t="s">
        <v>22</v>
      </c>
      <c r="K1672" t="s">
        <v>14973</v>
      </c>
      <c r="L1672" t="s">
        <v>14977</v>
      </c>
      <c r="M1672" t="s">
        <v>25</v>
      </c>
      <c r="N1672" t="s">
        <v>14978</v>
      </c>
      <c r="O1672" t="s">
        <v>14979</v>
      </c>
      <c r="P1672" t="s">
        <v>14980</v>
      </c>
      <c r="Q1672" t="s">
        <v>29</v>
      </c>
      <c r="R1672" t="s">
        <v>14975</v>
      </c>
      <c r="S1672" t="s">
        <v>14976</v>
      </c>
    </row>
    <row r="1673" spans="1:19" x14ac:dyDescent="0.25">
      <c r="A1673" s="1">
        <v>1671</v>
      </c>
      <c r="B1673" t="str">
        <f>HYPERLINK("https://www.dasschnelle.at/oppitz-glas-gesmbh-kapfenberg-lindenplatz","Website")</f>
        <v>Website</v>
      </c>
      <c r="C1673" t="str">
        <f>HYPERLINK("http://www.glas-oppitz.at","Website")</f>
        <v>Website</v>
      </c>
      <c r="D1673" t="str">
        <f>HYPERLINK("http://www.google.com/maps/place/47.44048,15.28819","Location")</f>
        <v>Location</v>
      </c>
      <c r="E1673" t="s">
        <v>14981</v>
      </c>
      <c r="F1673" t="s">
        <v>14982</v>
      </c>
      <c r="G1673" t="s">
        <v>14430</v>
      </c>
      <c r="H1673" t="s">
        <v>14431</v>
      </c>
      <c r="I1673" t="s">
        <v>451</v>
      </c>
      <c r="J1673" t="s">
        <v>22</v>
      </c>
      <c r="K1673" t="s">
        <v>14983</v>
      </c>
      <c r="L1673" t="s">
        <v>14986</v>
      </c>
      <c r="M1673" t="s">
        <v>25</v>
      </c>
      <c r="N1673" t="s">
        <v>14987</v>
      </c>
      <c r="O1673" t="s">
        <v>25</v>
      </c>
      <c r="P1673" t="s">
        <v>697</v>
      </c>
      <c r="Q1673" t="s">
        <v>29</v>
      </c>
      <c r="R1673" t="s">
        <v>14984</v>
      </c>
      <c r="S1673" t="s">
        <v>14985</v>
      </c>
    </row>
    <row r="1674" spans="1:19" x14ac:dyDescent="0.25">
      <c r="A1674" s="1">
        <v>1672</v>
      </c>
      <c r="B1674" t="str">
        <f>HYPERLINK("https://www.dasschnelle.at/hammer-alfred-reutte-bahnhofstraße","Website")</f>
        <v>Website</v>
      </c>
      <c r="C1674" t="str">
        <f>HYPERLINK("http://www.hammer-fenster.at","Website")</f>
        <v>Website</v>
      </c>
      <c r="D1674" t="str">
        <f>HYPERLINK("http://www.google.com/maps/place/47.49311,10.71919","Location")</f>
        <v>Location</v>
      </c>
      <c r="E1674" t="s">
        <v>14988</v>
      </c>
      <c r="F1674" t="s">
        <v>14989</v>
      </c>
      <c r="G1674" t="s">
        <v>6823</v>
      </c>
      <c r="H1674" t="s">
        <v>6824</v>
      </c>
      <c r="I1674" t="s">
        <v>21</v>
      </c>
      <c r="J1674" t="s">
        <v>22</v>
      </c>
      <c r="K1674" t="s">
        <v>11351</v>
      </c>
      <c r="L1674" t="s">
        <v>14992</v>
      </c>
      <c r="M1674" t="s">
        <v>14993</v>
      </c>
      <c r="N1674" t="s">
        <v>14994</v>
      </c>
      <c r="O1674" t="s">
        <v>14995</v>
      </c>
      <c r="P1674" t="s">
        <v>14996</v>
      </c>
      <c r="Q1674" t="s">
        <v>29</v>
      </c>
      <c r="R1674" t="s">
        <v>14990</v>
      </c>
      <c r="S1674" t="s">
        <v>14991</v>
      </c>
    </row>
    <row r="1675" spans="1:19" x14ac:dyDescent="0.25">
      <c r="A1675" s="1">
        <v>1673</v>
      </c>
      <c r="B1675" t="str">
        <f>HYPERLINK("https://www.dasschnelle.at/akito-kuchl-markt","Website")</f>
        <v>Website</v>
      </c>
      <c r="C1675" t="str">
        <f>HYPERLINK("http://www.akito-blumen.at","Website")</f>
        <v>Website</v>
      </c>
      <c r="D1675" t="str">
        <f>HYPERLINK("http://www.google.com/maps/place/47.62731,13.14487","Location")</f>
        <v>Location</v>
      </c>
      <c r="E1675" t="s">
        <v>14997</v>
      </c>
      <c r="F1675" t="s">
        <v>14998</v>
      </c>
      <c r="G1675" t="s">
        <v>7697</v>
      </c>
      <c r="H1675" t="s">
        <v>7698</v>
      </c>
      <c r="I1675" t="s">
        <v>2239</v>
      </c>
      <c r="J1675" t="s">
        <v>22</v>
      </c>
      <c r="K1675" t="s">
        <v>6442</v>
      </c>
      <c r="L1675" t="s">
        <v>15001</v>
      </c>
      <c r="M1675" t="s">
        <v>25</v>
      </c>
      <c r="N1675" t="s">
        <v>15002</v>
      </c>
      <c r="O1675" t="s">
        <v>15003</v>
      </c>
      <c r="P1675" t="s">
        <v>15004</v>
      </c>
      <c r="Q1675" t="s">
        <v>29</v>
      </c>
      <c r="R1675" t="s">
        <v>14999</v>
      </c>
      <c r="S1675" t="s">
        <v>15000</v>
      </c>
    </row>
    <row r="1676" spans="1:19" x14ac:dyDescent="0.25">
      <c r="A1676" s="1">
        <v>1674</v>
      </c>
      <c r="B1676" t="str">
        <f>HYPERLINK("https://www.dasschnelle.at/hofer-peter-matthias-kuchl-georgenberg","Website")</f>
        <v>Website</v>
      </c>
      <c r="C1676" t="str">
        <f>HYPERLINK("http://www.tischlerei-hofer.at","Website")</f>
        <v>Website</v>
      </c>
      <c r="D1676" t="str">
        <f>HYPERLINK("http://www.google.com/maps/place/47.6175385,13.1609071","Location")</f>
        <v>Location</v>
      </c>
      <c r="E1676" t="s">
        <v>15005</v>
      </c>
      <c r="F1676" t="s">
        <v>15006</v>
      </c>
      <c r="G1676" t="s">
        <v>7697</v>
      </c>
      <c r="H1676" t="s">
        <v>7698</v>
      </c>
      <c r="I1676" t="s">
        <v>2239</v>
      </c>
      <c r="J1676" t="s">
        <v>22</v>
      </c>
      <c r="K1676" t="s">
        <v>15007</v>
      </c>
      <c r="L1676" t="s">
        <v>15010</v>
      </c>
      <c r="M1676" t="s">
        <v>25</v>
      </c>
      <c r="N1676" t="s">
        <v>15011</v>
      </c>
      <c r="O1676" t="s">
        <v>15012</v>
      </c>
      <c r="P1676" t="s">
        <v>15013</v>
      </c>
      <c r="Q1676" t="s">
        <v>29</v>
      </c>
      <c r="R1676" t="s">
        <v>15008</v>
      </c>
      <c r="S1676" t="s">
        <v>15009</v>
      </c>
    </row>
    <row r="1677" spans="1:19" x14ac:dyDescent="0.25">
      <c r="A1677" s="1">
        <v>1675</v>
      </c>
      <c r="B1677" t="str">
        <f>HYPERLINK("https://www.dasschnelle.at/optik-köpfelsberger-gmbh-kindberg-hauptstraße","Website")</f>
        <v>Website</v>
      </c>
      <c r="C1677" t="str">
        <f>HYPERLINK("http://www.optik-koepfelsberger.at","Website")</f>
        <v>Website</v>
      </c>
      <c r="D1677" t="str">
        <f>HYPERLINK("http://www.google.com/maps/place/47.50429,15.44624","Location")</f>
        <v>Location</v>
      </c>
      <c r="E1677" t="s">
        <v>15014</v>
      </c>
      <c r="F1677" t="s">
        <v>15015</v>
      </c>
      <c r="G1677" t="s">
        <v>6633</v>
      </c>
      <c r="H1677" t="s">
        <v>6634</v>
      </c>
      <c r="I1677" t="s">
        <v>451</v>
      </c>
      <c r="J1677" t="s">
        <v>22</v>
      </c>
      <c r="K1677" t="s">
        <v>15016</v>
      </c>
      <c r="L1677" t="s">
        <v>15019</v>
      </c>
      <c r="M1677" t="s">
        <v>25</v>
      </c>
      <c r="N1677" t="s">
        <v>15020</v>
      </c>
      <c r="O1677" t="s">
        <v>25</v>
      </c>
      <c r="P1677" t="s">
        <v>15021</v>
      </c>
      <c r="Q1677" t="s">
        <v>29</v>
      </c>
      <c r="R1677" t="s">
        <v>15017</v>
      </c>
      <c r="S1677" t="s">
        <v>15018</v>
      </c>
    </row>
    <row r="1678" spans="1:19" x14ac:dyDescent="0.25">
      <c r="A1678" s="1">
        <v>1676</v>
      </c>
      <c r="B1678" t="str">
        <f>HYPERLINK("https://www.dasschnelle.at/ing-helfried-csamay-gmbh-krieglach-grazer-straße","Website")</f>
        <v>Website</v>
      </c>
      <c r="C1678" t="str">
        <f>HYPERLINK("http://www.csamay.at","Website")</f>
        <v>Website</v>
      </c>
      <c r="D1678" t="str">
        <f>HYPERLINK("http://www.google.com/maps/place/47.54388,15.55903","Location")</f>
        <v>Location</v>
      </c>
      <c r="E1678" t="s">
        <v>15022</v>
      </c>
      <c r="F1678" t="s">
        <v>15023</v>
      </c>
      <c r="G1678" t="s">
        <v>14367</v>
      </c>
      <c r="H1678" t="s">
        <v>14368</v>
      </c>
      <c r="I1678" t="s">
        <v>451</v>
      </c>
      <c r="J1678" t="s">
        <v>22</v>
      </c>
      <c r="K1678" t="s">
        <v>15024</v>
      </c>
      <c r="L1678" t="s">
        <v>15027</v>
      </c>
      <c r="M1678" t="s">
        <v>25</v>
      </c>
      <c r="N1678" t="s">
        <v>15028</v>
      </c>
      <c r="O1678" t="s">
        <v>15029</v>
      </c>
      <c r="P1678" t="s">
        <v>697</v>
      </c>
      <c r="Q1678" t="s">
        <v>29</v>
      </c>
      <c r="R1678" t="s">
        <v>15025</v>
      </c>
      <c r="S1678" t="s">
        <v>15026</v>
      </c>
    </row>
    <row r="1679" spans="1:19" x14ac:dyDescent="0.25">
      <c r="A1679" s="1">
        <v>1677</v>
      </c>
      <c r="B1679" t="str">
        <f>HYPERLINK("https://www.dasschnelle.at/tierarztpraxis-dr-plattner-og-weiz-birkfelder-straße","Website")</f>
        <v>Website</v>
      </c>
      <c r="C1679" t="str">
        <f>HYPERLINK("http://www.tierarztpraxis-weiz.at","Website")</f>
        <v>Website</v>
      </c>
      <c r="D1679" t="str">
        <f>HYPERLINK("http://www.google.com/maps/place/47.21877,15.63034","Location")</f>
        <v>Location</v>
      </c>
      <c r="E1679" t="s">
        <v>15030</v>
      </c>
      <c r="F1679" t="s">
        <v>15031</v>
      </c>
      <c r="G1679" t="s">
        <v>3448</v>
      </c>
      <c r="H1679" t="s">
        <v>3449</v>
      </c>
      <c r="I1679" t="s">
        <v>451</v>
      </c>
      <c r="J1679" t="s">
        <v>22</v>
      </c>
      <c r="K1679" t="s">
        <v>15032</v>
      </c>
      <c r="L1679" t="s">
        <v>15035</v>
      </c>
      <c r="M1679" t="s">
        <v>25</v>
      </c>
      <c r="N1679" t="s">
        <v>15036</v>
      </c>
      <c r="O1679" t="s">
        <v>25</v>
      </c>
      <c r="P1679" t="s">
        <v>15037</v>
      </c>
      <c r="Q1679" t="s">
        <v>29</v>
      </c>
      <c r="R1679" t="s">
        <v>15033</v>
      </c>
      <c r="S1679" t="s">
        <v>15034</v>
      </c>
    </row>
    <row r="1680" spans="1:19" x14ac:dyDescent="0.25">
      <c r="A1680" s="1">
        <v>1678</v>
      </c>
      <c r="B1680" t="str">
        <f>HYPERLINK("https://www.dasschnelle.at/hautzinger-markus-mönchhof-neustiftgasse","Website")</f>
        <v>Website</v>
      </c>
      <c r="C1680" t="str">
        <f>HYPERLINK("http://www.glas-hautzinger.at","Website")</f>
        <v>Website</v>
      </c>
      <c r="D1680" t="str">
        <f>HYPERLINK("http://www.google.com/maps/place/47.8709,16.94468","Location")</f>
        <v>Location</v>
      </c>
      <c r="E1680" t="s">
        <v>15038</v>
      </c>
      <c r="F1680" t="s">
        <v>15039</v>
      </c>
      <c r="G1680" t="s">
        <v>1958</v>
      </c>
      <c r="H1680" t="s">
        <v>1959</v>
      </c>
      <c r="I1680" t="s">
        <v>1834</v>
      </c>
      <c r="J1680" t="s">
        <v>22</v>
      </c>
      <c r="K1680" t="s">
        <v>15040</v>
      </c>
      <c r="L1680" t="s">
        <v>15043</v>
      </c>
      <c r="M1680" t="s">
        <v>25</v>
      </c>
      <c r="N1680" t="s">
        <v>15044</v>
      </c>
      <c r="O1680" t="s">
        <v>15045</v>
      </c>
      <c r="P1680" t="s">
        <v>15046</v>
      </c>
      <c r="Q1680" t="s">
        <v>29</v>
      </c>
      <c r="R1680" t="s">
        <v>15041</v>
      </c>
      <c r="S1680" t="s">
        <v>15042</v>
      </c>
    </row>
    <row r="1681" spans="1:19" x14ac:dyDescent="0.25">
      <c r="A1681" s="1">
        <v>1679</v>
      </c>
      <c r="B1681" t="str">
        <f>HYPERLINK("https://www.dasschnelle.at/tennengauer-versicherung-golling-an-der-salzach-markt","Website")</f>
        <v>Website</v>
      </c>
      <c r="C1681" t="str">
        <f>HYPERLINK("http://www.tennengauer.at","Website")</f>
        <v>Website</v>
      </c>
      <c r="D1681" t="str">
        <f>HYPERLINK("http://www.google.com/maps/place/47.59573,13.16985","Location")</f>
        <v>Location</v>
      </c>
      <c r="E1681" t="s">
        <v>15047</v>
      </c>
      <c r="F1681" t="s">
        <v>15048</v>
      </c>
      <c r="G1681" t="s">
        <v>7653</v>
      </c>
      <c r="H1681" t="s">
        <v>7654</v>
      </c>
      <c r="I1681" t="s">
        <v>2239</v>
      </c>
      <c r="J1681" t="s">
        <v>22</v>
      </c>
      <c r="K1681" t="s">
        <v>15049</v>
      </c>
      <c r="L1681" t="s">
        <v>15052</v>
      </c>
      <c r="M1681" t="s">
        <v>25</v>
      </c>
      <c r="N1681" t="s">
        <v>15053</v>
      </c>
      <c r="O1681" t="s">
        <v>25</v>
      </c>
      <c r="P1681" t="s">
        <v>15054</v>
      </c>
      <c r="Q1681" t="s">
        <v>29</v>
      </c>
      <c r="R1681" t="s">
        <v>15050</v>
      </c>
      <c r="S1681" t="s">
        <v>15051</v>
      </c>
    </row>
    <row r="1682" spans="1:19" x14ac:dyDescent="0.25">
      <c r="A1682" s="1">
        <v>1680</v>
      </c>
      <c r="B1682" t="str">
        <f>HYPERLINK("https://www.dasschnelle.at/perner-walter-stanz-im-mürztal-stanz-im-mürztal","Website")</f>
        <v>Website</v>
      </c>
      <c r="C1682" t="str">
        <f>HYPERLINK("http://www.tischlerei-perner.at","Website")</f>
        <v>Website</v>
      </c>
      <c r="D1682" t="str">
        <f>HYPERLINK("http://www.google.com/maps/place/47.4700000,15.5000000","Location")</f>
        <v>Location</v>
      </c>
      <c r="E1682" t="s">
        <v>15055</v>
      </c>
      <c r="F1682" t="s">
        <v>15056</v>
      </c>
      <c r="G1682" t="s">
        <v>6680</v>
      </c>
      <c r="H1682" t="s">
        <v>6681</v>
      </c>
      <c r="I1682" t="s">
        <v>451</v>
      </c>
      <c r="J1682" t="s">
        <v>22</v>
      </c>
      <c r="K1682" t="s">
        <v>15057</v>
      </c>
      <c r="L1682" t="s">
        <v>15060</v>
      </c>
      <c r="M1682" t="s">
        <v>25</v>
      </c>
      <c r="N1682" t="s">
        <v>15061</v>
      </c>
      <c r="O1682" t="s">
        <v>25</v>
      </c>
      <c r="P1682" t="s">
        <v>15062</v>
      </c>
      <c r="Q1682" t="s">
        <v>29</v>
      </c>
      <c r="R1682" t="s">
        <v>15058</v>
      </c>
      <c r="S1682" t="s">
        <v>15059</v>
      </c>
    </row>
    <row r="1683" spans="1:19" x14ac:dyDescent="0.25">
      <c r="A1683" s="1">
        <v>1681</v>
      </c>
      <c r="B1683" t="str">
        <f>HYPERLINK("https://www.dasschnelle.at/kneihsl-ludwig-gesmbh-mürzzuschlag-königsbrunngasse","Website")</f>
        <v>Website</v>
      </c>
      <c r="C1683" t="str">
        <f>HYPERLINK("http://www.kneihsl.at","Website")</f>
        <v>Website</v>
      </c>
      <c r="D1683" t="str">
        <f>HYPERLINK("http://www.google.com/maps/place/47.60591,15.67047","Location")</f>
        <v>Location</v>
      </c>
      <c r="E1683" t="s">
        <v>15063</v>
      </c>
      <c r="F1683" t="s">
        <v>15064</v>
      </c>
      <c r="G1683" t="s">
        <v>6670</v>
      </c>
      <c r="H1683" t="s">
        <v>6671</v>
      </c>
      <c r="I1683" t="s">
        <v>451</v>
      </c>
      <c r="J1683" t="s">
        <v>22</v>
      </c>
      <c r="K1683" t="s">
        <v>15065</v>
      </c>
      <c r="L1683" t="s">
        <v>15068</v>
      </c>
      <c r="M1683" t="s">
        <v>25</v>
      </c>
      <c r="N1683" t="s">
        <v>15069</v>
      </c>
      <c r="O1683" t="s">
        <v>15070</v>
      </c>
      <c r="P1683" t="s">
        <v>15071</v>
      </c>
      <c r="Q1683" t="s">
        <v>29</v>
      </c>
      <c r="R1683" t="s">
        <v>15066</v>
      </c>
      <c r="S1683" t="s">
        <v>15067</v>
      </c>
    </row>
    <row r="1684" spans="1:19" x14ac:dyDescent="0.25">
      <c r="A1684" s="1">
        <v>1682</v>
      </c>
      <c r="B1684" t="str">
        <f>HYPERLINK("https://www.dasschnelle.at/frank-johann-zimmerei-u-holzbau-gmbh-sankt-margarethen-sankt-margarethenstraße","Website")</f>
        <v>Website</v>
      </c>
      <c r="C1684" t="str">
        <f>HYPERLINK("http://www.holzbau-frank.at","Website")</f>
        <v>Website</v>
      </c>
      <c r="D1684" t="str">
        <f>HYPERLINK("http://www.google.com/maps/place/47.67433,13.12817","Location")</f>
        <v>Location</v>
      </c>
      <c r="E1684" t="s">
        <v>15072</v>
      </c>
      <c r="F1684" t="s">
        <v>15073</v>
      </c>
      <c r="G1684" t="s">
        <v>7777</v>
      </c>
      <c r="H1684" t="s">
        <v>15075</v>
      </c>
      <c r="I1684" t="s">
        <v>2239</v>
      </c>
      <c r="J1684" t="s">
        <v>22</v>
      </c>
      <c r="K1684" t="s">
        <v>15074</v>
      </c>
      <c r="L1684" t="s">
        <v>15078</v>
      </c>
      <c r="M1684" t="s">
        <v>25</v>
      </c>
      <c r="N1684" t="s">
        <v>15079</v>
      </c>
      <c r="O1684" t="s">
        <v>15080</v>
      </c>
      <c r="P1684" t="s">
        <v>15081</v>
      </c>
      <c r="Q1684" t="s">
        <v>29</v>
      </c>
      <c r="R1684" t="s">
        <v>15076</v>
      </c>
      <c r="S1684" t="s">
        <v>15077</v>
      </c>
    </row>
    <row r="1685" spans="1:19" x14ac:dyDescent="0.25">
      <c r="A1685" s="1">
        <v>1683</v>
      </c>
      <c r="B1685" t="str">
        <f>HYPERLINK("https://www.dasschnelle.at/gerhard-füssel-steuerberatung-priv-gunskirchen-welser-straße","Website")</f>
        <v>Website</v>
      </c>
      <c r="C1685" t="str">
        <f>HYPERLINK("http://www.fuessel.at","Website")</f>
        <v>Website</v>
      </c>
      <c r="D1685" t="str">
        <f>HYPERLINK("http://www.google.com/maps/place/48.13095,13.93965","Location")</f>
        <v>Location</v>
      </c>
      <c r="E1685" t="s">
        <v>15082</v>
      </c>
      <c r="F1685" t="s">
        <v>15083</v>
      </c>
      <c r="G1685" t="s">
        <v>4780</v>
      </c>
      <c r="H1685" t="s">
        <v>4781</v>
      </c>
      <c r="I1685" t="s">
        <v>85</v>
      </c>
      <c r="J1685" t="s">
        <v>22</v>
      </c>
      <c r="K1685" t="s">
        <v>15084</v>
      </c>
      <c r="L1685" t="s">
        <v>15087</v>
      </c>
      <c r="M1685" t="s">
        <v>25</v>
      </c>
      <c r="N1685" t="s">
        <v>15088</v>
      </c>
      <c r="O1685" t="s">
        <v>25</v>
      </c>
      <c r="P1685" t="s">
        <v>15089</v>
      </c>
      <c r="Q1685" t="s">
        <v>29</v>
      </c>
      <c r="R1685" t="s">
        <v>15085</v>
      </c>
      <c r="S1685" t="s">
        <v>15086</v>
      </c>
    </row>
    <row r="1686" spans="1:19" x14ac:dyDescent="0.25">
      <c r="A1686" s="1">
        <v>1684</v>
      </c>
      <c r="B1686" t="str">
        <f>HYPERLINK("https://www.dasschnelle.at/taufner-gerhard-dr-melk-bahnhofplatz","Website")</f>
        <v>Website</v>
      </c>
      <c r="C1686" t="str">
        <f>HYPERLINK("http://www.rechtinmelk.at","Website")</f>
        <v>Website</v>
      </c>
      <c r="D1686" t="str">
        <f>HYPERLINK("http://www.google.com/maps/place/48.22515,15.33064","Location")</f>
        <v>Location</v>
      </c>
      <c r="E1686" t="s">
        <v>15090</v>
      </c>
      <c r="F1686" t="s">
        <v>15091</v>
      </c>
      <c r="G1686" t="s">
        <v>5926</v>
      </c>
      <c r="H1686" t="s">
        <v>5927</v>
      </c>
      <c r="I1686" t="s">
        <v>177</v>
      </c>
      <c r="J1686" t="s">
        <v>22</v>
      </c>
      <c r="K1686" t="s">
        <v>15092</v>
      </c>
      <c r="L1686" t="s">
        <v>15095</v>
      </c>
      <c r="M1686" t="s">
        <v>25</v>
      </c>
      <c r="N1686" t="s">
        <v>15096</v>
      </c>
      <c r="O1686" t="s">
        <v>25</v>
      </c>
      <c r="P1686" t="s">
        <v>15097</v>
      </c>
      <c r="Q1686" t="s">
        <v>29</v>
      </c>
      <c r="R1686" t="s">
        <v>15093</v>
      </c>
      <c r="S1686" t="s">
        <v>15094</v>
      </c>
    </row>
    <row r="1687" spans="1:19" x14ac:dyDescent="0.25">
      <c r="A1687" s="1">
        <v>1685</v>
      </c>
      <c r="B1687" t="str">
        <f>HYPERLINK("https://www.dasschnelle.at/schwab-christian-dr-med-gleisdorf-hauptplatz","Website")</f>
        <v>Website</v>
      </c>
      <c r="C1687" t="str">
        <f>HYPERLINK("https://www.dasschnelle.at/schwab-christian-dr-med-gleisdorf-hauptplatz","Website")</f>
        <v>Website</v>
      </c>
      <c r="D1687" t="str">
        <f>HYPERLINK("http://www.google.com/maps/place/47.10568,15.70936","Location")</f>
        <v>Location</v>
      </c>
      <c r="E1687" t="s">
        <v>15098</v>
      </c>
      <c r="F1687" t="s">
        <v>15099</v>
      </c>
      <c r="G1687" t="s">
        <v>3466</v>
      </c>
      <c r="H1687" t="s">
        <v>3467</v>
      </c>
      <c r="I1687" t="s">
        <v>451</v>
      </c>
      <c r="J1687" t="s">
        <v>22</v>
      </c>
      <c r="K1687" t="s">
        <v>1212</v>
      </c>
      <c r="L1687" t="s">
        <v>15102</v>
      </c>
      <c r="M1687" t="s">
        <v>25</v>
      </c>
      <c r="N1687" t="s">
        <v>15103</v>
      </c>
      <c r="O1687" t="s">
        <v>25</v>
      </c>
      <c r="P1687" t="s">
        <v>15104</v>
      </c>
      <c r="Q1687" t="s">
        <v>29</v>
      </c>
      <c r="R1687" t="s">
        <v>15100</v>
      </c>
      <c r="S1687" t="s">
        <v>15101</v>
      </c>
    </row>
    <row r="1688" spans="1:19" x14ac:dyDescent="0.25">
      <c r="A1688" s="1">
        <v>1686</v>
      </c>
      <c r="B1688" t="str">
        <f>HYPERLINK("https://www.dasschnelle.at/prommer-hubert-dr-med-vet-gleisdorf-wünschendorf","Website")</f>
        <v>Website</v>
      </c>
      <c r="C1688" t="str">
        <f>HYPERLINK("http://www.provet.at","Website")</f>
        <v>Website</v>
      </c>
      <c r="D1688" t="str">
        <f>HYPERLINK("http://www.google.com/maps/place/47.0995074,15.7215551","Location")</f>
        <v>Location</v>
      </c>
      <c r="E1688" t="s">
        <v>15105</v>
      </c>
      <c r="F1688" t="s">
        <v>15106</v>
      </c>
      <c r="G1688" t="s">
        <v>3466</v>
      </c>
      <c r="H1688" t="s">
        <v>3467</v>
      </c>
      <c r="I1688" t="s">
        <v>451</v>
      </c>
      <c r="J1688" t="s">
        <v>22</v>
      </c>
      <c r="K1688" t="s">
        <v>15107</v>
      </c>
      <c r="L1688" t="s">
        <v>15110</v>
      </c>
      <c r="M1688" t="s">
        <v>25</v>
      </c>
      <c r="N1688" t="s">
        <v>15111</v>
      </c>
      <c r="O1688" t="s">
        <v>25</v>
      </c>
      <c r="P1688" t="s">
        <v>15112</v>
      </c>
      <c r="Q1688" t="s">
        <v>29</v>
      </c>
      <c r="R1688" t="s">
        <v>15108</v>
      </c>
      <c r="S1688" t="s">
        <v>15109</v>
      </c>
    </row>
    <row r="1689" spans="1:19" x14ac:dyDescent="0.25">
      <c r="A1689" s="1">
        <v>1687</v>
      </c>
      <c r="B1689" t="str">
        <f>HYPERLINK("https://www.dasschnelle.at/textilpflege-wächter-gmbh-steyr-franklin-d-roosevelt-straße","Website")</f>
        <v>Website</v>
      </c>
      <c r="C1689" t="str">
        <f>HYPERLINK("http://www.textilpflege-waechter.at","Website")</f>
        <v>Website</v>
      </c>
      <c r="D1689" t="str">
        <f>HYPERLINK("http://www.google.com/maps/place/48.0474546,14.4176962","Location")</f>
        <v>Location</v>
      </c>
      <c r="E1689" t="s">
        <v>15113</v>
      </c>
      <c r="F1689" t="s">
        <v>15114</v>
      </c>
      <c r="G1689" t="s">
        <v>95</v>
      </c>
      <c r="H1689" t="s">
        <v>96</v>
      </c>
      <c r="I1689" t="s">
        <v>85</v>
      </c>
      <c r="J1689" t="s">
        <v>22</v>
      </c>
      <c r="K1689" t="s">
        <v>15115</v>
      </c>
      <c r="L1689" t="s">
        <v>15118</v>
      </c>
      <c r="M1689" t="s">
        <v>25</v>
      </c>
      <c r="N1689" t="s">
        <v>15119</v>
      </c>
      <c r="O1689" t="s">
        <v>15120</v>
      </c>
      <c r="P1689" t="s">
        <v>15121</v>
      </c>
      <c r="Q1689" t="s">
        <v>29</v>
      </c>
      <c r="R1689" t="s">
        <v>15116</v>
      </c>
      <c r="S1689" t="s">
        <v>15117</v>
      </c>
    </row>
    <row r="1690" spans="1:19" x14ac:dyDescent="0.25">
      <c r="A1690" s="1">
        <v>1688</v>
      </c>
      <c r="B1690" t="str">
        <f>HYPERLINK("https://www.dasschnelle.at/fpö-bezirkspartei-bruck-mürzzuschlag-mürzzuschlag-wiener-straße","Website")</f>
        <v>Website</v>
      </c>
      <c r="C1690" t="str">
        <f>HYPERLINK("https://www.dasschnelle.at/fp%C3%B6-bezirkspartei-bruck-m%C3%BCrzzuschlag-m%C3%BCrzzuschlag-wiener-stra%C3%9Fe","Website")</f>
        <v>Website</v>
      </c>
      <c r="D1690" t="str">
        <f>HYPERLINK("http://www.google.com/maps/place/47.60658,15.67994","Location")</f>
        <v>Location</v>
      </c>
      <c r="E1690" t="s">
        <v>15122</v>
      </c>
      <c r="F1690" t="s">
        <v>15123</v>
      </c>
      <c r="G1690" t="s">
        <v>6670</v>
      </c>
      <c r="H1690" t="s">
        <v>6671</v>
      </c>
      <c r="I1690" t="s">
        <v>451</v>
      </c>
      <c r="J1690" t="s">
        <v>22</v>
      </c>
      <c r="K1690" t="s">
        <v>15124</v>
      </c>
      <c r="L1690" t="s">
        <v>15127</v>
      </c>
      <c r="M1690" t="s">
        <v>25</v>
      </c>
      <c r="N1690" t="s">
        <v>15128</v>
      </c>
      <c r="O1690" t="s">
        <v>25</v>
      </c>
      <c r="P1690" t="s">
        <v>15129</v>
      </c>
      <c r="Q1690" t="s">
        <v>29</v>
      </c>
      <c r="R1690" t="s">
        <v>15125</v>
      </c>
      <c r="S1690" t="s">
        <v>15126</v>
      </c>
    </row>
    <row r="1691" spans="1:19" x14ac:dyDescent="0.25">
      <c r="A1691" s="1">
        <v>1689</v>
      </c>
      <c r="B1691" t="str">
        <f>HYPERLINK("https://www.dasschnelle.at/haarscharf-bruck-an-der-mur-dr-theodor-körner-straße","Website")</f>
        <v>Website</v>
      </c>
      <c r="C1691" t="str">
        <f>HYPERLINK("http://www.haarscharf-bruckmur.at","Website")</f>
        <v>Website</v>
      </c>
      <c r="D1691" t="str">
        <f>HYPERLINK("http://www.google.com/maps/place/47.40963,15.26794","Location")</f>
        <v>Location</v>
      </c>
      <c r="E1691" t="s">
        <v>15130</v>
      </c>
      <c r="F1691" t="s">
        <v>15131</v>
      </c>
      <c r="G1691" t="s">
        <v>3052</v>
      </c>
      <c r="H1691" t="s">
        <v>3053</v>
      </c>
      <c r="I1691" t="s">
        <v>451</v>
      </c>
      <c r="J1691" t="s">
        <v>22</v>
      </c>
      <c r="K1691" t="s">
        <v>15132</v>
      </c>
      <c r="L1691" t="s">
        <v>15135</v>
      </c>
      <c r="M1691" t="s">
        <v>25</v>
      </c>
      <c r="N1691" t="s">
        <v>15136</v>
      </c>
      <c r="O1691" t="s">
        <v>15137</v>
      </c>
      <c r="P1691" t="s">
        <v>15138</v>
      </c>
      <c r="Q1691" t="s">
        <v>29</v>
      </c>
      <c r="R1691" t="s">
        <v>15133</v>
      </c>
      <c r="S1691" t="s">
        <v>15134</v>
      </c>
    </row>
    <row r="1692" spans="1:19" x14ac:dyDescent="0.25">
      <c r="A1692" s="1">
        <v>1690</v>
      </c>
      <c r="B1692" t="str">
        <f>HYPERLINK("https://www.dasschnelle.at/stadtwerke-mürzzuschlag-gesmbh-mürzzuschlag-mariazeller-straße","Website")</f>
        <v>Website</v>
      </c>
      <c r="C1692" t="str">
        <f>HYPERLINK("http://www.stwmz.at","Website")</f>
        <v>Website</v>
      </c>
      <c r="D1692" t="str">
        <f>HYPERLINK("http://www.google.com/maps/place/47.61203,15.66784","Location")</f>
        <v>Location</v>
      </c>
      <c r="E1692" t="s">
        <v>15139</v>
      </c>
      <c r="F1692" t="s">
        <v>15140</v>
      </c>
      <c r="G1692" t="s">
        <v>6670</v>
      </c>
      <c r="H1692" t="s">
        <v>6671</v>
      </c>
      <c r="I1692" t="s">
        <v>451</v>
      </c>
      <c r="J1692" t="s">
        <v>22</v>
      </c>
      <c r="K1692" t="s">
        <v>15141</v>
      </c>
      <c r="L1692" t="s">
        <v>15144</v>
      </c>
      <c r="M1692" t="s">
        <v>25</v>
      </c>
      <c r="N1692" t="s">
        <v>15145</v>
      </c>
      <c r="O1692" t="s">
        <v>25</v>
      </c>
      <c r="P1692" t="s">
        <v>15146</v>
      </c>
      <c r="Q1692" t="s">
        <v>29</v>
      </c>
      <c r="R1692" t="s">
        <v>15142</v>
      </c>
      <c r="S1692" t="s">
        <v>15143</v>
      </c>
    </row>
    <row r="1693" spans="1:19" x14ac:dyDescent="0.25">
      <c r="A1693" s="1">
        <v>1691</v>
      </c>
      <c r="B1693" t="str">
        <f>HYPERLINK("https://www.dasschnelle.at/elektro-moser-gmbh-und-co-kg-höhnhart-höhnhart","Website")</f>
        <v>Website</v>
      </c>
      <c r="C1693" t="str">
        <f>HYPERLINK("https://www.dasschnelle.at/elektro-moser-gmbh-und-co-kg-h%C3%B6hnhart-h%C3%B6hnhart","Website")</f>
        <v>Website</v>
      </c>
      <c r="D1693" t="str">
        <f>HYPERLINK("http://www.google.com/maps/place/48.1638916,13.2715228","Location")</f>
        <v>Location</v>
      </c>
      <c r="E1693" t="s">
        <v>15147</v>
      </c>
      <c r="F1693" t="s">
        <v>15148</v>
      </c>
      <c r="G1693" t="s">
        <v>15150</v>
      </c>
      <c r="H1693" t="s">
        <v>15151</v>
      </c>
      <c r="I1693" t="s">
        <v>85</v>
      </c>
      <c r="J1693" t="s">
        <v>22</v>
      </c>
      <c r="K1693" t="s">
        <v>15149</v>
      </c>
      <c r="L1693" t="s">
        <v>15154</v>
      </c>
      <c r="M1693" t="s">
        <v>25</v>
      </c>
      <c r="N1693" t="s">
        <v>15155</v>
      </c>
      <c r="O1693" t="s">
        <v>25</v>
      </c>
      <c r="P1693" t="s">
        <v>15156</v>
      </c>
      <c r="Q1693" t="s">
        <v>29</v>
      </c>
      <c r="R1693" t="s">
        <v>15152</v>
      </c>
      <c r="S1693" t="s">
        <v>15153</v>
      </c>
    </row>
    <row r="1694" spans="1:19" x14ac:dyDescent="0.25">
      <c r="A1694" s="1">
        <v>1692</v>
      </c>
      <c r="B1694" t="str">
        <f>HYPERLINK("https://www.dasschnelle.at/franz-dvorak-gmbh-bruck-an-der-leitha-dammstraße","Website")</f>
        <v>Website</v>
      </c>
      <c r="C1694" t="str">
        <f>HYPERLINK("http://www.der-maler.at","Website")</f>
        <v>Website</v>
      </c>
      <c r="D1694" t="str">
        <f>HYPERLINK("http://www.google.com/maps/place/48.0154151,16.77612","Location")</f>
        <v>Location</v>
      </c>
      <c r="E1694" t="s">
        <v>15157</v>
      </c>
      <c r="F1694" t="s">
        <v>15158</v>
      </c>
      <c r="G1694" t="s">
        <v>1769</v>
      </c>
      <c r="H1694" t="s">
        <v>14565</v>
      </c>
      <c r="I1694" t="s">
        <v>177</v>
      </c>
      <c r="J1694" t="s">
        <v>22</v>
      </c>
      <c r="K1694" t="s">
        <v>15159</v>
      </c>
      <c r="L1694" t="s">
        <v>15162</v>
      </c>
      <c r="M1694" t="s">
        <v>25</v>
      </c>
      <c r="N1694" t="s">
        <v>15163</v>
      </c>
      <c r="O1694" t="s">
        <v>25</v>
      </c>
      <c r="P1694" t="s">
        <v>15164</v>
      </c>
      <c r="Q1694" t="s">
        <v>29</v>
      </c>
      <c r="R1694" t="s">
        <v>15160</v>
      </c>
      <c r="S1694" t="s">
        <v>15161</v>
      </c>
    </row>
    <row r="1695" spans="1:19" x14ac:dyDescent="0.25">
      <c r="A1695" s="1">
        <v>1693</v>
      </c>
      <c r="B1695" t="str">
        <f>HYPERLINK("https://www.dasschnelle.at/meisterhofer-ewald-mürzzuschlag-gutenbrunngasse","Website")</f>
        <v>Website</v>
      </c>
      <c r="C1695" t="str">
        <f>HYPERLINK("https://www.dasschnelle.at/meisterhofer-ewald-m%C3%BCrzzuschlag-gutenbrunngasse","Website")</f>
        <v>Website</v>
      </c>
      <c r="D1695" t="str">
        <f>HYPERLINK("http://www.google.com/maps/place/47.57613,15.64361","Location")</f>
        <v>Location</v>
      </c>
      <c r="E1695" t="s">
        <v>15165</v>
      </c>
      <c r="F1695" t="s">
        <v>15166</v>
      </c>
      <c r="G1695" t="s">
        <v>6690</v>
      </c>
      <c r="H1695" t="s">
        <v>6671</v>
      </c>
      <c r="I1695" t="s">
        <v>451</v>
      </c>
      <c r="J1695" t="s">
        <v>22</v>
      </c>
      <c r="K1695" t="s">
        <v>15167</v>
      </c>
      <c r="L1695" t="s">
        <v>15170</v>
      </c>
      <c r="M1695" t="s">
        <v>25</v>
      </c>
      <c r="N1695" t="s">
        <v>15171</v>
      </c>
      <c r="O1695" t="s">
        <v>25</v>
      </c>
      <c r="P1695" t="s">
        <v>15172</v>
      </c>
      <c r="Q1695" t="s">
        <v>29</v>
      </c>
      <c r="R1695" t="s">
        <v>15168</v>
      </c>
      <c r="S1695" t="s">
        <v>15169</v>
      </c>
    </row>
    <row r="1696" spans="1:19" x14ac:dyDescent="0.25">
      <c r="A1696" s="1">
        <v>1694</v>
      </c>
      <c r="B1696" t="str">
        <f>HYPERLINK("https://www.dasschnelle.at/wasserbauer-peter-dr-weiz-lederergasse","Website")</f>
        <v>Website</v>
      </c>
      <c r="C1696" t="str">
        <f>HYPERLINK("http://www.ra-wpm.at","Website")</f>
        <v>Website</v>
      </c>
      <c r="D1696" t="str">
        <f>HYPERLINK("http://www.google.com/maps/place/47.21715,15.62573","Location")</f>
        <v>Location</v>
      </c>
      <c r="E1696" t="s">
        <v>15173</v>
      </c>
      <c r="F1696" t="s">
        <v>15174</v>
      </c>
      <c r="G1696" t="s">
        <v>3448</v>
      </c>
      <c r="H1696" t="s">
        <v>3449</v>
      </c>
      <c r="I1696" t="s">
        <v>451</v>
      </c>
      <c r="J1696" t="s">
        <v>22</v>
      </c>
      <c r="K1696" t="s">
        <v>15175</v>
      </c>
      <c r="L1696" t="s">
        <v>15178</v>
      </c>
      <c r="M1696" t="s">
        <v>15179</v>
      </c>
      <c r="N1696" t="s">
        <v>15180</v>
      </c>
      <c r="O1696" t="s">
        <v>15181</v>
      </c>
      <c r="P1696" t="s">
        <v>15182</v>
      </c>
      <c r="Q1696" t="s">
        <v>29</v>
      </c>
      <c r="R1696" t="s">
        <v>15176</v>
      </c>
      <c r="S1696" t="s">
        <v>15177</v>
      </c>
    </row>
    <row r="1697" spans="1:19" x14ac:dyDescent="0.25">
      <c r="A1697" s="1">
        <v>1695</v>
      </c>
      <c r="B1697" t="str">
        <f>HYPERLINK("https://www.dasschnelle.at/hechenblaikner-alexander-versicherungsmakler-gmbh-reutte-planseestraße","Website")</f>
        <v>Website</v>
      </c>
      <c r="C1697" t="str">
        <f>HYPERLINK("http://www.versicherungsmakler-hechenblaikner.at","Website")</f>
        <v>Website</v>
      </c>
      <c r="D1697" t="str">
        <f>HYPERLINK("http://www.google.com/maps/place/47.4906200,10.7209000","Location")</f>
        <v>Location</v>
      </c>
      <c r="E1697" t="s">
        <v>15183</v>
      </c>
      <c r="F1697" t="s">
        <v>15184</v>
      </c>
      <c r="G1697" t="s">
        <v>6823</v>
      </c>
      <c r="H1697" t="s">
        <v>6824</v>
      </c>
      <c r="I1697" t="s">
        <v>21</v>
      </c>
      <c r="J1697" t="s">
        <v>22</v>
      </c>
      <c r="K1697" t="s">
        <v>15185</v>
      </c>
      <c r="L1697" t="s">
        <v>15188</v>
      </c>
      <c r="M1697" t="s">
        <v>25</v>
      </c>
      <c r="N1697" t="s">
        <v>15189</v>
      </c>
      <c r="O1697" t="s">
        <v>15190</v>
      </c>
      <c r="P1697" t="s">
        <v>15191</v>
      </c>
      <c r="Q1697" t="s">
        <v>29</v>
      </c>
      <c r="R1697" t="s">
        <v>15186</v>
      </c>
      <c r="S1697" t="s">
        <v>15187</v>
      </c>
    </row>
    <row r="1698" spans="1:19" x14ac:dyDescent="0.25">
      <c r="A1698" s="1">
        <v>1696</v>
      </c>
      <c r="B1698" t="str">
        <f>HYPERLINK("https://www.dasschnelle.at/lehne-frick-angelika-reutte-obermarkt","Website")</f>
        <v>Website</v>
      </c>
      <c r="C1698" t="str">
        <f>HYPERLINK("http://www.blumen-lehne.at","Website")</f>
        <v>Website</v>
      </c>
      <c r="D1698" t="str">
        <f>HYPERLINK("http://www.google.com/maps/place/47.48637,10.72016","Location")</f>
        <v>Location</v>
      </c>
      <c r="E1698" t="s">
        <v>15192</v>
      </c>
      <c r="F1698" t="s">
        <v>15193</v>
      </c>
      <c r="G1698" t="s">
        <v>6823</v>
      </c>
      <c r="H1698" t="s">
        <v>6824</v>
      </c>
      <c r="I1698" t="s">
        <v>21</v>
      </c>
      <c r="J1698" t="s">
        <v>22</v>
      </c>
      <c r="K1698" t="s">
        <v>15194</v>
      </c>
      <c r="L1698" t="s">
        <v>15197</v>
      </c>
      <c r="M1698" t="s">
        <v>25</v>
      </c>
      <c r="N1698" t="s">
        <v>15198</v>
      </c>
      <c r="O1698" t="s">
        <v>25</v>
      </c>
      <c r="P1698" t="s">
        <v>15199</v>
      </c>
      <c r="Q1698" t="s">
        <v>29</v>
      </c>
      <c r="R1698" t="s">
        <v>15195</v>
      </c>
      <c r="S1698" t="s">
        <v>15196</v>
      </c>
    </row>
    <row r="1699" spans="1:19" x14ac:dyDescent="0.25">
      <c r="A1699" s="1">
        <v>1697</v>
      </c>
      <c r="B1699" t="str">
        <f>HYPERLINK("https://www.dasschnelle.at/rein-mag-und-partner-steuerberatung-gmbh-birkfeld-oberer-markt","Website")</f>
        <v>Website</v>
      </c>
      <c r="C1699" t="str">
        <f>HYPERLINK("http://www.rein-stb.at","Website")</f>
        <v>Website</v>
      </c>
      <c r="D1699" t="str">
        <f>HYPERLINK("http://www.google.com/maps/place/47.35419,15.69316","Location")</f>
        <v>Location</v>
      </c>
      <c r="E1699" t="s">
        <v>15200</v>
      </c>
      <c r="F1699" t="s">
        <v>15201</v>
      </c>
      <c r="G1699" t="s">
        <v>3622</v>
      </c>
      <c r="H1699" t="s">
        <v>3623</v>
      </c>
      <c r="I1699" t="s">
        <v>451</v>
      </c>
      <c r="J1699" t="s">
        <v>22</v>
      </c>
      <c r="K1699" t="s">
        <v>15202</v>
      </c>
      <c r="L1699" t="s">
        <v>15205</v>
      </c>
      <c r="M1699" t="s">
        <v>25</v>
      </c>
      <c r="N1699" t="s">
        <v>15206</v>
      </c>
      <c r="O1699" t="s">
        <v>25</v>
      </c>
      <c r="P1699" t="s">
        <v>15207</v>
      </c>
      <c r="Q1699" t="s">
        <v>29</v>
      </c>
      <c r="R1699" t="s">
        <v>15203</v>
      </c>
      <c r="S1699" t="s">
        <v>15204</v>
      </c>
    </row>
    <row r="1700" spans="1:19" x14ac:dyDescent="0.25">
      <c r="A1700" s="1">
        <v>1698</v>
      </c>
      <c r="B1700" t="str">
        <f>HYPERLINK("https://www.dasschnelle.at/holzknecht-karola-umhausen-dorf","Website")</f>
        <v>Website</v>
      </c>
      <c r="C1700" t="str">
        <f>HYPERLINK("https://www.dasschnelle.at/holzknecht-karola-umhausen-dorf","Website")</f>
        <v>Website</v>
      </c>
      <c r="D1700" t="str">
        <f>HYPERLINK("http://www.google.com/maps/place/47.13969,10.92739","Location")</f>
        <v>Location</v>
      </c>
      <c r="E1700" t="s">
        <v>15208</v>
      </c>
      <c r="F1700" t="s">
        <v>15209</v>
      </c>
      <c r="G1700" t="s">
        <v>7968</v>
      </c>
      <c r="H1700" t="s">
        <v>7969</v>
      </c>
      <c r="I1700" t="s">
        <v>21</v>
      </c>
      <c r="J1700" t="s">
        <v>22</v>
      </c>
      <c r="K1700" t="s">
        <v>15210</v>
      </c>
      <c r="L1700" t="s">
        <v>15213</v>
      </c>
      <c r="M1700" t="s">
        <v>25</v>
      </c>
      <c r="N1700" t="s">
        <v>15214</v>
      </c>
      <c r="O1700" t="s">
        <v>25</v>
      </c>
      <c r="P1700" t="s">
        <v>15215</v>
      </c>
      <c r="Q1700" t="s">
        <v>29</v>
      </c>
      <c r="R1700" t="s">
        <v>15211</v>
      </c>
      <c r="S1700" t="s">
        <v>15212</v>
      </c>
    </row>
    <row r="1701" spans="1:19" x14ac:dyDescent="0.25">
      <c r="A1701" s="1">
        <v>1699</v>
      </c>
      <c r="B1701" t="str">
        <f>HYPERLINK("https://www.dasschnelle.at/christoph-koller-langenlois-gobelsburger-strasse","Website")</f>
        <v>Website</v>
      </c>
      <c r="C1701" t="str">
        <f>HYPERLINK("http://www.tischlereikoller.at","Website")</f>
        <v>Website</v>
      </c>
      <c r="D1701" t="str">
        <f>HYPERLINK("http://www.google.com/maps/place/48.46259,15.7234","Location")</f>
        <v>Location</v>
      </c>
      <c r="E1701" t="s">
        <v>15216</v>
      </c>
      <c r="F1701" t="s">
        <v>15217</v>
      </c>
      <c r="G1701" t="s">
        <v>413</v>
      </c>
      <c r="H1701" t="s">
        <v>414</v>
      </c>
      <c r="I1701" t="s">
        <v>177</v>
      </c>
      <c r="J1701" t="s">
        <v>22</v>
      </c>
      <c r="K1701" t="s">
        <v>15218</v>
      </c>
      <c r="L1701" t="s">
        <v>15221</v>
      </c>
      <c r="M1701" t="s">
        <v>25</v>
      </c>
      <c r="N1701" t="s">
        <v>15222</v>
      </c>
      <c r="O1701" t="s">
        <v>15223</v>
      </c>
      <c r="P1701" t="s">
        <v>15224</v>
      </c>
      <c r="Q1701" t="s">
        <v>29</v>
      </c>
      <c r="R1701" t="s">
        <v>15219</v>
      </c>
      <c r="S1701" t="s">
        <v>15220</v>
      </c>
    </row>
    <row r="1702" spans="1:19" x14ac:dyDescent="0.25">
      <c r="A1702" s="1">
        <v>1700</v>
      </c>
      <c r="B1702" t="str">
        <f>HYPERLINK("https://www.dasschnelle.at/erd-georg-dr-krems-an-der-donau-ringstraße","Website")</f>
        <v>Website</v>
      </c>
      <c r="C1702" t="str">
        <f>HYPERLINK("https://www.dasschnelle.at/erd-georg-dr-krems-an-der-donau-ringstra%C3%9Fe","Website")</f>
        <v>Website</v>
      </c>
      <c r="D1702" t="str">
        <f>HYPERLINK("http://www.google.com/maps/place/48.4077356,15.5976763","Location")</f>
        <v>Location</v>
      </c>
      <c r="E1702" t="s">
        <v>15225</v>
      </c>
      <c r="F1702" t="s">
        <v>15226</v>
      </c>
      <c r="G1702" t="s">
        <v>281</v>
      </c>
      <c r="H1702" t="s">
        <v>282</v>
      </c>
      <c r="I1702" t="s">
        <v>177</v>
      </c>
      <c r="J1702" t="s">
        <v>22</v>
      </c>
      <c r="K1702" t="s">
        <v>15227</v>
      </c>
      <c r="L1702" t="s">
        <v>15230</v>
      </c>
      <c r="M1702" t="s">
        <v>25</v>
      </c>
      <c r="N1702" t="s">
        <v>15231</v>
      </c>
      <c r="O1702" t="s">
        <v>25</v>
      </c>
      <c r="P1702" t="s">
        <v>15232</v>
      </c>
      <c r="Q1702" t="s">
        <v>29</v>
      </c>
      <c r="R1702" t="s">
        <v>15228</v>
      </c>
      <c r="S1702" t="s">
        <v>15229</v>
      </c>
    </row>
    <row r="1703" spans="1:19" x14ac:dyDescent="0.25">
      <c r="A1703" s="1">
        <v>1701</v>
      </c>
      <c r="B1703" t="str">
        <f>HYPERLINK("https://www.dasschnelle.at/dr-georg-erd-mautern-kirschböckstr","Website")</f>
        <v>Website</v>
      </c>
      <c r="C1703" t="str">
        <f>HYPERLINK("https://www.dasschnelle.at/dr-georg-erd-mautern-kirschb%C3%B6ckstr","Website")</f>
        <v>Website</v>
      </c>
      <c r="D1703" t="str">
        <f>HYPERLINK("http://www.google.com/maps/place/48.4077356,15.5976763","Location")</f>
        <v>Location</v>
      </c>
      <c r="E1703" t="s">
        <v>15233</v>
      </c>
      <c r="F1703" t="s">
        <v>15234</v>
      </c>
      <c r="G1703" t="s">
        <v>349</v>
      </c>
      <c r="H1703" t="s">
        <v>15236</v>
      </c>
      <c r="I1703" t="s">
        <v>177</v>
      </c>
      <c r="J1703" t="s">
        <v>22</v>
      </c>
      <c r="K1703" t="s">
        <v>15235</v>
      </c>
      <c r="L1703" t="s">
        <v>15230</v>
      </c>
      <c r="M1703" t="s">
        <v>25</v>
      </c>
      <c r="N1703" t="s">
        <v>15237</v>
      </c>
      <c r="O1703" t="s">
        <v>25</v>
      </c>
      <c r="P1703" t="s">
        <v>15238</v>
      </c>
      <c r="Q1703" t="s">
        <v>29</v>
      </c>
      <c r="R1703" t="s">
        <v>15228</v>
      </c>
      <c r="S1703" t="s">
        <v>15229</v>
      </c>
    </row>
    <row r="1704" spans="1:19" x14ac:dyDescent="0.25">
      <c r="A1704" s="1">
        <v>1702</v>
      </c>
      <c r="B1704" t="str">
        <f>HYPERLINK("https://www.dasschnelle.at/krenn-wesecky-ursula-dr-melk-spielberger-straße","Website")</f>
        <v>Website</v>
      </c>
      <c r="C1704" t="str">
        <f>HYPERLINK("https://www.dasschnelle.at/krenn-wesecky-ursula-dr-melk-spielberger-stra%C3%9Fe","Website")</f>
        <v>Website</v>
      </c>
      <c r="D1704" t="str">
        <f>HYPERLINK("http://www.google.com/maps/place/48.2258649,15.3312056","Location")</f>
        <v>Location</v>
      </c>
      <c r="E1704" t="s">
        <v>15239</v>
      </c>
      <c r="F1704" t="s">
        <v>15240</v>
      </c>
      <c r="G1704" t="s">
        <v>5926</v>
      </c>
      <c r="H1704" t="s">
        <v>5927</v>
      </c>
      <c r="I1704" t="s">
        <v>177</v>
      </c>
      <c r="J1704" t="s">
        <v>22</v>
      </c>
      <c r="K1704" t="s">
        <v>15241</v>
      </c>
      <c r="L1704" t="s">
        <v>15244</v>
      </c>
      <c r="M1704" t="s">
        <v>25</v>
      </c>
      <c r="N1704" t="s">
        <v>15245</v>
      </c>
      <c r="O1704" t="s">
        <v>25</v>
      </c>
      <c r="P1704" t="s">
        <v>15246</v>
      </c>
      <c r="Q1704" t="s">
        <v>29</v>
      </c>
      <c r="R1704" t="s">
        <v>15242</v>
      </c>
      <c r="S1704" t="s">
        <v>15243</v>
      </c>
    </row>
    <row r="1705" spans="1:19" x14ac:dyDescent="0.25">
      <c r="A1705" s="1">
        <v>1703</v>
      </c>
      <c r="B1705" t="str">
        <f>HYPERLINK("https://www.dasschnelle.at/setec-gmbh-kindberg-mürzhofen-grazer-straße","Website")</f>
        <v>Website</v>
      </c>
      <c r="C1705" t="str">
        <f>HYPERLINK("http://www.setec-gmbh.at","Website")</f>
        <v>Website</v>
      </c>
      <c r="D1705" t="str">
        <f>HYPERLINK("http://www.google.com/maps/place/47.4820450,15.3905224","Location")</f>
        <v>Location</v>
      </c>
      <c r="E1705" t="s">
        <v>15247</v>
      </c>
      <c r="F1705" t="s">
        <v>15248</v>
      </c>
      <c r="G1705" t="s">
        <v>6805</v>
      </c>
      <c r="H1705" t="s">
        <v>6634</v>
      </c>
      <c r="I1705" t="s">
        <v>451</v>
      </c>
      <c r="J1705" t="s">
        <v>22</v>
      </c>
      <c r="K1705" t="s">
        <v>15249</v>
      </c>
      <c r="L1705" t="s">
        <v>15252</v>
      </c>
      <c r="M1705" t="s">
        <v>25</v>
      </c>
      <c r="N1705" t="s">
        <v>15253</v>
      </c>
      <c r="O1705" t="s">
        <v>25</v>
      </c>
      <c r="P1705" t="s">
        <v>15254</v>
      </c>
      <c r="Q1705" t="s">
        <v>29</v>
      </c>
      <c r="R1705" t="s">
        <v>15250</v>
      </c>
      <c r="S1705" t="s">
        <v>15251</v>
      </c>
    </row>
    <row r="1706" spans="1:19" x14ac:dyDescent="0.25">
      <c r="A1706" s="1">
        <v>1704</v>
      </c>
      <c r="B1706" t="str">
        <f>HYPERLINK("https://www.dasschnelle.at/parodontitis-krems-krems-heinemannstraße","Website")</f>
        <v>Website</v>
      </c>
      <c r="C1706" t="str">
        <f>HYPERLINK("http://www.parodontitis-krems.at","Website")</f>
        <v>Website</v>
      </c>
      <c r="D1706" t="str">
        <f>HYPERLINK("http://www.google.com/maps/place/48.4086200,15.5987500","Location")</f>
        <v>Location</v>
      </c>
      <c r="E1706" t="s">
        <v>15255</v>
      </c>
      <c r="F1706" t="s">
        <v>15256</v>
      </c>
      <c r="G1706" t="s">
        <v>281</v>
      </c>
      <c r="H1706" t="s">
        <v>291</v>
      </c>
      <c r="I1706" t="s">
        <v>177</v>
      </c>
      <c r="J1706" t="s">
        <v>22</v>
      </c>
      <c r="K1706" t="s">
        <v>15257</v>
      </c>
      <c r="L1706" t="s">
        <v>15260</v>
      </c>
      <c r="M1706" t="s">
        <v>25</v>
      </c>
      <c r="N1706" t="s">
        <v>15261</v>
      </c>
      <c r="O1706" t="s">
        <v>15262</v>
      </c>
      <c r="P1706" t="s">
        <v>15263</v>
      </c>
      <c r="Q1706" t="s">
        <v>29</v>
      </c>
      <c r="R1706" t="s">
        <v>15258</v>
      </c>
      <c r="S1706" t="s">
        <v>15259</v>
      </c>
    </row>
    <row r="1707" spans="1:19" x14ac:dyDescent="0.25">
      <c r="A1707" s="1">
        <v>1705</v>
      </c>
      <c r="B1707" t="str">
        <f>HYPERLINK("https://www.dasschnelle.at/auto-center-krieglach-krieglach-grazer-straße","Website")</f>
        <v>Website</v>
      </c>
      <c r="C1707" t="str">
        <f>HYPERLINK("https://www.dasschnelle.at/auto-center-krieglach-krieglach-grazer-stra%C3%9Fe","Website")</f>
        <v>Website</v>
      </c>
      <c r="D1707" t="str">
        <f>HYPERLINK("http://www.google.com/maps/place/47.5441300,15.5604600","Location")</f>
        <v>Location</v>
      </c>
      <c r="E1707" t="s">
        <v>15264</v>
      </c>
      <c r="F1707" t="s">
        <v>15265</v>
      </c>
      <c r="G1707" t="s">
        <v>14367</v>
      </c>
      <c r="H1707" t="s">
        <v>14368</v>
      </c>
      <c r="I1707" t="s">
        <v>451</v>
      </c>
      <c r="J1707" t="s">
        <v>22</v>
      </c>
      <c r="K1707" t="s">
        <v>15266</v>
      </c>
      <c r="L1707" t="s">
        <v>15269</v>
      </c>
      <c r="M1707" t="s">
        <v>25</v>
      </c>
      <c r="N1707" t="s">
        <v>15270</v>
      </c>
      <c r="O1707" t="s">
        <v>25</v>
      </c>
      <c r="P1707" t="s">
        <v>15271</v>
      </c>
      <c r="Q1707" t="s">
        <v>29</v>
      </c>
      <c r="R1707" t="s">
        <v>15267</v>
      </c>
      <c r="S1707" t="s">
        <v>15268</v>
      </c>
    </row>
    <row r="1708" spans="1:19" x14ac:dyDescent="0.25">
      <c r="A1708" s="1">
        <v>1706</v>
      </c>
      <c r="B1708" t="str">
        <f>HYPERLINK("https://www.dasschnelle.at/gema-holzbau-og-tannheim-gewerbegebiet","Website")</f>
        <v>Website</v>
      </c>
      <c r="C1708" t="str">
        <f>HYPERLINK("http://www.holzbau-gema.at","Website")</f>
        <v>Website</v>
      </c>
      <c r="D1708" t="str">
        <f>HYPERLINK("http://www.google.com/maps/place/47.50659,10.5009","Location")</f>
        <v>Location</v>
      </c>
      <c r="E1708" t="s">
        <v>15272</v>
      </c>
      <c r="F1708" t="s">
        <v>15273</v>
      </c>
      <c r="G1708" t="s">
        <v>15275</v>
      </c>
      <c r="H1708" t="s">
        <v>15276</v>
      </c>
      <c r="I1708" t="s">
        <v>21</v>
      </c>
      <c r="J1708" t="s">
        <v>22</v>
      </c>
      <c r="K1708" t="s">
        <v>15274</v>
      </c>
      <c r="L1708" t="s">
        <v>15279</v>
      </c>
      <c r="M1708" t="s">
        <v>25</v>
      </c>
      <c r="N1708" t="s">
        <v>15280</v>
      </c>
      <c r="O1708" t="s">
        <v>15281</v>
      </c>
      <c r="P1708" t="s">
        <v>15282</v>
      </c>
      <c r="Q1708" t="s">
        <v>29</v>
      </c>
      <c r="R1708" t="s">
        <v>15277</v>
      </c>
      <c r="S1708" t="s">
        <v>15278</v>
      </c>
    </row>
    <row r="1709" spans="1:19" x14ac:dyDescent="0.25">
      <c r="A1709" s="1">
        <v>1707</v>
      </c>
      <c r="B1709" t="str">
        <f>HYPERLINK("https://www.dasschnelle.at/änderungsschneiderei-brigitte-krems-bahnhofplatz","Website")</f>
        <v>Website</v>
      </c>
      <c r="C1709" t="str">
        <f>HYPERLINK("http://www.aenderungsschneiderei-brigitte.at","Website")</f>
        <v>Website</v>
      </c>
      <c r="D1709" t="str">
        <f>HYPERLINK("http://www.google.com/maps/place/48.4097380,15.6051467","Location")</f>
        <v>Location</v>
      </c>
      <c r="E1709" t="s">
        <v>15283</v>
      </c>
      <c r="F1709" t="s">
        <v>15284</v>
      </c>
      <c r="G1709" t="s">
        <v>281</v>
      </c>
      <c r="H1709" t="s">
        <v>291</v>
      </c>
      <c r="I1709" t="s">
        <v>177</v>
      </c>
      <c r="J1709" t="s">
        <v>22</v>
      </c>
      <c r="K1709" t="s">
        <v>15285</v>
      </c>
      <c r="L1709" t="s">
        <v>15288</v>
      </c>
      <c r="M1709" t="s">
        <v>25</v>
      </c>
      <c r="N1709" t="s">
        <v>15289</v>
      </c>
      <c r="O1709" t="s">
        <v>25</v>
      </c>
      <c r="P1709" t="s">
        <v>15290</v>
      </c>
      <c r="Q1709" t="s">
        <v>29</v>
      </c>
      <c r="R1709" t="s">
        <v>15286</v>
      </c>
      <c r="S1709" t="s">
        <v>15287</v>
      </c>
    </row>
    <row r="1710" spans="1:19" x14ac:dyDescent="0.25">
      <c r="A1710" s="1">
        <v>1708</v>
      </c>
      <c r="B1710" t="str">
        <f>HYPERLINK("https://www.dasschnelle.at/siller-rupert-kuchl-georgenberg","Website")</f>
        <v>Website</v>
      </c>
      <c r="C1710" t="str">
        <f>HYPERLINK("http://www.holzbau-rupertsiller.at","Website")</f>
        <v>Website</v>
      </c>
      <c r="D1710" t="str">
        <f>HYPERLINK("http://www.google.com/maps/place/47.6204082,13.1524033","Location")</f>
        <v>Location</v>
      </c>
      <c r="E1710" t="s">
        <v>15291</v>
      </c>
      <c r="F1710" t="s">
        <v>15292</v>
      </c>
      <c r="G1710" t="s">
        <v>7697</v>
      </c>
      <c r="H1710" t="s">
        <v>7698</v>
      </c>
      <c r="I1710" t="s">
        <v>2239</v>
      </c>
      <c r="J1710" t="s">
        <v>22</v>
      </c>
      <c r="K1710" t="s">
        <v>15293</v>
      </c>
      <c r="L1710" t="s">
        <v>15296</v>
      </c>
      <c r="M1710" t="s">
        <v>25</v>
      </c>
      <c r="N1710" t="s">
        <v>15297</v>
      </c>
      <c r="O1710" t="s">
        <v>25</v>
      </c>
      <c r="P1710" t="s">
        <v>15298</v>
      </c>
      <c r="Q1710" t="s">
        <v>29</v>
      </c>
      <c r="R1710" t="s">
        <v>15294</v>
      </c>
      <c r="S1710" t="s">
        <v>15295</v>
      </c>
    </row>
    <row r="1711" spans="1:19" x14ac:dyDescent="0.25">
      <c r="A1711" s="1">
        <v>1709</v>
      </c>
      <c r="B1711" t="str">
        <f>HYPERLINK("https://www.dasschnelle.at/landtechnik-oberland-arzl-im-pitztal-gewerbepark-pitztal","Website")</f>
        <v>Website</v>
      </c>
      <c r="C1711" t="str">
        <f>HYPERLINK("http://www.staggl.at","Website")</f>
        <v>Website</v>
      </c>
      <c r="D1711" t="str">
        <f>HYPERLINK("http://www.google.com/maps/place/47.21376,10.75439","Location")</f>
        <v>Location</v>
      </c>
      <c r="E1711" t="s">
        <v>15299</v>
      </c>
      <c r="F1711" t="s">
        <v>15300</v>
      </c>
      <c r="G1711" t="s">
        <v>8006</v>
      </c>
      <c r="H1711" t="s">
        <v>8007</v>
      </c>
      <c r="I1711" t="s">
        <v>21</v>
      </c>
      <c r="J1711" t="s">
        <v>22</v>
      </c>
      <c r="K1711" t="s">
        <v>15301</v>
      </c>
      <c r="L1711" t="s">
        <v>15304</v>
      </c>
      <c r="M1711" t="s">
        <v>25</v>
      </c>
      <c r="N1711" t="s">
        <v>15305</v>
      </c>
      <c r="O1711" t="s">
        <v>25</v>
      </c>
      <c r="P1711" t="s">
        <v>15306</v>
      </c>
      <c r="Q1711" t="s">
        <v>29</v>
      </c>
      <c r="R1711" t="s">
        <v>15302</v>
      </c>
      <c r="S1711" t="s">
        <v>15303</v>
      </c>
    </row>
    <row r="1712" spans="1:19" x14ac:dyDescent="0.25">
      <c r="A1712" s="1">
        <v>1710</v>
      </c>
      <c r="B1712" t="str">
        <f>HYPERLINK("https://www.dasschnelle.at/hausumzubau-gmbh-krems-landersdorferstrasse","Website")</f>
        <v>Website</v>
      </c>
      <c r="C1712" t="str">
        <f>HYPERLINK("http://www.hausumzubau.at","Website")</f>
        <v>Website</v>
      </c>
      <c r="D1712" t="str">
        <f>HYPERLINK("http://www.google.com/maps/place/48.41736,15.63998","Location")</f>
        <v>Location</v>
      </c>
      <c r="E1712" t="s">
        <v>15307</v>
      </c>
      <c r="F1712" t="s">
        <v>15308</v>
      </c>
      <c r="G1712" t="s">
        <v>281</v>
      </c>
      <c r="H1712" t="s">
        <v>291</v>
      </c>
      <c r="I1712" t="s">
        <v>177</v>
      </c>
      <c r="J1712" t="s">
        <v>22</v>
      </c>
      <c r="K1712" t="s">
        <v>15309</v>
      </c>
      <c r="L1712" t="s">
        <v>15312</v>
      </c>
      <c r="M1712" t="s">
        <v>25</v>
      </c>
      <c r="N1712" t="s">
        <v>15313</v>
      </c>
      <c r="O1712" t="s">
        <v>15314</v>
      </c>
      <c r="P1712" t="s">
        <v>15315</v>
      </c>
      <c r="Q1712" t="s">
        <v>29</v>
      </c>
      <c r="R1712" t="s">
        <v>15310</v>
      </c>
      <c r="S1712" t="s">
        <v>15311</v>
      </c>
    </row>
    <row r="1713" spans="1:19" x14ac:dyDescent="0.25">
      <c r="A1713" s="1">
        <v>1711</v>
      </c>
      <c r="B1713" t="str">
        <f>HYPERLINK("https://www.dasschnelle.at/ncl-hager-und-partner-wirtschafts-und-steuerberatungs-gmbh-wörgl-bahnhofstraße","Website")</f>
        <v>Website</v>
      </c>
      <c r="C1713" t="str">
        <f>HYPERLINK("http://www.hager-stb.at","Website")</f>
        <v>Website</v>
      </c>
      <c r="D1713" t="str">
        <f>HYPERLINK("http://www.google.com/maps/place/47.13961,10.92739","Location")</f>
        <v>Location</v>
      </c>
      <c r="E1713" t="s">
        <v>15316</v>
      </c>
      <c r="F1713" t="s">
        <v>15317</v>
      </c>
      <c r="G1713" t="s">
        <v>13172</v>
      </c>
      <c r="H1713" t="s">
        <v>13173</v>
      </c>
      <c r="I1713" t="s">
        <v>21</v>
      </c>
      <c r="J1713" t="s">
        <v>22</v>
      </c>
      <c r="K1713" t="s">
        <v>15318</v>
      </c>
      <c r="L1713" t="s">
        <v>15320</v>
      </c>
      <c r="M1713" t="s">
        <v>25</v>
      </c>
      <c r="N1713" t="s">
        <v>15321</v>
      </c>
      <c r="O1713" t="s">
        <v>15322</v>
      </c>
      <c r="P1713" t="s">
        <v>15323</v>
      </c>
      <c r="Q1713" t="s">
        <v>29</v>
      </c>
      <c r="R1713" t="s">
        <v>15319</v>
      </c>
      <c r="S1713" t="s">
        <v>15212</v>
      </c>
    </row>
    <row r="1714" spans="1:19" x14ac:dyDescent="0.25">
      <c r="A1714" s="1">
        <v>1712</v>
      </c>
      <c r="B1714" t="str">
        <f>HYPERLINK("https://www.dasschnelle.at/hallbrucker-christian-dr-med-oetz-hauptstraße","Website")</f>
        <v>Website</v>
      </c>
      <c r="C1714" t="str">
        <f>HYPERLINK("https://www.dasschnelle.at/hallbrucker-christian-dr-med-oetz-hauptstra%C3%9Fe","Website")</f>
        <v>Website</v>
      </c>
      <c r="D1714" t="str">
        <f>HYPERLINK("http://www.google.com/maps/place/47.20247,10.89808","Location")</f>
        <v>Location</v>
      </c>
      <c r="E1714" t="s">
        <v>15324</v>
      </c>
      <c r="F1714" t="s">
        <v>15325</v>
      </c>
      <c r="G1714" t="s">
        <v>7986</v>
      </c>
      <c r="H1714" t="s">
        <v>7987</v>
      </c>
      <c r="I1714" t="s">
        <v>21</v>
      </c>
      <c r="J1714" t="s">
        <v>22</v>
      </c>
      <c r="K1714" t="s">
        <v>4218</v>
      </c>
      <c r="L1714" t="s">
        <v>15328</v>
      </c>
      <c r="M1714" t="s">
        <v>25</v>
      </c>
      <c r="N1714" t="s">
        <v>15329</v>
      </c>
      <c r="O1714" t="s">
        <v>25</v>
      </c>
      <c r="P1714" t="s">
        <v>15330</v>
      </c>
      <c r="Q1714" t="s">
        <v>29</v>
      </c>
      <c r="R1714" t="s">
        <v>15326</v>
      </c>
      <c r="S1714" t="s">
        <v>15327</v>
      </c>
    </row>
    <row r="1715" spans="1:19" x14ac:dyDescent="0.25">
      <c r="A1715" s="1">
        <v>1713</v>
      </c>
      <c r="B1715" t="str">
        <f>HYPERLINK("https://www.dasschnelle.at/e-complete-höhnhart-höhnhart","Website")</f>
        <v>Website</v>
      </c>
      <c r="C1715" t="str">
        <f>HYPERLINK("http://www.e-complete.at","Website")</f>
        <v>Website</v>
      </c>
      <c r="D1715" t="str">
        <f>HYPERLINK("http://www.google.com/maps/place/48.1636293,13.2710267","Location")</f>
        <v>Location</v>
      </c>
      <c r="E1715" t="s">
        <v>15331</v>
      </c>
      <c r="F1715" t="s">
        <v>15332</v>
      </c>
      <c r="G1715" t="s">
        <v>15150</v>
      </c>
      <c r="H1715" t="s">
        <v>15151</v>
      </c>
      <c r="I1715" t="s">
        <v>85</v>
      </c>
      <c r="J1715" t="s">
        <v>22</v>
      </c>
      <c r="K1715" t="s">
        <v>15333</v>
      </c>
      <c r="L1715" t="s">
        <v>15336</v>
      </c>
      <c r="M1715" t="s">
        <v>25</v>
      </c>
      <c r="N1715" t="s">
        <v>15337</v>
      </c>
      <c r="O1715" t="s">
        <v>25</v>
      </c>
      <c r="P1715" t="s">
        <v>15338</v>
      </c>
      <c r="Q1715" t="s">
        <v>29</v>
      </c>
      <c r="R1715" t="s">
        <v>15334</v>
      </c>
      <c r="S1715" t="s">
        <v>15335</v>
      </c>
    </row>
    <row r="1716" spans="1:19" x14ac:dyDescent="0.25">
      <c r="A1716" s="1">
        <v>1714</v>
      </c>
      <c r="B1716" t="str">
        <f>HYPERLINK("https://www.dasschnelle.at/neureiter-tischlerei-kg-kuchl-georgenberg","Website")</f>
        <v>Website</v>
      </c>
      <c r="C1716" t="str">
        <f>HYPERLINK("http://www.tischlerei-neureiter.at","Website")</f>
        <v>Website</v>
      </c>
      <c r="D1716" t="str">
        <f>HYPERLINK("http://www.google.com/maps/place/47.6219700,13.1563000","Location")</f>
        <v>Location</v>
      </c>
      <c r="E1716" t="s">
        <v>15339</v>
      </c>
      <c r="F1716" t="s">
        <v>15340</v>
      </c>
      <c r="G1716" t="s">
        <v>7697</v>
      </c>
      <c r="H1716" t="s">
        <v>7698</v>
      </c>
      <c r="I1716" t="s">
        <v>2239</v>
      </c>
      <c r="J1716" t="s">
        <v>22</v>
      </c>
      <c r="K1716" t="s">
        <v>15341</v>
      </c>
      <c r="L1716" t="s">
        <v>15344</v>
      </c>
      <c r="M1716" t="s">
        <v>25</v>
      </c>
      <c r="N1716" t="s">
        <v>15345</v>
      </c>
      <c r="O1716" t="s">
        <v>25</v>
      </c>
      <c r="P1716" t="s">
        <v>15346</v>
      </c>
      <c r="Q1716" t="s">
        <v>29</v>
      </c>
      <c r="R1716" t="s">
        <v>15342</v>
      </c>
      <c r="S1716" t="s">
        <v>15343</v>
      </c>
    </row>
    <row r="1717" spans="1:19" x14ac:dyDescent="0.25">
      <c r="A1717" s="1">
        <v>1715</v>
      </c>
      <c r="B1717" t="str">
        <f>HYPERLINK("https://www.dasschnelle.at/huber-marcus-krems-an-der-donau-spänglergasse","Website")</f>
        <v>Website</v>
      </c>
      <c r="C1717" t="str">
        <f>HYPERLINK("https://www.dasschnelle.at/huber-marcus-krems-an-der-donau-sp%C3%A4nglergasse","Website")</f>
        <v>Website</v>
      </c>
      <c r="D1717" t="str">
        <f>HYPERLINK("http://www.google.com/maps/place/48.4078589,15.6063809","Location")</f>
        <v>Location</v>
      </c>
      <c r="E1717" t="s">
        <v>15347</v>
      </c>
      <c r="F1717" t="s">
        <v>15348</v>
      </c>
      <c r="G1717" t="s">
        <v>281</v>
      </c>
      <c r="H1717" t="s">
        <v>282</v>
      </c>
      <c r="I1717" t="s">
        <v>177</v>
      </c>
      <c r="J1717" t="s">
        <v>22</v>
      </c>
      <c r="K1717" t="s">
        <v>15349</v>
      </c>
      <c r="L1717" t="s">
        <v>15352</v>
      </c>
      <c r="M1717" t="s">
        <v>25</v>
      </c>
      <c r="N1717" t="s">
        <v>15353</v>
      </c>
      <c r="O1717" t="s">
        <v>25</v>
      </c>
      <c r="P1717" t="s">
        <v>15354</v>
      </c>
      <c r="Q1717" t="s">
        <v>29</v>
      </c>
      <c r="R1717" t="s">
        <v>15350</v>
      </c>
      <c r="S1717" t="s">
        <v>15351</v>
      </c>
    </row>
    <row r="1718" spans="1:19" x14ac:dyDescent="0.25">
      <c r="A1718" s="1">
        <v>1716</v>
      </c>
      <c r="B1718" t="str">
        <f>HYPERLINK("https://www.dasschnelle.at/funeral-service-gmbh-hainburg-an-der-donau-wienerstraße","Website")</f>
        <v>Website</v>
      </c>
      <c r="C1718" t="str">
        <f>HYPERLINK("http://www.bestattung-hanser.at","Website")</f>
        <v>Website</v>
      </c>
      <c r="D1718" t="str">
        <f>HYPERLINK("http://www.google.com/maps/place/48.1464441,16.9400732","Location")</f>
        <v>Location</v>
      </c>
      <c r="E1718" t="s">
        <v>15355</v>
      </c>
      <c r="F1718" t="s">
        <v>15356</v>
      </c>
      <c r="G1718" t="s">
        <v>1822</v>
      </c>
      <c r="H1718" t="s">
        <v>1823</v>
      </c>
      <c r="I1718" t="s">
        <v>177</v>
      </c>
      <c r="J1718" t="s">
        <v>22</v>
      </c>
      <c r="K1718" t="s">
        <v>15357</v>
      </c>
      <c r="L1718" t="s">
        <v>15360</v>
      </c>
      <c r="M1718" t="s">
        <v>25</v>
      </c>
      <c r="N1718" t="s">
        <v>15361</v>
      </c>
      <c r="O1718" t="s">
        <v>15362</v>
      </c>
      <c r="P1718" t="s">
        <v>15363</v>
      </c>
      <c r="Q1718" t="s">
        <v>29</v>
      </c>
      <c r="R1718" t="s">
        <v>15358</v>
      </c>
      <c r="S1718" t="s">
        <v>15359</v>
      </c>
    </row>
    <row r="1719" spans="1:19" x14ac:dyDescent="0.25">
      <c r="A1719" s="1">
        <v>1717</v>
      </c>
      <c r="B1719" t="str">
        <f>HYPERLINK("https://www.dasschnelle.at/funeral-service-gmbh-wien-hernalser-hauptstraße","Website")</f>
        <v>Website</v>
      </c>
      <c r="C1719" t="str">
        <f>HYPERLINK("http://www.bestattung-hanser.at","Website")</f>
        <v>Website</v>
      </c>
      <c r="D1719" t="str">
        <f>HYPERLINK("http://www.google.com/maps/place/48.2230600,16.3175100","Location")</f>
        <v>Location</v>
      </c>
      <c r="E1719" t="s">
        <v>15364</v>
      </c>
      <c r="F1719" t="s">
        <v>15365</v>
      </c>
      <c r="G1719" t="s">
        <v>15367</v>
      </c>
      <c r="H1719" t="s">
        <v>6488</v>
      </c>
      <c r="I1719" t="s">
        <v>6488</v>
      </c>
      <c r="J1719" t="s">
        <v>22</v>
      </c>
      <c r="K1719" t="s">
        <v>15366</v>
      </c>
      <c r="L1719" t="s">
        <v>15360</v>
      </c>
      <c r="M1719" t="s">
        <v>25</v>
      </c>
      <c r="N1719" t="s">
        <v>15361</v>
      </c>
      <c r="O1719" t="s">
        <v>15370</v>
      </c>
      <c r="P1719" t="s">
        <v>15371</v>
      </c>
      <c r="Q1719" t="s">
        <v>29</v>
      </c>
      <c r="R1719" t="s">
        <v>15368</v>
      </c>
      <c r="S1719" t="s">
        <v>15369</v>
      </c>
    </row>
    <row r="1720" spans="1:19" x14ac:dyDescent="0.25">
      <c r="A1720" s="1">
        <v>1718</v>
      </c>
      <c r="B1720" t="str">
        <f>HYPERLINK("https://www.dasschnelle.at/funeral-service-gmbh-wien-landstraßer-hauptstraße","Website")</f>
        <v>Website</v>
      </c>
      <c r="C1720" t="str">
        <f>HYPERLINK("http://www.bestattung-hanser.at","Website")</f>
        <v>Website</v>
      </c>
      <c r="D1720" t="str">
        <f>HYPERLINK("http://www.google.com/maps/place/48.1919646,16.3988674","Location")</f>
        <v>Location</v>
      </c>
      <c r="E1720" t="s">
        <v>15364</v>
      </c>
      <c r="F1720" t="s">
        <v>15372</v>
      </c>
      <c r="G1720" t="s">
        <v>6487</v>
      </c>
      <c r="H1720" t="s">
        <v>6488</v>
      </c>
      <c r="I1720" t="s">
        <v>6488</v>
      </c>
      <c r="J1720" t="s">
        <v>22</v>
      </c>
      <c r="K1720" t="s">
        <v>15373</v>
      </c>
      <c r="L1720" t="s">
        <v>15360</v>
      </c>
      <c r="M1720" t="s">
        <v>25</v>
      </c>
      <c r="N1720" t="s">
        <v>15361</v>
      </c>
      <c r="O1720" t="s">
        <v>15376</v>
      </c>
      <c r="P1720" t="s">
        <v>15377</v>
      </c>
      <c r="Q1720" t="s">
        <v>29</v>
      </c>
      <c r="R1720" t="s">
        <v>15374</v>
      </c>
      <c r="S1720" t="s">
        <v>15375</v>
      </c>
    </row>
    <row r="1721" spans="1:19" x14ac:dyDescent="0.25">
      <c r="A1721" s="1">
        <v>1719</v>
      </c>
      <c r="B1721" t="str">
        <f>HYPERLINK("https://www.dasschnelle.at/müllner-und-dr-molnar-og-bruck-burgenlandstraße","Website")</f>
        <v>Website</v>
      </c>
      <c r="C1721" t="str">
        <f>HYPERLINK("http://www.wot.co.at","Website")</f>
        <v>Website</v>
      </c>
      <c r="D1721" t="str">
        <f>HYPERLINK("http://www.google.com/maps/place/48.0244349,16.7794541","Location")</f>
        <v>Location</v>
      </c>
      <c r="E1721" t="s">
        <v>15378</v>
      </c>
      <c r="F1721" t="s">
        <v>15379</v>
      </c>
      <c r="G1721" t="s">
        <v>1769</v>
      </c>
      <c r="H1721" t="s">
        <v>1770</v>
      </c>
      <c r="I1721" t="s">
        <v>177</v>
      </c>
      <c r="J1721" t="s">
        <v>22</v>
      </c>
      <c r="K1721" t="s">
        <v>15380</v>
      </c>
      <c r="L1721" t="s">
        <v>15383</v>
      </c>
      <c r="M1721" t="s">
        <v>25</v>
      </c>
      <c r="N1721" t="s">
        <v>15384</v>
      </c>
      <c r="O1721" t="s">
        <v>15385</v>
      </c>
      <c r="P1721" t="s">
        <v>697</v>
      </c>
      <c r="Q1721" t="s">
        <v>29</v>
      </c>
      <c r="R1721" t="s">
        <v>15381</v>
      </c>
      <c r="S1721" t="s">
        <v>15382</v>
      </c>
    </row>
    <row r="1722" spans="1:19" x14ac:dyDescent="0.25">
      <c r="A1722" s="1">
        <v>1720</v>
      </c>
      <c r="B1722" t="str">
        <f>HYPERLINK("https://www.dasschnelle.at/nitschinger-og-nitschinger-michel-zurndorf-lindengasse","Website")</f>
        <v>Website</v>
      </c>
      <c r="C1722" t="str">
        <f>HYPERLINK("http://www.spenglerei-nitschinger.at","Website")</f>
        <v>Website</v>
      </c>
      <c r="D1722" t="str">
        <f>HYPERLINK("http://www.google.com/maps/place/47.98542,17.00454","Location")</f>
        <v>Location</v>
      </c>
      <c r="E1722" t="s">
        <v>15386</v>
      </c>
      <c r="F1722" t="s">
        <v>15387</v>
      </c>
      <c r="G1722" t="s">
        <v>1900</v>
      </c>
      <c r="H1722" t="s">
        <v>1901</v>
      </c>
      <c r="I1722" t="s">
        <v>1834</v>
      </c>
      <c r="J1722" t="s">
        <v>22</v>
      </c>
      <c r="K1722" t="s">
        <v>15388</v>
      </c>
      <c r="L1722" t="s">
        <v>15391</v>
      </c>
      <c r="M1722" t="s">
        <v>25</v>
      </c>
      <c r="N1722" t="s">
        <v>15392</v>
      </c>
      <c r="O1722" t="s">
        <v>15393</v>
      </c>
      <c r="P1722" t="s">
        <v>15394</v>
      </c>
      <c r="Q1722" t="s">
        <v>29</v>
      </c>
      <c r="R1722" t="s">
        <v>15389</v>
      </c>
      <c r="S1722" t="s">
        <v>15390</v>
      </c>
    </row>
    <row r="1723" spans="1:19" x14ac:dyDescent="0.25">
      <c r="A1723" s="1">
        <v>1721</v>
      </c>
      <c r="B1723" t="str">
        <f>HYPERLINK("https://www.dasschnelle.at/bauer-christian-mag-melk-keiblingerstraße","Website")</f>
        <v>Website</v>
      </c>
      <c r="C1723" t="str">
        <f>HYPERLINK("http://www.notar-melk.at","Website")</f>
        <v>Website</v>
      </c>
      <c r="D1723" t="str">
        <f>HYPERLINK("http://www.google.com/maps/place/48.22538,15.33247","Location")</f>
        <v>Location</v>
      </c>
      <c r="E1723" t="s">
        <v>15395</v>
      </c>
      <c r="F1723" t="s">
        <v>15396</v>
      </c>
      <c r="G1723" t="s">
        <v>5926</v>
      </c>
      <c r="H1723" t="s">
        <v>5927</v>
      </c>
      <c r="I1723" t="s">
        <v>177</v>
      </c>
      <c r="J1723" t="s">
        <v>22</v>
      </c>
      <c r="K1723" t="s">
        <v>15397</v>
      </c>
      <c r="L1723" t="s">
        <v>15400</v>
      </c>
      <c r="M1723" t="s">
        <v>25</v>
      </c>
      <c r="N1723" t="s">
        <v>15401</v>
      </c>
      <c r="O1723" t="s">
        <v>25</v>
      </c>
      <c r="P1723" t="s">
        <v>15402</v>
      </c>
      <c r="Q1723" t="s">
        <v>29</v>
      </c>
      <c r="R1723" t="s">
        <v>15398</v>
      </c>
      <c r="S1723" t="s">
        <v>15399</v>
      </c>
    </row>
    <row r="1724" spans="1:19" x14ac:dyDescent="0.25">
      <c r="A1724" s="1">
        <v>1722</v>
      </c>
      <c r="B1724" t="str">
        <f>HYPERLINK("https://www.dasschnelle.at/holzbau-wieser-st-lorenzen-im-mürztal-edelackerstraße","Website")</f>
        <v>Website</v>
      </c>
      <c r="C1724" t="str">
        <f>HYPERLINK("https://www.dasschnelle.at/holzbau-wieser-st-lorenzen-im-m%C3%BCrztal-edelackerstra%C3%9Fe","Website")</f>
        <v>Website</v>
      </c>
      <c r="D1724" t="str">
        <f>HYPERLINK("http://www.google.com/maps/place/47.4751384,15.3593517","Location")</f>
        <v>Location</v>
      </c>
      <c r="E1724" t="s">
        <v>15403</v>
      </c>
      <c r="F1724" t="s">
        <v>15404</v>
      </c>
      <c r="G1724" t="s">
        <v>3091</v>
      </c>
      <c r="H1724" t="s">
        <v>15406</v>
      </c>
      <c r="I1724" t="s">
        <v>25</v>
      </c>
      <c r="J1724" t="s">
        <v>22</v>
      </c>
      <c r="K1724" t="s">
        <v>15405</v>
      </c>
      <c r="L1724" t="s">
        <v>15409</v>
      </c>
      <c r="M1724" t="s">
        <v>25</v>
      </c>
      <c r="N1724" t="s">
        <v>15410</v>
      </c>
      <c r="O1724" t="s">
        <v>15411</v>
      </c>
      <c r="P1724" t="s">
        <v>15412</v>
      </c>
      <c r="Q1724" t="s">
        <v>29</v>
      </c>
      <c r="R1724" t="s">
        <v>15407</v>
      </c>
      <c r="S1724" t="s">
        <v>15408</v>
      </c>
    </row>
    <row r="1725" spans="1:19" x14ac:dyDescent="0.25">
      <c r="A1725" s="1">
        <v>1723</v>
      </c>
      <c r="B1725" t="str">
        <f>HYPERLINK("https://www.dasschnelle.at/koller-ulrike-dr-melk-linzer-straße","Website")</f>
        <v>Website</v>
      </c>
      <c r="C1725" t="str">
        <f>HYPERLINK("http://www.rechtsanwalt-koller.at","Website")</f>
        <v>Website</v>
      </c>
      <c r="D1725" t="str">
        <f>HYPERLINK("http://www.google.com/maps/place/48.22639,15.32809","Location")</f>
        <v>Location</v>
      </c>
      <c r="E1725" t="s">
        <v>15413</v>
      </c>
      <c r="F1725" t="s">
        <v>15414</v>
      </c>
      <c r="G1725" t="s">
        <v>5926</v>
      </c>
      <c r="H1725" t="s">
        <v>5927</v>
      </c>
      <c r="I1725" t="s">
        <v>177</v>
      </c>
      <c r="J1725" t="s">
        <v>22</v>
      </c>
      <c r="K1725" t="s">
        <v>12717</v>
      </c>
      <c r="L1725" t="s">
        <v>15417</v>
      </c>
      <c r="M1725" t="s">
        <v>25</v>
      </c>
      <c r="N1725" t="s">
        <v>15418</v>
      </c>
      <c r="O1725" t="s">
        <v>15419</v>
      </c>
      <c r="P1725" t="s">
        <v>15420</v>
      </c>
      <c r="Q1725" t="s">
        <v>29</v>
      </c>
      <c r="R1725" t="s">
        <v>15415</v>
      </c>
      <c r="S1725" t="s">
        <v>15416</v>
      </c>
    </row>
    <row r="1726" spans="1:19" x14ac:dyDescent="0.25">
      <c r="A1726" s="1">
        <v>1724</v>
      </c>
      <c r="B1726" t="str">
        <f>HYPERLINK("https://www.dasschnelle.at/stecher-thomas-dr-med-imst-dr-carl-pfeiffenberger-straße","Website")</f>
        <v>Website</v>
      </c>
      <c r="C1726" t="str">
        <f>HYPERLINK("http://www.dr-stecher.at","Website")</f>
        <v>Website</v>
      </c>
      <c r="D1726" t="str">
        <f>HYPERLINK("http://www.google.com/maps/place/47.237,10.73816","Location")</f>
        <v>Location</v>
      </c>
      <c r="E1726" t="s">
        <v>15421</v>
      </c>
      <c r="F1726" t="s">
        <v>15422</v>
      </c>
      <c r="G1726" t="s">
        <v>7997</v>
      </c>
      <c r="H1726" t="s">
        <v>7998</v>
      </c>
      <c r="I1726" t="s">
        <v>21</v>
      </c>
      <c r="J1726" t="s">
        <v>22</v>
      </c>
      <c r="K1726" t="s">
        <v>8060</v>
      </c>
      <c r="L1726" t="s">
        <v>15425</v>
      </c>
      <c r="M1726" t="s">
        <v>25</v>
      </c>
      <c r="N1726" t="s">
        <v>15426</v>
      </c>
      <c r="O1726" t="s">
        <v>25</v>
      </c>
      <c r="P1726" t="s">
        <v>15427</v>
      </c>
      <c r="Q1726" t="s">
        <v>29</v>
      </c>
      <c r="R1726" t="s">
        <v>15423</v>
      </c>
      <c r="S1726" t="s">
        <v>15424</v>
      </c>
    </row>
    <row r="1727" spans="1:19" x14ac:dyDescent="0.25">
      <c r="A1727" s="1">
        <v>1725</v>
      </c>
      <c r="B1727" t="str">
        <f>HYPERLINK("https://www.dasschnelle.at/zangerle-kern-michaela-dr-med-imst-dr-carl-pfeiffenberger-straße","Website")</f>
        <v>Website</v>
      </c>
      <c r="C1727" t="str">
        <f>HYPERLINK("http://www.dr-zangerle.at","Website")</f>
        <v>Website</v>
      </c>
      <c r="D1727" t="str">
        <f>HYPERLINK("http://www.google.com/maps/place/47.237,10.73816","Location")</f>
        <v>Location</v>
      </c>
      <c r="E1727" t="s">
        <v>15428</v>
      </c>
      <c r="F1727" t="s">
        <v>15429</v>
      </c>
      <c r="G1727" t="s">
        <v>7997</v>
      </c>
      <c r="H1727" t="s">
        <v>7998</v>
      </c>
      <c r="I1727" t="s">
        <v>21</v>
      </c>
      <c r="J1727" t="s">
        <v>22</v>
      </c>
      <c r="K1727" t="s">
        <v>8060</v>
      </c>
      <c r="L1727" t="s">
        <v>15425</v>
      </c>
      <c r="M1727" t="s">
        <v>25</v>
      </c>
      <c r="N1727" t="s">
        <v>15430</v>
      </c>
      <c r="O1727" t="s">
        <v>25</v>
      </c>
      <c r="P1727" t="s">
        <v>15431</v>
      </c>
      <c r="Q1727" t="s">
        <v>29</v>
      </c>
      <c r="R1727" t="s">
        <v>15423</v>
      </c>
      <c r="S1727" t="s">
        <v>15424</v>
      </c>
    </row>
    <row r="1728" spans="1:19" x14ac:dyDescent="0.25">
      <c r="A1728" s="1">
        <v>1726</v>
      </c>
      <c r="B1728" t="str">
        <f>HYPERLINK("https://www.dasschnelle.at/linser-und-linser-imst-stadtplatz","Website")</f>
        <v>Website</v>
      </c>
      <c r="C1728" t="str">
        <f>HYPERLINK("http://www.rechtsanwalt-linser.at","Website")</f>
        <v>Website</v>
      </c>
      <c r="D1728" t="str">
        <f>HYPERLINK("http://www.google.com/maps/place/47.2386041,10.7428896","Location")</f>
        <v>Location</v>
      </c>
      <c r="E1728" t="s">
        <v>15432</v>
      </c>
      <c r="F1728" t="s">
        <v>15433</v>
      </c>
      <c r="G1728" t="s">
        <v>7997</v>
      </c>
      <c r="H1728" t="s">
        <v>7998</v>
      </c>
      <c r="I1728" t="s">
        <v>21</v>
      </c>
      <c r="J1728" t="s">
        <v>22</v>
      </c>
      <c r="K1728" t="s">
        <v>5612</v>
      </c>
      <c r="L1728" t="s">
        <v>15436</v>
      </c>
      <c r="M1728" t="s">
        <v>25</v>
      </c>
      <c r="N1728" t="s">
        <v>15437</v>
      </c>
      <c r="O1728" t="s">
        <v>25</v>
      </c>
      <c r="P1728" t="s">
        <v>15438</v>
      </c>
      <c r="Q1728" t="s">
        <v>29</v>
      </c>
      <c r="R1728" t="s">
        <v>15434</v>
      </c>
      <c r="S1728" t="s">
        <v>15435</v>
      </c>
    </row>
    <row r="1729" spans="1:19" x14ac:dyDescent="0.25">
      <c r="A1729" s="1">
        <v>1727</v>
      </c>
      <c r="B1729" t="str">
        <f>HYPERLINK("https://www.dasschnelle.at/schoiswohl-gerhard-dr-weiz-hauptplatz","Website")</f>
        <v>Website</v>
      </c>
      <c r="C1729" t="str">
        <f>HYPERLINK("https://www.dasschnelle.at/schoiswohl-gerhard-dr-weiz-hauptplatz","Website")</f>
        <v>Website</v>
      </c>
      <c r="D1729" t="str">
        <f>HYPERLINK("http://www.google.com/maps/place/47.21757,15.62229","Location")</f>
        <v>Location</v>
      </c>
      <c r="E1729" t="s">
        <v>15439</v>
      </c>
      <c r="F1729" t="s">
        <v>15440</v>
      </c>
      <c r="G1729" t="s">
        <v>3448</v>
      </c>
      <c r="H1729" t="s">
        <v>3449</v>
      </c>
      <c r="I1729" t="s">
        <v>451</v>
      </c>
      <c r="J1729" t="s">
        <v>22</v>
      </c>
      <c r="K1729" t="s">
        <v>15441</v>
      </c>
      <c r="L1729" t="s">
        <v>15444</v>
      </c>
      <c r="M1729" t="s">
        <v>25</v>
      </c>
      <c r="N1729" t="s">
        <v>15445</v>
      </c>
      <c r="O1729" t="s">
        <v>25</v>
      </c>
      <c r="P1729" t="s">
        <v>15446</v>
      </c>
      <c r="Q1729" t="s">
        <v>29</v>
      </c>
      <c r="R1729" t="s">
        <v>15442</v>
      </c>
      <c r="S1729" t="s">
        <v>15443</v>
      </c>
    </row>
    <row r="1730" spans="1:19" x14ac:dyDescent="0.25">
      <c r="A1730" s="1">
        <v>1728</v>
      </c>
      <c r="B1730" t="str">
        <f>HYPERLINK("https://www.dasschnelle.at/studioelf-kreativagentur-ronald-fiegl-oetz-hauptstraße","Website")</f>
        <v>Website</v>
      </c>
      <c r="C1730" t="str">
        <f>HYPERLINK("http://www.studioelf.at","Website")</f>
        <v>Website</v>
      </c>
      <c r="D1730" t="str">
        <f>HYPERLINK("http://www.google.com/maps/place/47.2042923,10.8929130","Location")</f>
        <v>Location</v>
      </c>
      <c r="E1730" t="s">
        <v>15447</v>
      </c>
      <c r="F1730" t="s">
        <v>15448</v>
      </c>
      <c r="G1730" t="s">
        <v>7986</v>
      </c>
      <c r="H1730" t="s">
        <v>7987</v>
      </c>
      <c r="I1730" t="s">
        <v>21</v>
      </c>
      <c r="J1730" t="s">
        <v>22</v>
      </c>
      <c r="K1730" t="s">
        <v>15449</v>
      </c>
      <c r="L1730" t="s">
        <v>15452</v>
      </c>
      <c r="M1730" t="s">
        <v>25</v>
      </c>
      <c r="N1730" t="s">
        <v>15453</v>
      </c>
      <c r="O1730" t="s">
        <v>25</v>
      </c>
      <c r="P1730" t="s">
        <v>15454</v>
      </c>
      <c r="Q1730" t="s">
        <v>29</v>
      </c>
      <c r="R1730" t="s">
        <v>15450</v>
      </c>
      <c r="S1730" t="s">
        <v>15451</v>
      </c>
    </row>
    <row r="1731" spans="1:19" x14ac:dyDescent="0.25">
      <c r="A1731" s="1">
        <v>1729</v>
      </c>
      <c r="B1731" t="str">
        <f>HYPERLINK("https://www.dasschnelle.at/ennemoser-otmar-dr-med-imst-johannesplatz","Website")</f>
        <v>Website</v>
      </c>
      <c r="C1731" t="str">
        <f>HYPERLINK("https://www.dasschnelle.at/ennemoser-otmar-dr-med-imst-johannesplatz","Website")</f>
        <v>Website</v>
      </c>
      <c r="D1731" t="str">
        <f>HYPERLINK("http://www.google.com/maps/place/47.24239,10.7393","Location")</f>
        <v>Location</v>
      </c>
      <c r="E1731" t="s">
        <v>15455</v>
      </c>
      <c r="F1731" t="s">
        <v>15456</v>
      </c>
      <c r="G1731" t="s">
        <v>7997</v>
      </c>
      <c r="H1731" t="s">
        <v>7998</v>
      </c>
      <c r="I1731" t="s">
        <v>21</v>
      </c>
      <c r="J1731" t="s">
        <v>22</v>
      </c>
      <c r="K1731" t="s">
        <v>15457</v>
      </c>
      <c r="L1731" t="s">
        <v>15460</v>
      </c>
      <c r="M1731" t="s">
        <v>25</v>
      </c>
      <c r="N1731" t="s">
        <v>15461</v>
      </c>
      <c r="O1731" t="s">
        <v>25</v>
      </c>
      <c r="P1731" t="s">
        <v>15462</v>
      </c>
      <c r="Q1731" t="s">
        <v>29</v>
      </c>
      <c r="R1731" t="s">
        <v>15458</v>
      </c>
      <c r="S1731" t="s">
        <v>15459</v>
      </c>
    </row>
    <row r="1732" spans="1:19" x14ac:dyDescent="0.25">
      <c r="A1732" s="1">
        <v>1730</v>
      </c>
      <c r="B1732" t="str">
        <f>HYPERLINK("https://www.dasschnelle.at/pitztal-apotheke-arzl-im-pitztal-dorfstraße","Website")</f>
        <v>Website</v>
      </c>
      <c r="C1732" t="str">
        <f>HYPERLINK("http://www.apotheke-imst.at","Website")</f>
        <v>Website</v>
      </c>
      <c r="D1732" t="str">
        <f>HYPERLINK("http://www.google.com/maps/place/47.20781,10.76128","Location")</f>
        <v>Location</v>
      </c>
      <c r="E1732" t="s">
        <v>15463</v>
      </c>
      <c r="F1732" t="s">
        <v>15464</v>
      </c>
      <c r="G1732" t="s">
        <v>8006</v>
      </c>
      <c r="H1732" t="s">
        <v>8007</v>
      </c>
      <c r="I1732" t="s">
        <v>21</v>
      </c>
      <c r="J1732" t="s">
        <v>22</v>
      </c>
      <c r="K1732" t="s">
        <v>15465</v>
      </c>
      <c r="L1732" t="s">
        <v>15468</v>
      </c>
      <c r="M1732" t="s">
        <v>25</v>
      </c>
      <c r="N1732" t="s">
        <v>15469</v>
      </c>
      <c r="O1732" t="s">
        <v>25</v>
      </c>
      <c r="P1732" t="s">
        <v>15470</v>
      </c>
      <c r="Q1732" t="s">
        <v>29</v>
      </c>
      <c r="R1732" t="s">
        <v>15466</v>
      </c>
      <c r="S1732" t="s">
        <v>15467</v>
      </c>
    </row>
    <row r="1733" spans="1:19" x14ac:dyDescent="0.25">
      <c r="A1733" s="1">
        <v>1731</v>
      </c>
      <c r="B1733" t="str">
        <f>HYPERLINK("https://www.dasschnelle.at/laurentius-apotheke-imst-langgasse","Website")</f>
        <v>Website</v>
      </c>
      <c r="C1733" t="str">
        <f>HYPERLINK("http://www.apotheke-imst.at","Website")</f>
        <v>Website</v>
      </c>
      <c r="D1733" t="str">
        <f>HYPERLINK("http://www.google.com/maps/place/47.2287,10.74472","Location")</f>
        <v>Location</v>
      </c>
      <c r="E1733" t="s">
        <v>15471</v>
      </c>
      <c r="F1733" t="s">
        <v>15472</v>
      </c>
      <c r="G1733" t="s">
        <v>7997</v>
      </c>
      <c r="H1733" t="s">
        <v>7998</v>
      </c>
      <c r="I1733" t="s">
        <v>21</v>
      </c>
      <c r="J1733" t="s">
        <v>22</v>
      </c>
      <c r="K1733" t="s">
        <v>15473</v>
      </c>
      <c r="L1733" t="s">
        <v>15476</v>
      </c>
      <c r="M1733" t="s">
        <v>25</v>
      </c>
      <c r="N1733" t="s">
        <v>15477</v>
      </c>
      <c r="O1733" t="s">
        <v>25</v>
      </c>
      <c r="P1733" t="s">
        <v>15478</v>
      </c>
      <c r="Q1733" t="s">
        <v>29</v>
      </c>
      <c r="R1733" t="s">
        <v>15474</v>
      </c>
      <c r="S1733" t="s">
        <v>15475</v>
      </c>
    </row>
    <row r="1734" spans="1:19" x14ac:dyDescent="0.25">
      <c r="A1734" s="1">
        <v>1732</v>
      </c>
      <c r="B1734" t="str">
        <f>HYPERLINK("https://www.dasschnelle.at/öffentlicher-notar-dr-alexander-starkel-und-partner-weiz-bismarckgasse","Website")</f>
        <v>Website</v>
      </c>
      <c r="C1734" t="str">
        <f>HYPERLINK("http://www.notariat-weiz.at","Website")</f>
        <v>Website</v>
      </c>
      <c r="D1734" t="str">
        <f>HYPERLINK("http://www.google.com/maps/place/47.21767,15.62419","Location")</f>
        <v>Location</v>
      </c>
      <c r="E1734" t="s">
        <v>15479</v>
      </c>
      <c r="F1734" t="s">
        <v>15480</v>
      </c>
      <c r="G1734" t="s">
        <v>3448</v>
      </c>
      <c r="H1734" t="s">
        <v>3449</v>
      </c>
      <c r="I1734" t="s">
        <v>451</v>
      </c>
      <c r="J1734" t="s">
        <v>22</v>
      </c>
      <c r="K1734" t="s">
        <v>15481</v>
      </c>
      <c r="L1734" t="s">
        <v>15484</v>
      </c>
      <c r="M1734" t="s">
        <v>25</v>
      </c>
      <c r="N1734" t="s">
        <v>15485</v>
      </c>
      <c r="O1734" t="s">
        <v>25</v>
      </c>
      <c r="P1734" t="s">
        <v>15486</v>
      </c>
      <c r="Q1734" t="s">
        <v>29</v>
      </c>
      <c r="R1734" t="s">
        <v>15482</v>
      </c>
      <c r="S1734" t="s">
        <v>15483</v>
      </c>
    </row>
    <row r="1735" spans="1:19" x14ac:dyDescent="0.25">
      <c r="A1735" s="1">
        <v>1733</v>
      </c>
      <c r="B1735" t="str">
        <f>HYPERLINK("https://www.dasschnelle.at/polesnig-martin-bleiburg-völkermarkter-straße","Website")</f>
        <v>Website</v>
      </c>
      <c r="C1735" t="str">
        <f>HYPERLINK("http://www.heizung-polesnig.at","Website")</f>
        <v>Website</v>
      </c>
      <c r="D1735" t="str">
        <f>HYPERLINK("http://www.google.com/maps/place/46.59886,14.79686","Location")</f>
        <v>Location</v>
      </c>
      <c r="E1735" t="s">
        <v>15487</v>
      </c>
      <c r="F1735" t="s">
        <v>15488</v>
      </c>
      <c r="G1735" t="s">
        <v>5113</v>
      </c>
      <c r="H1735" t="s">
        <v>5114</v>
      </c>
      <c r="I1735" t="s">
        <v>4130</v>
      </c>
      <c r="J1735" t="s">
        <v>22</v>
      </c>
      <c r="K1735" t="s">
        <v>15489</v>
      </c>
      <c r="L1735" t="s">
        <v>15492</v>
      </c>
      <c r="M1735" t="s">
        <v>25</v>
      </c>
      <c r="N1735" t="s">
        <v>15493</v>
      </c>
      <c r="O1735" t="s">
        <v>25</v>
      </c>
      <c r="P1735" t="s">
        <v>15494</v>
      </c>
      <c r="Q1735" t="s">
        <v>29</v>
      </c>
      <c r="R1735" t="s">
        <v>15490</v>
      </c>
      <c r="S1735" t="s">
        <v>15491</v>
      </c>
    </row>
    <row r="1736" spans="1:19" x14ac:dyDescent="0.25">
      <c r="A1736" s="1">
        <v>1734</v>
      </c>
      <c r="B1736" t="str">
        <f>HYPERLINK("https://www.dasschnelle.at/mikes-elektronik-shop-und-service-gmbh-bleiburg-völkermarkter-straße","Website")</f>
        <v>Website</v>
      </c>
      <c r="C1736" t="str">
        <f>HYPERLINK("http://www.mikes-bleiburg.at","Website")</f>
        <v>Website</v>
      </c>
      <c r="D1736" t="str">
        <f>HYPERLINK("http://www.google.com/maps/place/46.59231,14.79487","Location")</f>
        <v>Location</v>
      </c>
      <c r="E1736" t="s">
        <v>15495</v>
      </c>
      <c r="F1736" t="s">
        <v>15496</v>
      </c>
      <c r="G1736" t="s">
        <v>5113</v>
      </c>
      <c r="H1736" t="s">
        <v>5114</v>
      </c>
      <c r="I1736" t="s">
        <v>4130</v>
      </c>
      <c r="J1736" t="s">
        <v>22</v>
      </c>
      <c r="K1736" t="s">
        <v>15497</v>
      </c>
      <c r="L1736" t="s">
        <v>15500</v>
      </c>
      <c r="M1736" t="s">
        <v>25</v>
      </c>
      <c r="N1736" t="s">
        <v>15501</v>
      </c>
      <c r="O1736" t="s">
        <v>15502</v>
      </c>
      <c r="P1736" t="s">
        <v>15503</v>
      </c>
      <c r="Q1736" t="s">
        <v>29</v>
      </c>
      <c r="R1736" t="s">
        <v>15498</v>
      </c>
      <c r="S1736" t="s">
        <v>15499</v>
      </c>
    </row>
    <row r="1737" spans="1:19" x14ac:dyDescent="0.25">
      <c r="A1737" s="1">
        <v>1735</v>
      </c>
      <c r="B1737" t="str">
        <f>HYPERLINK("https://www.dasschnelle.at/elektro-hollauf-gmbh-bleiburg-10-oktober-platz","Website")</f>
        <v>Website</v>
      </c>
      <c r="C1737" t="str">
        <f>HYPERLINK("http://www.hollauf-heizen-kuehlen.at","Website")</f>
        <v>Website</v>
      </c>
      <c r="D1737" t="str">
        <f>HYPERLINK("http://www.google.com/maps/place/46.59046,14.79802","Location")</f>
        <v>Location</v>
      </c>
      <c r="E1737" t="s">
        <v>15504</v>
      </c>
      <c r="F1737" t="s">
        <v>15505</v>
      </c>
      <c r="G1737" t="s">
        <v>5113</v>
      </c>
      <c r="H1737" t="s">
        <v>5114</v>
      </c>
      <c r="I1737" t="s">
        <v>4130</v>
      </c>
      <c r="J1737" t="s">
        <v>22</v>
      </c>
      <c r="K1737" t="s">
        <v>15506</v>
      </c>
      <c r="L1737" t="s">
        <v>15509</v>
      </c>
      <c r="M1737" t="s">
        <v>25</v>
      </c>
      <c r="N1737" t="s">
        <v>15510</v>
      </c>
      <c r="O1737" t="s">
        <v>25</v>
      </c>
      <c r="P1737" t="s">
        <v>15511</v>
      </c>
      <c r="Q1737" t="s">
        <v>29</v>
      </c>
      <c r="R1737" t="s">
        <v>15507</v>
      </c>
      <c r="S1737" t="s">
        <v>15508</v>
      </c>
    </row>
    <row r="1738" spans="1:19" x14ac:dyDescent="0.25">
      <c r="A1738" s="1">
        <v>1736</v>
      </c>
      <c r="B1738" t="str">
        <f>HYPERLINK("https://www.dasschnelle.at/grünwald-roman-hallein-glaneckerweg","Website")</f>
        <v>Website</v>
      </c>
      <c r="C1738" t="str">
        <f>HYPERLINK("http://www.glas-g.at","Website")</f>
        <v>Website</v>
      </c>
      <c r="D1738" t="str">
        <f>HYPERLINK("http://www.google.com/maps/place/47.70207,13.0724","Location")</f>
        <v>Location</v>
      </c>
      <c r="E1738" t="s">
        <v>15512</v>
      </c>
      <c r="F1738" t="s">
        <v>15513</v>
      </c>
      <c r="G1738" t="s">
        <v>7584</v>
      </c>
      <c r="H1738" t="s">
        <v>7585</v>
      </c>
      <c r="I1738" t="s">
        <v>2239</v>
      </c>
      <c r="J1738" t="s">
        <v>22</v>
      </c>
      <c r="K1738" t="s">
        <v>15514</v>
      </c>
      <c r="L1738" t="s">
        <v>15517</v>
      </c>
      <c r="M1738" t="s">
        <v>25</v>
      </c>
      <c r="N1738" t="s">
        <v>15518</v>
      </c>
      <c r="O1738" t="s">
        <v>25</v>
      </c>
      <c r="P1738" t="s">
        <v>15519</v>
      </c>
      <c r="Q1738" t="s">
        <v>29</v>
      </c>
      <c r="R1738" t="s">
        <v>15515</v>
      </c>
      <c r="S1738" t="s">
        <v>15516</v>
      </c>
    </row>
    <row r="1739" spans="1:19" x14ac:dyDescent="0.25">
      <c r="A1739" s="1">
        <v>1737</v>
      </c>
      <c r="B1739" t="str">
        <f>HYPERLINK("https://www.dasschnelle.at/liang-xu-fang-oberalm-halleiner-landesstraße","Website")</f>
        <v>Website</v>
      </c>
      <c r="C1739" t="str">
        <f>HYPERLINK("http://www.lin-xu.at","Website")</f>
        <v>Website</v>
      </c>
      <c r="D1739" t="str">
        <f>HYPERLINK("http://www.google.com/maps/place/47.69554,13.10088","Location")</f>
        <v>Location</v>
      </c>
      <c r="E1739" t="s">
        <v>15520</v>
      </c>
      <c r="F1739" t="s">
        <v>15521</v>
      </c>
      <c r="G1739" t="s">
        <v>7767</v>
      </c>
      <c r="H1739" t="s">
        <v>7768</v>
      </c>
      <c r="I1739" t="s">
        <v>2239</v>
      </c>
      <c r="J1739" t="s">
        <v>22</v>
      </c>
      <c r="K1739" t="s">
        <v>15522</v>
      </c>
      <c r="L1739" t="s">
        <v>15525</v>
      </c>
      <c r="M1739" t="s">
        <v>25</v>
      </c>
      <c r="N1739" t="s">
        <v>15526</v>
      </c>
      <c r="O1739" t="s">
        <v>25</v>
      </c>
      <c r="P1739" t="s">
        <v>15527</v>
      </c>
      <c r="Q1739" t="s">
        <v>29</v>
      </c>
      <c r="R1739" t="s">
        <v>15523</v>
      </c>
      <c r="S1739" t="s">
        <v>15524</v>
      </c>
    </row>
    <row r="1740" spans="1:19" x14ac:dyDescent="0.25">
      <c r="A1740" s="1">
        <v>1738</v>
      </c>
      <c r="B1740" t="str">
        <f>HYPERLINK("https://www.dasschnelle.at/brunnauer-peter-adnet-waidach","Website")</f>
        <v>Website</v>
      </c>
      <c r="C1740" t="str">
        <f>HYPERLINK("http://www.peterbrunnauer.at","Website")</f>
        <v>Website</v>
      </c>
      <c r="D1740" t="str">
        <f>HYPERLINK("http://www.google.com/maps/place/47.6893058,13.1327941","Location")</f>
        <v>Location</v>
      </c>
      <c r="E1740" t="s">
        <v>15528</v>
      </c>
      <c r="F1740" t="s">
        <v>15529</v>
      </c>
      <c r="G1740" t="s">
        <v>7604</v>
      </c>
      <c r="H1740" t="s">
        <v>7605</v>
      </c>
      <c r="I1740" t="s">
        <v>2239</v>
      </c>
      <c r="J1740" t="s">
        <v>22</v>
      </c>
      <c r="K1740" t="s">
        <v>15530</v>
      </c>
      <c r="L1740" t="s">
        <v>15533</v>
      </c>
      <c r="M1740" t="s">
        <v>25</v>
      </c>
      <c r="N1740" t="s">
        <v>15534</v>
      </c>
      <c r="O1740" t="s">
        <v>25</v>
      </c>
      <c r="P1740" t="s">
        <v>15535</v>
      </c>
      <c r="Q1740" t="s">
        <v>29</v>
      </c>
      <c r="R1740" t="s">
        <v>15531</v>
      </c>
      <c r="S1740" t="s">
        <v>15532</v>
      </c>
    </row>
    <row r="1741" spans="1:19" x14ac:dyDescent="0.25">
      <c r="A1741" s="1">
        <v>1739</v>
      </c>
      <c r="B1741" t="str">
        <f>HYPERLINK("https://www.dasschnelle.at/raumausstatter-michael-martin-werfen-markt","Website")</f>
        <v>Website</v>
      </c>
      <c r="C1741" t="str">
        <f>HYPERLINK("http://www.dieraumausstatter.at","Website")</f>
        <v>Website</v>
      </c>
      <c r="D1741" t="str">
        <f>HYPERLINK("http://www.google.com/maps/place/47.47812,13.1883","Location")</f>
        <v>Location</v>
      </c>
      <c r="E1741" t="s">
        <v>15536</v>
      </c>
      <c r="F1741" t="s">
        <v>15537</v>
      </c>
      <c r="G1741" t="s">
        <v>15539</v>
      </c>
      <c r="H1741" t="s">
        <v>15540</v>
      </c>
      <c r="I1741" t="s">
        <v>2239</v>
      </c>
      <c r="J1741" t="s">
        <v>22</v>
      </c>
      <c r="K1741" t="s">
        <v>15538</v>
      </c>
      <c r="L1741" t="s">
        <v>15543</v>
      </c>
      <c r="M1741" t="s">
        <v>25</v>
      </c>
      <c r="N1741" t="s">
        <v>15544</v>
      </c>
      <c r="O1741" t="s">
        <v>25</v>
      </c>
      <c r="P1741" t="s">
        <v>15545</v>
      </c>
      <c r="Q1741" t="s">
        <v>29</v>
      </c>
      <c r="R1741" t="s">
        <v>15541</v>
      </c>
      <c r="S1741" t="s">
        <v>15542</v>
      </c>
    </row>
    <row r="1742" spans="1:19" x14ac:dyDescent="0.25">
      <c r="A1742" s="1">
        <v>1740</v>
      </c>
      <c r="B1742" t="str">
        <f>HYPERLINK("https://www.dasschnelle.at/golob-und-oeser-dachsystem-gmbh-völkermarkt-oschenitzen","Website")</f>
        <v>Website</v>
      </c>
      <c r="C1742" t="str">
        <f>HYPERLINK("http://www.dach-golob.at","Website")</f>
        <v>Website</v>
      </c>
      <c r="D1742" t="str">
        <f>HYPERLINK("http://www.google.com/maps/place/46.6785873,14.6460039","Location")</f>
        <v>Location</v>
      </c>
      <c r="E1742" t="s">
        <v>15546</v>
      </c>
      <c r="F1742" t="s">
        <v>15547</v>
      </c>
      <c r="G1742" t="s">
        <v>5079</v>
      </c>
      <c r="H1742" t="s">
        <v>5080</v>
      </c>
      <c r="I1742" t="s">
        <v>4130</v>
      </c>
      <c r="J1742" t="s">
        <v>22</v>
      </c>
      <c r="K1742" t="s">
        <v>15548</v>
      </c>
      <c r="L1742" t="s">
        <v>15551</v>
      </c>
      <c r="M1742" t="s">
        <v>15552</v>
      </c>
      <c r="N1742" t="s">
        <v>15553</v>
      </c>
      <c r="O1742" t="s">
        <v>15554</v>
      </c>
      <c r="P1742" t="s">
        <v>15555</v>
      </c>
      <c r="Q1742" t="s">
        <v>29</v>
      </c>
      <c r="R1742" t="s">
        <v>15549</v>
      </c>
      <c r="S1742" t="s">
        <v>15550</v>
      </c>
    </row>
    <row r="1743" spans="1:19" x14ac:dyDescent="0.25">
      <c r="A1743" s="1">
        <v>1741</v>
      </c>
      <c r="B1743" t="str">
        <f>HYPERLINK("https://www.dasschnelle.at/wautsche-markus-christian-uniqa-ga-eberndorf-bleiburger-straße","Website")</f>
        <v>Website</v>
      </c>
      <c r="C1743" t="str">
        <f>HYPERLINK("http://www.uniqa.at","Website")</f>
        <v>Website</v>
      </c>
      <c r="D1743" t="str">
        <f>HYPERLINK("http://www.google.com/maps/place/46.5906400,14.6394400","Location")</f>
        <v>Location</v>
      </c>
      <c r="E1743" t="s">
        <v>15556</v>
      </c>
      <c r="F1743" t="s">
        <v>15557</v>
      </c>
      <c r="G1743" t="s">
        <v>15559</v>
      </c>
      <c r="H1743" t="s">
        <v>15560</v>
      </c>
      <c r="I1743" t="s">
        <v>4130</v>
      </c>
      <c r="J1743" t="s">
        <v>22</v>
      </c>
      <c r="K1743" t="s">
        <v>15558</v>
      </c>
      <c r="L1743" t="s">
        <v>15563</v>
      </c>
      <c r="M1743" t="s">
        <v>15564</v>
      </c>
      <c r="N1743" t="s">
        <v>15565</v>
      </c>
      <c r="O1743" t="s">
        <v>25</v>
      </c>
      <c r="P1743" t="s">
        <v>15566</v>
      </c>
      <c r="Q1743" t="s">
        <v>29</v>
      </c>
      <c r="R1743" t="s">
        <v>15561</v>
      </c>
      <c r="S1743" t="s">
        <v>15562</v>
      </c>
    </row>
    <row r="1744" spans="1:19" x14ac:dyDescent="0.25">
      <c r="A1744" s="1">
        <v>1742</v>
      </c>
      <c r="B1744" t="str">
        <f>HYPERLINK("https://www.dasschnelle.at/lackner-siegfried-krieglach-roseggerstraße","Website")</f>
        <v>Website</v>
      </c>
      <c r="C1744" t="str">
        <f>HYPERLINK("http://www.lackner-installationen.net","Website")</f>
        <v>Website</v>
      </c>
      <c r="D1744" t="str">
        <f>HYPERLINK("http://www.google.com/maps/place/47.54881,15.56581","Location")</f>
        <v>Location</v>
      </c>
      <c r="E1744" t="s">
        <v>15567</v>
      </c>
      <c r="F1744" t="s">
        <v>15568</v>
      </c>
      <c r="G1744" t="s">
        <v>14367</v>
      </c>
      <c r="H1744" t="s">
        <v>14368</v>
      </c>
      <c r="I1744" t="s">
        <v>451</v>
      </c>
      <c r="J1744" t="s">
        <v>22</v>
      </c>
      <c r="K1744" t="s">
        <v>15569</v>
      </c>
      <c r="L1744" t="s">
        <v>15572</v>
      </c>
      <c r="M1744" t="s">
        <v>25</v>
      </c>
      <c r="N1744" t="s">
        <v>15573</v>
      </c>
      <c r="O1744" t="s">
        <v>25</v>
      </c>
      <c r="P1744" t="s">
        <v>15574</v>
      </c>
      <c r="Q1744" t="s">
        <v>29</v>
      </c>
      <c r="R1744" t="s">
        <v>15570</v>
      </c>
      <c r="S1744" t="s">
        <v>15571</v>
      </c>
    </row>
    <row r="1745" spans="1:19" x14ac:dyDescent="0.25">
      <c r="A1745" s="1">
        <v>1743</v>
      </c>
      <c r="B1745" t="str">
        <f>HYPERLINK("https://www.dasschnelle.at/öfner-johann-günter-dr-imst-dr-carl-pfeiffenberger-straße","Website")</f>
        <v>Website</v>
      </c>
      <c r="C1745" t="str">
        <f>HYPERLINK("http://www.hno-dr-oefner.at","Website")</f>
        <v>Website</v>
      </c>
      <c r="D1745" t="str">
        <f>HYPERLINK("http://www.google.com/maps/place/47.237,10.73816","Location")</f>
        <v>Location</v>
      </c>
      <c r="E1745" t="s">
        <v>15575</v>
      </c>
      <c r="F1745" t="s">
        <v>15576</v>
      </c>
      <c r="G1745" t="s">
        <v>7997</v>
      </c>
      <c r="H1745" t="s">
        <v>7998</v>
      </c>
      <c r="I1745" t="s">
        <v>21</v>
      </c>
      <c r="J1745" t="s">
        <v>22</v>
      </c>
      <c r="K1745" t="s">
        <v>8060</v>
      </c>
      <c r="L1745" t="s">
        <v>15577</v>
      </c>
      <c r="M1745" t="s">
        <v>25</v>
      </c>
      <c r="N1745" t="s">
        <v>15578</v>
      </c>
      <c r="O1745" t="s">
        <v>15579</v>
      </c>
      <c r="P1745" t="s">
        <v>15580</v>
      </c>
      <c r="Q1745" t="s">
        <v>29</v>
      </c>
      <c r="R1745" t="s">
        <v>15423</v>
      </c>
      <c r="S1745" t="s">
        <v>15424</v>
      </c>
    </row>
    <row r="1746" spans="1:19" x14ac:dyDescent="0.25">
      <c r="A1746" s="1">
        <v>1744</v>
      </c>
      <c r="B1746" t="str">
        <f>HYPERLINK("https://www.dasschnelle.at/absenger-dr-rathausky-steuerberatungsgesmbh-weiz-dr-karl-widdmann-straße","Website")</f>
        <v>Website</v>
      </c>
      <c r="C1746" t="str">
        <f>HYPERLINK("http://www.absenger-rathausky.at","Website")</f>
        <v>Website</v>
      </c>
      <c r="D1746" t="str">
        <f>HYPERLINK("http://www.google.com/maps/place/47.22539,15.62132","Location")</f>
        <v>Location</v>
      </c>
      <c r="E1746" t="s">
        <v>15581</v>
      </c>
      <c r="F1746" t="s">
        <v>15582</v>
      </c>
      <c r="G1746" t="s">
        <v>3448</v>
      </c>
      <c r="H1746" t="s">
        <v>3449</v>
      </c>
      <c r="I1746" t="s">
        <v>451</v>
      </c>
      <c r="J1746" t="s">
        <v>22</v>
      </c>
      <c r="K1746" t="s">
        <v>15583</v>
      </c>
      <c r="L1746" t="s">
        <v>15586</v>
      </c>
      <c r="M1746" t="s">
        <v>25</v>
      </c>
      <c r="N1746" t="s">
        <v>15587</v>
      </c>
      <c r="O1746" t="s">
        <v>25</v>
      </c>
      <c r="P1746" t="s">
        <v>15588</v>
      </c>
      <c r="Q1746" t="s">
        <v>29</v>
      </c>
      <c r="R1746" t="s">
        <v>15584</v>
      </c>
      <c r="S1746" t="s">
        <v>15585</v>
      </c>
    </row>
    <row r="1747" spans="1:19" x14ac:dyDescent="0.25">
      <c r="A1747" s="1">
        <v>1745</v>
      </c>
      <c r="B1747" t="str">
        <f>HYPERLINK("https://www.dasschnelle.at/schwanzer-city-music-krems-an-der-donau-gewerbeparkstraße","Website")</f>
        <v>Website</v>
      </c>
      <c r="C1747" t="str">
        <f>HYPERLINK("http://www.citymusic.at","Website")</f>
        <v>Website</v>
      </c>
      <c r="D1747" t="str">
        <f>HYPERLINK("http://www.google.com/maps/place/48.4100952,15.6045091","Location")</f>
        <v>Location</v>
      </c>
      <c r="E1747" t="s">
        <v>15589</v>
      </c>
      <c r="F1747" t="s">
        <v>15590</v>
      </c>
      <c r="G1747" t="s">
        <v>281</v>
      </c>
      <c r="H1747" t="s">
        <v>282</v>
      </c>
      <c r="I1747" t="s">
        <v>177</v>
      </c>
      <c r="J1747" t="s">
        <v>22</v>
      </c>
      <c r="K1747" t="s">
        <v>15591</v>
      </c>
      <c r="L1747" t="s">
        <v>15594</v>
      </c>
      <c r="M1747" t="s">
        <v>25</v>
      </c>
      <c r="N1747" t="s">
        <v>15595</v>
      </c>
      <c r="O1747" t="s">
        <v>25</v>
      </c>
      <c r="P1747" t="s">
        <v>15596</v>
      </c>
      <c r="Q1747" t="s">
        <v>29</v>
      </c>
      <c r="R1747" t="s">
        <v>15592</v>
      </c>
      <c r="S1747" t="s">
        <v>15593</v>
      </c>
    </row>
    <row r="1748" spans="1:19" x14ac:dyDescent="0.25">
      <c r="A1748" s="1">
        <v>1746</v>
      </c>
      <c r="B1748" t="str">
        <f>HYPERLINK("https://www.dasschnelle.at/elekto-grosz-neusiedl-am-see-bahnstraße","Website")</f>
        <v>Website</v>
      </c>
      <c r="C1748" t="str">
        <f>HYPERLINK("http://www.elektro-grosz.at","Website")</f>
        <v>Website</v>
      </c>
      <c r="D1748" t="str">
        <f>HYPERLINK("http://www.google.com/maps/place/47.9561941,16.8256490","Location")</f>
        <v>Location</v>
      </c>
      <c r="E1748" t="s">
        <v>15597</v>
      </c>
      <c r="F1748" t="s">
        <v>15598</v>
      </c>
      <c r="G1748" t="s">
        <v>1939</v>
      </c>
      <c r="H1748" t="s">
        <v>1940</v>
      </c>
      <c r="I1748" t="s">
        <v>1834</v>
      </c>
      <c r="J1748" t="s">
        <v>22</v>
      </c>
      <c r="K1748" t="s">
        <v>15599</v>
      </c>
      <c r="L1748" t="s">
        <v>15602</v>
      </c>
      <c r="M1748" t="s">
        <v>25</v>
      </c>
      <c r="N1748" t="s">
        <v>15603</v>
      </c>
      <c r="O1748" t="s">
        <v>25</v>
      </c>
      <c r="P1748" t="s">
        <v>15604</v>
      </c>
      <c r="Q1748" t="s">
        <v>29</v>
      </c>
      <c r="R1748" t="s">
        <v>15600</v>
      </c>
      <c r="S1748" t="s">
        <v>15601</v>
      </c>
    </row>
    <row r="1749" spans="1:19" x14ac:dyDescent="0.25">
      <c r="A1749" s="1">
        <v>1747</v>
      </c>
      <c r="B1749" t="str">
        <f>HYPERLINK("https://www.dasschnelle.at/holzbau-zobl-gmbh-tannheim-gewerbegebiet","Website")</f>
        <v>Website</v>
      </c>
      <c r="C1749" t="str">
        <f>HYPERLINK("http://www.holzbau-zobl.at","Website")</f>
        <v>Website</v>
      </c>
      <c r="D1749" t="str">
        <f>HYPERLINK("http://www.google.com/maps/place/47.50602,10.50206","Location")</f>
        <v>Location</v>
      </c>
      <c r="E1749" t="s">
        <v>15605</v>
      </c>
      <c r="F1749" t="s">
        <v>15606</v>
      </c>
      <c r="G1749" t="s">
        <v>15275</v>
      </c>
      <c r="H1749" t="s">
        <v>15276</v>
      </c>
      <c r="I1749" t="s">
        <v>21</v>
      </c>
      <c r="J1749" t="s">
        <v>22</v>
      </c>
      <c r="K1749" t="s">
        <v>15607</v>
      </c>
      <c r="L1749" t="s">
        <v>15610</v>
      </c>
      <c r="M1749" t="s">
        <v>15611</v>
      </c>
      <c r="N1749" t="s">
        <v>15612</v>
      </c>
      <c r="O1749" t="s">
        <v>25</v>
      </c>
      <c r="P1749" t="s">
        <v>15613</v>
      </c>
      <c r="Q1749" t="s">
        <v>29</v>
      </c>
      <c r="R1749" t="s">
        <v>15608</v>
      </c>
      <c r="S1749" t="s">
        <v>15609</v>
      </c>
    </row>
    <row r="1750" spans="1:19" x14ac:dyDescent="0.25">
      <c r="A1750" s="1">
        <v>1748</v>
      </c>
      <c r="B1750" t="str">
        <f>HYPERLINK("https://www.dasschnelle.at/edelweiß-apotheke-oetz-oetz-hauptstr","Website")</f>
        <v>Website</v>
      </c>
      <c r="C1750" t="str">
        <f>HYPERLINK("http://www.edelweiss-apotheke-oetz.at","Website")</f>
        <v>Website</v>
      </c>
      <c r="D1750" t="str">
        <f>HYPERLINK("http://www.google.com/maps/place/47.20409,10.89408","Location")</f>
        <v>Location</v>
      </c>
      <c r="E1750" t="s">
        <v>15614</v>
      </c>
      <c r="F1750" t="s">
        <v>15615</v>
      </c>
      <c r="G1750" t="s">
        <v>7986</v>
      </c>
      <c r="H1750" t="s">
        <v>7987</v>
      </c>
      <c r="I1750" t="s">
        <v>21</v>
      </c>
      <c r="J1750" t="s">
        <v>22</v>
      </c>
      <c r="K1750" t="s">
        <v>15616</v>
      </c>
      <c r="L1750" t="s">
        <v>15619</v>
      </c>
      <c r="M1750" t="s">
        <v>25</v>
      </c>
      <c r="N1750" t="s">
        <v>15620</v>
      </c>
      <c r="O1750" t="s">
        <v>25</v>
      </c>
      <c r="P1750" t="s">
        <v>15621</v>
      </c>
      <c r="Q1750" t="s">
        <v>29</v>
      </c>
      <c r="R1750" t="s">
        <v>15617</v>
      </c>
      <c r="S1750" t="s">
        <v>15618</v>
      </c>
    </row>
    <row r="1751" spans="1:19" x14ac:dyDescent="0.25">
      <c r="A1751" s="1">
        <v>1749</v>
      </c>
      <c r="B1751" t="str">
        <f>HYPERLINK("https://www.dasschnelle.at/walch-steinhauser-b-dr-imst-dr-carl-pfeiffenberger-straße","Website")</f>
        <v>Website</v>
      </c>
      <c r="C1751" t="str">
        <f>HYPERLINK("http://www.dr-steinhauser.at","Website")</f>
        <v>Website</v>
      </c>
      <c r="D1751" t="str">
        <f>HYPERLINK("http://www.google.com/maps/place/47.23785,10.73817","Location")</f>
        <v>Location</v>
      </c>
      <c r="E1751" t="s">
        <v>15622</v>
      </c>
      <c r="F1751" t="s">
        <v>15623</v>
      </c>
      <c r="G1751" t="s">
        <v>7997</v>
      </c>
      <c r="H1751" t="s">
        <v>7998</v>
      </c>
      <c r="I1751" t="s">
        <v>21</v>
      </c>
      <c r="J1751" t="s">
        <v>22</v>
      </c>
      <c r="K1751" t="s">
        <v>15624</v>
      </c>
      <c r="L1751" t="s">
        <v>15627</v>
      </c>
      <c r="M1751" t="s">
        <v>25</v>
      </c>
      <c r="N1751" t="s">
        <v>25</v>
      </c>
      <c r="O1751" t="s">
        <v>25</v>
      </c>
      <c r="P1751" t="s">
        <v>15628</v>
      </c>
      <c r="Q1751" t="s">
        <v>29</v>
      </c>
      <c r="R1751" t="s">
        <v>15625</v>
      </c>
      <c r="S1751" t="s">
        <v>15626</v>
      </c>
    </row>
    <row r="1752" spans="1:19" x14ac:dyDescent="0.25">
      <c r="A1752" s="1">
        <v>1750</v>
      </c>
      <c r="B1752" t="str">
        <f>HYPERLINK("https://www.dasschnelle.at/steinhauser-thomas-dr-imst-dr-carl-pfeiffenberger-straße","Website")</f>
        <v>Website</v>
      </c>
      <c r="C1752" t="str">
        <f>HYPERLINK("https://www.dasschnelle.at/steinhauser-thomas-dr-imst-dr-carl-pfeiffenberger-stra%C3%9Fe","Website")</f>
        <v>Website</v>
      </c>
      <c r="D1752" t="str">
        <f>HYPERLINK("http://www.google.com/maps/place/47.23785,10.73817","Location")</f>
        <v>Location</v>
      </c>
      <c r="E1752" t="s">
        <v>15629</v>
      </c>
      <c r="F1752" t="s">
        <v>15630</v>
      </c>
      <c r="G1752" t="s">
        <v>7997</v>
      </c>
      <c r="H1752" t="s">
        <v>7998</v>
      </c>
      <c r="I1752" t="s">
        <v>21</v>
      </c>
      <c r="J1752" t="s">
        <v>22</v>
      </c>
      <c r="K1752" t="s">
        <v>15624</v>
      </c>
      <c r="L1752" t="s">
        <v>15627</v>
      </c>
      <c r="M1752" t="s">
        <v>15631</v>
      </c>
      <c r="N1752" t="s">
        <v>25</v>
      </c>
      <c r="O1752" t="s">
        <v>25</v>
      </c>
      <c r="P1752" t="s">
        <v>15632</v>
      </c>
      <c r="Q1752" t="s">
        <v>29</v>
      </c>
      <c r="R1752" t="s">
        <v>15625</v>
      </c>
      <c r="S1752" t="s">
        <v>15626</v>
      </c>
    </row>
    <row r="1753" spans="1:19" x14ac:dyDescent="0.25">
      <c r="A1753" s="1">
        <v>1751</v>
      </c>
      <c r="B1753" t="str">
        <f>HYPERLINK("https://www.dasschnelle.at/santigli-elisabeth-ddr-gleisdorf-hauptplatz","Website")</f>
        <v>Website</v>
      </c>
      <c r="C1753" t="str">
        <f>HYPERLINK("http://www.santigli.eu","Website")</f>
        <v>Website</v>
      </c>
      <c r="D1753" t="str">
        <f>HYPERLINK("http://www.google.com/maps/place/47.1053192,15.7106662","Location")</f>
        <v>Location</v>
      </c>
      <c r="E1753" t="s">
        <v>15633</v>
      </c>
      <c r="F1753" t="s">
        <v>15634</v>
      </c>
      <c r="G1753" t="s">
        <v>3466</v>
      </c>
      <c r="H1753" t="s">
        <v>3467</v>
      </c>
      <c r="I1753" t="s">
        <v>451</v>
      </c>
      <c r="J1753" t="s">
        <v>22</v>
      </c>
      <c r="K1753" t="s">
        <v>15635</v>
      </c>
      <c r="L1753" t="s">
        <v>15638</v>
      </c>
      <c r="M1753" t="s">
        <v>15639</v>
      </c>
      <c r="N1753" t="s">
        <v>15640</v>
      </c>
      <c r="O1753" t="s">
        <v>25</v>
      </c>
      <c r="P1753" t="s">
        <v>15641</v>
      </c>
      <c r="Q1753" t="s">
        <v>29</v>
      </c>
      <c r="R1753" t="s">
        <v>15636</v>
      </c>
      <c r="S1753" t="s">
        <v>15637</v>
      </c>
    </row>
    <row r="1754" spans="1:19" x14ac:dyDescent="0.25">
      <c r="A1754" s="1">
        <v>1752</v>
      </c>
      <c r="B1754" t="str">
        <f>HYPERLINK("https://www.dasschnelle.at/wallinger-robert-gasthaus-pointwirt-scheffau-am-tennengebirge","Website")</f>
        <v>Website</v>
      </c>
      <c r="C1754" t="str">
        <f>HYPERLINK("http://www.pointwirt.at","Website")</f>
        <v>Website</v>
      </c>
      <c r="D1754" t="str">
        <f>HYPERLINK("http://www.google.com/maps/place/47.5898304,13.2112603","Location")</f>
        <v>Location</v>
      </c>
      <c r="E1754" t="s">
        <v>15642</v>
      </c>
      <c r="F1754" t="s">
        <v>15643</v>
      </c>
      <c r="G1754" t="s">
        <v>7653</v>
      </c>
      <c r="H1754" t="s">
        <v>15644</v>
      </c>
      <c r="I1754" t="s">
        <v>2239</v>
      </c>
      <c r="J1754" t="s">
        <v>22</v>
      </c>
      <c r="K1754" t="s">
        <v>25</v>
      </c>
      <c r="L1754" t="s">
        <v>15647</v>
      </c>
      <c r="M1754" t="s">
        <v>25</v>
      </c>
      <c r="N1754" t="s">
        <v>15648</v>
      </c>
      <c r="O1754" t="s">
        <v>25</v>
      </c>
      <c r="P1754" t="s">
        <v>15649</v>
      </c>
      <c r="Q1754" t="s">
        <v>29</v>
      </c>
      <c r="R1754" t="s">
        <v>15645</v>
      </c>
      <c r="S1754" t="s">
        <v>15646</v>
      </c>
    </row>
    <row r="1755" spans="1:19" x14ac:dyDescent="0.25">
      <c r="A1755" s="1">
        <v>1753</v>
      </c>
      <c r="B1755" t="str">
        <f>HYPERLINK("https://www.dasschnelle.at/schwanzer-installationen-gmbh-mautern-sankt-pöltner-straße","Website")</f>
        <v>Website</v>
      </c>
      <c r="C1755" t="str">
        <f>HYPERLINK("http://www.schwanzer-installationen.at","Website")</f>
        <v>Website</v>
      </c>
      <c r="D1755" t="str">
        <f>HYPERLINK("http://www.google.com/maps/place/48.39243,15.58","Location")</f>
        <v>Location</v>
      </c>
      <c r="E1755" t="s">
        <v>15650</v>
      </c>
      <c r="F1755" t="s">
        <v>15651</v>
      </c>
      <c r="G1755" t="s">
        <v>349</v>
      </c>
      <c r="H1755" t="s">
        <v>15236</v>
      </c>
      <c r="I1755" t="s">
        <v>177</v>
      </c>
      <c r="J1755" t="s">
        <v>22</v>
      </c>
      <c r="K1755" t="s">
        <v>15652</v>
      </c>
      <c r="L1755" t="s">
        <v>15655</v>
      </c>
      <c r="M1755" t="s">
        <v>25</v>
      </c>
      <c r="N1755" t="s">
        <v>15656</v>
      </c>
      <c r="O1755" t="s">
        <v>25</v>
      </c>
      <c r="P1755" t="s">
        <v>15657</v>
      </c>
      <c r="Q1755" t="s">
        <v>29</v>
      </c>
      <c r="R1755" t="s">
        <v>15653</v>
      </c>
      <c r="S1755" t="s">
        <v>15654</v>
      </c>
    </row>
    <row r="1756" spans="1:19" x14ac:dyDescent="0.25">
      <c r="A1756" s="1">
        <v>1754</v>
      </c>
      <c r="B1756" t="str">
        <f>HYPERLINK("https://www.dasschnelle.at/pircher-gesmbh-ötztal-bahnhof-olympstraße","Website")</f>
        <v>Website</v>
      </c>
      <c r="C1756" t="str">
        <f>HYPERLINK("http://www.pircherdruck.at","Website")</f>
        <v>Website</v>
      </c>
      <c r="D1756" t="str">
        <f>HYPERLINK("http://www.google.com/maps/place/47.23627,10.86398","Location")</f>
        <v>Location</v>
      </c>
      <c r="E1756" t="s">
        <v>15658</v>
      </c>
      <c r="F1756" t="s">
        <v>15659</v>
      </c>
      <c r="G1756" t="s">
        <v>8088</v>
      </c>
      <c r="H1756" t="s">
        <v>8089</v>
      </c>
      <c r="I1756" t="s">
        <v>21</v>
      </c>
      <c r="J1756" t="s">
        <v>22</v>
      </c>
      <c r="K1756" t="s">
        <v>15660</v>
      </c>
      <c r="L1756" t="s">
        <v>15663</v>
      </c>
      <c r="M1756" t="s">
        <v>25</v>
      </c>
      <c r="N1756" t="s">
        <v>15664</v>
      </c>
      <c r="O1756" t="s">
        <v>25</v>
      </c>
      <c r="P1756" t="s">
        <v>15665</v>
      </c>
      <c r="Q1756" t="s">
        <v>29</v>
      </c>
      <c r="R1756" t="s">
        <v>15661</v>
      </c>
      <c r="S1756" t="s">
        <v>15662</v>
      </c>
    </row>
    <row r="1757" spans="1:19" x14ac:dyDescent="0.25">
      <c r="A1757" s="1">
        <v>1755</v>
      </c>
      <c r="B1757" t="str">
        <f>HYPERLINK("https://www.dasschnelle.at/schönleitner-klaus-kuchl-garnei","Website")</f>
        <v>Website</v>
      </c>
      <c r="C1757" t="str">
        <f>HYPERLINK("https://www.dasschnelle.at/sch%C3%B6nleitner-klaus-kuchl-garnei","Website")</f>
        <v>Website</v>
      </c>
      <c r="D1757" t="str">
        <f>HYPERLINK("http://www.google.com/maps/place/47.6482349,13.1335309","Location")</f>
        <v>Location</v>
      </c>
      <c r="E1757" t="s">
        <v>15666</v>
      </c>
      <c r="F1757" t="s">
        <v>15667</v>
      </c>
      <c r="G1757" t="s">
        <v>7697</v>
      </c>
      <c r="H1757" t="s">
        <v>7698</v>
      </c>
      <c r="I1757" t="s">
        <v>2239</v>
      </c>
      <c r="J1757" t="s">
        <v>22</v>
      </c>
      <c r="K1757" t="s">
        <v>15668</v>
      </c>
      <c r="L1757" t="s">
        <v>15671</v>
      </c>
      <c r="M1757" t="s">
        <v>25</v>
      </c>
      <c r="N1757" t="s">
        <v>15672</v>
      </c>
      <c r="O1757" t="s">
        <v>25</v>
      </c>
      <c r="P1757" t="s">
        <v>15673</v>
      </c>
      <c r="Q1757" t="s">
        <v>29</v>
      </c>
      <c r="R1757" t="s">
        <v>15669</v>
      </c>
      <c r="S1757" t="s">
        <v>15670</v>
      </c>
    </row>
    <row r="1758" spans="1:19" x14ac:dyDescent="0.25">
      <c r="A1758" s="1">
        <v>1756</v>
      </c>
      <c r="B1758" t="str">
        <f>HYPERLINK("https://www.dasschnelle.at/malerei-und-fassaden-gmbh-steyr-ennser-straße","Website")</f>
        <v>Website</v>
      </c>
      <c r="C1758" t="str">
        <f>HYPERLINK("http://www.malerei-fassaden.at","Website")</f>
        <v>Website</v>
      </c>
      <c r="D1758" t="str">
        <f>HYPERLINK("http://www.google.com/maps/place/48.07355,14.42455","Location")</f>
        <v>Location</v>
      </c>
      <c r="E1758" t="s">
        <v>15674</v>
      </c>
      <c r="F1758" t="s">
        <v>15675</v>
      </c>
      <c r="G1758" t="s">
        <v>176</v>
      </c>
      <c r="H1758" t="s">
        <v>96</v>
      </c>
      <c r="I1758" t="s">
        <v>85</v>
      </c>
      <c r="J1758" t="s">
        <v>22</v>
      </c>
      <c r="K1758" t="s">
        <v>15676</v>
      </c>
      <c r="L1758" t="s">
        <v>15679</v>
      </c>
      <c r="M1758" t="s">
        <v>25</v>
      </c>
      <c r="N1758" t="s">
        <v>15680</v>
      </c>
      <c r="O1758" t="s">
        <v>25</v>
      </c>
      <c r="P1758" t="s">
        <v>15681</v>
      </c>
      <c r="Q1758" t="s">
        <v>29</v>
      </c>
      <c r="R1758" t="s">
        <v>15677</v>
      </c>
      <c r="S1758" t="s">
        <v>15678</v>
      </c>
    </row>
    <row r="1759" spans="1:19" x14ac:dyDescent="0.25">
      <c r="A1759" s="1">
        <v>1757</v>
      </c>
      <c r="B1759" t="str">
        <f>HYPERLINK("https://www.dasschnelle.at/kreil-roland-dr-bad-goisern-am-hallstättersee-au","Website")</f>
        <v>Website</v>
      </c>
      <c r="C1759" t="str">
        <f>HYPERLINK("https://www.dasschnelle.at/kreil-roland-dr-bad-goisern-am-hallst%C3%A4ttersee-au","Website")</f>
        <v>Website</v>
      </c>
      <c r="D1759" t="str">
        <f>HYPERLINK("http://www.google.com/maps/place/47.6145346,13.6316624","Location")</f>
        <v>Location</v>
      </c>
      <c r="E1759" t="s">
        <v>15682</v>
      </c>
      <c r="F1759" t="s">
        <v>15683</v>
      </c>
      <c r="G1759" t="s">
        <v>2335</v>
      </c>
      <c r="H1759" t="s">
        <v>2436</v>
      </c>
      <c r="I1759" t="s">
        <v>85</v>
      </c>
      <c r="J1759" t="s">
        <v>22</v>
      </c>
      <c r="K1759" t="s">
        <v>15684</v>
      </c>
      <c r="L1759" t="s">
        <v>15687</v>
      </c>
      <c r="M1759" t="s">
        <v>25</v>
      </c>
      <c r="N1759" t="s">
        <v>15688</v>
      </c>
      <c r="O1759" t="s">
        <v>25</v>
      </c>
      <c r="P1759" t="s">
        <v>15689</v>
      </c>
      <c r="Q1759" t="s">
        <v>29</v>
      </c>
      <c r="R1759" t="s">
        <v>15685</v>
      </c>
      <c r="S1759" t="s">
        <v>15686</v>
      </c>
    </row>
    <row r="1760" spans="1:19" x14ac:dyDescent="0.25">
      <c r="A1760" s="1">
        <v>1758</v>
      </c>
      <c r="B1760" t="str">
        <f>HYPERLINK("https://www.dasschnelle.at/pahs-walter-mag-pharm-hainburg-an-der-donau-hauptplatz","Website")</f>
        <v>Website</v>
      </c>
      <c r="C1760" t="str">
        <f>HYPERLINK("http://www.stadtapotheke-hainburg.at","Website")</f>
        <v>Website</v>
      </c>
      <c r="D1760" t="str">
        <f>HYPERLINK("http://www.google.com/maps/place/48.14806,16.94061","Location")</f>
        <v>Location</v>
      </c>
      <c r="E1760" t="s">
        <v>15690</v>
      </c>
      <c r="F1760" t="s">
        <v>15691</v>
      </c>
      <c r="G1760" t="s">
        <v>1822</v>
      </c>
      <c r="H1760" t="s">
        <v>1823</v>
      </c>
      <c r="I1760" t="s">
        <v>177</v>
      </c>
      <c r="J1760" t="s">
        <v>22</v>
      </c>
      <c r="K1760" t="s">
        <v>2948</v>
      </c>
      <c r="L1760" t="s">
        <v>15694</v>
      </c>
      <c r="M1760" t="s">
        <v>25</v>
      </c>
      <c r="N1760" t="s">
        <v>15695</v>
      </c>
      <c r="O1760" t="s">
        <v>25</v>
      </c>
      <c r="P1760" t="s">
        <v>15696</v>
      </c>
      <c r="Q1760" t="s">
        <v>29</v>
      </c>
      <c r="R1760" t="s">
        <v>15692</v>
      </c>
      <c r="S1760" t="s">
        <v>15693</v>
      </c>
    </row>
    <row r="1761" spans="1:19" x14ac:dyDescent="0.25">
      <c r="A1761" s="1">
        <v>1759</v>
      </c>
      <c r="B1761" t="str">
        <f>HYPERLINK("https://www.dasschnelle.at/rhomberg-dr-steuerberatungs-gmbh-reutte-ehrenbergstraße","Website")</f>
        <v>Website</v>
      </c>
      <c r="C1761" t="str">
        <f>HYPERLINK("http://www.rhomberg-steuerberater.at","Website")</f>
        <v>Website</v>
      </c>
      <c r="D1761" t="str">
        <f>HYPERLINK("http://www.google.com/maps/place/47.48062,10.72165","Location")</f>
        <v>Location</v>
      </c>
      <c r="E1761" t="s">
        <v>15697</v>
      </c>
      <c r="F1761" t="s">
        <v>15698</v>
      </c>
      <c r="G1761" t="s">
        <v>6823</v>
      </c>
      <c r="H1761" t="s">
        <v>6824</v>
      </c>
      <c r="I1761" t="s">
        <v>21</v>
      </c>
      <c r="J1761" t="s">
        <v>22</v>
      </c>
      <c r="K1761" t="s">
        <v>15699</v>
      </c>
      <c r="L1761" t="s">
        <v>15702</v>
      </c>
      <c r="M1761" t="s">
        <v>25</v>
      </c>
      <c r="N1761" t="s">
        <v>15703</v>
      </c>
      <c r="O1761" t="s">
        <v>15704</v>
      </c>
      <c r="P1761" t="s">
        <v>15705</v>
      </c>
      <c r="Q1761" t="s">
        <v>29</v>
      </c>
      <c r="R1761" t="s">
        <v>15700</v>
      </c>
      <c r="S1761" t="s">
        <v>15701</v>
      </c>
    </row>
    <row r="1762" spans="1:19" x14ac:dyDescent="0.25">
      <c r="A1762" s="1">
        <v>1760</v>
      </c>
      <c r="B1762" t="str">
        <f>HYPERLINK("https://www.dasschnelle.at/mukaddam-mohamed-riad-dr-med-dent-kittsee-hauptplatz","Website")</f>
        <v>Website</v>
      </c>
      <c r="C1762" t="str">
        <f>HYPERLINK("http://www.dr-mukaddam.at","Website")</f>
        <v>Website</v>
      </c>
      <c r="D1762" t="str">
        <f>HYPERLINK("http://www.google.com/maps/place/48.093,17.0643","Location")</f>
        <v>Location</v>
      </c>
      <c r="E1762" t="s">
        <v>15706</v>
      </c>
      <c r="F1762" t="s">
        <v>15707</v>
      </c>
      <c r="G1762" t="s">
        <v>1863</v>
      </c>
      <c r="H1762" t="s">
        <v>1864</v>
      </c>
      <c r="I1762" t="s">
        <v>1834</v>
      </c>
      <c r="J1762" t="s">
        <v>22</v>
      </c>
      <c r="K1762" t="s">
        <v>1204</v>
      </c>
      <c r="L1762" t="s">
        <v>15710</v>
      </c>
      <c r="M1762" t="s">
        <v>25</v>
      </c>
      <c r="N1762" t="s">
        <v>15711</v>
      </c>
      <c r="O1762" t="s">
        <v>25</v>
      </c>
      <c r="P1762" t="s">
        <v>15712</v>
      </c>
      <c r="Q1762" t="s">
        <v>29</v>
      </c>
      <c r="R1762" t="s">
        <v>15708</v>
      </c>
      <c r="S1762" t="s">
        <v>15709</v>
      </c>
    </row>
    <row r="1763" spans="1:19" x14ac:dyDescent="0.25">
      <c r="A1763" s="1">
        <v>1761</v>
      </c>
      <c r="B1763" t="str">
        <f>HYPERLINK("https://www.dasschnelle.at/peham-franz-ybbs-an-der-donau-feldmüllerstraße","Website")</f>
        <v>Website</v>
      </c>
      <c r="C1763" t="str">
        <f>HYPERLINK("http://www.magneticwood.at","Website")</f>
        <v>Website</v>
      </c>
      <c r="D1763" t="str">
        <f>HYPERLINK("http://www.google.com/maps/place/48.1733189,15.0784259","Location")</f>
        <v>Location</v>
      </c>
      <c r="E1763" t="s">
        <v>15713</v>
      </c>
      <c r="F1763" t="s">
        <v>15714</v>
      </c>
      <c r="G1763" t="s">
        <v>6019</v>
      </c>
      <c r="H1763" t="s">
        <v>6195</v>
      </c>
      <c r="I1763" t="s">
        <v>177</v>
      </c>
      <c r="J1763" t="s">
        <v>22</v>
      </c>
      <c r="K1763" t="s">
        <v>15715</v>
      </c>
      <c r="L1763" t="s">
        <v>15718</v>
      </c>
      <c r="M1763" t="s">
        <v>15718</v>
      </c>
      <c r="N1763" t="s">
        <v>15719</v>
      </c>
      <c r="O1763" t="s">
        <v>25</v>
      </c>
      <c r="P1763" t="s">
        <v>15720</v>
      </c>
      <c r="Q1763" t="s">
        <v>29</v>
      </c>
      <c r="R1763" t="s">
        <v>15716</v>
      </c>
      <c r="S1763" t="s">
        <v>15717</v>
      </c>
    </row>
    <row r="1764" spans="1:19" x14ac:dyDescent="0.25">
      <c r="A1764" s="1">
        <v>1762</v>
      </c>
      <c r="B1764" t="str">
        <f>HYPERLINK("https://www.dasschnelle.at/malerei-buchegger-golling-an-der-salzach-hildebrandweg","Website")</f>
        <v>Website</v>
      </c>
      <c r="C1764" t="str">
        <f>HYPERLINK("http://www.malerei-buchegger.at","Website")</f>
        <v>Website</v>
      </c>
      <c r="D1764" t="str">
        <f>HYPERLINK("http://www.google.com/maps/place/47.59402,13.17032","Location")</f>
        <v>Location</v>
      </c>
      <c r="E1764" t="s">
        <v>15721</v>
      </c>
      <c r="F1764" t="s">
        <v>15722</v>
      </c>
      <c r="G1764" t="s">
        <v>7653</v>
      </c>
      <c r="H1764" t="s">
        <v>7654</v>
      </c>
      <c r="I1764" t="s">
        <v>2239</v>
      </c>
      <c r="J1764" t="s">
        <v>22</v>
      </c>
      <c r="K1764" t="s">
        <v>15723</v>
      </c>
      <c r="L1764" t="s">
        <v>15726</v>
      </c>
      <c r="M1764" t="s">
        <v>25</v>
      </c>
      <c r="N1764" t="s">
        <v>15727</v>
      </c>
      <c r="O1764" t="s">
        <v>25</v>
      </c>
      <c r="P1764" t="s">
        <v>15728</v>
      </c>
      <c r="Q1764" t="s">
        <v>29</v>
      </c>
      <c r="R1764" t="s">
        <v>15724</v>
      </c>
      <c r="S1764" t="s">
        <v>15725</v>
      </c>
    </row>
    <row r="1765" spans="1:19" x14ac:dyDescent="0.25">
      <c r="A1765" s="1">
        <v>1763</v>
      </c>
      <c r="B1765" t="str">
        <f>HYPERLINK("https://www.dasschnelle.at/stöger-albert-kg-ybbs-an-der-donau-reiteringer-straße","Website")</f>
        <v>Website</v>
      </c>
      <c r="C1765" t="str">
        <f>HYPERLINK("http://www.stoeger.co.at","Website")</f>
        <v>Website</v>
      </c>
      <c r="D1765" t="str">
        <f>HYPERLINK("http://www.google.com/maps/place/48.1770166,15.0807606","Location")</f>
        <v>Location</v>
      </c>
      <c r="E1765" t="s">
        <v>15729</v>
      </c>
      <c r="F1765" t="s">
        <v>15730</v>
      </c>
      <c r="G1765" t="s">
        <v>6019</v>
      </c>
      <c r="H1765" t="s">
        <v>6195</v>
      </c>
      <c r="I1765" t="s">
        <v>177</v>
      </c>
      <c r="J1765" t="s">
        <v>22</v>
      </c>
      <c r="K1765" t="s">
        <v>15731</v>
      </c>
      <c r="L1765" t="s">
        <v>15734</v>
      </c>
      <c r="M1765" t="s">
        <v>15735</v>
      </c>
      <c r="N1765" t="s">
        <v>15736</v>
      </c>
      <c r="O1765" t="s">
        <v>25</v>
      </c>
      <c r="P1765" t="s">
        <v>15737</v>
      </c>
      <c r="Q1765" t="s">
        <v>29</v>
      </c>
      <c r="R1765" t="s">
        <v>15732</v>
      </c>
      <c r="S1765" t="s">
        <v>15733</v>
      </c>
    </row>
    <row r="1766" spans="1:19" x14ac:dyDescent="0.25">
      <c r="A1766" s="1">
        <v>1764</v>
      </c>
      <c r="B1766" t="str">
        <f>HYPERLINK("https://www.dasschnelle.at/hairlich-melk-wiener-straße","Website")</f>
        <v>Website</v>
      </c>
      <c r="C1766" t="str">
        <f>HYPERLINK("https://www.dasschnelle.at/hairlich-melk-wiener-stra%C3%9Fe","Website")</f>
        <v>Website</v>
      </c>
      <c r="D1766" t="str">
        <f>HYPERLINK("http://www.google.com/maps/place/48.2270600,15.3331900","Location")</f>
        <v>Location</v>
      </c>
      <c r="E1766" t="s">
        <v>15738</v>
      </c>
      <c r="F1766" t="s">
        <v>15739</v>
      </c>
      <c r="G1766" t="s">
        <v>5926</v>
      </c>
      <c r="H1766" t="s">
        <v>5927</v>
      </c>
      <c r="I1766" t="s">
        <v>177</v>
      </c>
      <c r="J1766" t="s">
        <v>22</v>
      </c>
      <c r="K1766" t="s">
        <v>15740</v>
      </c>
      <c r="L1766" t="s">
        <v>15743</v>
      </c>
      <c r="M1766" t="s">
        <v>25</v>
      </c>
      <c r="N1766" t="s">
        <v>15744</v>
      </c>
      <c r="O1766" t="s">
        <v>25</v>
      </c>
      <c r="P1766" t="s">
        <v>15745</v>
      </c>
      <c r="Q1766" t="s">
        <v>29</v>
      </c>
      <c r="R1766" t="s">
        <v>15741</v>
      </c>
      <c r="S1766" t="s">
        <v>15742</v>
      </c>
    </row>
    <row r="1767" spans="1:19" x14ac:dyDescent="0.25">
      <c r="A1767" s="1">
        <v>1765</v>
      </c>
      <c r="B1767" t="str">
        <f>HYPERLINK("https://www.dasschnelle.at/riha-opetnik-susanne-dr-med-univ-bleiburg-bahnhofstraße","Website")</f>
        <v>Website</v>
      </c>
      <c r="C1767" t="str">
        <f>HYPERLINK("http://drsusanne-riha-opetnik.business.site/","Website")</f>
        <v>Website</v>
      </c>
      <c r="D1767" t="str">
        <f>HYPERLINK("http://www.google.com/maps/place/46.58814,14.79896","Location")</f>
        <v>Location</v>
      </c>
      <c r="E1767" t="s">
        <v>15746</v>
      </c>
      <c r="F1767" t="s">
        <v>15747</v>
      </c>
      <c r="G1767" t="s">
        <v>5113</v>
      </c>
      <c r="H1767" t="s">
        <v>5114</v>
      </c>
      <c r="I1767" t="s">
        <v>4130</v>
      </c>
      <c r="J1767" t="s">
        <v>22</v>
      </c>
      <c r="K1767" t="s">
        <v>15748</v>
      </c>
      <c r="L1767" t="s">
        <v>15751</v>
      </c>
      <c r="M1767" t="s">
        <v>25</v>
      </c>
      <c r="N1767" t="s">
        <v>15752</v>
      </c>
      <c r="O1767" t="s">
        <v>25</v>
      </c>
      <c r="P1767" t="s">
        <v>15753</v>
      </c>
      <c r="Q1767" t="s">
        <v>29</v>
      </c>
      <c r="R1767" t="s">
        <v>15749</v>
      </c>
      <c r="S1767" t="s">
        <v>15750</v>
      </c>
    </row>
    <row r="1768" spans="1:19" x14ac:dyDescent="0.25">
      <c r="A1768" s="1">
        <v>1766</v>
      </c>
      <c r="B1768" t="str">
        <f>HYPERLINK("https://www.dasschnelle.at/tierklinik-würflach-willendorf-am-johannesbach","Website")</f>
        <v>Website</v>
      </c>
      <c r="C1768" t="str">
        <f>HYPERLINK("http://www.tierklinik-wuerflach.at","Website")</f>
        <v>Website</v>
      </c>
      <c r="D1768" t="str">
        <f>HYPERLINK("http://www.google.com/maps/place/47.7765600,16.0554649","Location")</f>
        <v>Location</v>
      </c>
      <c r="E1768" t="s">
        <v>15754</v>
      </c>
      <c r="F1768" t="s">
        <v>15755</v>
      </c>
      <c r="G1768" t="s">
        <v>5729</v>
      </c>
      <c r="H1768" t="s">
        <v>5730</v>
      </c>
      <c r="I1768" t="s">
        <v>177</v>
      </c>
      <c r="J1768" t="s">
        <v>22</v>
      </c>
      <c r="K1768" t="s">
        <v>15756</v>
      </c>
      <c r="L1768" t="s">
        <v>15759</v>
      </c>
      <c r="M1768" t="s">
        <v>25</v>
      </c>
      <c r="N1768" t="s">
        <v>15760</v>
      </c>
      <c r="O1768" t="s">
        <v>25</v>
      </c>
      <c r="P1768" t="s">
        <v>15761</v>
      </c>
      <c r="Q1768" t="s">
        <v>29</v>
      </c>
      <c r="R1768" t="s">
        <v>15757</v>
      </c>
      <c r="S1768" t="s">
        <v>15758</v>
      </c>
    </row>
    <row r="1769" spans="1:19" x14ac:dyDescent="0.25">
      <c r="A1769" s="1">
        <v>1767</v>
      </c>
      <c r="B1769" t="str">
        <f>HYPERLINK("https://www.dasschnelle.at/wogrin-werner-gmbh-sankt-peter-bierbaum","Website")</f>
        <v>Website</v>
      </c>
      <c r="C1769" t="str">
        <f>HYPERLINK("http://www.wogrin.at","Website")</f>
        <v>Website</v>
      </c>
      <c r="D1769" t="str">
        <f>HYPERLINK("http://www.google.com/maps/place/46.8308400,15.7949200","Location")</f>
        <v>Location</v>
      </c>
      <c r="E1769" t="s">
        <v>15762</v>
      </c>
      <c r="F1769" t="s">
        <v>15763</v>
      </c>
      <c r="G1769" t="s">
        <v>11800</v>
      </c>
      <c r="H1769" t="s">
        <v>8592</v>
      </c>
      <c r="I1769" t="s">
        <v>451</v>
      </c>
      <c r="J1769" t="s">
        <v>22</v>
      </c>
      <c r="K1769" t="s">
        <v>15764</v>
      </c>
      <c r="L1769" t="s">
        <v>15767</v>
      </c>
      <c r="M1769" t="s">
        <v>25</v>
      </c>
      <c r="N1769" t="s">
        <v>15768</v>
      </c>
      <c r="O1769" t="s">
        <v>25</v>
      </c>
      <c r="P1769" t="s">
        <v>15769</v>
      </c>
      <c r="Q1769" t="s">
        <v>29</v>
      </c>
      <c r="R1769" t="s">
        <v>15765</v>
      </c>
      <c r="S1769" t="s">
        <v>15766</v>
      </c>
    </row>
    <row r="1770" spans="1:19" x14ac:dyDescent="0.25">
      <c r="A1770" s="1">
        <v>1768</v>
      </c>
      <c r="B1770" t="str">
        <f>HYPERLINK("https://www.dasschnelle.at/zacharias-josef-mureck-gosdorf","Website")</f>
        <v>Website</v>
      </c>
      <c r="C1770" t="str">
        <f>HYPERLINK("http://www.autohaus-zacharias.at","Website")</f>
        <v>Website</v>
      </c>
      <c r="D1770" t="str">
        <f>HYPERLINK("http://www.google.com/maps/place/46.7269560,15.7958843","Location")</f>
        <v>Location</v>
      </c>
      <c r="E1770" t="s">
        <v>15770</v>
      </c>
      <c r="F1770" t="s">
        <v>15771</v>
      </c>
      <c r="G1770" t="s">
        <v>11727</v>
      </c>
      <c r="H1770" t="s">
        <v>11728</v>
      </c>
      <c r="I1770" t="s">
        <v>451</v>
      </c>
      <c r="J1770" t="s">
        <v>22</v>
      </c>
      <c r="K1770" t="s">
        <v>15772</v>
      </c>
      <c r="L1770" t="s">
        <v>15775</v>
      </c>
      <c r="M1770" t="s">
        <v>25</v>
      </c>
      <c r="N1770" t="s">
        <v>15776</v>
      </c>
      <c r="O1770" t="s">
        <v>25</v>
      </c>
      <c r="P1770" t="s">
        <v>15777</v>
      </c>
      <c r="Q1770" t="s">
        <v>29</v>
      </c>
      <c r="R1770" t="s">
        <v>15773</v>
      </c>
      <c r="S1770" t="s">
        <v>15774</v>
      </c>
    </row>
    <row r="1771" spans="1:19" x14ac:dyDescent="0.25">
      <c r="A1771" s="1">
        <v>1769</v>
      </c>
      <c r="B1771" t="str">
        <f>HYPERLINK("https://www.dasschnelle.at/franz-fischer-kg-straden-nägelsdorf","Website")</f>
        <v>Website</v>
      </c>
      <c r="C1771" t="str">
        <f>HYPERLINK("http://www.franzfischer.at","Website")</f>
        <v>Website</v>
      </c>
      <c r="D1771" t="str">
        <f>HYPERLINK("http://www.google.com/maps/place/46.7949352,15.8431853","Location")</f>
        <v>Location</v>
      </c>
      <c r="E1771" t="s">
        <v>15778</v>
      </c>
      <c r="F1771" t="s">
        <v>15779</v>
      </c>
      <c r="G1771" t="s">
        <v>460</v>
      </c>
      <c r="H1771" t="s">
        <v>461</v>
      </c>
      <c r="I1771" t="s">
        <v>451</v>
      </c>
      <c r="J1771" t="s">
        <v>22</v>
      </c>
      <c r="K1771" t="s">
        <v>15780</v>
      </c>
      <c r="L1771" t="s">
        <v>15783</v>
      </c>
      <c r="M1771" t="s">
        <v>25</v>
      </c>
      <c r="N1771" t="s">
        <v>15784</v>
      </c>
      <c r="O1771" t="s">
        <v>15785</v>
      </c>
      <c r="P1771" t="s">
        <v>15786</v>
      </c>
      <c r="Q1771" t="s">
        <v>29</v>
      </c>
      <c r="R1771" t="s">
        <v>15781</v>
      </c>
      <c r="S1771" t="s">
        <v>15782</v>
      </c>
    </row>
    <row r="1772" spans="1:19" x14ac:dyDescent="0.25">
      <c r="A1772" s="1">
        <v>1770</v>
      </c>
      <c r="B1772" t="str">
        <f>HYPERLINK("https://www.dasschnelle.at/marbler-gerhard-laasen","Website")</f>
        <v>Website</v>
      </c>
      <c r="C1772" t="str">
        <f>HYPERLINK("http://www.installationen-marbler.at","Website")</f>
        <v>Website</v>
      </c>
      <c r="D1772" t="str">
        <f>HYPERLINK("http://www.google.com/maps/place/46.7719693,15.9184012","Location")</f>
        <v>Location</v>
      </c>
      <c r="E1772" t="s">
        <v>15787</v>
      </c>
      <c r="F1772" t="s">
        <v>15788</v>
      </c>
      <c r="G1772" t="s">
        <v>15789</v>
      </c>
      <c r="H1772" t="s">
        <v>15790</v>
      </c>
      <c r="I1772" t="s">
        <v>451</v>
      </c>
      <c r="J1772" t="s">
        <v>22</v>
      </c>
      <c r="K1772" t="s">
        <v>25</v>
      </c>
      <c r="L1772" t="s">
        <v>15793</v>
      </c>
      <c r="M1772" t="s">
        <v>25</v>
      </c>
      <c r="N1772" t="s">
        <v>15794</v>
      </c>
      <c r="O1772" t="s">
        <v>25</v>
      </c>
      <c r="P1772" t="s">
        <v>15795</v>
      </c>
      <c r="Q1772" t="s">
        <v>29</v>
      </c>
      <c r="R1772" t="s">
        <v>15791</v>
      </c>
      <c r="S1772" t="s">
        <v>15792</v>
      </c>
    </row>
    <row r="1773" spans="1:19" x14ac:dyDescent="0.25">
      <c r="A1773" s="1">
        <v>1771</v>
      </c>
      <c r="B1773" t="str">
        <f>HYPERLINK("https://www.dasschnelle.at/feischl-martina-mag-med-vet-magdalenaberg","Website")</f>
        <v>Website</v>
      </c>
      <c r="C1773" t="str">
        <f>HYPERLINK("https://www.dasschnelle.at/feischl-martina-mag-med-vet-magdalenaberg","Website")</f>
        <v>Website</v>
      </c>
      <c r="D1773" t="str">
        <f>HYPERLINK("http://www.google.com/maps/place/47.9371910,14.0477862","Location")</f>
        <v>Location</v>
      </c>
      <c r="E1773" t="s">
        <v>15796</v>
      </c>
      <c r="F1773" t="s">
        <v>15797</v>
      </c>
      <c r="G1773" t="s">
        <v>9198</v>
      </c>
      <c r="H1773" t="s">
        <v>15798</v>
      </c>
      <c r="I1773" t="s">
        <v>85</v>
      </c>
      <c r="J1773" t="s">
        <v>22</v>
      </c>
      <c r="K1773" t="s">
        <v>25</v>
      </c>
      <c r="L1773" t="s">
        <v>15801</v>
      </c>
      <c r="M1773" t="s">
        <v>25</v>
      </c>
      <c r="N1773" t="s">
        <v>15802</v>
      </c>
      <c r="O1773" t="s">
        <v>25</v>
      </c>
      <c r="P1773" t="s">
        <v>15803</v>
      </c>
      <c r="Q1773" t="s">
        <v>29</v>
      </c>
      <c r="R1773" t="s">
        <v>15799</v>
      </c>
      <c r="S1773" t="s">
        <v>15800</v>
      </c>
    </row>
    <row r="1774" spans="1:19" x14ac:dyDescent="0.25">
      <c r="A1774" s="1">
        <v>1772</v>
      </c>
      <c r="B1774" t="str">
        <f>HYPERLINK("https://www.dasschnelle.at/zitt-robert-reutte-lindenstraße","Website")</f>
        <v>Website</v>
      </c>
      <c r="C1774" t="str">
        <f>HYPERLINK("http://www.wohnstudio-zitt.at","Website")</f>
        <v>Website</v>
      </c>
      <c r="D1774" t="str">
        <f>HYPERLINK("http://www.google.com/maps/place/47.48846,10.7154","Location")</f>
        <v>Location</v>
      </c>
      <c r="E1774" t="s">
        <v>15804</v>
      </c>
      <c r="F1774" t="s">
        <v>15805</v>
      </c>
      <c r="G1774" t="s">
        <v>6823</v>
      </c>
      <c r="H1774" t="s">
        <v>6824</v>
      </c>
      <c r="I1774" t="s">
        <v>21</v>
      </c>
      <c r="J1774" t="s">
        <v>22</v>
      </c>
      <c r="K1774" t="s">
        <v>15806</v>
      </c>
      <c r="L1774" t="s">
        <v>15809</v>
      </c>
      <c r="M1774" t="s">
        <v>25</v>
      </c>
      <c r="N1774" t="s">
        <v>15810</v>
      </c>
      <c r="O1774" t="s">
        <v>15811</v>
      </c>
      <c r="P1774" t="s">
        <v>15812</v>
      </c>
      <c r="Q1774" t="s">
        <v>29</v>
      </c>
      <c r="R1774" t="s">
        <v>15807</v>
      </c>
      <c r="S1774" t="s">
        <v>15808</v>
      </c>
    </row>
    <row r="1775" spans="1:19" x14ac:dyDescent="0.25">
      <c r="A1775" s="1">
        <v>1773</v>
      </c>
      <c r="B1775" t="str">
        <f>HYPERLINK("https://www.dasschnelle.at/zehentleitner-clemens-mag-bad-aussee-bahnhofstraße","Website")</f>
        <v>Website</v>
      </c>
      <c r="C1775" t="str">
        <f>HYPERLINK("https://www.dasschnelle.at/zehentleitner-clemens-mag-bad-aussee-bahnhofstra%C3%9Fe","Website")</f>
        <v>Website</v>
      </c>
      <c r="D1775" t="str">
        <f>HYPERLINK("http://www.google.com/maps/place/47.60879,13.78321","Location")</f>
        <v>Location</v>
      </c>
      <c r="E1775" t="s">
        <v>15813</v>
      </c>
      <c r="F1775" t="s">
        <v>15814</v>
      </c>
      <c r="G1775" t="s">
        <v>1195</v>
      </c>
      <c r="H1775" t="s">
        <v>1196</v>
      </c>
      <c r="I1775" t="s">
        <v>451</v>
      </c>
      <c r="J1775" t="s">
        <v>22</v>
      </c>
      <c r="K1775" t="s">
        <v>15815</v>
      </c>
      <c r="L1775" t="s">
        <v>15818</v>
      </c>
      <c r="M1775" t="s">
        <v>25</v>
      </c>
      <c r="N1775" t="s">
        <v>15819</v>
      </c>
      <c r="O1775" t="s">
        <v>25</v>
      </c>
      <c r="P1775" t="s">
        <v>15820</v>
      </c>
      <c r="Q1775" t="s">
        <v>29</v>
      </c>
      <c r="R1775" t="s">
        <v>15816</v>
      </c>
      <c r="S1775" t="s">
        <v>15817</v>
      </c>
    </row>
    <row r="1776" spans="1:19" x14ac:dyDescent="0.25">
      <c r="A1776" s="1">
        <v>1774</v>
      </c>
      <c r="B1776" t="str">
        <f>HYPERLINK("https://www.dasschnelle.at/zehetleitner-gerda-dr-weiz-hans-sutter-gasse","Website")</f>
        <v>Website</v>
      </c>
      <c r="C1776" t="str">
        <f>HYPERLINK("http://www.frauenaerztin-zehetleitner.at","Website")</f>
        <v>Website</v>
      </c>
      <c r="D1776" t="str">
        <f>HYPERLINK("http://www.google.com/maps/place/47.21482,15.62528","Location")</f>
        <v>Location</v>
      </c>
      <c r="E1776" t="s">
        <v>15821</v>
      </c>
      <c r="F1776" t="s">
        <v>15822</v>
      </c>
      <c r="G1776" t="s">
        <v>3448</v>
      </c>
      <c r="H1776" t="s">
        <v>3449</v>
      </c>
      <c r="I1776" t="s">
        <v>451</v>
      </c>
      <c r="J1776" t="s">
        <v>22</v>
      </c>
      <c r="K1776" t="s">
        <v>3613</v>
      </c>
      <c r="L1776" t="s">
        <v>15823</v>
      </c>
      <c r="M1776" t="s">
        <v>25</v>
      </c>
      <c r="N1776" t="s">
        <v>15824</v>
      </c>
      <c r="O1776" t="s">
        <v>25</v>
      </c>
      <c r="P1776" t="s">
        <v>15825</v>
      </c>
      <c r="Q1776" t="s">
        <v>29</v>
      </c>
      <c r="R1776" t="s">
        <v>3614</v>
      </c>
      <c r="S1776" t="s">
        <v>3615</v>
      </c>
    </row>
    <row r="1777" spans="1:19" x14ac:dyDescent="0.25">
      <c r="A1777" s="1">
        <v>1775</v>
      </c>
      <c r="B1777" t="str">
        <f>HYPERLINK("https://www.dasschnelle.at/weiss-kurt-ing-haiming-gartenweg","Website")</f>
        <v>Website</v>
      </c>
      <c r="C1777" t="str">
        <f>HYPERLINK("http://www.kwnet.at","Website")</f>
        <v>Website</v>
      </c>
      <c r="D1777" t="str">
        <f>HYPERLINK("http://www.google.com/maps/place/47.25056,10.88356","Location")</f>
        <v>Location</v>
      </c>
      <c r="E1777" t="s">
        <v>15826</v>
      </c>
      <c r="F1777" t="s">
        <v>15827</v>
      </c>
      <c r="G1777" t="s">
        <v>15829</v>
      </c>
      <c r="H1777" t="s">
        <v>15830</v>
      </c>
      <c r="I1777" t="s">
        <v>21</v>
      </c>
      <c r="J1777" t="s">
        <v>22</v>
      </c>
      <c r="K1777" t="s">
        <v>15828</v>
      </c>
      <c r="L1777" t="s">
        <v>15833</v>
      </c>
      <c r="M1777" t="s">
        <v>25</v>
      </c>
      <c r="N1777" t="s">
        <v>15834</v>
      </c>
      <c r="O1777" t="s">
        <v>15835</v>
      </c>
      <c r="P1777" t="s">
        <v>15836</v>
      </c>
      <c r="Q1777" t="s">
        <v>29</v>
      </c>
      <c r="R1777" t="s">
        <v>15831</v>
      </c>
      <c r="S1777" t="s">
        <v>15832</v>
      </c>
    </row>
    <row r="1778" spans="1:19" x14ac:dyDescent="0.25">
      <c r="A1778" s="1">
        <v>1776</v>
      </c>
      <c r="B1778" t="str">
        <f>HYPERLINK("https://www.dasschnelle.at/hoscher-sebastian-dr-bad-ischl-kurhausstraße","Website")</f>
        <v>Website</v>
      </c>
      <c r="C1778" t="str">
        <f>HYPERLINK("http://www.justsmile.at","Website")</f>
        <v>Website</v>
      </c>
      <c r="D1778" t="str">
        <f>HYPERLINK("http://www.google.com/maps/place/47.70996,13.61822","Location")</f>
        <v>Location</v>
      </c>
      <c r="E1778" t="s">
        <v>15837</v>
      </c>
      <c r="F1778" t="s">
        <v>15838</v>
      </c>
      <c r="G1778" t="s">
        <v>2377</v>
      </c>
      <c r="H1778" t="s">
        <v>2378</v>
      </c>
      <c r="I1778" t="s">
        <v>85</v>
      </c>
      <c r="J1778" t="s">
        <v>22</v>
      </c>
      <c r="K1778" t="s">
        <v>15839</v>
      </c>
      <c r="L1778" t="s">
        <v>15842</v>
      </c>
      <c r="M1778" t="s">
        <v>25</v>
      </c>
      <c r="N1778" t="s">
        <v>15843</v>
      </c>
      <c r="O1778" t="s">
        <v>25</v>
      </c>
      <c r="P1778" t="s">
        <v>15844</v>
      </c>
      <c r="Q1778" t="s">
        <v>29</v>
      </c>
      <c r="R1778" t="s">
        <v>15840</v>
      </c>
      <c r="S1778" t="s">
        <v>15841</v>
      </c>
    </row>
    <row r="1779" spans="1:19" x14ac:dyDescent="0.25">
      <c r="A1779" s="1">
        <v>1777</v>
      </c>
      <c r="B1779" t="str">
        <f>HYPERLINK("https://www.dasschnelle.at/pfleger-johann-christian-dr-reutte-kög","Website")</f>
        <v>Website</v>
      </c>
      <c r="C1779" t="str">
        <f>HYPERLINK("http://www.tierarztpraxis-reutte.at","Website")</f>
        <v>Website</v>
      </c>
      <c r="D1779" t="str">
        <f>HYPERLINK("http://www.google.com/maps/place/47.48424,10.71991","Location")</f>
        <v>Location</v>
      </c>
      <c r="E1779" t="s">
        <v>15845</v>
      </c>
      <c r="F1779" t="s">
        <v>15846</v>
      </c>
      <c r="G1779" t="s">
        <v>6823</v>
      </c>
      <c r="H1779" t="s">
        <v>6824</v>
      </c>
      <c r="I1779" t="s">
        <v>21</v>
      </c>
      <c r="J1779" t="s">
        <v>22</v>
      </c>
      <c r="K1779" t="s">
        <v>15847</v>
      </c>
      <c r="L1779" t="s">
        <v>15850</v>
      </c>
      <c r="M1779" t="s">
        <v>25</v>
      </c>
      <c r="N1779" t="s">
        <v>15851</v>
      </c>
      <c r="O1779" t="s">
        <v>25</v>
      </c>
      <c r="P1779" t="s">
        <v>15852</v>
      </c>
      <c r="Q1779" t="s">
        <v>29</v>
      </c>
      <c r="R1779" t="s">
        <v>15848</v>
      </c>
      <c r="S1779" t="s">
        <v>15849</v>
      </c>
    </row>
    <row r="1780" spans="1:19" x14ac:dyDescent="0.25">
      <c r="A1780" s="1">
        <v>1778</v>
      </c>
      <c r="B1780" t="str">
        <f>HYPERLINK("https://www.dasschnelle.at/wielander-hans-peter-dr-med-bad-ischl-götzstraße","Website")</f>
        <v>Website</v>
      </c>
      <c r="C1780" t="str">
        <f>HYPERLINK("http://www.wielander-gyn.at","Website")</f>
        <v>Website</v>
      </c>
      <c r="D1780" t="str">
        <f>HYPERLINK("http://www.google.com/maps/place/47.71429,13.62406","Location")</f>
        <v>Location</v>
      </c>
      <c r="E1780" t="s">
        <v>15853</v>
      </c>
      <c r="F1780" t="s">
        <v>15854</v>
      </c>
      <c r="G1780" t="s">
        <v>2377</v>
      </c>
      <c r="H1780" t="s">
        <v>2378</v>
      </c>
      <c r="I1780" t="s">
        <v>85</v>
      </c>
      <c r="J1780" t="s">
        <v>22</v>
      </c>
      <c r="K1780" t="s">
        <v>15855</v>
      </c>
      <c r="L1780" t="s">
        <v>15858</v>
      </c>
      <c r="M1780" t="s">
        <v>25</v>
      </c>
      <c r="N1780" t="s">
        <v>15859</v>
      </c>
      <c r="O1780" t="s">
        <v>25</v>
      </c>
      <c r="P1780" t="s">
        <v>15860</v>
      </c>
      <c r="Q1780" t="s">
        <v>29</v>
      </c>
      <c r="R1780" t="s">
        <v>15856</v>
      </c>
      <c r="S1780" t="s">
        <v>15857</v>
      </c>
    </row>
    <row r="1781" spans="1:19" x14ac:dyDescent="0.25">
      <c r="A1781" s="1">
        <v>1779</v>
      </c>
      <c r="B1781" t="str">
        <f>HYPERLINK("https://www.dasschnelle.at/freunschlag-anton-dr-med-univ-altaussee-altaussee-puchen","Website")</f>
        <v>Website</v>
      </c>
      <c r="C1781" t="str">
        <f>HYPERLINK("http://www.drfreunschlag.at","Website")</f>
        <v>Website</v>
      </c>
      <c r="D1781" t="str">
        <f>HYPERLINK("http://www.google.com/maps/place/47.63505,13.76156","Location")</f>
        <v>Location</v>
      </c>
      <c r="E1781" t="s">
        <v>15861</v>
      </c>
      <c r="F1781" t="s">
        <v>15862</v>
      </c>
      <c r="G1781" t="s">
        <v>2643</v>
      </c>
      <c r="H1781" t="s">
        <v>2644</v>
      </c>
      <c r="I1781" t="s">
        <v>451</v>
      </c>
      <c r="J1781" t="s">
        <v>22</v>
      </c>
      <c r="K1781" t="s">
        <v>15863</v>
      </c>
      <c r="L1781" t="s">
        <v>15866</v>
      </c>
      <c r="M1781" t="s">
        <v>25</v>
      </c>
      <c r="N1781" t="s">
        <v>15867</v>
      </c>
      <c r="O1781" t="s">
        <v>25</v>
      </c>
      <c r="P1781" t="s">
        <v>15868</v>
      </c>
      <c r="Q1781" t="s">
        <v>29</v>
      </c>
      <c r="R1781" t="s">
        <v>15864</v>
      </c>
      <c r="S1781" t="s">
        <v>15865</v>
      </c>
    </row>
    <row r="1782" spans="1:19" x14ac:dyDescent="0.25">
      <c r="A1782" s="1">
        <v>1780</v>
      </c>
      <c r="B1782" t="str">
        <f>HYPERLINK("https://www.dasschnelle.at/fenster-und-türenstudio-bruckner-mönchhof-betriebsgebiet-nord","Website")</f>
        <v>Website</v>
      </c>
      <c r="C1782" t="str">
        <f>HYPERLINK("http://www.bl-fenster.at","Website")</f>
        <v>Website</v>
      </c>
      <c r="D1782" t="str">
        <f>HYPERLINK("http://www.google.com/maps/place/47.8883,16.95393","Location")</f>
        <v>Location</v>
      </c>
      <c r="E1782" t="s">
        <v>15869</v>
      </c>
      <c r="F1782" t="s">
        <v>15870</v>
      </c>
      <c r="G1782" t="s">
        <v>1958</v>
      </c>
      <c r="H1782" t="s">
        <v>1959</v>
      </c>
      <c r="I1782" t="s">
        <v>1834</v>
      </c>
      <c r="J1782" t="s">
        <v>22</v>
      </c>
      <c r="K1782" t="s">
        <v>15871</v>
      </c>
      <c r="L1782" t="s">
        <v>15874</v>
      </c>
      <c r="M1782" t="s">
        <v>25</v>
      </c>
      <c r="N1782" t="s">
        <v>15875</v>
      </c>
      <c r="O1782" t="s">
        <v>15876</v>
      </c>
      <c r="P1782" t="s">
        <v>15877</v>
      </c>
      <c r="Q1782" t="s">
        <v>29</v>
      </c>
      <c r="R1782" t="s">
        <v>15872</v>
      </c>
      <c r="S1782" t="s">
        <v>15873</v>
      </c>
    </row>
    <row r="1783" spans="1:19" x14ac:dyDescent="0.25">
      <c r="A1783" s="1">
        <v>1781</v>
      </c>
      <c r="B1783" t="str">
        <f>HYPERLINK("https://www.dasschnelle.at/firma-hintersteiner-münichreith-am-ostrong-kehrbach","Website")</f>
        <v>Website</v>
      </c>
      <c r="C1783" t="str">
        <f>HYPERLINK("http://www.hintersteiner-fenster.at","Website")</f>
        <v>Website</v>
      </c>
      <c r="D1783" t="str">
        <f>HYPERLINK("http://www.google.com/maps/place/48.2786438,15.1258491","Location")</f>
        <v>Location</v>
      </c>
      <c r="E1783" t="s">
        <v>15878</v>
      </c>
      <c r="F1783" t="s">
        <v>15879</v>
      </c>
      <c r="G1783" t="s">
        <v>6178</v>
      </c>
      <c r="H1783" t="s">
        <v>6179</v>
      </c>
      <c r="I1783" t="s">
        <v>177</v>
      </c>
      <c r="J1783" t="s">
        <v>22</v>
      </c>
      <c r="K1783" t="s">
        <v>15880</v>
      </c>
      <c r="L1783" t="s">
        <v>15883</v>
      </c>
      <c r="M1783" t="s">
        <v>25</v>
      </c>
      <c r="N1783" t="s">
        <v>15884</v>
      </c>
      <c r="O1783" t="s">
        <v>25</v>
      </c>
      <c r="P1783" t="s">
        <v>15885</v>
      </c>
      <c r="Q1783" t="s">
        <v>29</v>
      </c>
      <c r="R1783" t="s">
        <v>15881</v>
      </c>
      <c r="S1783" t="s">
        <v>15882</v>
      </c>
    </row>
    <row r="1784" spans="1:19" x14ac:dyDescent="0.25">
      <c r="A1784" s="1">
        <v>1782</v>
      </c>
      <c r="B1784" t="str">
        <f>HYPERLINK("https://www.dasschnelle.at/züger-georg-kuchl-weißenbach","Website")</f>
        <v>Website</v>
      </c>
      <c r="C1784" t="str">
        <f>HYPERLINK("http://www.saegewerk-zueger.at","Website")</f>
        <v>Website</v>
      </c>
      <c r="D1784" t="str">
        <f>HYPERLINK("http://www.google.com/maps/place/47.6140527,13.1426341","Location")</f>
        <v>Location</v>
      </c>
      <c r="E1784" t="s">
        <v>15886</v>
      </c>
      <c r="F1784" t="s">
        <v>15887</v>
      </c>
      <c r="G1784" t="s">
        <v>7697</v>
      </c>
      <c r="H1784" t="s">
        <v>7698</v>
      </c>
      <c r="I1784" t="s">
        <v>2239</v>
      </c>
      <c r="J1784" t="s">
        <v>22</v>
      </c>
      <c r="K1784" t="s">
        <v>15888</v>
      </c>
      <c r="L1784" t="s">
        <v>15891</v>
      </c>
      <c r="M1784" t="s">
        <v>25</v>
      </c>
      <c r="N1784" t="s">
        <v>15892</v>
      </c>
      <c r="O1784" t="s">
        <v>25</v>
      </c>
      <c r="P1784" t="s">
        <v>15893</v>
      </c>
      <c r="Q1784" t="s">
        <v>29</v>
      </c>
      <c r="R1784" t="s">
        <v>15889</v>
      </c>
      <c r="S1784" t="s">
        <v>15890</v>
      </c>
    </row>
    <row r="1785" spans="1:19" x14ac:dyDescent="0.25">
      <c r="A1785" s="1">
        <v>1783</v>
      </c>
      <c r="B1785" t="str">
        <f>HYPERLINK("https://www.dasschnelle.at/larcher-steinmetz-gmbh-tarrenz-dollinger-lager","Website")</f>
        <v>Website</v>
      </c>
      <c r="C1785" t="str">
        <f>HYPERLINK("http://www.fidelius.at","Website")</f>
        <v>Website</v>
      </c>
      <c r="D1785" t="str">
        <f>HYPERLINK("http://www.google.com/maps/place/47.27596,10.79272","Location")</f>
        <v>Location</v>
      </c>
      <c r="E1785" t="s">
        <v>15894</v>
      </c>
      <c r="F1785" t="s">
        <v>15895</v>
      </c>
      <c r="G1785" t="s">
        <v>15897</v>
      </c>
      <c r="H1785" t="s">
        <v>15898</v>
      </c>
      <c r="I1785" t="s">
        <v>21</v>
      </c>
      <c r="J1785" t="s">
        <v>22</v>
      </c>
      <c r="K1785" t="s">
        <v>15896</v>
      </c>
      <c r="L1785" t="s">
        <v>15901</v>
      </c>
      <c r="M1785" t="s">
        <v>15902</v>
      </c>
      <c r="N1785" t="s">
        <v>15903</v>
      </c>
      <c r="O1785" t="s">
        <v>15904</v>
      </c>
      <c r="P1785" t="s">
        <v>15905</v>
      </c>
      <c r="Q1785" t="s">
        <v>29</v>
      </c>
      <c r="R1785" t="s">
        <v>15899</v>
      </c>
      <c r="S1785" t="s">
        <v>15900</v>
      </c>
    </row>
    <row r="1786" spans="1:19" x14ac:dyDescent="0.25">
      <c r="A1786" s="1">
        <v>1784</v>
      </c>
      <c r="B1786" t="str">
        <f>HYPERLINK("https://www.dasschnelle.at/harry-s-malerei-abtenau-schorn","Website")</f>
        <v>Website</v>
      </c>
      <c r="C1786" t="str">
        <f>HYPERLINK("http://www.harrys-malerei.at","Website")</f>
        <v>Website</v>
      </c>
      <c r="D1786" t="str">
        <f>HYPERLINK("http://www.google.com/maps/place/47.5748634,13.3844624","Location")</f>
        <v>Location</v>
      </c>
      <c r="E1786" t="s">
        <v>15906</v>
      </c>
      <c r="F1786" t="s">
        <v>15907</v>
      </c>
      <c r="G1786" t="s">
        <v>7614</v>
      </c>
      <c r="H1786" t="s">
        <v>7615</v>
      </c>
      <c r="I1786" t="s">
        <v>2239</v>
      </c>
      <c r="J1786" t="s">
        <v>22</v>
      </c>
      <c r="K1786" t="s">
        <v>15908</v>
      </c>
      <c r="L1786" t="s">
        <v>15911</v>
      </c>
      <c r="M1786" t="s">
        <v>25</v>
      </c>
      <c r="N1786" t="s">
        <v>15912</v>
      </c>
      <c r="O1786" t="s">
        <v>25</v>
      </c>
      <c r="P1786" t="s">
        <v>15913</v>
      </c>
      <c r="Q1786" t="s">
        <v>29</v>
      </c>
      <c r="R1786" t="s">
        <v>15909</v>
      </c>
      <c r="S1786" t="s">
        <v>15910</v>
      </c>
    </row>
    <row r="1787" spans="1:19" x14ac:dyDescent="0.25">
      <c r="A1787" s="1">
        <v>1785</v>
      </c>
      <c r="B1787" t="str">
        <f>HYPERLINK("https://www.dasschnelle.at/ziegler-manfred-gmbh-stadl-hausruck-schilcherberg","Website")</f>
        <v>Website</v>
      </c>
      <c r="C1787" t="str">
        <f>HYPERLINK("http://www.ziegler-transporte.at","Website")</f>
        <v>Website</v>
      </c>
      <c r="D1787" t="str">
        <f>HYPERLINK("http://www.google.com/maps/place/48.0835800,13.8553700","Location")</f>
        <v>Location</v>
      </c>
      <c r="E1787" t="s">
        <v>15914</v>
      </c>
      <c r="F1787" t="s">
        <v>15915</v>
      </c>
      <c r="G1787" t="s">
        <v>10875</v>
      </c>
      <c r="H1787" t="s">
        <v>15917</v>
      </c>
      <c r="I1787" t="s">
        <v>85</v>
      </c>
      <c r="J1787" t="s">
        <v>22</v>
      </c>
      <c r="K1787" t="s">
        <v>15916</v>
      </c>
      <c r="L1787" t="s">
        <v>15920</v>
      </c>
      <c r="M1787" t="s">
        <v>25</v>
      </c>
      <c r="N1787" t="s">
        <v>15921</v>
      </c>
      <c r="O1787" t="s">
        <v>25</v>
      </c>
      <c r="P1787" t="s">
        <v>15922</v>
      </c>
      <c r="Q1787" t="s">
        <v>29</v>
      </c>
      <c r="R1787" t="s">
        <v>15918</v>
      </c>
      <c r="S1787" t="s">
        <v>15919</v>
      </c>
    </row>
    <row r="1788" spans="1:19" x14ac:dyDescent="0.25">
      <c r="A1788" s="1">
        <v>1786</v>
      </c>
      <c r="B1788" t="str">
        <f>HYPERLINK("https://www.dasschnelle.at/autohaus-purkowitzer-gesmbh-völkermarkt-jauntalweg","Website")</f>
        <v>Website</v>
      </c>
      <c r="C1788" t="str">
        <f>HYPERLINK("http://www.skoda-purkowitzeer.at","Website")</f>
        <v>Website</v>
      </c>
      <c r="D1788" t="str">
        <f>HYPERLINK("http://www.google.com/maps/place/46.6583600,14.6308000","Location")</f>
        <v>Location</v>
      </c>
      <c r="E1788" t="s">
        <v>15923</v>
      </c>
      <c r="F1788" t="s">
        <v>15924</v>
      </c>
      <c r="G1788" t="s">
        <v>5079</v>
      </c>
      <c r="H1788" t="s">
        <v>5080</v>
      </c>
      <c r="I1788" t="s">
        <v>4130</v>
      </c>
      <c r="J1788" t="s">
        <v>22</v>
      </c>
      <c r="K1788" t="s">
        <v>15925</v>
      </c>
      <c r="L1788" t="s">
        <v>15928</v>
      </c>
      <c r="M1788" t="s">
        <v>15929</v>
      </c>
      <c r="N1788" t="s">
        <v>15930</v>
      </c>
      <c r="O1788" t="s">
        <v>25</v>
      </c>
      <c r="P1788" t="s">
        <v>15931</v>
      </c>
      <c r="Q1788" t="s">
        <v>29</v>
      </c>
      <c r="R1788" t="s">
        <v>15926</v>
      </c>
      <c r="S1788" t="s">
        <v>15927</v>
      </c>
    </row>
    <row r="1789" spans="1:19" x14ac:dyDescent="0.25">
      <c r="A1789" s="1">
        <v>1787</v>
      </c>
      <c r="B1789" t="str">
        <f>HYPERLINK("https://www.dasschnelle.at/potzinger-erich-klöchberg","Website")</f>
        <v>Website</v>
      </c>
      <c r="C1789" t="str">
        <f>HYPERLINK("https://www.dasschnelle.at/potzinger-erich-kl%C3%B6chberg","Website")</f>
        <v>Website</v>
      </c>
      <c r="D1789" t="str">
        <f>HYPERLINK("http://www.google.com/maps/place/46.7603200,15.9481000","Location")</f>
        <v>Location</v>
      </c>
      <c r="E1789" t="s">
        <v>15932</v>
      </c>
      <c r="F1789" t="s">
        <v>15933</v>
      </c>
      <c r="G1789" t="s">
        <v>15934</v>
      </c>
      <c r="H1789" t="s">
        <v>15935</v>
      </c>
      <c r="I1789" t="s">
        <v>451</v>
      </c>
      <c r="J1789" t="s">
        <v>22</v>
      </c>
      <c r="K1789" t="s">
        <v>25</v>
      </c>
      <c r="L1789" t="s">
        <v>15938</v>
      </c>
      <c r="M1789" t="s">
        <v>25</v>
      </c>
      <c r="N1789" t="s">
        <v>15939</v>
      </c>
      <c r="O1789" t="s">
        <v>25</v>
      </c>
      <c r="P1789" t="s">
        <v>15940</v>
      </c>
      <c r="Q1789" t="s">
        <v>29</v>
      </c>
      <c r="R1789" t="s">
        <v>15936</v>
      </c>
      <c r="S1789" t="s">
        <v>15937</v>
      </c>
    </row>
    <row r="1790" spans="1:19" x14ac:dyDescent="0.25">
      <c r="A1790" s="1">
        <v>1788</v>
      </c>
      <c r="B1790" t="str">
        <f>HYPERLINK("https://www.dasschnelle.at/wallner-franz-unterpurkla-unterpurkla","Website")</f>
        <v>Website</v>
      </c>
      <c r="C1790" t="str">
        <f>HYPERLINK("http://www.wallner.work","Website")</f>
        <v>Website</v>
      </c>
      <c r="D1790" t="str">
        <f>HYPERLINK("http://www.google.com/maps/place/46.7305759,15.8971600","Location")</f>
        <v>Location</v>
      </c>
      <c r="E1790" t="s">
        <v>15941</v>
      </c>
      <c r="F1790" t="s">
        <v>15942</v>
      </c>
      <c r="G1790" t="s">
        <v>11737</v>
      </c>
      <c r="H1790" t="s">
        <v>11738</v>
      </c>
      <c r="I1790" t="s">
        <v>451</v>
      </c>
      <c r="J1790" t="s">
        <v>22</v>
      </c>
      <c r="K1790" t="s">
        <v>15943</v>
      </c>
      <c r="L1790" t="s">
        <v>15946</v>
      </c>
      <c r="M1790" t="s">
        <v>25</v>
      </c>
      <c r="N1790" t="s">
        <v>15947</v>
      </c>
      <c r="O1790" t="s">
        <v>15948</v>
      </c>
      <c r="P1790" t="s">
        <v>15949</v>
      </c>
      <c r="Q1790" t="s">
        <v>29</v>
      </c>
      <c r="R1790" t="s">
        <v>15944</v>
      </c>
      <c r="S1790" t="s">
        <v>15945</v>
      </c>
    </row>
    <row r="1791" spans="1:19" x14ac:dyDescent="0.25">
      <c r="A1791" s="1">
        <v>1789</v>
      </c>
      <c r="B1791" t="str">
        <f>HYPERLINK("https://www.dasschnelle.at/krauthackl-franz-tieschen-pichla-bei-radkersburg","Website")</f>
        <v>Website</v>
      </c>
      <c r="C1791" t="str">
        <f>HYPERLINK("http://www.tischlerei-krauthackl.com","Website")</f>
        <v>Website</v>
      </c>
      <c r="D1791" t="str">
        <f>HYPERLINK("http://www.google.com/maps/place/46.7912540,15.9556263","Location")</f>
        <v>Location</v>
      </c>
      <c r="E1791" t="s">
        <v>15950</v>
      </c>
      <c r="F1791" t="s">
        <v>15951</v>
      </c>
      <c r="G1791" t="s">
        <v>15789</v>
      </c>
      <c r="H1791" t="s">
        <v>15953</v>
      </c>
      <c r="I1791" t="s">
        <v>451</v>
      </c>
      <c r="J1791" t="s">
        <v>22</v>
      </c>
      <c r="K1791" t="s">
        <v>15952</v>
      </c>
      <c r="L1791" t="s">
        <v>15956</v>
      </c>
      <c r="M1791" t="s">
        <v>25</v>
      </c>
      <c r="N1791" t="s">
        <v>15957</v>
      </c>
      <c r="O1791" t="s">
        <v>25</v>
      </c>
      <c r="P1791" t="s">
        <v>15958</v>
      </c>
      <c r="Q1791" t="s">
        <v>29</v>
      </c>
      <c r="R1791" t="s">
        <v>15954</v>
      </c>
      <c r="S1791" t="s">
        <v>15955</v>
      </c>
    </row>
    <row r="1792" spans="1:19" x14ac:dyDescent="0.25">
      <c r="A1792" s="1">
        <v>1790</v>
      </c>
      <c r="B1792" t="str">
        <f>HYPERLINK("https://www.dasschnelle.at/miller-robert-dr-bad-goisern-obere-marktstraße","Website")</f>
        <v>Website</v>
      </c>
      <c r="C1792" t="str">
        <f>HYPERLINK("http://www.zahnarzt-goisern.at","Website")</f>
        <v>Website</v>
      </c>
      <c r="D1792" t="str">
        <f>HYPERLINK("http://www.google.com/maps/place/47.6386,13.6183","Location")</f>
        <v>Location</v>
      </c>
      <c r="E1792" t="s">
        <v>15959</v>
      </c>
      <c r="F1792" t="s">
        <v>15960</v>
      </c>
      <c r="G1792" t="s">
        <v>2335</v>
      </c>
      <c r="H1792" t="s">
        <v>2356</v>
      </c>
      <c r="I1792" t="s">
        <v>85</v>
      </c>
      <c r="J1792" t="s">
        <v>22</v>
      </c>
      <c r="K1792" t="s">
        <v>15961</v>
      </c>
      <c r="L1792" t="s">
        <v>15964</v>
      </c>
      <c r="M1792" t="s">
        <v>25</v>
      </c>
      <c r="N1792" t="s">
        <v>15965</v>
      </c>
      <c r="O1792" t="s">
        <v>25</v>
      </c>
      <c r="P1792" t="s">
        <v>15966</v>
      </c>
      <c r="Q1792" t="s">
        <v>29</v>
      </c>
      <c r="R1792" t="s">
        <v>15962</v>
      </c>
      <c r="S1792" t="s">
        <v>15963</v>
      </c>
    </row>
    <row r="1793" spans="1:19" x14ac:dyDescent="0.25">
      <c r="A1793" s="1">
        <v>1791</v>
      </c>
      <c r="B1793" t="str">
        <f>HYPERLINK("https://www.dasschnelle.at/lechner-peter-gmbh-reutte-ehrenbergstraße","Website")</f>
        <v>Website</v>
      </c>
      <c r="C1793" t="str">
        <f>HYPERLINK("http://www.kohlen-lechner.at","Website")</f>
        <v>Website</v>
      </c>
      <c r="D1793" t="str">
        <f>HYPERLINK("http://www.google.com/maps/place/47.48327,10.72116","Location")</f>
        <v>Location</v>
      </c>
      <c r="E1793" t="s">
        <v>15967</v>
      </c>
      <c r="F1793" t="s">
        <v>15968</v>
      </c>
      <c r="G1793" t="s">
        <v>6823</v>
      </c>
      <c r="H1793" t="s">
        <v>6824</v>
      </c>
      <c r="I1793" t="s">
        <v>21</v>
      </c>
      <c r="J1793" t="s">
        <v>22</v>
      </c>
      <c r="K1793" t="s">
        <v>15969</v>
      </c>
      <c r="L1793" t="s">
        <v>15972</v>
      </c>
      <c r="M1793" t="s">
        <v>15973</v>
      </c>
      <c r="N1793" t="s">
        <v>15974</v>
      </c>
      <c r="O1793" t="s">
        <v>25</v>
      </c>
      <c r="P1793" t="s">
        <v>15975</v>
      </c>
      <c r="Q1793" t="s">
        <v>29</v>
      </c>
      <c r="R1793" t="s">
        <v>15970</v>
      </c>
      <c r="S1793" t="s">
        <v>15971</v>
      </c>
    </row>
    <row r="1794" spans="1:19" x14ac:dyDescent="0.25">
      <c r="A1794" s="1">
        <v>1792</v>
      </c>
      <c r="B1794" t="str">
        <f>HYPERLINK("https://www.dasschnelle.at/netolitzky-felix-oa-dr-med-bad-ischl-salzburger-straße","Website")</f>
        <v>Website</v>
      </c>
      <c r="C1794" t="str">
        <f>HYPERLINK("http://www.augenarzt-badischl.at","Website")</f>
        <v>Website</v>
      </c>
      <c r="D1794" t="str">
        <f>HYPERLINK("http://www.google.com/maps/place/47.71353,13.61935","Location")</f>
        <v>Location</v>
      </c>
      <c r="E1794" t="s">
        <v>15976</v>
      </c>
      <c r="F1794" t="s">
        <v>15977</v>
      </c>
      <c r="G1794" t="s">
        <v>2377</v>
      </c>
      <c r="H1794" t="s">
        <v>2378</v>
      </c>
      <c r="I1794" t="s">
        <v>85</v>
      </c>
      <c r="J1794" t="s">
        <v>22</v>
      </c>
      <c r="K1794" t="s">
        <v>15978</v>
      </c>
      <c r="L1794" t="s">
        <v>15981</v>
      </c>
      <c r="M1794" t="s">
        <v>25</v>
      </c>
      <c r="N1794" t="s">
        <v>15982</v>
      </c>
      <c r="O1794" t="s">
        <v>25</v>
      </c>
      <c r="P1794" t="s">
        <v>15983</v>
      </c>
      <c r="Q1794" t="s">
        <v>29</v>
      </c>
      <c r="R1794" t="s">
        <v>15979</v>
      </c>
      <c r="S1794" t="s">
        <v>15980</v>
      </c>
    </row>
    <row r="1795" spans="1:19" x14ac:dyDescent="0.25">
      <c r="A1795" s="1">
        <v>1793</v>
      </c>
      <c r="B1795" t="str">
        <f>HYPERLINK("https://www.dasschnelle.at/putz-hermann-bad-ischl-technoparkstraße","Website")</f>
        <v>Website</v>
      </c>
      <c r="C1795" t="str">
        <f>HYPERLINK("http://www.geometer-putz.at","Website")</f>
        <v>Website</v>
      </c>
      <c r="D1795" t="str">
        <f>HYPERLINK("http://www.google.com/maps/place/47.70187,13.62498","Location")</f>
        <v>Location</v>
      </c>
      <c r="E1795" t="s">
        <v>15984</v>
      </c>
      <c r="F1795" t="s">
        <v>15985</v>
      </c>
      <c r="G1795" t="s">
        <v>2377</v>
      </c>
      <c r="H1795" t="s">
        <v>2378</v>
      </c>
      <c r="I1795" t="s">
        <v>85</v>
      </c>
      <c r="J1795" t="s">
        <v>22</v>
      </c>
      <c r="K1795" t="s">
        <v>15986</v>
      </c>
      <c r="L1795" t="s">
        <v>15989</v>
      </c>
      <c r="M1795" t="s">
        <v>25</v>
      </c>
      <c r="N1795" t="s">
        <v>15990</v>
      </c>
      <c r="O1795" t="s">
        <v>25</v>
      </c>
      <c r="P1795" t="s">
        <v>15991</v>
      </c>
      <c r="Q1795" t="s">
        <v>29</v>
      </c>
      <c r="R1795" t="s">
        <v>15987</v>
      </c>
      <c r="S1795" t="s">
        <v>15988</v>
      </c>
    </row>
    <row r="1796" spans="1:19" x14ac:dyDescent="0.25">
      <c r="A1796" s="1">
        <v>1794</v>
      </c>
      <c r="B1796" t="str">
        <f>HYPERLINK("https://www.dasschnelle.at/költringer-brigitte-mag-strobl-eisenstraße","Website")</f>
        <v>Website</v>
      </c>
      <c r="C1796" t="str">
        <f>HYPERLINK("http://www.psychotherapie-koeltringer.at","Website")</f>
        <v>Website</v>
      </c>
      <c r="D1796" t="str">
        <f>HYPERLINK("http://www.google.com/maps/place/47.7161698,13.4815598","Location")</f>
        <v>Location</v>
      </c>
      <c r="E1796" t="s">
        <v>15992</v>
      </c>
      <c r="F1796" t="s">
        <v>15993</v>
      </c>
      <c r="G1796" t="s">
        <v>2493</v>
      </c>
      <c r="H1796" t="s">
        <v>2494</v>
      </c>
      <c r="I1796" t="s">
        <v>2239</v>
      </c>
      <c r="J1796" t="s">
        <v>22</v>
      </c>
      <c r="K1796" t="s">
        <v>15994</v>
      </c>
      <c r="L1796" t="s">
        <v>15997</v>
      </c>
      <c r="M1796" t="s">
        <v>25</v>
      </c>
      <c r="N1796" t="s">
        <v>15998</v>
      </c>
      <c r="O1796" t="s">
        <v>25</v>
      </c>
      <c r="P1796" t="s">
        <v>697</v>
      </c>
      <c r="Q1796" t="s">
        <v>29</v>
      </c>
      <c r="R1796" t="s">
        <v>15995</v>
      </c>
      <c r="S1796" t="s">
        <v>15996</v>
      </c>
    </row>
    <row r="1797" spans="1:19" x14ac:dyDescent="0.25">
      <c r="A1797" s="1">
        <v>1795</v>
      </c>
      <c r="B1797" t="str">
        <f>HYPERLINK("https://www.dasschnelle.at/tober-bierbaumer-gmbh-marbach-donaustraße","Website")</f>
        <v>Website</v>
      </c>
      <c r="C1797" t="str">
        <f>HYPERLINK("http://www.kia4you.at","Website")</f>
        <v>Website</v>
      </c>
      <c r="D1797" t="str">
        <f>HYPERLINK("http://www.google.com/maps/place/48.21789,15.17429","Location")</f>
        <v>Location</v>
      </c>
      <c r="E1797" t="s">
        <v>15999</v>
      </c>
      <c r="F1797" t="s">
        <v>16000</v>
      </c>
      <c r="G1797" t="s">
        <v>16002</v>
      </c>
      <c r="H1797" t="s">
        <v>16003</v>
      </c>
      <c r="I1797" t="s">
        <v>177</v>
      </c>
      <c r="J1797" t="s">
        <v>22</v>
      </c>
      <c r="K1797" t="s">
        <v>16001</v>
      </c>
      <c r="L1797" t="s">
        <v>16006</v>
      </c>
      <c r="M1797" t="s">
        <v>25</v>
      </c>
      <c r="N1797" t="s">
        <v>16007</v>
      </c>
      <c r="O1797" t="s">
        <v>25</v>
      </c>
      <c r="P1797" t="s">
        <v>16008</v>
      </c>
      <c r="Q1797" t="s">
        <v>29</v>
      </c>
      <c r="R1797" t="s">
        <v>16004</v>
      </c>
      <c r="S1797" t="s">
        <v>16005</v>
      </c>
    </row>
    <row r="1798" spans="1:19" x14ac:dyDescent="0.25">
      <c r="A1798" s="1">
        <v>1796</v>
      </c>
      <c r="B1798" t="str">
        <f>HYPERLINK("https://www.dasschnelle.at/malex-fassaden-ruprechtshofen-ockert","Website")</f>
        <v>Website</v>
      </c>
      <c r="C1798" t="str">
        <f>HYPERLINK("http://www.malex-fassaden.at","Website")</f>
        <v>Website</v>
      </c>
      <c r="D1798" t="str">
        <f>HYPERLINK("http://www.google.com/maps/place/48.1089593,15.2267304","Location")</f>
        <v>Location</v>
      </c>
      <c r="E1798" t="s">
        <v>16009</v>
      </c>
      <c r="F1798" t="s">
        <v>16010</v>
      </c>
      <c r="G1798" t="s">
        <v>6147</v>
      </c>
      <c r="H1798" t="s">
        <v>6148</v>
      </c>
      <c r="I1798" t="s">
        <v>177</v>
      </c>
      <c r="J1798" t="s">
        <v>22</v>
      </c>
      <c r="K1798" t="s">
        <v>16011</v>
      </c>
      <c r="L1798" t="s">
        <v>16014</v>
      </c>
      <c r="M1798" t="s">
        <v>25</v>
      </c>
      <c r="N1798" t="s">
        <v>16015</v>
      </c>
      <c r="O1798" t="s">
        <v>25</v>
      </c>
      <c r="P1798" t="s">
        <v>16016</v>
      </c>
      <c r="Q1798" t="s">
        <v>29</v>
      </c>
      <c r="R1798" t="s">
        <v>16012</v>
      </c>
      <c r="S1798" t="s">
        <v>16013</v>
      </c>
    </row>
    <row r="1799" spans="1:19" x14ac:dyDescent="0.25">
      <c r="A1799" s="1">
        <v>1797</v>
      </c>
      <c r="B1799" t="str">
        <f>HYPERLINK("https://www.dasschnelle.at/fahrngruber-elisabeth-mank-schulstraße","Website")</f>
        <v>Website</v>
      </c>
      <c r="C1799" t="str">
        <f>HYPERLINK("http://www.eliis.at","Website")</f>
        <v>Website</v>
      </c>
      <c r="D1799" t="str">
        <f>HYPERLINK("http://www.google.com/maps/place/48.10985,15.34098","Location")</f>
        <v>Location</v>
      </c>
      <c r="E1799" t="s">
        <v>16017</v>
      </c>
      <c r="F1799" t="s">
        <v>16018</v>
      </c>
      <c r="G1799" t="s">
        <v>6136</v>
      </c>
      <c r="H1799" t="s">
        <v>6137</v>
      </c>
      <c r="I1799" t="s">
        <v>177</v>
      </c>
      <c r="J1799" t="s">
        <v>22</v>
      </c>
      <c r="K1799" t="s">
        <v>16019</v>
      </c>
      <c r="L1799" t="s">
        <v>16022</v>
      </c>
      <c r="M1799" t="s">
        <v>25</v>
      </c>
      <c r="N1799" t="s">
        <v>16023</v>
      </c>
      <c r="O1799" t="s">
        <v>25</v>
      </c>
      <c r="P1799" t="s">
        <v>16024</v>
      </c>
      <c r="Q1799" t="s">
        <v>29</v>
      </c>
      <c r="R1799" t="s">
        <v>16020</v>
      </c>
      <c r="S1799" t="s">
        <v>16021</v>
      </c>
    </row>
    <row r="1800" spans="1:19" x14ac:dyDescent="0.25">
      <c r="A1800" s="1">
        <v>1798</v>
      </c>
      <c r="B1800" t="str">
        <f>HYPERLINK("https://www.dasschnelle.at/kerschner-wohndesign-gmbh-hörsdorf","Website")</f>
        <v>Website</v>
      </c>
      <c r="C1800" t="str">
        <f>HYPERLINK("http://www.kerschner-wohndesign.at","Website")</f>
        <v>Website</v>
      </c>
      <c r="D1800" t="str">
        <f>HYPERLINK("http://www.google.com/maps/place/48.1178695,15.3295234","Location")</f>
        <v>Location</v>
      </c>
      <c r="E1800" t="s">
        <v>16025</v>
      </c>
      <c r="F1800" t="s">
        <v>16026</v>
      </c>
      <c r="G1800" t="s">
        <v>6136</v>
      </c>
      <c r="H1800" t="s">
        <v>16027</v>
      </c>
      <c r="I1800" t="s">
        <v>177</v>
      </c>
      <c r="J1800" t="s">
        <v>22</v>
      </c>
      <c r="K1800" t="s">
        <v>25</v>
      </c>
      <c r="L1800" t="s">
        <v>16030</v>
      </c>
      <c r="M1800" t="s">
        <v>16031</v>
      </c>
      <c r="N1800" t="s">
        <v>16032</v>
      </c>
      <c r="O1800" t="s">
        <v>25</v>
      </c>
      <c r="P1800" t="s">
        <v>16033</v>
      </c>
      <c r="Q1800" t="s">
        <v>29</v>
      </c>
      <c r="R1800" t="s">
        <v>16028</v>
      </c>
      <c r="S1800" t="s">
        <v>16029</v>
      </c>
    </row>
    <row r="1801" spans="1:19" x14ac:dyDescent="0.25">
      <c r="A1801" s="1">
        <v>1799</v>
      </c>
      <c r="B1801" t="str">
        <f>HYPERLINK("https://www.dasschnelle.at/viechtbauer-johann-lambach-bahnhofstraße","Website")</f>
        <v>Website</v>
      </c>
      <c r="C1801" t="str">
        <f>HYPERLINK("http://www.johannviechtbauer.sta.io","Website")</f>
        <v>Website</v>
      </c>
      <c r="D1801" t="str">
        <f>HYPERLINK("http://www.google.com/maps/place/48.09038,13.88396","Location")</f>
        <v>Location</v>
      </c>
      <c r="E1801" t="s">
        <v>16034</v>
      </c>
      <c r="F1801" t="s">
        <v>16035</v>
      </c>
      <c r="G1801" t="s">
        <v>12956</v>
      </c>
      <c r="H1801" t="s">
        <v>12957</v>
      </c>
      <c r="I1801" t="s">
        <v>85</v>
      </c>
      <c r="J1801" t="s">
        <v>22</v>
      </c>
      <c r="K1801" t="s">
        <v>3552</v>
      </c>
      <c r="L1801" t="s">
        <v>16038</v>
      </c>
      <c r="M1801" t="s">
        <v>25</v>
      </c>
      <c r="N1801" t="s">
        <v>16039</v>
      </c>
      <c r="O1801" t="s">
        <v>25</v>
      </c>
      <c r="P1801" t="s">
        <v>16040</v>
      </c>
      <c r="Q1801" t="s">
        <v>29</v>
      </c>
      <c r="R1801" t="s">
        <v>16036</v>
      </c>
      <c r="S1801" t="s">
        <v>16037</v>
      </c>
    </row>
    <row r="1802" spans="1:19" x14ac:dyDescent="0.25">
      <c r="A1802" s="1">
        <v>1800</v>
      </c>
      <c r="B1802" t="str">
        <f>HYPERLINK("https://www.dasschnelle.at/heidl-alexander-gunskirchen-fernreith","Website")</f>
        <v>Website</v>
      </c>
      <c r="C1802" t="str">
        <f>HYPERLINK("http://www.holzhof-heidl.at","Website")</f>
        <v>Website</v>
      </c>
      <c r="D1802" t="str">
        <f>HYPERLINK("http://www.google.com/maps/place/48.1736300,13.9478100","Location")</f>
        <v>Location</v>
      </c>
      <c r="E1802" t="s">
        <v>16041</v>
      </c>
      <c r="F1802" t="s">
        <v>16042</v>
      </c>
      <c r="G1802" t="s">
        <v>4780</v>
      </c>
      <c r="H1802" t="s">
        <v>4781</v>
      </c>
      <c r="I1802" t="s">
        <v>85</v>
      </c>
      <c r="J1802" t="s">
        <v>22</v>
      </c>
      <c r="K1802" t="s">
        <v>16043</v>
      </c>
      <c r="L1802" t="s">
        <v>16046</v>
      </c>
      <c r="M1802" t="s">
        <v>25</v>
      </c>
      <c r="N1802" t="s">
        <v>16047</v>
      </c>
      <c r="O1802" t="s">
        <v>16048</v>
      </c>
      <c r="P1802" t="s">
        <v>16049</v>
      </c>
      <c r="Q1802" t="s">
        <v>29</v>
      </c>
      <c r="R1802" t="s">
        <v>16044</v>
      </c>
      <c r="S1802" t="s">
        <v>16045</v>
      </c>
    </row>
    <row r="1803" spans="1:19" x14ac:dyDescent="0.25">
      <c r="A1803" s="1">
        <v>1801</v>
      </c>
      <c r="B1803" t="str">
        <f>HYPERLINK("https://www.dasschnelle.at/weisshaupt-folientechnik-gmbh-pichl-bei-wels-holzhäuser","Website")</f>
        <v>Website</v>
      </c>
      <c r="C1803" t="str">
        <f>HYPERLINK("http://www.weisshaupt.at","Website")</f>
        <v>Website</v>
      </c>
      <c r="D1803" t="str">
        <f>HYPERLINK("http://www.google.com/maps/place/48.1683141,13.8945868","Location")</f>
        <v>Location</v>
      </c>
      <c r="E1803" t="s">
        <v>16050</v>
      </c>
      <c r="F1803" t="s">
        <v>16051</v>
      </c>
      <c r="G1803" t="s">
        <v>16053</v>
      </c>
      <c r="H1803" t="s">
        <v>16054</v>
      </c>
      <c r="I1803" t="s">
        <v>85</v>
      </c>
      <c r="J1803" t="s">
        <v>22</v>
      </c>
      <c r="K1803" t="s">
        <v>16052</v>
      </c>
      <c r="L1803" t="s">
        <v>16057</v>
      </c>
      <c r="M1803" t="s">
        <v>25</v>
      </c>
      <c r="N1803" t="s">
        <v>16058</v>
      </c>
      <c r="O1803" t="s">
        <v>25</v>
      </c>
      <c r="P1803" t="s">
        <v>16059</v>
      </c>
      <c r="Q1803" t="s">
        <v>29</v>
      </c>
      <c r="R1803" t="s">
        <v>16055</v>
      </c>
      <c r="S1803" t="s">
        <v>16056</v>
      </c>
    </row>
    <row r="1804" spans="1:19" x14ac:dyDescent="0.25">
      <c r="A1804" s="1">
        <v>1802</v>
      </c>
      <c r="B1804" t="str">
        <f>HYPERLINK("https://www.dasschnelle.at/pumberger-josef-gunskirchen-bahnhofstraße","Website")</f>
        <v>Website</v>
      </c>
      <c r="C1804" t="str">
        <f>HYPERLINK("https://www.dasschnelle.at/pumberger-josef-gunskirchen-bahnhofstra%C3%9Fe","Website")</f>
        <v>Website</v>
      </c>
      <c r="D1804" t="str">
        <f>HYPERLINK("http://www.google.com/maps/place/48.13411,13.94345","Location")</f>
        <v>Location</v>
      </c>
      <c r="E1804" t="s">
        <v>16060</v>
      </c>
      <c r="F1804" t="s">
        <v>16061</v>
      </c>
      <c r="G1804" t="s">
        <v>4780</v>
      </c>
      <c r="H1804" t="s">
        <v>4781</v>
      </c>
      <c r="I1804" t="s">
        <v>85</v>
      </c>
      <c r="J1804" t="s">
        <v>22</v>
      </c>
      <c r="K1804" t="s">
        <v>10655</v>
      </c>
      <c r="L1804" t="s">
        <v>16064</v>
      </c>
      <c r="M1804" t="s">
        <v>25</v>
      </c>
      <c r="N1804" t="s">
        <v>16065</v>
      </c>
      <c r="O1804" t="s">
        <v>25</v>
      </c>
      <c r="P1804" t="s">
        <v>16066</v>
      </c>
      <c r="Q1804" t="s">
        <v>29</v>
      </c>
      <c r="R1804" t="s">
        <v>16062</v>
      </c>
      <c r="S1804" t="s">
        <v>16063</v>
      </c>
    </row>
    <row r="1805" spans="1:19" x14ac:dyDescent="0.25">
      <c r="A1805" s="1">
        <v>1803</v>
      </c>
      <c r="B1805" t="str">
        <f>HYPERLINK("https://www.dasschnelle.at/grohsmann-christian-dr-med-bad-ischl-wiesingerstraße","Website")</f>
        <v>Website</v>
      </c>
      <c r="C1805" t="str">
        <f>HYPERLINK("http://www.augenarzt-grohsmann.at","Website")</f>
        <v>Website</v>
      </c>
      <c r="D1805" t="str">
        <f>HYPERLINK("http://www.google.com/maps/place/47.71238,13.61847","Location")</f>
        <v>Location</v>
      </c>
      <c r="E1805" t="s">
        <v>16067</v>
      </c>
      <c r="F1805" t="s">
        <v>16068</v>
      </c>
      <c r="G1805" t="s">
        <v>2377</v>
      </c>
      <c r="H1805" t="s">
        <v>2378</v>
      </c>
      <c r="I1805" t="s">
        <v>85</v>
      </c>
      <c r="J1805" t="s">
        <v>22</v>
      </c>
      <c r="K1805" t="s">
        <v>16069</v>
      </c>
      <c r="L1805" t="s">
        <v>16071</v>
      </c>
      <c r="M1805" t="s">
        <v>25</v>
      </c>
      <c r="N1805" t="s">
        <v>16072</v>
      </c>
      <c r="O1805" t="s">
        <v>25</v>
      </c>
      <c r="P1805" t="s">
        <v>16073</v>
      </c>
      <c r="Q1805" t="s">
        <v>29</v>
      </c>
      <c r="R1805" t="s">
        <v>16070</v>
      </c>
      <c r="S1805" t="s">
        <v>2438</v>
      </c>
    </row>
    <row r="1806" spans="1:19" x14ac:dyDescent="0.25">
      <c r="A1806" s="1">
        <v>1804</v>
      </c>
      <c r="B1806" t="str">
        <f>HYPERLINK("https://www.dasschnelle.at/plass-barbara-mag-bad-ischl-salzburger-straße","Website")</f>
        <v>Website</v>
      </c>
      <c r="C1806" t="str">
        <f>HYPERLINK("http://www.marien-apotheke.co.at","Website")</f>
        <v>Website</v>
      </c>
      <c r="D1806" t="str">
        <f>HYPERLINK("http://www.google.com/maps/place/47.71553,13.56853","Location")</f>
        <v>Location</v>
      </c>
      <c r="E1806" t="s">
        <v>16074</v>
      </c>
      <c r="F1806" t="s">
        <v>16075</v>
      </c>
      <c r="G1806" t="s">
        <v>2377</v>
      </c>
      <c r="H1806" t="s">
        <v>2378</v>
      </c>
      <c r="I1806" t="s">
        <v>85</v>
      </c>
      <c r="J1806" t="s">
        <v>22</v>
      </c>
      <c r="K1806" t="s">
        <v>16076</v>
      </c>
      <c r="L1806" t="s">
        <v>16077</v>
      </c>
      <c r="M1806" t="s">
        <v>25</v>
      </c>
      <c r="N1806" t="s">
        <v>16078</v>
      </c>
      <c r="O1806" t="s">
        <v>16079</v>
      </c>
      <c r="P1806" t="s">
        <v>16080</v>
      </c>
      <c r="Q1806" t="s">
        <v>29</v>
      </c>
      <c r="R1806" t="s">
        <v>2379</v>
      </c>
      <c r="S1806" t="s">
        <v>2380</v>
      </c>
    </row>
    <row r="1807" spans="1:19" x14ac:dyDescent="0.25">
      <c r="A1807" s="1">
        <v>1805</v>
      </c>
      <c r="B1807" t="str">
        <f>HYPERLINK("https://www.dasschnelle.at/zöllner-kai-dr-elbigenalp-dorf","Website")</f>
        <v>Website</v>
      </c>
      <c r="C1807" t="str">
        <f>HYPERLINK("http://www.dr-zoellner.de","Website")</f>
        <v>Website</v>
      </c>
      <c r="D1807" t="str">
        <f>HYPERLINK("http://www.google.com/maps/place/47.29058,10.43737","Location")</f>
        <v>Location</v>
      </c>
      <c r="E1807" t="s">
        <v>16081</v>
      </c>
      <c r="F1807" t="s">
        <v>16082</v>
      </c>
      <c r="G1807" t="s">
        <v>6815</v>
      </c>
      <c r="H1807" t="s">
        <v>6816</v>
      </c>
      <c r="I1807" t="s">
        <v>21</v>
      </c>
      <c r="J1807" t="s">
        <v>22</v>
      </c>
      <c r="K1807" t="s">
        <v>16083</v>
      </c>
      <c r="L1807" t="s">
        <v>16084</v>
      </c>
      <c r="M1807" t="s">
        <v>25</v>
      </c>
      <c r="N1807" t="s">
        <v>16085</v>
      </c>
      <c r="O1807" t="s">
        <v>25</v>
      </c>
      <c r="P1807" t="s">
        <v>16086</v>
      </c>
      <c r="Q1807" t="s">
        <v>29</v>
      </c>
      <c r="R1807" t="s">
        <v>6817</v>
      </c>
      <c r="S1807" t="s">
        <v>6818</v>
      </c>
    </row>
    <row r="1808" spans="1:19" x14ac:dyDescent="0.25">
      <c r="A1808" s="1">
        <v>1806</v>
      </c>
      <c r="B1808" t="str">
        <f>HYPERLINK("https://www.dasschnelle.at/kremser-fiaker-rohrendorf-neuweidlingerstrasse","Website")</f>
        <v>Website</v>
      </c>
      <c r="C1808" t="str">
        <f>HYPERLINK("http://www.fiaker-krems.at;http://www.fiaker.wedding","Website")</f>
        <v>Website</v>
      </c>
      <c r="D1808" t="str">
        <f>HYPERLINK("http://www.google.com/maps/place/48.4143534,15.6685275","Location")</f>
        <v>Location</v>
      </c>
      <c r="E1808" t="s">
        <v>16087</v>
      </c>
      <c r="F1808" t="s">
        <v>16088</v>
      </c>
      <c r="G1808" t="s">
        <v>16090</v>
      </c>
      <c r="H1808" t="s">
        <v>16091</v>
      </c>
      <c r="I1808" t="s">
        <v>177</v>
      </c>
      <c r="J1808" t="s">
        <v>22</v>
      </c>
      <c r="K1808" t="s">
        <v>16089</v>
      </c>
      <c r="L1808" t="s">
        <v>16094</v>
      </c>
      <c r="M1808" t="s">
        <v>25</v>
      </c>
      <c r="N1808" t="s">
        <v>16095</v>
      </c>
      <c r="O1808" t="s">
        <v>25</v>
      </c>
      <c r="P1808" t="s">
        <v>697</v>
      </c>
      <c r="Q1808" t="s">
        <v>29</v>
      </c>
      <c r="R1808" t="s">
        <v>16092</v>
      </c>
      <c r="S1808" t="s">
        <v>16093</v>
      </c>
    </row>
    <row r="1809" spans="1:19" x14ac:dyDescent="0.25">
      <c r="A1809" s="1">
        <v>1807</v>
      </c>
      <c r="B1809" t="str">
        <f>HYPERLINK("https://www.dasschnelle.at/frager-karl-siegfrid-völkermarkt-st-peter-zeckrestraße","Website")</f>
        <v>Website</v>
      </c>
      <c r="C1809" t="str">
        <f>HYPERLINK("http://www.fragerdach.at","Website")</f>
        <v>Website</v>
      </c>
      <c r="D1809" t="str">
        <f>HYPERLINK("http://www.google.com/maps/place/46.65885,14.69359","Location")</f>
        <v>Location</v>
      </c>
      <c r="E1809" t="s">
        <v>16096</v>
      </c>
      <c r="F1809" t="s">
        <v>16097</v>
      </c>
      <c r="G1809" t="s">
        <v>5079</v>
      </c>
      <c r="H1809" t="s">
        <v>5080</v>
      </c>
      <c r="I1809" t="s">
        <v>4130</v>
      </c>
      <c r="J1809" t="s">
        <v>22</v>
      </c>
      <c r="K1809" t="s">
        <v>16098</v>
      </c>
      <c r="L1809" t="s">
        <v>16101</v>
      </c>
      <c r="M1809" t="s">
        <v>25</v>
      </c>
      <c r="N1809" t="s">
        <v>16102</v>
      </c>
      <c r="O1809" t="s">
        <v>16103</v>
      </c>
      <c r="P1809" t="s">
        <v>16104</v>
      </c>
      <c r="Q1809" t="s">
        <v>29</v>
      </c>
      <c r="R1809" t="s">
        <v>16099</v>
      </c>
      <c r="S1809" t="s">
        <v>16100</v>
      </c>
    </row>
    <row r="1810" spans="1:19" x14ac:dyDescent="0.25">
      <c r="A1810" s="1">
        <v>1808</v>
      </c>
      <c r="B1810" t="str">
        <f>HYPERLINK("https://www.dasschnelle.at/kropp-erwin-ruden-dobrowa","Website")</f>
        <v>Website</v>
      </c>
      <c r="C1810" t="str">
        <f>HYPERLINK("http://www.saegewerk-kropp.at","Website")</f>
        <v>Website</v>
      </c>
      <c r="D1810" t="str">
        <f>HYPERLINK("http://www.google.com/maps/place/46.6522589,14.7696181","Location")</f>
        <v>Location</v>
      </c>
      <c r="E1810" t="s">
        <v>16105</v>
      </c>
      <c r="F1810" t="s">
        <v>16106</v>
      </c>
      <c r="G1810" t="s">
        <v>16108</v>
      </c>
      <c r="H1810" t="s">
        <v>16109</v>
      </c>
      <c r="I1810" t="s">
        <v>4130</v>
      </c>
      <c r="J1810" t="s">
        <v>22</v>
      </c>
      <c r="K1810" t="s">
        <v>16107</v>
      </c>
      <c r="L1810" t="s">
        <v>16112</v>
      </c>
      <c r="M1810" t="s">
        <v>25</v>
      </c>
      <c r="N1810" t="s">
        <v>16113</v>
      </c>
      <c r="O1810" t="s">
        <v>25</v>
      </c>
      <c r="P1810" t="s">
        <v>16114</v>
      </c>
      <c r="Q1810" t="s">
        <v>29</v>
      </c>
      <c r="R1810" t="s">
        <v>16110</v>
      </c>
      <c r="S1810" t="s">
        <v>16111</v>
      </c>
    </row>
    <row r="1811" spans="1:19" x14ac:dyDescent="0.25">
      <c r="A1811" s="1">
        <v>1809</v>
      </c>
      <c r="B1811" t="str">
        <f>HYPERLINK("https://www.dasschnelle.at/riepl-christian-völkermarkt-krenobitsch","Website")</f>
        <v>Website</v>
      </c>
      <c r="C1811" t="str">
        <f>HYPERLINK("http://www.hydraulik-schlosserei-riepl.at","Website")</f>
        <v>Website</v>
      </c>
      <c r="D1811" t="str">
        <f>HYPERLINK("http://www.google.com/maps/place/46.6603472,14.5812537","Location")</f>
        <v>Location</v>
      </c>
      <c r="E1811" t="s">
        <v>16115</v>
      </c>
      <c r="F1811" t="s">
        <v>16116</v>
      </c>
      <c r="G1811" t="s">
        <v>5079</v>
      </c>
      <c r="H1811" t="s">
        <v>5080</v>
      </c>
      <c r="I1811" t="s">
        <v>4130</v>
      </c>
      <c r="J1811" t="s">
        <v>22</v>
      </c>
      <c r="K1811" t="s">
        <v>16117</v>
      </c>
      <c r="L1811" t="s">
        <v>16120</v>
      </c>
      <c r="M1811" t="s">
        <v>25</v>
      </c>
      <c r="N1811" t="s">
        <v>16121</v>
      </c>
      <c r="O1811" t="s">
        <v>16122</v>
      </c>
      <c r="P1811" t="s">
        <v>16123</v>
      </c>
      <c r="Q1811" t="s">
        <v>29</v>
      </c>
      <c r="R1811" t="s">
        <v>16118</v>
      </c>
      <c r="S1811" t="s">
        <v>16119</v>
      </c>
    </row>
    <row r="1812" spans="1:19" x14ac:dyDescent="0.25">
      <c r="A1812" s="1">
        <v>1810</v>
      </c>
      <c r="B1812" t="str">
        <f>HYPERLINK("https://www.dasschnelle.at/konrad-f-gmbh-weitersfeld-an-der-mur-weitersfeld-an-der-mur","Website")</f>
        <v>Website</v>
      </c>
      <c r="C1812" t="str">
        <f>HYPERLINK("http://www.maler-konrad.at","Website")</f>
        <v>Website</v>
      </c>
      <c r="D1812" t="str">
        <f>HYPERLINK("http://www.google.com/maps/place/46.7276868,15.6236052","Location")</f>
        <v>Location</v>
      </c>
      <c r="E1812" t="s">
        <v>16124</v>
      </c>
      <c r="F1812" t="s">
        <v>16125</v>
      </c>
      <c r="G1812" t="s">
        <v>16127</v>
      </c>
      <c r="H1812" t="s">
        <v>16128</v>
      </c>
      <c r="I1812" t="s">
        <v>451</v>
      </c>
      <c r="J1812" t="s">
        <v>22</v>
      </c>
      <c r="K1812" t="s">
        <v>16126</v>
      </c>
      <c r="L1812" t="s">
        <v>16131</v>
      </c>
      <c r="M1812" t="s">
        <v>25</v>
      </c>
      <c r="N1812" t="s">
        <v>16132</v>
      </c>
      <c r="O1812" t="s">
        <v>25</v>
      </c>
      <c r="P1812" t="s">
        <v>16133</v>
      </c>
      <c r="Q1812" t="s">
        <v>29</v>
      </c>
      <c r="R1812" t="s">
        <v>16129</v>
      </c>
      <c r="S1812" t="s">
        <v>16130</v>
      </c>
    </row>
    <row r="1813" spans="1:19" x14ac:dyDescent="0.25">
      <c r="A1813" s="1">
        <v>1811</v>
      </c>
      <c r="B1813" t="str">
        <f>HYPERLINK("https://www.dasschnelle.at/holzbau-pamper-gmbh-bad-radkersburg-pridahof","Website")</f>
        <v>Website</v>
      </c>
      <c r="C1813" t="str">
        <f>HYPERLINK("https://www.dasschnelle.at/holzbau-pamper-gmbh-bad-radkersburg-pridahof","Website")</f>
        <v>Website</v>
      </c>
      <c r="D1813" t="str">
        <f>HYPERLINK("http://www.google.com/maps/place/46.7200226,15.9803721","Location")</f>
        <v>Location</v>
      </c>
      <c r="E1813" t="s">
        <v>16134</v>
      </c>
      <c r="F1813" t="s">
        <v>16135</v>
      </c>
      <c r="G1813" t="s">
        <v>11773</v>
      </c>
      <c r="H1813" t="s">
        <v>11791</v>
      </c>
      <c r="I1813" t="s">
        <v>451</v>
      </c>
      <c r="J1813" t="s">
        <v>22</v>
      </c>
      <c r="K1813" t="s">
        <v>16136</v>
      </c>
      <c r="L1813" t="s">
        <v>16139</v>
      </c>
      <c r="M1813" t="s">
        <v>25</v>
      </c>
      <c r="N1813" t="s">
        <v>16140</v>
      </c>
      <c r="O1813" t="s">
        <v>25</v>
      </c>
      <c r="P1813" t="s">
        <v>16141</v>
      </c>
      <c r="Q1813" t="s">
        <v>29</v>
      </c>
      <c r="R1813" t="s">
        <v>16137</v>
      </c>
      <c r="S1813" t="s">
        <v>16138</v>
      </c>
    </row>
    <row r="1814" spans="1:19" x14ac:dyDescent="0.25">
      <c r="A1814" s="1">
        <v>1812</v>
      </c>
      <c r="B1814" t="str">
        <f>HYPERLINK("https://www.dasschnelle.at/praßl-franz-mureck-eichfelder-straße","Website")</f>
        <v>Website</v>
      </c>
      <c r="C1814" t="str">
        <f>HYPERLINK("http://www.autohaus-prassl.at","Website")</f>
        <v>Website</v>
      </c>
      <c r="D1814" t="str">
        <f>HYPERLINK("http://www.google.com/maps/place/46.71239,15.76912","Location")</f>
        <v>Location</v>
      </c>
      <c r="E1814" t="s">
        <v>16142</v>
      </c>
      <c r="F1814" t="s">
        <v>16143</v>
      </c>
      <c r="G1814" t="s">
        <v>11727</v>
      </c>
      <c r="H1814" t="s">
        <v>11728</v>
      </c>
      <c r="I1814" t="s">
        <v>451</v>
      </c>
      <c r="J1814" t="s">
        <v>22</v>
      </c>
      <c r="K1814" t="s">
        <v>16144</v>
      </c>
      <c r="L1814" t="s">
        <v>16147</v>
      </c>
      <c r="M1814" t="s">
        <v>25</v>
      </c>
      <c r="N1814" t="s">
        <v>16148</v>
      </c>
      <c r="O1814" t="s">
        <v>25</v>
      </c>
      <c r="P1814" t="s">
        <v>16149</v>
      </c>
      <c r="Q1814" t="s">
        <v>29</v>
      </c>
      <c r="R1814" t="s">
        <v>16145</v>
      </c>
      <c r="S1814" t="s">
        <v>16146</v>
      </c>
    </row>
    <row r="1815" spans="1:19" x14ac:dyDescent="0.25">
      <c r="A1815" s="1">
        <v>1813</v>
      </c>
      <c r="B1815" t="str">
        <f>HYPERLINK("https://www.dasschnelle.at/somweber-dr-dental-management-gmbh-höfen-gewerbegebiet","Website")</f>
        <v>Website</v>
      </c>
      <c r="C1815" t="str">
        <f>HYPERLINK("http://www.somweber.cc","Website")</f>
        <v>Website</v>
      </c>
      <c r="D1815" t="str">
        <f>HYPERLINK("http://www.google.com/maps/place/47.46504,10.68085","Location")</f>
        <v>Location</v>
      </c>
      <c r="E1815" t="s">
        <v>16150</v>
      </c>
      <c r="F1815" t="s">
        <v>16151</v>
      </c>
      <c r="G1815" t="s">
        <v>6854</v>
      </c>
      <c r="H1815" t="s">
        <v>6855</v>
      </c>
      <c r="I1815" t="s">
        <v>21</v>
      </c>
      <c r="J1815" t="s">
        <v>22</v>
      </c>
      <c r="K1815" t="s">
        <v>16152</v>
      </c>
      <c r="L1815" t="s">
        <v>16155</v>
      </c>
      <c r="M1815" t="s">
        <v>25</v>
      </c>
      <c r="N1815" t="s">
        <v>16156</v>
      </c>
      <c r="O1815" t="s">
        <v>25</v>
      </c>
      <c r="P1815" t="s">
        <v>16157</v>
      </c>
      <c r="Q1815" t="s">
        <v>29</v>
      </c>
      <c r="R1815" t="s">
        <v>16153</v>
      </c>
      <c r="S1815" t="s">
        <v>16154</v>
      </c>
    </row>
    <row r="1816" spans="1:19" x14ac:dyDescent="0.25">
      <c r="A1816" s="1">
        <v>1814</v>
      </c>
      <c r="B1816" t="str">
        <f>HYPERLINK("https://www.dasschnelle.at/pilz-hohenegg-agnes-ehrwald-große-gasse","Website")</f>
        <v>Website</v>
      </c>
      <c r="C1816" t="str">
        <f>HYPERLINK("http://www.therapie-ehrwald.at","Website")</f>
        <v>Website</v>
      </c>
      <c r="D1816" t="str">
        <f>HYPERLINK("http://www.google.com/maps/place/47.40879,10.91845","Location")</f>
        <v>Location</v>
      </c>
      <c r="E1816" t="s">
        <v>16158</v>
      </c>
      <c r="F1816" t="s">
        <v>16159</v>
      </c>
      <c r="G1816" t="s">
        <v>14930</v>
      </c>
      <c r="H1816" t="s">
        <v>14931</v>
      </c>
      <c r="I1816" t="s">
        <v>21</v>
      </c>
      <c r="J1816" t="s">
        <v>22</v>
      </c>
      <c r="K1816" t="s">
        <v>16160</v>
      </c>
      <c r="L1816" t="s">
        <v>16163</v>
      </c>
      <c r="M1816" t="s">
        <v>25</v>
      </c>
      <c r="N1816" t="s">
        <v>16164</v>
      </c>
      <c r="O1816" t="s">
        <v>25</v>
      </c>
      <c r="P1816" t="s">
        <v>16165</v>
      </c>
      <c r="Q1816" t="s">
        <v>29</v>
      </c>
      <c r="R1816" t="s">
        <v>16161</v>
      </c>
      <c r="S1816" t="s">
        <v>16162</v>
      </c>
    </row>
    <row r="1817" spans="1:19" x14ac:dyDescent="0.25">
      <c r="A1817" s="1">
        <v>1815</v>
      </c>
      <c r="B1817" t="str">
        <f>HYPERLINK("https://www.dasschnelle.at/jm-wohndesign-wildermieming-gewerbegebiet","Website")</f>
        <v>Website</v>
      </c>
      <c r="C1817" t="str">
        <f>HYPERLINK("http://www.jm-wohndesign.com","Website")</f>
        <v>Website</v>
      </c>
      <c r="D1817" t="str">
        <f>HYPERLINK("http://www.google.com/maps/place/47.3125218,11.0076638","Location")</f>
        <v>Location</v>
      </c>
      <c r="E1817" t="s">
        <v>16166</v>
      </c>
      <c r="F1817" t="s">
        <v>16167</v>
      </c>
      <c r="G1817" t="s">
        <v>16169</v>
      </c>
      <c r="H1817" t="s">
        <v>16170</v>
      </c>
      <c r="I1817" t="s">
        <v>21</v>
      </c>
      <c r="J1817" t="s">
        <v>22</v>
      </c>
      <c r="K1817" t="s">
        <v>16168</v>
      </c>
      <c r="L1817" t="s">
        <v>16173</v>
      </c>
      <c r="M1817" t="s">
        <v>25</v>
      </c>
      <c r="N1817" t="s">
        <v>16174</v>
      </c>
      <c r="O1817" t="s">
        <v>25</v>
      </c>
      <c r="P1817" t="s">
        <v>16175</v>
      </c>
      <c r="Q1817" t="s">
        <v>29</v>
      </c>
      <c r="R1817" t="s">
        <v>16171</v>
      </c>
      <c r="S1817" t="s">
        <v>16172</v>
      </c>
    </row>
    <row r="1818" spans="1:19" x14ac:dyDescent="0.25">
      <c r="A1818" s="1">
        <v>1816</v>
      </c>
      <c r="B1818" t="str">
        <f>HYPERLINK("https://www.dasschnelle.at/elbe-gerald-globasnitz-wackendorf","Website")</f>
        <v>Website</v>
      </c>
      <c r="C1818" t="str">
        <f>HYPERLINK("http://www.fliesen-elbe-business.site","Website")</f>
        <v>Website</v>
      </c>
      <c r="D1818" t="str">
        <f>HYPERLINK("http://www.google.com/maps/place/46.5559340,14.7220016","Location")</f>
        <v>Location</v>
      </c>
      <c r="E1818" t="s">
        <v>16176</v>
      </c>
      <c r="F1818" t="s">
        <v>16177</v>
      </c>
      <c r="G1818" t="s">
        <v>16179</v>
      </c>
      <c r="H1818" t="s">
        <v>16180</v>
      </c>
      <c r="I1818" t="s">
        <v>4130</v>
      </c>
      <c r="J1818" t="s">
        <v>22</v>
      </c>
      <c r="K1818" t="s">
        <v>16178</v>
      </c>
      <c r="L1818" t="s">
        <v>16183</v>
      </c>
      <c r="M1818" t="s">
        <v>25</v>
      </c>
      <c r="N1818" t="s">
        <v>16184</v>
      </c>
      <c r="O1818" t="s">
        <v>16185</v>
      </c>
      <c r="P1818" t="s">
        <v>16186</v>
      </c>
      <c r="Q1818" t="s">
        <v>29</v>
      </c>
      <c r="R1818" t="s">
        <v>16181</v>
      </c>
      <c r="S1818" t="s">
        <v>16182</v>
      </c>
    </row>
    <row r="1819" spans="1:19" x14ac:dyDescent="0.25">
      <c r="A1819" s="1">
        <v>1817</v>
      </c>
      <c r="B1819" t="str">
        <f>HYPERLINK("https://www.dasschnelle.at/gregoric-markus-globasnitz-kleindorf","Website")</f>
        <v>Website</v>
      </c>
      <c r="C1819" t="str">
        <f>HYPERLINK("http://www.solarmark.at","Website")</f>
        <v>Website</v>
      </c>
      <c r="D1819" t="str">
        <f>HYPERLINK("http://www.google.com/maps/place/46.5651123,14.7060320","Location")</f>
        <v>Location</v>
      </c>
      <c r="E1819" t="s">
        <v>16187</v>
      </c>
      <c r="F1819" t="s">
        <v>16188</v>
      </c>
      <c r="G1819" t="s">
        <v>16179</v>
      </c>
      <c r="H1819" t="s">
        <v>16180</v>
      </c>
      <c r="I1819" t="s">
        <v>4130</v>
      </c>
      <c r="J1819" t="s">
        <v>22</v>
      </c>
      <c r="K1819" t="s">
        <v>16189</v>
      </c>
      <c r="L1819" t="s">
        <v>16192</v>
      </c>
      <c r="M1819" t="s">
        <v>25</v>
      </c>
      <c r="N1819" t="s">
        <v>16193</v>
      </c>
      <c r="O1819" t="s">
        <v>16194</v>
      </c>
      <c r="P1819" t="s">
        <v>16195</v>
      </c>
      <c r="Q1819" t="s">
        <v>29</v>
      </c>
      <c r="R1819" t="s">
        <v>16190</v>
      </c>
      <c r="S1819" t="s">
        <v>16191</v>
      </c>
    </row>
    <row r="1820" spans="1:19" x14ac:dyDescent="0.25">
      <c r="A1820" s="1">
        <v>1818</v>
      </c>
      <c r="B1820" t="str">
        <f>HYPERLINK("https://www.dasschnelle.at/jk-dach-gmbh-und-co-kg-st-kanzian-am-klopeiner-see-littermooser-weg","Website")</f>
        <v>Website</v>
      </c>
      <c r="C1820" t="str">
        <f>HYPERLINK("http://www.jkdach.com","Website")</f>
        <v>Website</v>
      </c>
      <c r="D1820" t="str">
        <f>HYPERLINK("http://www.google.com/maps/place/46.61003,14.54443","Location")</f>
        <v>Location</v>
      </c>
      <c r="E1820" t="s">
        <v>16196</v>
      </c>
      <c r="F1820" t="s">
        <v>16197</v>
      </c>
      <c r="G1820" t="s">
        <v>5188</v>
      </c>
      <c r="H1820" t="s">
        <v>5189</v>
      </c>
      <c r="I1820" t="s">
        <v>4130</v>
      </c>
      <c r="J1820" t="s">
        <v>22</v>
      </c>
      <c r="K1820" t="s">
        <v>16198</v>
      </c>
      <c r="L1820" t="s">
        <v>16201</v>
      </c>
      <c r="M1820" t="s">
        <v>16202</v>
      </c>
      <c r="N1820" t="s">
        <v>16203</v>
      </c>
      <c r="O1820" t="s">
        <v>25</v>
      </c>
      <c r="P1820" t="s">
        <v>16204</v>
      </c>
      <c r="Q1820" t="s">
        <v>29</v>
      </c>
      <c r="R1820" t="s">
        <v>16199</v>
      </c>
      <c r="S1820" t="s">
        <v>16200</v>
      </c>
    </row>
    <row r="1821" spans="1:19" x14ac:dyDescent="0.25">
      <c r="A1821" s="1">
        <v>1819</v>
      </c>
      <c r="B1821" t="str">
        <f>HYPERLINK("https://www.dasschnelle.at/potzinger-neubauer-gartenbau-halbenrain-halbenrain","Website")</f>
        <v>Website</v>
      </c>
      <c r="C1821" t="str">
        <f>HYPERLINK("https://www.dasschnelle.at/potzinger-neubauer-gartenbau-halbenrain-halbenrain","Website")</f>
        <v>Website</v>
      </c>
      <c r="D1821" t="str">
        <f>HYPERLINK("http://www.google.com/maps/place/46.7150362,15.9492346","Location")</f>
        <v>Location</v>
      </c>
      <c r="E1821" t="s">
        <v>16205</v>
      </c>
      <c r="F1821" t="s">
        <v>16206</v>
      </c>
      <c r="G1821" t="s">
        <v>16208</v>
      </c>
      <c r="H1821" t="s">
        <v>16209</v>
      </c>
      <c r="I1821" t="s">
        <v>451</v>
      </c>
      <c r="J1821" t="s">
        <v>22</v>
      </c>
      <c r="K1821" t="s">
        <v>16207</v>
      </c>
      <c r="L1821" t="s">
        <v>16212</v>
      </c>
      <c r="M1821" t="s">
        <v>16213</v>
      </c>
      <c r="N1821" t="s">
        <v>16214</v>
      </c>
      <c r="O1821" t="s">
        <v>16215</v>
      </c>
      <c r="P1821" t="s">
        <v>16216</v>
      </c>
      <c r="Q1821" t="s">
        <v>29</v>
      </c>
      <c r="R1821" t="s">
        <v>16210</v>
      </c>
      <c r="S1821" t="s">
        <v>16211</v>
      </c>
    </row>
    <row r="1822" spans="1:19" x14ac:dyDescent="0.25">
      <c r="A1822" s="1">
        <v>1820</v>
      </c>
      <c r="B1822" t="str">
        <f>HYPERLINK("https://www.dasschnelle.at/trummer-gmbh-bad-radkersburg-pridahof","Website")</f>
        <v>Website</v>
      </c>
      <c r="C1822" t="str">
        <f>HYPERLINK("http://www.trummerbau.at","Website")</f>
        <v>Website</v>
      </c>
      <c r="D1822" t="str">
        <f>HYPERLINK("http://www.google.com/maps/place/46.7164887,15.9800980","Location")</f>
        <v>Location</v>
      </c>
      <c r="E1822" t="s">
        <v>16217</v>
      </c>
      <c r="F1822" t="s">
        <v>16218</v>
      </c>
      <c r="G1822" t="s">
        <v>11773</v>
      </c>
      <c r="H1822" t="s">
        <v>11791</v>
      </c>
      <c r="I1822" t="s">
        <v>451</v>
      </c>
      <c r="J1822" t="s">
        <v>22</v>
      </c>
      <c r="K1822" t="s">
        <v>16219</v>
      </c>
      <c r="L1822" t="s">
        <v>16222</v>
      </c>
      <c r="M1822" t="s">
        <v>25</v>
      </c>
      <c r="N1822" t="s">
        <v>16223</v>
      </c>
      <c r="O1822" t="s">
        <v>25</v>
      </c>
      <c r="P1822" t="s">
        <v>16224</v>
      </c>
      <c r="Q1822" t="s">
        <v>29</v>
      </c>
      <c r="R1822" t="s">
        <v>16220</v>
      </c>
      <c r="S1822" t="s">
        <v>16221</v>
      </c>
    </row>
    <row r="1823" spans="1:19" x14ac:dyDescent="0.25">
      <c r="A1823" s="1">
        <v>1821</v>
      </c>
      <c r="B1823" t="str">
        <f>HYPERLINK("https://www.dasschnelle.at/steinhuber-kals-brigitte-mag-bad-ischl-kaltenbachstraße","Website")</f>
        <v>Website</v>
      </c>
      <c r="C1823" t="str">
        <f>HYPERLINK("http://www.st-k.at","Website")</f>
        <v>Website</v>
      </c>
      <c r="D1823" t="str">
        <f>HYPERLINK("http://www.google.com/maps/place/47.70971,13.61819","Location")</f>
        <v>Location</v>
      </c>
      <c r="E1823" t="s">
        <v>16225</v>
      </c>
      <c r="F1823" t="s">
        <v>16226</v>
      </c>
      <c r="G1823" t="s">
        <v>2377</v>
      </c>
      <c r="H1823" t="s">
        <v>2378</v>
      </c>
      <c r="I1823" t="s">
        <v>85</v>
      </c>
      <c r="J1823" t="s">
        <v>22</v>
      </c>
      <c r="K1823" t="s">
        <v>16227</v>
      </c>
      <c r="L1823" t="s">
        <v>16230</v>
      </c>
      <c r="M1823" t="s">
        <v>25</v>
      </c>
      <c r="N1823" t="s">
        <v>16231</v>
      </c>
      <c r="O1823" t="s">
        <v>25</v>
      </c>
      <c r="P1823" t="s">
        <v>16232</v>
      </c>
      <c r="Q1823" t="s">
        <v>29</v>
      </c>
      <c r="R1823" t="s">
        <v>16228</v>
      </c>
      <c r="S1823" t="s">
        <v>16229</v>
      </c>
    </row>
    <row r="1824" spans="1:19" x14ac:dyDescent="0.25">
      <c r="A1824" s="1">
        <v>1822</v>
      </c>
      <c r="B1824" t="str">
        <f>HYPERLINK("https://www.dasschnelle.at/pfefferkorn-peter-dipl-pt-grän-am-kohlbichl","Website")</f>
        <v>Website</v>
      </c>
      <c r="C1824" t="str">
        <f>HYPERLINK("http://www.pfefferkorn.tirol","Website")</f>
        <v>Website</v>
      </c>
      <c r="D1824" t="str">
        <f>HYPERLINK("http://www.google.com/maps/place/47.49857,10.55394","Location")</f>
        <v>Location</v>
      </c>
      <c r="E1824" t="s">
        <v>16233</v>
      </c>
      <c r="F1824" t="s">
        <v>16234</v>
      </c>
      <c r="G1824" t="s">
        <v>16236</v>
      </c>
      <c r="H1824" t="s">
        <v>16237</v>
      </c>
      <c r="I1824" t="s">
        <v>21</v>
      </c>
      <c r="J1824" t="s">
        <v>22</v>
      </c>
      <c r="K1824" t="s">
        <v>16235</v>
      </c>
      <c r="L1824" t="s">
        <v>16240</v>
      </c>
      <c r="M1824" t="s">
        <v>25</v>
      </c>
      <c r="N1824" t="s">
        <v>16241</v>
      </c>
      <c r="O1824" t="s">
        <v>25</v>
      </c>
      <c r="P1824" t="s">
        <v>16242</v>
      </c>
      <c r="Q1824" t="s">
        <v>29</v>
      </c>
      <c r="R1824" t="s">
        <v>16238</v>
      </c>
      <c r="S1824" t="s">
        <v>16239</v>
      </c>
    </row>
    <row r="1825" spans="1:19" x14ac:dyDescent="0.25">
      <c r="A1825" s="1">
        <v>1823</v>
      </c>
      <c r="B1825" t="str">
        <f>HYPERLINK("https://www.dasschnelle.at/may-bettina-dr-med-vet-sommerein-markt","Website")</f>
        <v>Website</v>
      </c>
      <c r="C1825" t="str">
        <f>HYPERLINK("http://www.tierarzt-sommerein.at","Website")</f>
        <v>Website</v>
      </c>
      <c r="D1825" t="str">
        <f>HYPERLINK("http://www.google.com/maps/place/47.98216,16.6545","Location")</f>
        <v>Location</v>
      </c>
      <c r="E1825" t="s">
        <v>16243</v>
      </c>
      <c r="F1825" t="s">
        <v>16244</v>
      </c>
      <c r="G1825" t="s">
        <v>16246</v>
      </c>
      <c r="H1825" t="s">
        <v>16247</v>
      </c>
      <c r="I1825" t="s">
        <v>177</v>
      </c>
      <c r="J1825" t="s">
        <v>22</v>
      </c>
      <c r="K1825" t="s">
        <v>16245</v>
      </c>
      <c r="L1825" t="s">
        <v>16250</v>
      </c>
      <c r="M1825" t="s">
        <v>25</v>
      </c>
      <c r="N1825" t="s">
        <v>16251</v>
      </c>
      <c r="O1825" t="s">
        <v>25</v>
      </c>
      <c r="P1825" t="s">
        <v>16252</v>
      </c>
      <c r="Q1825" t="s">
        <v>29</v>
      </c>
      <c r="R1825" t="s">
        <v>16248</v>
      </c>
      <c r="S1825" t="s">
        <v>16249</v>
      </c>
    </row>
    <row r="1826" spans="1:19" x14ac:dyDescent="0.25">
      <c r="A1826" s="1">
        <v>1824</v>
      </c>
      <c r="B1826" t="str">
        <f>HYPERLINK("https://www.dasschnelle.at/elektro-lafer-gmbh-mureck-grazer-straße","Website")</f>
        <v>Website</v>
      </c>
      <c r="C1826" t="str">
        <f>HYPERLINK("http://www.elektro-lafer.at","Website")</f>
        <v>Website</v>
      </c>
      <c r="D1826" t="str">
        <f>HYPERLINK("http://www.google.com/maps/place/46.70791,15.77081","Location")</f>
        <v>Location</v>
      </c>
      <c r="E1826" t="s">
        <v>16253</v>
      </c>
      <c r="F1826" t="s">
        <v>16254</v>
      </c>
      <c r="G1826" t="s">
        <v>11727</v>
      </c>
      <c r="H1826" t="s">
        <v>11728</v>
      </c>
      <c r="I1826" t="s">
        <v>451</v>
      </c>
      <c r="J1826" t="s">
        <v>22</v>
      </c>
      <c r="K1826" t="s">
        <v>16255</v>
      </c>
      <c r="L1826" t="s">
        <v>16258</v>
      </c>
      <c r="M1826" t="s">
        <v>25</v>
      </c>
      <c r="N1826" t="s">
        <v>16259</v>
      </c>
      <c r="O1826" t="s">
        <v>16260</v>
      </c>
      <c r="P1826" t="s">
        <v>16261</v>
      </c>
      <c r="Q1826" t="s">
        <v>29</v>
      </c>
      <c r="R1826" t="s">
        <v>16256</v>
      </c>
      <c r="S1826" t="s">
        <v>16257</v>
      </c>
    </row>
    <row r="1827" spans="1:19" x14ac:dyDescent="0.25">
      <c r="A1827" s="1">
        <v>1825</v>
      </c>
      <c r="B1827" t="str">
        <f>HYPERLINK("https://www.dasschnelle.at/erich-steiner-bilanzbuchhalter-gmbh-ehrwald-im-tal","Website")</f>
        <v>Website</v>
      </c>
      <c r="C1827" t="str">
        <f>HYPERLINK("http://www.e-steiner.at","Website")</f>
        <v>Website</v>
      </c>
      <c r="D1827" t="str">
        <f>HYPERLINK("http://www.google.com/maps/place/47.396,10.91632","Location")</f>
        <v>Location</v>
      </c>
      <c r="E1827" t="s">
        <v>16262</v>
      </c>
      <c r="F1827" t="s">
        <v>16263</v>
      </c>
      <c r="G1827" t="s">
        <v>14930</v>
      </c>
      <c r="H1827" t="s">
        <v>14931</v>
      </c>
      <c r="I1827" t="s">
        <v>21</v>
      </c>
      <c r="J1827" t="s">
        <v>22</v>
      </c>
      <c r="K1827" t="s">
        <v>16264</v>
      </c>
      <c r="L1827" t="s">
        <v>16267</v>
      </c>
      <c r="M1827" t="s">
        <v>25</v>
      </c>
      <c r="N1827" t="s">
        <v>16268</v>
      </c>
      <c r="O1827" t="s">
        <v>16269</v>
      </c>
      <c r="P1827" t="s">
        <v>16270</v>
      </c>
      <c r="Q1827" t="s">
        <v>29</v>
      </c>
      <c r="R1827" t="s">
        <v>16265</v>
      </c>
      <c r="S1827" t="s">
        <v>16266</v>
      </c>
    </row>
    <row r="1828" spans="1:19" x14ac:dyDescent="0.25">
      <c r="A1828" s="1">
        <v>1826</v>
      </c>
      <c r="B1828" t="str">
        <f>HYPERLINK("https://www.dasschnelle.at/grassegger-gmbh-micheldorf-bader-moser-straße","Website")</f>
        <v>Website</v>
      </c>
      <c r="C1828" t="str">
        <f>HYPERLINK("http://www.grassegger.net","Website")</f>
        <v>Website</v>
      </c>
      <c r="D1828" t="str">
        <f>HYPERLINK("http://www.google.com/maps/place/47.8755367,14.1309301","Location")</f>
        <v>Location</v>
      </c>
      <c r="E1828" t="s">
        <v>16271</v>
      </c>
      <c r="F1828" t="s">
        <v>16272</v>
      </c>
      <c r="G1828" t="s">
        <v>12399</v>
      </c>
      <c r="H1828" t="s">
        <v>12400</v>
      </c>
      <c r="I1828" t="s">
        <v>85</v>
      </c>
      <c r="J1828" t="s">
        <v>22</v>
      </c>
      <c r="K1828" t="s">
        <v>16273</v>
      </c>
      <c r="L1828" t="s">
        <v>16276</v>
      </c>
      <c r="M1828" t="s">
        <v>25</v>
      </c>
      <c r="N1828" t="s">
        <v>16277</v>
      </c>
      <c r="O1828" t="s">
        <v>16278</v>
      </c>
      <c r="P1828" t="s">
        <v>16279</v>
      </c>
      <c r="Q1828" t="s">
        <v>29</v>
      </c>
      <c r="R1828" t="s">
        <v>16274</v>
      </c>
      <c r="S1828" t="s">
        <v>16275</v>
      </c>
    </row>
    <row r="1829" spans="1:19" x14ac:dyDescent="0.25">
      <c r="A1829" s="1">
        <v>1827</v>
      </c>
      <c r="B1829" t="str">
        <f>HYPERLINK("https://www.dasschnelle.at/hathaler-gabriele-mag-traun-linzerstraße","Website")</f>
        <v>Website</v>
      </c>
      <c r="C1829" t="str">
        <f>HYPERLINK("http://www.notarintraun.com","Website")</f>
        <v>Website</v>
      </c>
      <c r="D1829" t="str">
        <f>HYPERLINK("http://www.google.com/maps/place/48.22182,14.23906","Location")</f>
        <v>Location</v>
      </c>
      <c r="E1829" t="s">
        <v>16280</v>
      </c>
      <c r="F1829" t="s">
        <v>16281</v>
      </c>
      <c r="G1829" t="s">
        <v>10227</v>
      </c>
      <c r="H1829" t="s">
        <v>10228</v>
      </c>
      <c r="I1829" t="s">
        <v>85</v>
      </c>
      <c r="J1829" t="s">
        <v>22</v>
      </c>
      <c r="K1829" t="s">
        <v>16282</v>
      </c>
      <c r="L1829" t="s">
        <v>16285</v>
      </c>
      <c r="M1829" t="s">
        <v>16286</v>
      </c>
      <c r="N1829" t="s">
        <v>16287</v>
      </c>
      <c r="O1829" t="s">
        <v>25</v>
      </c>
      <c r="P1829" t="s">
        <v>16288</v>
      </c>
      <c r="Q1829" t="s">
        <v>29</v>
      </c>
      <c r="R1829" t="s">
        <v>16283</v>
      </c>
      <c r="S1829" t="s">
        <v>16284</v>
      </c>
    </row>
    <row r="1830" spans="1:19" x14ac:dyDescent="0.25">
      <c r="A1830" s="1">
        <v>1828</v>
      </c>
      <c r="B1830" t="str">
        <f>HYPERLINK("https://www.dasschnelle.at/monger-stefan-seekirchen-am-wallersee-wallerseestraße","Website")</f>
        <v>Website</v>
      </c>
      <c r="C1830" t="str">
        <f>HYPERLINK("http://www.gaertnerei-monger.at","Website")</f>
        <v>Website</v>
      </c>
      <c r="D1830" t="str">
        <f>HYPERLINK("http://www.google.com/maps/place/47.8998602,13.1285327","Location")</f>
        <v>Location</v>
      </c>
      <c r="E1830" t="s">
        <v>16289</v>
      </c>
      <c r="F1830" t="s">
        <v>16290</v>
      </c>
      <c r="G1830" t="s">
        <v>1412</v>
      </c>
      <c r="H1830" t="s">
        <v>10367</v>
      </c>
      <c r="I1830" t="s">
        <v>2239</v>
      </c>
      <c r="J1830" t="s">
        <v>22</v>
      </c>
      <c r="K1830" t="s">
        <v>16291</v>
      </c>
      <c r="L1830" t="s">
        <v>16294</v>
      </c>
      <c r="M1830" t="s">
        <v>25</v>
      </c>
      <c r="N1830" t="s">
        <v>16295</v>
      </c>
      <c r="O1830" t="s">
        <v>25</v>
      </c>
      <c r="P1830" t="s">
        <v>16296</v>
      </c>
      <c r="Q1830" t="s">
        <v>29</v>
      </c>
      <c r="R1830" t="s">
        <v>16292</v>
      </c>
      <c r="S1830" t="s">
        <v>16293</v>
      </c>
    </row>
    <row r="1831" spans="1:19" x14ac:dyDescent="0.25">
      <c r="A1831" s="1">
        <v>1829</v>
      </c>
      <c r="B1831" t="str">
        <f>HYPERLINK("https://www.dasschnelle.at/liebl-robert-dachdeckerei-gesmbh-seekirchen-am-wallersee-augergasse","Website")</f>
        <v>Website</v>
      </c>
      <c r="C1831" t="str">
        <f>HYPERLINK("http://www.liebl-dach.at","Website")</f>
        <v>Website</v>
      </c>
      <c r="D1831" t="str">
        <f>HYPERLINK("http://www.google.com/maps/place/47.89882,13.12268","Location")</f>
        <v>Location</v>
      </c>
      <c r="E1831" t="s">
        <v>16297</v>
      </c>
      <c r="F1831" t="s">
        <v>16298</v>
      </c>
      <c r="G1831" t="s">
        <v>1412</v>
      </c>
      <c r="H1831" t="s">
        <v>10367</v>
      </c>
      <c r="I1831" t="s">
        <v>2239</v>
      </c>
      <c r="J1831" t="s">
        <v>22</v>
      </c>
      <c r="K1831" t="s">
        <v>16299</v>
      </c>
      <c r="L1831" t="s">
        <v>16302</v>
      </c>
      <c r="M1831" t="s">
        <v>16303</v>
      </c>
      <c r="N1831" t="s">
        <v>16304</v>
      </c>
      <c r="O1831" t="s">
        <v>16305</v>
      </c>
      <c r="P1831" t="s">
        <v>16306</v>
      </c>
      <c r="Q1831" t="s">
        <v>29</v>
      </c>
      <c r="R1831" t="s">
        <v>16300</v>
      </c>
      <c r="S1831" t="s">
        <v>16301</v>
      </c>
    </row>
    <row r="1832" spans="1:19" x14ac:dyDescent="0.25">
      <c r="A1832" s="1">
        <v>1830</v>
      </c>
      <c r="B1832" t="str">
        <f>HYPERLINK("https://www.dasschnelle.at/hus-electronic-und-service-e-u-völkermarkt-hauptplatz","Website")</f>
        <v>Website</v>
      </c>
      <c r="C1832" t="str">
        <f>HYPERLINK("http://www.electronicpartner.at/hus","Website")</f>
        <v>Website</v>
      </c>
      <c r="D1832" t="str">
        <f>HYPERLINK("http://www.google.com/maps/place/46.66226,14.63314","Location")</f>
        <v>Location</v>
      </c>
      <c r="E1832" t="s">
        <v>16307</v>
      </c>
      <c r="F1832" t="s">
        <v>16308</v>
      </c>
      <c r="G1832" t="s">
        <v>5079</v>
      </c>
      <c r="H1832" t="s">
        <v>5080</v>
      </c>
      <c r="I1832" t="s">
        <v>4130</v>
      </c>
      <c r="J1832" t="s">
        <v>22</v>
      </c>
      <c r="K1832" t="s">
        <v>16309</v>
      </c>
      <c r="L1832" t="s">
        <v>16312</v>
      </c>
      <c r="M1832" t="s">
        <v>25</v>
      </c>
      <c r="N1832" t="s">
        <v>16313</v>
      </c>
      <c r="O1832" t="s">
        <v>25</v>
      </c>
      <c r="P1832" t="s">
        <v>16314</v>
      </c>
      <c r="Q1832" t="s">
        <v>29</v>
      </c>
      <c r="R1832" t="s">
        <v>16310</v>
      </c>
      <c r="S1832" t="s">
        <v>16311</v>
      </c>
    </row>
    <row r="1833" spans="1:19" x14ac:dyDescent="0.25">
      <c r="A1833" s="1">
        <v>1831</v>
      </c>
      <c r="B1833" t="str">
        <f>HYPERLINK("https://www.dasschnelle.at/spätauf-roland-bad-radkersburg-murgasse","Website")</f>
        <v>Website</v>
      </c>
      <c r="C1833" t="str">
        <f>HYPERLINK("http://www.malerbetrieb-spaetauf.at","Website")</f>
        <v>Website</v>
      </c>
      <c r="D1833" t="str">
        <f>HYPERLINK("http://www.google.com/maps/place/46.69842,15.99843","Location")</f>
        <v>Location</v>
      </c>
      <c r="E1833" t="s">
        <v>16315</v>
      </c>
      <c r="F1833" t="s">
        <v>16316</v>
      </c>
      <c r="G1833" t="s">
        <v>11773</v>
      </c>
      <c r="H1833" t="s">
        <v>11791</v>
      </c>
      <c r="I1833" t="s">
        <v>451</v>
      </c>
      <c r="J1833" t="s">
        <v>22</v>
      </c>
      <c r="K1833" t="s">
        <v>16317</v>
      </c>
      <c r="L1833" t="s">
        <v>16320</v>
      </c>
      <c r="M1833" t="s">
        <v>25</v>
      </c>
      <c r="N1833" t="s">
        <v>16321</v>
      </c>
      <c r="O1833" t="s">
        <v>16322</v>
      </c>
      <c r="P1833" t="s">
        <v>16323</v>
      </c>
      <c r="Q1833" t="s">
        <v>29</v>
      </c>
      <c r="R1833" t="s">
        <v>16318</v>
      </c>
      <c r="S1833" t="s">
        <v>16319</v>
      </c>
    </row>
    <row r="1834" spans="1:19" x14ac:dyDescent="0.25">
      <c r="A1834" s="1">
        <v>1832</v>
      </c>
      <c r="B1834" t="str">
        <f>HYPERLINK("https://www.dasschnelle.at/horwath-und-bodenlenz-elektrotechnik-sanitär-bäder-heizung-gesmbh-deutsch-goritz-deutsch-goritz","Website")</f>
        <v>Website</v>
      </c>
      <c r="C1834" t="str">
        <f>HYPERLINK("https://www.dasschnelle.at/horwath-und-bodenlenz-elektrotechnik-sanit%C3%A4r-b%C3%A4der-heizung-gesmbh-deutsch-goritz-deutsch-goritz","Website")</f>
        <v>Website</v>
      </c>
      <c r="D1834" t="str">
        <f>HYPERLINK("http://www.google.com/maps/place/46.7554554,15.8285181","Location")</f>
        <v>Location</v>
      </c>
      <c r="E1834" t="s">
        <v>16324</v>
      </c>
      <c r="F1834" t="s">
        <v>16325</v>
      </c>
      <c r="G1834" t="s">
        <v>16327</v>
      </c>
      <c r="H1834" t="s">
        <v>16328</v>
      </c>
      <c r="I1834" t="s">
        <v>451</v>
      </c>
      <c r="J1834" t="s">
        <v>22</v>
      </c>
      <c r="K1834" t="s">
        <v>16326</v>
      </c>
      <c r="L1834" t="s">
        <v>16331</v>
      </c>
      <c r="M1834" t="s">
        <v>25</v>
      </c>
      <c r="N1834" t="s">
        <v>16332</v>
      </c>
      <c r="O1834" t="s">
        <v>25</v>
      </c>
      <c r="P1834" t="s">
        <v>16333</v>
      </c>
      <c r="Q1834" t="s">
        <v>29</v>
      </c>
      <c r="R1834" t="s">
        <v>16329</v>
      </c>
      <c r="S1834" t="s">
        <v>16330</v>
      </c>
    </row>
    <row r="1835" spans="1:19" x14ac:dyDescent="0.25">
      <c r="A1835" s="1">
        <v>1833</v>
      </c>
      <c r="B1835" t="str">
        <f>HYPERLINK("https://www.dasschnelle.at/elektro-langer-gmbh-henndorf-am-wallersee-hauptstraße","Website")</f>
        <v>Website</v>
      </c>
      <c r="C1835" t="str">
        <f>HYPERLINK("http://www.elektro-langer.at","Website")</f>
        <v>Website</v>
      </c>
      <c r="D1835" t="str">
        <f>HYPERLINK("http://www.google.com/maps/place/47.8958704,13.1828145","Location")</f>
        <v>Location</v>
      </c>
      <c r="E1835" t="s">
        <v>16334</v>
      </c>
      <c r="F1835" t="s">
        <v>16335</v>
      </c>
      <c r="G1835" t="s">
        <v>16337</v>
      </c>
      <c r="H1835" t="s">
        <v>16338</v>
      </c>
      <c r="I1835" t="s">
        <v>2239</v>
      </c>
      <c r="J1835" t="s">
        <v>22</v>
      </c>
      <c r="K1835" t="s">
        <v>16336</v>
      </c>
      <c r="L1835" t="s">
        <v>16341</v>
      </c>
      <c r="M1835" t="s">
        <v>25</v>
      </c>
      <c r="N1835" t="s">
        <v>16342</v>
      </c>
      <c r="O1835" t="s">
        <v>25</v>
      </c>
      <c r="P1835" t="s">
        <v>16343</v>
      </c>
      <c r="Q1835" t="s">
        <v>29</v>
      </c>
      <c r="R1835" t="s">
        <v>16339</v>
      </c>
      <c r="S1835" t="s">
        <v>16340</v>
      </c>
    </row>
    <row r="1836" spans="1:19" x14ac:dyDescent="0.25">
      <c r="A1836" s="1">
        <v>1834</v>
      </c>
      <c r="B1836" t="str">
        <f>HYPERLINK("https://www.dasschnelle.at/frahammer-josef-köstendorf-tannham","Website")</f>
        <v>Website</v>
      </c>
      <c r="C1836" t="str">
        <f>HYPERLINK("http://www.gaertnerei-frahammer.at","Website")</f>
        <v>Website</v>
      </c>
      <c r="D1836" t="str">
        <f>HYPERLINK("http://www.google.com/maps/place/47.9698770,13.2068022","Location")</f>
        <v>Location</v>
      </c>
      <c r="E1836" t="s">
        <v>16344</v>
      </c>
      <c r="F1836" t="s">
        <v>16345</v>
      </c>
      <c r="G1836" t="s">
        <v>10618</v>
      </c>
      <c r="H1836" t="s">
        <v>10619</v>
      </c>
      <c r="I1836" t="s">
        <v>2239</v>
      </c>
      <c r="J1836" t="s">
        <v>22</v>
      </c>
      <c r="K1836" t="s">
        <v>16346</v>
      </c>
      <c r="L1836" t="s">
        <v>16349</v>
      </c>
      <c r="M1836" t="s">
        <v>25</v>
      </c>
      <c r="N1836" t="s">
        <v>16350</v>
      </c>
      <c r="O1836" t="s">
        <v>25</v>
      </c>
      <c r="P1836" t="s">
        <v>16351</v>
      </c>
      <c r="Q1836" t="s">
        <v>29</v>
      </c>
      <c r="R1836" t="s">
        <v>16347</v>
      </c>
      <c r="S1836" t="s">
        <v>16348</v>
      </c>
    </row>
    <row r="1837" spans="1:19" x14ac:dyDescent="0.25">
      <c r="A1837" s="1">
        <v>1835</v>
      </c>
      <c r="B1837" t="str">
        <f>HYPERLINK("https://www.dasschnelle.at/kriegner-hubert-lambach-siedlungsstraße","Website")</f>
        <v>Website</v>
      </c>
      <c r="C1837" t="str">
        <f>HYPERLINK("http://www.tischlerei-kriegner.at","Website")</f>
        <v>Website</v>
      </c>
      <c r="D1837" t="str">
        <f>HYPERLINK("http://www.google.com/maps/place/48.0959000,13.8663400","Location")</f>
        <v>Location</v>
      </c>
      <c r="E1837" t="s">
        <v>16352</v>
      </c>
      <c r="F1837" t="s">
        <v>16353</v>
      </c>
      <c r="G1837" t="s">
        <v>12956</v>
      </c>
      <c r="H1837" t="s">
        <v>12957</v>
      </c>
      <c r="I1837" t="s">
        <v>85</v>
      </c>
      <c r="J1837" t="s">
        <v>22</v>
      </c>
      <c r="K1837" t="s">
        <v>16354</v>
      </c>
      <c r="L1837" t="s">
        <v>16357</v>
      </c>
      <c r="M1837" t="s">
        <v>25</v>
      </c>
      <c r="N1837" t="s">
        <v>16358</v>
      </c>
      <c r="O1837" t="s">
        <v>25</v>
      </c>
      <c r="P1837" t="s">
        <v>16359</v>
      </c>
      <c r="Q1837" t="s">
        <v>29</v>
      </c>
      <c r="R1837" t="s">
        <v>16355</v>
      </c>
      <c r="S1837" t="s">
        <v>16356</v>
      </c>
    </row>
    <row r="1838" spans="1:19" x14ac:dyDescent="0.25">
      <c r="A1838" s="1">
        <v>1836</v>
      </c>
      <c r="B1838" t="str">
        <f>HYPERLINK("https://www.dasschnelle.at/glantschnig-trans-gmbh-völkermarkt-martin-hosp-straße","Website")</f>
        <v>Website</v>
      </c>
      <c r="C1838" t="str">
        <f>HYPERLINK("http://www.glantschnig-trans.com","Website")</f>
        <v>Website</v>
      </c>
      <c r="D1838" t="str">
        <f>HYPERLINK("http://www.google.com/maps/place/46.66856,14.61675","Location")</f>
        <v>Location</v>
      </c>
      <c r="E1838" t="s">
        <v>16360</v>
      </c>
      <c r="F1838" t="s">
        <v>16361</v>
      </c>
      <c r="G1838" t="s">
        <v>5079</v>
      </c>
      <c r="H1838" t="s">
        <v>5080</v>
      </c>
      <c r="I1838" t="s">
        <v>4130</v>
      </c>
      <c r="J1838" t="s">
        <v>22</v>
      </c>
      <c r="K1838" t="s">
        <v>16362</v>
      </c>
      <c r="L1838" t="s">
        <v>16365</v>
      </c>
      <c r="M1838" t="s">
        <v>16366</v>
      </c>
      <c r="N1838" t="s">
        <v>16367</v>
      </c>
      <c r="O1838" t="s">
        <v>25</v>
      </c>
      <c r="P1838" t="s">
        <v>16368</v>
      </c>
      <c r="Q1838" t="s">
        <v>29</v>
      </c>
      <c r="R1838" t="s">
        <v>16363</v>
      </c>
      <c r="S1838" t="s">
        <v>16364</v>
      </c>
    </row>
    <row r="1839" spans="1:19" x14ac:dyDescent="0.25">
      <c r="A1839" s="1">
        <v>1837</v>
      </c>
      <c r="B1839" t="str">
        <f>HYPERLINK("https://www.dasschnelle.at/zweimüller-hans-u-paula-seekirchen-zaisberg","Website")</f>
        <v>Website</v>
      </c>
      <c r="C1839" t="str">
        <f>HYPERLINK("http://www.mosterei-loaster.at","Website")</f>
        <v>Website</v>
      </c>
      <c r="D1839" t="str">
        <f>HYPERLINK("http://www.google.com/maps/place/47.9163514,13.1146800","Location")</f>
        <v>Location</v>
      </c>
      <c r="E1839" t="s">
        <v>16369</v>
      </c>
      <c r="F1839" t="s">
        <v>16370</v>
      </c>
      <c r="G1839" t="s">
        <v>1412</v>
      </c>
      <c r="H1839" t="s">
        <v>16372</v>
      </c>
      <c r="I1839" t="s">
        <v>2239</v>
      </c>
      <c r="J1839" t="s">
        <v>22</v>
      </c>
      <c r="K1839" t="s">
        <v>16371</v>
      </c>
      <c r="L1839" t="s">
        <v>16375</v>
      </c>
      <c r="M1839" t="s">
        <v>25</v>
      </c>
      <c r="N1839" t="s">
        <v>16376</v>
      </c>
      <c r="O1839" t="s">
        <v>25</v>
      </c>
      <c r="P1839" t="s">
        <v>16377</v>
      </c>
      <c r="Q1839" t="s">
        <v>29</v>
      </c>
      <c r="R1839" t="s">
        <v>16373</v>
      </c>
      <c r="S1839" t="s">
        <v>16374</v>
      </c>
    </row>
    <row r="1840" spans="1:19" x14ac:dyDescent="0.25">
      <c r="A1840" s="1">
        <v>1838</v>
      </c>
      <c r="B1840" t="str">
        <f>HYPERLINK("https://www.dasschnelle.at/strasser-rupert-mattsee-salzburger-straße","Website")</f>
        <v>Website</v>
      </c>
      <c r="C1840" t="str">
        <f>HYPERLINK("http://www.auto-strasser.at","Website")</f>
        <v>Website</v>
      </c>
      <c r="D1840" t="str">
        <f>HYPERLINK("http://www.google.com/maps/place/47.96573,13.09992","Location")</f>
        <v>Location</v>
      </c>
      <c r="E1840" t="s">
        <v>16378</v>
      </c>
      <c r="F1840" t="s">
        <v>16379</v>
      </c>
      <c r="G1840" t="s">
        <v>10394</v>
      </c>
      <c r="H1840" t="s">
        <v>10395</v>
      </c>
      <c r="I1840" t="s">
        <v>2239</v>
      </c>
      <c r="J1840" t="s">
        <v>22</v>
      </c>
      <c r="K1840" t="s">
        <v>16380</v>
      </c>
      <c r="L1840" t="s">
        <v>16383</v>
      </c>
      <c r="M1840" t="s">
        <v>16384</v>
      </c>
      <c r="N1840" t="s">
        <v>16385</v>
      </c>
      <c r="O1840" t="s">
        <v>25</v>
      </c>
      <c r="P1840" t="s">
        <v>16386</v>
      </c>
      <c r="Q1840" t="s">
        <v>29</v>
      </c>
      <c r="R1840" t="s">
        <v>16381</v>
      </c>
      <c r="S1840" t="s">
        <v>16382</v>
      </c>
    </row>
    <row r="1841" spans="1:19" x14ac:dyDescent="0.25">
      <c r="A1841" s="1">
        <v>1839</v>
      </c>
      <c r="B1841" t="str">
        <f>HYPERLINK("https://www.dasschnelle.at/sws-thiel-sonnenschutz-wetterschutz-sichtschutz-seekirchen-am-wallersee-gewerbestraße","Website")</f>
        <v>Website</v>
      </c>
      <c r="C1841" t="str">
        <f>HYPERLINK("http://www.sws-thiel.at","Website")</f>
        <v>Website</v>
      </c>
      <c r="D1841" t="str">
        <f>HYPERLINK("http://www.google.com/maps/place/47.8873578,13.1201866","Location")</f>
        <v>Location</v>
      </c>
      <c r="E1841" t="s">
        <v>16387</v>
      </c>
      <c r="F1841" t="s">
        <v>16388</v>
      </c>
      <c r="G1841" t="s">
        <v>1412</v>
      </c>
      <c r="H1841" t="s">
        <v>10367</v>
      </c>
      <c r="I1841" t="s">
        <v>2239</v>
      </c>
      <c r="J1841" t="s">
        <v>22</v>
      </c>
      <c r="K1841" t="s">
        <v>1978</v>
      </c>
      <c r="L1841" t="s">
        <v>16391</v>
      </c>
      <c r="M1841" t="s">
        <v>16392</v>
      </c>
      <c r="N1841" t="s">
        <v>16393</v>
      </c>
      <c r="O1841" t="s">
        <v>16394</v>
      </c>
      <c r="P1841" t="s">
        <v>16395</v>
      </c>
      <c r="Q1841" t="s">
        <v>29</v>
      </c>
      <c r="R1841" t="s">
        <v>16389</v>
      </c>
      <c r="S1841" t="s">
        <v>16390</v>
      </c>
    </row>
    <row r="1842" spans="1:19" x14ac:dyDescent="0.25">
      <c r="A1842" s="1">
        <v>1840</v>
      </c>
      <c r="B1842" t="str">
        <f>HYPERLINK("https://www.dasschnelle.at/bauunternehmen-doll-gmbh-seekirchen-am-wallersee-mathias-bayrhammer-straße","Website")</f>
        <v>Website</v>
      </c>
      <c r="C1842" t="str">
        <f>HYPERLINK("http://www.dollbau.at","Website")</f>
        <v>Website</v>
      </c>
      <c r="D1842" t="str">
        <f>HYPERLINK("http://www.google.com/maps/place/47.8922278,13.1242570","Location")</f>
        <v>Location</v>
      </c>
      <c r="E1842" t="s">
        <v>16396</v>
      </c>
      <c r="F1842" t="s">
        <v>16397</v>
      </c>
      <c r="G1842" t="s">
        <v>1412</v>
      </c>
      <c r="H1842" t="s">
        <v>10367</v>
      </c>
      <c r="I1842" t="s">
        <v>2239</v>
      </c>
      <c r="J1842" t="s">
        <v>22</v>
      </c>
      <c r="K1842" t="s">
        <v>16398</v>
      </c>
      <c r="L1842" t="s">
        <v>16401</v>
      </c>
      <c r="M1842" t="s">
        <v>25</v>
      </c>
      <c r="N1842" t="s">
        <v>16402</v>
      </c>
      <c r="O1842" t="s">
        <v>16403</v>
      </c>
      <c r="P1842" t="s">
        <v>16404</v>
      </c>
      <c r="Q1842" t="s">
        <v>29</v>
      </c>
      <c r="R1842" t="s">
        <v>16399</v>
      </c>
      <c r="S1842" t="s">
        <v>16400</v>
      </c>
    </row>
    <row r="1843" spans="1:19" x14ac:dyDescent="0.25">
      <c r="A1843" s="1">
        <v>1841</v>
      </c>
      <c r="B1843" t="str">
        <f>HYPERLINK("https://www.dasschnelle.at/haider-wolfgang-seekirchen-postgasse","Website")</f>
        <v>Website</v>
      </c>
      <c r="C1843" t="str">
        <f>HYPERLINK("https://www.dasschnelle.at/haider-wolfgang-seekirchen-postgasse","Website")</f>
        <v>Website</v>
      </c>
      <c r="D1843" t="str">
        <f>HYPERLINK("http://www.google.com/maps/place/47.8935227,13.1252848","Location")</f>
        <v>Location</v>
      </c>
      <c r="E1843" t="s">
        <v>16405</v>
      </c>
      <c r="F1843" t="s">
        <v>16406</v>
      </c>
      <c r="G1843" t="s">
        <v>1412</v>
      </c>
      <c r="H1843" t="s">
        <v>16372</v>
      </c>
      <c r="I1843" t="s">
        <v>2239</v>
      </c>
      <c r="J1843" t="s">
        <v>22</v>
      </c>
      <c r="K1843" t="s">
        <v>10366</v>
      </c>
      <c r="L1843" t="s">
        <v>16407</v>
      </c>
      <c r="M1843" t="s">
        <v>25</v>
      </c>
      <c r="N1843" t="s">
        <v>16408</v>
      </c>
      <c r="O1843" t="s">
        <v>25</v>
      </c>
      <c r="P1843" t="s">
        <v>16409</v>
      </c>
      <c r="Q1843" t="s">
        <v>29</v>
      </c>
      <c r="R1843" t="s">
        <v>10368</v>
      </c>
      <c r="S1843" t="s">
        <v>10369</v>
      </c>
    </row>
    <row r="1844" spans="1:19" x14ac:dyDescent="0.25">
      <c r="A1844" s="1">
        <v>1842</v>
      </c>
      <c r="B1844" t="str">
        <f>HYPERLINK("https://www.dasschnelle.at/hausbacher-michael-seekirchen-am-wallersee-gezing","Website")</f>
        <v>Website</v>
      </c>
      <c r="C1844" t="str">
        <f>HYPERLINK("http://www.hausbacher.at","Website")</f>
        <v>Website</v>
      </c>
      <c r="D1844" t="str">
        <f>HYPERLINK("http://www.google.com/maps/place/47.91557,13.1347","Location")</f>
        <v>Location</v>
      </c>
      <c r="E1844" t="s">
        <v>16410</v>
      </c>
      <c r="F1844" t="s">
        <v>16411</v>
      </c>
      <c r="G1844" t="s">
        <v>1412</v>
      </c>
      <c r="H1844" t="s">
        <v>10367</v>
      </c>
      <c r="I1844" t="s">
        <v>2239</v>
      </c>
      <c r="J1844" t="s">
        <v>22</v>
      </c>
      <c r="K1844" t="s">
        <v>16412</v>
      </c>
      <c r="L1844" t="s">
        <v>16415</v>
      </c>
      <c r="M1844" t="s">
        <v>16416</v>
      </c>
      <c r="N1844" t="s">
        <v>16417</v>
      </c>
      <c r="O1844" t="s">
        <v>25</v>
      </c>
      <c r="P1844" t="s">
        <v>16418</v>
      </c>
      <c r="Q1844" t="s">
        <v>29</v>
      </c>
      <c r="R1844" t="s">
        <v>16413</v>
      </c>
      <c r="S1844" t="s">
        <v>16414</v>
      </c>
    </row>
    <row r="1845" spans="1:19" x14ac:dyDescent="0.25">
      <c r="A1845" s="1">
        <v>1843</v>
      </c>
      <c r="B1845" t="str">
        <f>HYPERLINK("https://www.dasschnelle.at/plattner-robert-schleedorf-munten","Website")</f>
        <v>Website</v>
      </c>
      <c r="C1845" t="str">
        <f>HYPERLINK("http://www.holzhandwerk-plattner.at","Website")</f>
        <v>Website</v>
      </c>
      <c r="D1845" t="str">
        <f>HYPERLINK("http://www.google.com/maps/place/47.95797,13.14676","Location")</f>
        <v>Location</v>
      </c>
      <c r="E1845" t="s">
        <v>16419</v>
      </c>
      <c r="F1845" t="s">
        <v>16420</v>
      </c>
      <c r="G1845" t="s">
        <v>16422</v>
      </c>
      <c r="H1845" t="s">
        <v>16423</v>
      </c>
      <c r="I1845" t="s">
        <v>2239</v>
      </c>
      <c r="J1845" t="s">
        <v>22</v>
      </c>
      <c r="K1845" t="s">
        <v>16421</v>
      </c>
      <c r="L1845" t="s">
        <v>16426</v>
      </c>
      <c r="M1845" t="s">
        <v>25</v>
      </c>
      <c r="N1845" t="s">
        <v>16427</v>
      </c>
      <c r="O1845" t="s">
        <v>25</v>
      </c>
      <c r="P1845" t="s">
        <v>16428</v>
      </c>
      <c r="Q1845" t="s">
        <v>29</v>
      </c>
      <c r="R1845" t="s">
        <v>16424</v>
      </c>
      <c r="S1845" t="s">
        <v>16425</v>
      </c>
    </row>
    <row r="1846" spans="1:19" x14ac:dyDescent="0.25">
      <c r="A1846" s="1">
        <v>1844</v>
      </c>
      <c r="B1846" t="str">
        <f>HYPERLINK("https://www.dasschnelle.at/elektro-j-müller-gmbh-und-co-kg-mattsee-passauer-straße","Website")</f>
        <v>Website</v>
      </c>
      <c r="C1846" t="str">
        <f>HYPERLINK("https://www.dasschnelle.at/elektro-j-m%C3%BCller-gmbh-und-co-kg-mattsee-passauer-stra%C3%9Fe","Website")</f>
        <v>Website</v>
      </c>
      <c r="D1846" t="str">
        <f>HYPERLINK("http://www.google.com/maps/place/47.97124,13.10434","Location")</f>
        <v>Location</v>
      </c>
      <c r="E1846" t="s">
        <v>16429</v>
      </c>
      <c r="F1846" t="s">
        <v>16430</v>
      </c>
      <c r="G1846" t="s">
        <v>10394</v>
      </c>
      <c r="H1846" t="s">
        <v>10395</v>
      </c>
      <c r="I1846" t="s">
        <v>2239</v>
      </c>
      <c r="J1846" t="s">
        <v>22</v>
      </c>
      <c r="K1846" t="s">
        <v>16431</v>
      </c>
      <c r="L1846" t="s">
        <v>16434</v>
      </c>
      <c r="M1846" t="s">
        <v>16435</v>
      </c>
      <c r="N1846" t="s">
        <v>16436</v>
      </c>
      <c r="O1846" t="s">
        <v>16437</v>
      </c>
      <c r="P1846" t="s">
        <v>16438</v>
      </c>
      <c r="Q1846" t="s">
        <v>29</v>
      </c>
      <c r="R1846" t="s">
        <v>16432</v>
      </c>
      <c r="S1846" t="s">
        <v>16433</v>
      </c>
    </row>
    <row r="1847" spans="1:19" x14ac:dyDescent="0.25">
      <c r="A1847" s="1">
        <v>1845</v>
      </c>
      <c r="B1847" t="str">
        <f>HYPERLINK("https://www.dasschnelle.at/grabner-jochen-mattsee-salzburger-straße","Website")</f>
        <v>Website</v>
      </c>
      <c r="C1847" t="str">
        <f>HYPERLINK("https://www.dasschnelle.at/grabner-jochen-mattsee-salzburger-stra%C3%9Fe","Website")</f>
        <v>Website</v>
      </c>
      <c r="D1847" t="str">
        <f>HYPERLINK("http://www.google.com/maps/place/47.96629,13.10092","Location")</f>
        <v>Location</v>
      </c>
      <c r="E1847" t="s">
        <v>16439</v>
      </c>
      <c r="F1847" t="s">
        <v>16440</v>
      </c>
      <c r="G1847" t="s">
        <v>10394</v>
      </c>
      <c r="H1847" t="s">
        <v>10395</v>
      </c>
      <c r="I1847" t="s">
        <v>2239</v>
      </c>
      <c r="J1847" t="s">
        <v>22</v>
      </c>
      <c r="K1847" t="s">
        <v>16441</v>
      </c>
      <c r="L1847" t="s">
        <v>16444</v>
      </c>
      <c r="M1847" t="s">
        <v>16445</v>
      </c>
      <c r="N1847" t="s">
        <v>16446</v>
      </c>
      <c r="O1847" t="s">
        <v>25</v>
      </c>
      <c r="P1847" t="s">
        <v>16447</v>
      </c>
      <c r="Q1847" t="s">
        <v>29</v>
      </c>
      <c r="R1847" t="s">
        <v>16442</v>
      </c>
      <c r="S1847" t="s">
        <v>16443</v>
      </c>
    </row>
    <row r="1848" spans="1:19" x14ac:dyDescent="0.25">
      <c r="A1848" s="1">
        <v>1846</v>
      </c>
      <c r="B1848" t="str">
        <f>HYPERLINK("https://www.dasschnelle.at/pötzl-wolfgang-dr-med-traun-kremstalstraße","Website")</f>
        <v>Website</v>
      </c>
      <c r="C1848" t="str">
        <f>HYPERLINK("https://www.dasschnelle.at/p%C3%B6tzl-wolfgang-dr-med-traun-kremstalstra%C3%9Fe","Website")</f>
        <v>Website</v>
      </c>
      <c r="D1848" t="str">
        <f>HYPERLINK("http://www.google.com/maps/place/48.22026,14.23817","Location")</f>
        <v>Location</v>
      </c>
      <c r="E1848" t="s">
        <v>16448</v>
      </c>
      <c r="F1848" t="s">
        <v>16449</v>
      </c>
      <c r="G1848" t="s">
        <v>10227</v>
      </c>
      <c r="H1848" t="s">
        <v>10228</v>
      </c>
      <c r="I1848" t="s">
        <v>85</v>
      </c>
      <c r="J1848" t="s">
        <v>22</v>
      </c>
      <c r="K1848" t="s">
        <v>16450</v>
      </c>
      <c r="L1848" t="s">
        <v>16453</v>
      </c>
      <c r="M1848" t="s">
        <v>25</v>
      </c>
      <c r="N1848" t="s">
        <v>25</v>
      </c>
      <c r="O1848" t="s">
        <v>25</v>
      </c>
      <c r="P1848" t="s">
        <v>16454</v>
      </c>
      <c r="Q1848" t="s">
        <v>29</v>
      </c>
      <c r="R1848" t="s">
        <v>16451</v>
      </c>
      <c r="S1848" t="s">
        <v>16452</v>
      </c>
    </row>
    <row r="1849" spans="1:19" x14ac:dyDescent="0.25">
      <c r="A1849" s="1">
        <v>1847</v>
      </c>
      <c r="B1849" t="str">
        <f>HYPERLINK("https://www.dasschnelle.at/neurauter-seraphin-längenfeld-dorferau","Website")</f>
        <v>Website</v>
      </c>
      <c r="C1849" t="str">
        <f>HYPERLINK("http://www.wohndesign-sera.at","Website")</f>
        <v>Website</v>
      </c>
      <c r="D1849" t="str">
        <f>HYPERLINK("http://www.google.com/maps/place/47.09248,10.95041","Location")</f>
        <v>Location</v>
      </c>
      <c r="E1849" t="s">
        <v>16455</v>
      </c>
      <c r="F1849" t="s">
        <v>16456</v>
      </c>
      <c r="G1849" t="s">
        <v>8043</v>
      </c>
      <c r="H1849" t="s">
        <v>8044</v>
      </c>
      <c r="I1849" t="s">
        <v>21</v>
      </c>
      <c r="J1849" t="s">
        <v>22</v>
      </c>
      <c r="K1849" t="s">
        <v>16457</v>
      </c>
      <c r="L1849" t="s">
        <v>16460</v>
      </c>
      <c r="M1849" t="s">
        <v>25</v>
      </c>
      <c r="N1849" t="s">
        <v>16461</v>
      </c>
      <c r="O1849" t="s">
        <v>25</v>
      </c>
      <c r="P1849" t="s">
        <v>16462</v>
      </c>
      <c r="Q1849" t="s">
        <v>29</v>
      </c>
      <c r="R1849" t="s">
        <v>16458</v>
      </c>
      <c r="S1849" t="s">
        <v>16459</v>
      </c>
    </row>
    <row r="1850" spans="1:19" x14ac:dyDescent="0.25">
      <c r="A1850" s="1">
        <v>1848</v>
      </c>
      <c r="B1850" t="str">
        <f>HYPERLINK("https://www.dasschnelle.at/kral-alexander-henndorf-am-wallersee-hof","Website")</f>
        <v>Website</v>
      </c>
      <c r="C1850" t="str">
        <f>HYPERLINK("http://www.gaertnerei-kral.com","Website")</f>
        <v>Website</v>
      </c>
      <c r="D1850" t="str">
        <f>HYPERLINK("http://www.google.com/maps/place/47.8908079,13.2007757","Location")</f>
        <v>Location</v>
      </c>
      <c r="E1850" t="s">
        <v>16463</v>
      </c>
      <c r="F1850" t="s">
        <v>16464</v>
      </c>
      <c r="G1850" t="s">
        <v>16337</v>
      </c>
      <c r="H1850" t="s">
        <v>16338</v>
      </c>
      <c r="I1850" t="s">
        <v>2239</v>
      </c>
      <c r="J1850" t="s">
        <v>22</v>
      </c>
      <c r="K1850" t="s">
        <v>16465</v>
      </c>
      <c r="L1850" t="s">
        <v>16468</v>
      </c>
      <c r="M1850" t="s">
        <v>25</v>
      </c>
      <c r="N1850" t="s">
        <v>16469</v>
      </c>
      <c r="O1850" t="s">
        <v>25</v>
      </c>
      <c r="P1850" t="s">
        <v>16470</v>
      </c>
      <c r="Q1850" t="s">
        <v>29</v>
      </c>
      <c r="R1850" t="s">
        <v>16466</v>
      </c>
      <c r="S1850" t="s">
        <v>16467</v>
      </c>
    </row>
    <row r="1851" spans="1:19" x14ac:dyDescent="0.25">
      <c r="A1851" s="1">
        <v>1849</v>
      </c>
      <c r="B1851" t="str">
        <f>HYPERLINK("https://www.dasschnelle.at/haus-u-anlagentechnik-gmbh-berndorf-bei-salzburg-aigen","Website")</f>
        <v>Website</v>
      </c>
      <c r="C1851" t="str">
        <f>HYPERLINK("http://www.installateur-mieser.at","Website")</f>
        <v>Website</v>
      </c>
      <c r="D1851" t="str">
        <f>HYPERLINK("http://www.google.com/maps/place/47.9884,13.06835","Location")</f>
        <v>Location</v>
      </c>
      <c r="E1851" t="s">
        <v>16471</v>
      </c>
      <c r="F1851" t="s">
        <v>16472</v>
      </c>
      <c r="G1851" t="s">
        <v>2237</v>
      </c>
      <c r="H1851" t="s">
        <v>2238</v>
      </c>
      <c r="I1851" t="s">
        <v>2239</v>
      </c>
      <c r="J1851" t="s">
        <v>22</v>
      </c>
      <c r="K1851" t="s">
        <v>16473</v>
      </c>
      <c r="L1851" t="s">
        <v>16476</v>
      </c>
      <c r="M1851" t="s">
        <v>25</v>
      </c>
      <c r="N1851" t="s">
        <v>16477</v>
      </c>
      <c r="O1851" t="s">
        <v>16478</v>
      </c>
      <c r="P1851" t="s">
        <v>16479</v>
      </c>
      <c r="Q1851" t="s">
        <v>29</v>
      </c>
      <c r="R1851" t="s">
        <v>16474</v>
      </c>
      <c r="S1851" t="s">
        <v>16475</v>
      </c>
    </row>
    <row r="1852" spans="1:19" x14ac:dyDescent="0.25">
      <c r="A1852" s="1">
        <v>1850</v>
      </c>
      <c r="B1852" t="str">
        <f>HYPERLINK("https://www.dasschnelle.at/meister-andreas-schleedorf-lengried","Website")</f>
        <v>Website</v>
      </c>
      <c r="C1852" t="str">
        <f>HYPERLINK("https://www.dasschnelle.at/meister-andreas-schleedorf-lengried","Website")</f>
        <v>Website</v>
      </c>
      <c r="D1852" t="str">
        <f>HYPERLINK("http://www.google.com/maps/place/47.95757,13.16015","Location")</f>
        <v>Location</v>
      </c>
      <c r="E1852" t="s">
        <v>16480</v>
      </c>
      <c r="F1852" t="s">
        <v>16481</v>
      </c>
      <c r="G1852" t="s">
        <v>16422</v>
      </c>
      <c r="H1852" t="s">
        <v>16423</v>
      </c>
      <c r="I1852" t="s">
        <v>2239</v>
      </c>
      <c r="J1852" t="s">
        <v>22</v>
      </c>
      <c r="K1852" t="s">
        <v>16482</v>
      </c>
      <c r="L1852" t="s">
        <v>16485</v>
      </c>
      <c r="M1852" t="s">
        <v>25</v>
      </c>
      <c r="N1852" t="s">
        <v>16486</v>
      </c>
      <c r="O1852" t="s">
        <v>25</v>
      </c>
      <c r="P1852" t="s">
        <v>16487</v>
      </c>
      <c r="Q1852" t="s">
        <v>29</v>
      </c>
      <c r="R1852" t="s">
        <v>16483</v>
      </c>
      <c r="S1852" t="s">
        <v>16484</v>
      </c>
    </row>
    <row r="1853" spans="1:19" x14ac:dyDescent="0.25">
      <c r="A1853" s="1">
        <v>1851</v>
      </c>
      <c r="B1853" t="str">
        <f>HYPERLINK("https://www.dasschnelle.at/hm-bau-gmbh-perwang-am-grabensee-rudersberg","Website")</f>
        <v>Website</v>
      </c>
      <c r="C1853" t="str">
        <f>HYPERLINK("http://www.hmbau.info","Website")</f>
        <v>Website</v>
      </c>
      <c r="D1853" t="str">
        <f>HYPERLINK("http://www.google.com/maps/place/48.0253389,13.0593693","Location")</f>
        <v>Location</v>
      </c>
      <c r="E1853" t="s">
        <v>16488</v>
      </c>
      <c r="F1853" t="s">
        <v>16489</v>
      </c>
      <c r="G1853" t="s">
        <v>16491</v>
      </c>
      <c r="H1853" t="s">
        <v>16492</v>
      </c>
      <c r="I1853" t="s">
        <v>85</v>
      </c>
      <c r="J1853" t="s">
        <v>22</v>
      </c>
      <c r="K1853" t="s">
        <v>16490</v>
      </c>
      <c r="L1853" t="s">
        <v>16495</v>
      </c>
      <c r="M1853" t="s">
        <v>25</v>
      </c>
      <c r="N1853" t="s">
        <v>16496</v>
      </c>
      <c r="O1853" t="s">
        <v>16497</v>
      </c>
      <c r="P1853" t="s">
        <v>16498</v>
      </c>
      <c r="Q1853" t="s">
        <v>29</v>
      </c>
      <c r="R1853" t="s">
        <v>16493</v>
      </c>
      <c r="S1853" t="s">
        <v>16494</v>
      </c>
    </row>
    <row r="1854" spans="1:19" x14ac:dyDescent="0.25">
      <c r="A1854" s="1">
        <v>1852</v>
      </c>
      <c r="B1854" t="str">
        <f>HYPERLINK("https://www.dasschnelle.at/pötzelsberger-friedrich-obertrum-kirchstättstraße","Website")</f>
        <v>Website</v>
      </c>
      <c r="C1854" t="str">
        <f>HYPERLINK("http://www.poetzelsberger.com","Website")</f>
        <v>Website</v>
      </c>
      <c r="D1854" t="str">
        <f>HYPERLINK("http://www.google.com/maps/place/47.9368853,13.0701653","Location")</f>
        <v>Location</v>
      </c>
      <c r="E1854" t="s">
        <v>16499</v>
      </c>
      <c r="F1854" t="s">
        <v>16500</v>
      </c>
      <c r="G1854" t="s">
        <v>10429</v>
      </c>
      <c r="H1854" t="s">
        <v>10430</v>
      </c>
      <c r="I1854" t="s">
        <v>2239</v>
      </c>
      <c r="J1854" t="s">
        <v>22</v>
      </c>
      <c r="K1854" t="s">
        <v>16501</v>
      </c>
      <c r="L1854" t="s">
        <v>16504</v>
      </c>
      <c r="M1854" t="s">
        <v>25</v>
      </c>
      <c r="N1854" t="s">
        <v>16505</v>
      </c>
      <c r="O1854" t="s">
        <v>25</v>
      </c>
      <c r="P1854" t="s">
        <v>16506</v>
      </c>
      <c r="Q1854" t="s">
        <v>29</v>
      </c>
      <c r="R1854" t="s">
        <v>16502</v>
      </c>
      <c r="S1854" t="s">
        <v>16503</v>
      </c>
    </row>
    <row r="1855" spans="1:19" x14ac:dyDescent="0.25">
      <c r="A1855" s="1">
        <v>1853</v>
      </c>
      <c r="B1855" t="str">
        <f>HYPERLINK("https://www.dasschnelle.at/armin-struckl-glasbau-klagenfurt-völkermarkter-straße","Website")</f>
        <v>Website</v>
      </c>
      <c r="C1855" t="str">
        <f>HYPERLINK("http://www.glas-struckl.at","Website")</f>
        <v>Website</v>
      </c>
      <c r="D1855" t="str">
        <f>HYPERLINK("http://www.google.com/maps/place/46.6292453,14.3606692","Location")</f>
        <v>Location</v>
      </c>
      <c r="E1855" t="s">
        <v>16507</v>
      </c>
      <c r="F1855" t="s">
        <v>16508</v>
      </c>
      <c r="G1855" t="s">
        <v>16510</v>
      </c>
      <c r="H1855" t="s">
        <v>16511</v>
      </c>
      <c r="I1855" t="s">
        <v>25</v>
      </c>
      <c r="J1855" t="s">
        <v>22</v>
      </c>
      <c r="K1855" t="s">
        <v>16509</v>
      </c>
      <c r="L1855" t="s">
        <v>16514</v>
      </c>
      <c r="M1855" t="s">
        <v>25</v>
      </c>
      <c r="N1855" t="s">
        <v>16515</v>
      </c>
      <c r="O1855" t="s">
        <v>25</v>
      </c>
      <c r="P1855" t="s">
        <v>16516</v>
      </c>
      <c r="Q1855" t="s">
        <v>29</v>
      </c>
      <c r="R1855" t="s">
        <v>16512</v>
      </c>
      <c r="S1855" t="s">
        <v>16513</v>
      </c>
    </row>
    <row r="1856" spans="1:19" x14ac:dyDescent="0.25">
      <c r="A1856" s="1">
        <v>1854</v>
      </c>
      <c r="B1856" t="str">
        <f>HYPERLINK("https://www.dasschnelle.at/reichard-martin-mureck-bahnhofstraße","Website")</f>
        <v>Website</v>
      </c>
      <c r="C1856" t="str">
        <f>HYPERLINK("http://www.uniqa-reichard.at","Website")</f>
        <v>Website</v>
      </c>
      <c r="D1856" t="str">
        <f>HYPERLINK("http://www.google.com/maps/place/46.7078400,15.7715800","Location")</f>
        <v>Location</v>
      </c>
      <c r="E1856" t="s">
        <v>16517</v>
      </c>
      <c r="F1856" t="s">
        <v>16518</v>
      </c>
      <c r="G1856" t="s">
        <v>11727</v>
      </c>
      <c r="H1856" t="s">
        <v>11728</v>
      </c>
      <c r="I1856" t="s">
        <v>451</v>
      </c>
      <c r="J1856" t="s">
        <v>22</v>
      </c>
      <c r="K1856" t="s">
        <v>4581</v>
      </c>
      <c r="L1856" t="s">
        <v>16521</v>
      </c>
      <c r="M1856" t="s">
        <v>25</v>
      </c>
      <c r="N1856" t="s">
        <v>16522</v>
      </c>
      <c r="O1856" t="s">
        <v>25</v>
      </c>
      <c r="P1856" t="s">
        <v>16523</v>
      </c>
      <c r="Q1856" t="s">
        <v>29</v>
      </c>
      <c r="R1856" t="s">
        <v>16519</v>
      </c>
      <c r="S1856" t="s">
        <v>16520</v>
      </c>
    </row>
    <row r="1857" spans="1:19" x14ac:dyDescent="0.25">
      <c r="A1857" s="1">
        <v>1855</v>
      </c>
      <c r="B1857" t="str">
        <f>HYPERLINK("https://www.dasschnelle.at/sommer-matthias-bad-radkersburg-langgasse","Website")</f>
        <v>Website</v>
      </c>
      <c r="C1857" t="str">
        <f>HYPERLINK("https://www.dasschnelle.at/sommer-matthias-bad-radkersburg-langgasse","Website")</f>
        <v>Website</v>
      </c>
      <c r="D1857" t="str">
        <f>HYPERLINK("http://www.google.com/maps/place/46.6888,15.98644","Location")</f>
        <v>Location</v>
      </c>
      <c r="E1857" t="s">
        <v>16524</v>
      </c>
      <c r="F1857" t="s">
        <v>16525</v>
      </c>
      <c r="G1857" t="s">
        <v>11773</v>
      </c>
      <c r="H1857" t="s">
        <v>11791</v>
      </c>
      <c r="I1857" t="s">
        <v>451</v>
      </c>
      <c r="J1857" t="s">
        <v>22</v>
      </c>
      <c r="K1857" t="s">
        <v>16526</v>
      </c>
      <c r="L1857" t="s">
        <v>16529</v>
      </c>
      <c r="M1857" t="s">
        <v>25</v>
      </c>
      <c r="N1857" t="s">
        <v>16530</v>
      </c>
      <c r="O1857" t="s">
        <v>16531</v>
      </c>
      <c r="P1857" t="s">
        <v>16532</v>
      </c>
      <c r="Q1857" t="s">
        <v>29</v>
      </c>
      <c r="R1857" t="s">
        <v>16527</v>
      </c>
      <c r="S1857" t="s">
        <v>16528</v>
      </c>
    </row>
    <row r="1858" spans="1:19" x14ac:dyDescent="0.25">
      <c r="A1858" s="1">
        <v>1856</v>
      </c>
      <c r="B1858" t="str">
        <f>HYPERLINK("https://www.dasschnelle.at/doris-elisabeth-engel-bad-radkersburg-theatergasse","Website")</f>
        <v>Website</v>
      </c>
      <c r="C1858" t="str">
        <f>HYPERLINK("http://www.vulcanobeauty.at","Website")</f>
        <v>Website</v>
      </c>
      <c r="D1858" t="str">
        <f>HYPERLINK("http://www.google.com/maps/place/46.6876,15.98923","Location")</f>
        <v>Location</v>
      </c>
      <c r="E1858" t="s">
        <v>16533</v>
      </c>
      <c r="F1858" t="s">
        <v>16534</v>
      </c>
      <c r="G1858" t="s">
        <v>11773</v>
      </c>
      <c r="H1858" t="s">
        <v>11791</v>
      </c>
      <c r="I1858" t="s">
        <v>451</v>
      </c>
      <c r="J1858" t="s">
        <v>22</v>
      </c>
      <c r="K1858" t="s">
        <v>16535</v>
      </c>
      <c r="L1858" t="s">
        <v>16538</v>
      </c>
      <c r="M1858" t="s">
        <v>25</v>
      </c>
      <c r="N1858" t="s">
        <v>16539</v>
      </c>
      <c r="O1858" t="s">
        <v>25</v>
      </c>
      <c r="P1858" t="s">
        <v>16540</v>
      </c>
      <c r="Q1858" t="s">
        <v>29</v>
      </c>
      <c r="R1858" t="s">
        <v>16536</v>
      </c>
      <c r="S1858" t="s">
        <v>16537</v>
      </c>
    </row>
    <row r="1859" spans="1:19" x14ac:dyDescent="0.25">
      <c r="A1859" s="1">
        <v>1857</v>
      </c>
      <c r="B1859" t="str">
        <f>HYPERLINK("https://www.dasschnelle.at/woeber-patrick-ing-tannheim-vilsalpseestraße","Website")</f>
        <v>Website</v>
      </c>
      <c r="C1859" t="str">
        <f>HYPERLINK("http://www.transporte-woeber.at","Website")</f>
        <v>Website</v>
      </c>
      <c r="D1859" t="str">
        <f>HYPERLINK("http://www.google.com/maps/place/47.49821,10.51936","Location")</f>
        <v>Location</v>
      </c>
      <c r="E1859" t="s">
        <v>16541</v>
      </c>
      <c r="F1859" t="s">
        <v>16542</v>
      </c>
      <c r="G1859" t="s">
        <v>15275</v>
      </c>
      <c r="H1859" t="s">
        <v>15276</v>
      </c>
      <c r="I1859" t="s">
        <v>21</v>
      </c>
      <c r="J1859" t="s">
        <v>22</v>
      </c>
      <c r="K1859" t="s">
        <v>16543</v>
      </c>
      <c r="L1859" t="s">
        <v>16546</v>
      </c>
      <c r="M1859" t="s">
        <v>25</v>
      </c>
      <c r="N1859" t="s">
        <v>16547</v>
      </c>
      <c r="O1859" t="s">
        <v>25</v>
      </c>
      <c r="P1859" t="s">
        <v>16548</v>
      </c>
      <c r="Q1859" t="s">
        <v>29</v>
      </c>
      <c r="R1859" t="s">
        <v>16544</v>
      </c>
      <c r="S1859" t="s">
        <v>16545</v>
      </c>
    </row>
    <row r="1860" spans="1:19" x14ac:dyDescent="0.25">
      <c r="A1860" s="1">
        <v>1858</v>
      </c>
      <c r="B1860" t="str">
        <f>HYPERLINK("https://www.dasschnelle.at/waldhör-kurt-dr-bad-ischl-schulgasse","Website")</f>
        <v>Website</v>
      </c>
      <c r="C1860" t="str">
        <f>HYPERLINK("http://www.waldhoer.at","Website")</f>
        <v>Website</v>
      </c>
      <c r="D1860" t="str">
        <f>HYPERLINK("http://www.google.com/maps/place/47.71228,13.62163","Location")</f>
        <v>Location</v>
      </c>
      <c r="E1860" t="s">
        <v>16549</v>
      </c>
      <c r="F1860" t="s">
        <v>16550</v>
      </c>
      <c r="G1860" t="s">
        <v>2377</v>
      </c>
      <c r="H1860" t="s">
        <v>2378</v>
      </c>
      <c r="I1860" t="s">
        <v>85</v>
      </c>
      <c r="J1860" t="s">
        <v>22</v>
      </c>
      <c r="K1860" t="s">
        <v>16551</v>
      </c>
      <c r="L1860" t="s">
        <v>16554</v>
      </c>
      <c r="M1860" t="s">
        <v>25</v>
      </c>
      <c r="N1860" t="s">
        <v>16555</v>
      </c>
      <c r="O1860" t="s">
        <v>25</v>
      </c>
      <c r="P1860" t="s">
        <v>16556</v>
      </c>
      <c r="Q1860" t="s">
        <v>29</v>
      </c>
      <c r="R1860" t="s">
        <v>16552</v>
      </c>
      <c r="S1860" t="s">
        <v>16553</v>
      </c>
    </row>
    <row r="1861" spans="1:19" x14ac:dyDescent="0.25">
      <c r="A1861" s="1">
        <v>1859</v>
      </c>
      <c r="B1861" t="str">
        <f>HYPERLINK("https://www.dasschnelle.at/schennach-claudia-mag-reutte-claudiastraße","Website")</f>
        <v>Website</v>
      </c>
      <c r="C1861" t="str">
        <f>HYPERLINK("http://www.psychotherapie.at/schennach","Website")</f>
        <v>Website</v>
      </c>
      <c r="D1861" t="str">
        <f>HYPERLINK("http://www.google.com/maps/place/47.48645,10.72233","Location")</f>
        <v>Location</v>
      </c>
      <c r="E1861" t="s">
        <v>16557</v>
      </c>
      <c r="F1861" t="s">
        <v>16558</v>
      </c>
      <c r="G1861" t="s">
        <v>6823</v>
      </c>
      <c r="H1861" t="s">
        <v>6824</v>
      </c>
      <c r="I1861" t="s">
        <v>21</v>
      </c>
      <c r="J1861" t="s">
        <v>22</v>
      </c>
      <c r="K1861" t="s">
        <v>16559</v>
      </c>
      <c r="L1861" t="s">
        <v>16562</v>
      </c>
      <c r="M1861" t="s">
        <v>25</v>
      </c>
      <c r="N1861" t="s">
        <v>16563</v>
      </c>
      <c r="O1861" t="s">
        <v>25</v>
      </c>
      <c r="P1861" t="s">
        <v>16564</v>
      </c>
      <c r="Q1861" t="s">
        <v>29</v>
      </c>
      <c r="R1861" t="s">
        <v>16560</v>
      </c>
      <c r="S1861" t="s">
        <v>16561</v>
      </c>
    </row>
    <row r="1862" spans="1:19" x14ac:dyDescent="0.25">
      <c r="A1862" s="1">
        <v>1860</v>
      </c>
      <c r="B1862" t="str">
        <f>HYPERLINK("https://www.dasschnelle.at/dobler-walter-dr-eferding-bäckergasse","Website")</f>
        <v>Website</v>
      </c>
      <c r="C1862" t="str">
        <f>HYPERLINK("http://www.notariat-eferding.at","Website")</f>
        <v>Website</v>
      </c>
      <c r="D1862" t="str">
        <f>HYPERLINK("http://www.google.com/maps/place/48.3084100,14.0240200","Location")</f>
        <v>Location</v>
      </c>
      <c r="E1862" t="s">
        <v>16565</v>
      </c>
      <c r="F1862" t="s">
        <v>16566</v>
      </c>
      <c r="G1862" t="s">
        <v>3101</v>
      </c>
      <c r="H1862" t="s">
        <v>3102</v>
      </c>
      <c r="I1862" t="s">
        <v>85</v>
      </c>
      <c r="J1862" t="s">
        <v>22</v>
      </c>
      <c r="K1862" t="s">
        <v>16567</v>
      </c>
      <c r="L1862" t="s">
        <v>16570</v>
      </c>
      <c r="M1862" t="s">
        <v>25</v>
      </c>
      <c r="N1862" t="s">
        <v>16571</v>
      </c>
      <c r="O1862" t="s">
        <v>16572</v>
      </c>
      <c r="P1862" t="s">
        <v>16573</v>
      </c>
      <c r="Q1862" t="s">
        <v>29</v>
      </c>
      <c r="R1862" t="s">
        <v>16568</v>
      </c>
      <c r="S1862" t="s">
        <v>16569</v>
      </c>
    </row>
    <row r="1863" spans="1:19" x14ac:dyDescent="0.25">
      <c r="A1863" s="1">
        <v>1861</v>
      </c>
      <c r="B1863" t="str">
        <f>HYPERLINK("https://www.dasschnelle.at/pirkl-gamper-barbara-dr-schwaiger-moosbrugger-elke-dr-fieberbrunn-rosenegg","Website")</f>
        <v>Website</v>
      </c>
      <c r="C1863" t="str">
        <f>HYPERLINK("https://www.dasschnelle.at/pirkl-gamper-barbara-dr-schwaiger-moosbrugger-elke-dr-fieberbrunn-rosenegg","Website")</f>
        <v>Website</v>
      </c>
      <c r="D1863" t="str">
        <f>HYPERLINK("http://www.google.com/maps/place/47.48708,12.53094","Location")</f>
        <v>Location</v>
      </c>
      <c r="E1863" t="s">
        <v>16574</v>
      </c>
      <c r="F1863" t="s">
        <v>16575</v>
      </c>
      <c r="G1863" t="s">
        <v>16577</v>
      </c>
      <c r="H1863" t="s">
        <v>16578</v>
      </c>
      <c r="I1863" t="s">
        <v>21</v>
      </c>
      <c r="J1863" t="s">
        <v>22</v>
      </c>
      <c r="K1863" t="s">
        <v>16576</v>
      </c>
      <c r="L1863" t="s">
        <v>16581</v>
      </c>
      <c r="M1863" t="s">
        <v>25</v>
      </c>
      <c r="N1863" t="s">
        <v>16582</v>
      </c>
      <c r="O1863" t="s">
        <v>25</v>
      </c>
      <c r="P1863" t="s">
        <v>16583</v>
      </c>
      <c r="Q1863" t="s">
        <v>29</v>
      </c>
      <c r="R1863" t="s">
        <v>16579</v>
      </c>
      <c r="S1863" t="s">
        <v>16580</v>
      </c>
    </row>
    <row r="1864" spans="1:19" x14ac:dyDescent="0.25">
      <c r="A1864" s="1">
        <v>1862</v>
      </c>
      <c r="B1864" t="str">
        <f>HYPERLINK("https://www.dasschnelle.at/eder-johannes-mattsee-salzburger-straße","Website")</f>
        <v>Website</v>
      </c>
      <c r="C1864" t="str">
        <f>HYPERLINK("http://www.edersails.at","Website")</f>
        <v>Website</v>
      </c>
      <c r="D1864" t="str">
        <f>HYPERLINK("http://www.google.com/maps/place/47.96882,13.10353","Location")</f>
        <v>Location</v>
      </c>
      <c r="E1864" t="s">
        <v>16584</v>
      </c>
      <c r="F1864" t="s">
        <v>16585</v>
      </c>
      <c r="G1864" t="s">
        <v>10394</v>
      </c>
      <c r="H1864" t="s">
        <v>10395</v>
      </c>
      <c r="I1864" t="s">
        <v>2239</v>
      </c>
      <c r="J1864" t="s">
        <v>22</v>
      </c>
      <c r="K1864" t="s">
        <v>16586</v>
      </c>
      <c r="L1864" t="s">
        <v>16589</v>
      </c>
      <c r="M1864" t="s">
        <v>25</v>
      </c>
      <c r="N1864" t="s">
        <v>16590</v>
      </c>
      <c r="O1864" t="s">
        <v>25</v>
      </c>
      <c r="P1864" t="s">
        <v>16591</v>
      </c>
      <c r="Q1864" t="s">
        <v>29</v>
      </c>
      <c r="R1864" t="s">
        <v>16587</v>
      </c>
      <c r="S1864" t="s">
        <v>16588</v>
      </c>
    </row>
    <row r="1865" spans="1:19" x14ac:dyDescent="0.25">
      <c r="A1865" s="1">
        <v>1863</v>
      </c>
      <c r="B1865" t="str">
        <f>HYPERLINK("https://www.dasschnelle.at/thonhofer-gerald-eugendorf-nordstraße","Website")</f>
        <v>Website</v>
      </c>
      <c r="C1865" t="str">
        <f>HYPERLINK("http://www.thonhofer.at","Website")</f>
        <v>Website</v>
      </c>
      <c r="D1865" t="str">
        <f>HYPERLINK("http://www.google.com/maps/place/47.87043,13.12598","Location")</f>
        <v>Location</v>
      </c>
      <c r="E1865" t="s">
        <v>16592</v>
      </c>
      <c r="F1865" t="s">
        <v>16593</v>
      </c>
      <c r="G1865" t="s">
        <v>10439</v>
      </c>
      <c r="H1865" t="s">
        <v>10440</v>
      </c>
      <c r="I1865" t="s">
        <v>2239</v>
      </c>
      <c r="J1865" t="s">
        <v>22</v>
      </c>
      <c r="K1865" t="s">
        <v>16594</v>
      </c>
      <c r="L1865" t="s">
        <v>16597</v>
      </c>
      <c r="M1865" t="s">
        <v>25</v>
      </c>
      <c r="N1865" t="s">
        <v>16598</v>
      </c>
      <c r="O1865" t="s">
        <v>16599</v>
      </c>
      <c r="P1865" t="s">
        <v>16600</v>
      </c>
      <c r="Q1865" t="s">
        <v>29</v>
      </c>
      <c r="R1865" t="s">
        <v>16595</v>
      </c>
      <c r="S1865" t="s">
        <v>16596</v>
      </c>
    </row>
    <row r="1866" spans="1:19" x14ac:dyDescent="0.25">
      <c r="A1866" s="1">
        <v>1864</v>
      </c>
      <c r="B1866" t="str">
        <f>HYPERLINK("https://www.dasschnelle.at/enzi-markus-deutschlandsberg-wolfgangiweg","Website")</f>
        <v>Website</v>
      </c>
      <c r="C1866" t="str">
        <f>HYPERLINK("http://www.maler-enzi.com","Website")</f>
        <v>Website</v>
      </c>
      <c r="D1866" t="str">
        <f>HYPERLINK("http://www.google.com/maps/place/46.80015,15.20729","Location")</f>
        <v>Location</v>
      </c>
      <c r="E1866" t="s">
        <v>16601</v>
      </c>
      <c r="F1866" t="s">
        <v>16602</v>
      </c>
      <c r="G1866" t="s">
        <v>2921</v>
      </c>
      <c r="H1866" t="s">
        <v>2922</v>
      </c>
      <c r="I1866" t="s">
        <v>451</v>
      </c>
      <c r="J1866" t="s">
        <v>22</v>
      </c>
      <c r="K1866" t="s">
        <v>16603</v>
      </c>
      <c r="L1866" t="s">
        <v>16606</v>
      </c>
      <c r="M1866" t="s">
        <v>25</v>
      </c>
      <c r="N1866" t="s">
        <v>16607</v>
      </c>
      <c r="O1866" t="s">
        <v>25</v>
      </c>
      <c r="P1866" t="s">
        <v>16608</v>
      </c>
      <c r="Q1866" t="s">
        <v>29</v>
      </c>
      <c r="R1866" t="s">
        <v>16604</v>
      </c>
      <c r="S1866" t="s">
        <v>16605</v>
      </c>
    </row>
    <row r="1867" spans="1:19" x14ac:dyDescent="0.25">
      <c r="A1867" s="1">
        <v>1865</v>
      </c>
      <c r="B1867" t="str">
        <f>HYPERLINK("https://www.dasschnelle.at/malerei-mowa-völkermarkt-gurtschitschach","Website")</f>
        <v>Website</v>
      </c>
      <c r="C1867" t="str">
        <f>HYPERLINK("https://www.dasschnelle.at/malerei-mowa-v%C3%B6lkermarkt-gurtschitschach","Website")</f>
        <v>Website</v>
      </c>
      <c r="D1867" t="str">
        <f>HYPERLINK("http://www.google.com/maps/place/46.6378500,14.6735300","Location")</f>
        <v>Location</v>
      </c>
      <c r="E1867" t="s">
        <v>16609</v>
      </c>
      <c r="F1867" t="s">
        <v>16610</v>
      </c>
      <c r="G1867" t="s">
        <v>5079</v>
      </c>
      <c r="H1867" t="s">
        <v>5080</v>
      </c>
      <c r="I1867" t="s">
        <v>4130</v>
      </c>
      <c r="J1867" t="s">
        <v>22</v>
      </c>
      <c r="K1867" t="s">
        <v>16611</v>
      </c>
      <c r="L1867" t="s">
        <v>16614</v>
      </c>
      <c r="M1867" t="s">
        <v>25</v>
      </c>
      <c r="N1867" t="s">
        <v>16615</v>
      </c>
      <c r="O1867" t="s">
        <v>25</v>
      </c>
      <c r="P1867" t="s">
        <v>16616</v>
      </c>
      <c r="Q1867" t="s">
        <v>29</v>
      </c>
      <c r="R1867" t="s">
        <v>16612</v>
      </c>
      <c r="S1867" t="s">
        <v>16613</v>
      </c>
    </row>
    <row r="1868" spans="1:19" x14ac:dyDescent="0.25">
      <c r="A1868" s="1">
        <v>1866</v>
      </c>
      <c r="B1868" t="str">
        <f>HYPERLINK("https://www.dasschnelle.at/metallbau-schuschou-kühnsdorf-humtschach","Website")</f>
        <v>Website</v>
      </c>
      <c r="C1868" t="str">
        <f>HYPERLINK("http://www.mb-s.at","Website")</f>
        <v>Website</v>
      </c>
      <c r="D1868" t="str">
        <f>HYPERLINK("http://www.google.com/maps/place/46.6285695,14.7138511","Location")</f>
        <v>Location</v>
      </c>
      <c r="E1868" t="s">
        <v>16617</v>
      </c>
      <c r="F1868" t="s">
        <v>16618</v>
      </c>
      <c r="G1868" t="s">
        <v>5206</v>
      </c>
      <c r="H1868" t="s">
        <v>5207</v>
      </c>
      <c r="I1868" t="s">
        <v>4130</v>
      </c>
      <c r="J1868" t="s">
        <v>22</v>
      </c>
      <c r="K1868" t="s">
        <v>16619</v>
      </c>
      <c r="L1868" t="s">
        <v>16622</v>
      </c>
      <c r="M1868" t="s">
        <v>25</v>
      </c>
      <c r="N1868" t="s">
        <v>16623</v>
      </c>
      <c r="O1868" t="s">
        <v>16624</v>
      </c>
      <c r="P1868" t="s">
        <v>16625</v>
      </c>
      <c r="Q1868" t="s">
        <v>29</v>
      </c>
      <c r="R1868" t="s">
        <v>16620</v>
      </c>
      <c r="S1868" t="s">
        <v>16621</v>
      </c>
    </row>
    <row r="1869" spans="1:19" x14ac:dyDescent="0.25">
      <c r="A1869" s="1">
        <v>1867</v>
      </c>
      <c r="B1869" t="str">
        <f>HYPERLINK("https://www.dasschnelle.at/spätauf-josef-bad-radkersburg-zeltingerstraße","Website")</f>
        <v>Website</v>
      </c>
      <c r="C1869" t="str">
        <f>HYPERLINK("http://www.seniorenheimelisabeth.com","Website")</f>
        <v>Website</v>
      </c>
      <c r="D1869" t="str">
        <f>HYPERLINK("http://www.google.com/maps/place/46.69842,15.99843","Location")</f>
        <v>Location</v>
      </c>
      <c r="E1869" t="s">
        <v>16626</v>
      </c>
      <c r="F1869" t="s">
        <v>16627</v>
      </c>
      <c r="G1869" t="s">
        <v>11773</v>
      </c>
      <c r="H1869" t="s">
        <v>11791</v>
      </c>
      <c r="I1869" t="s">
        <v>451</v>
      </c>
      <c r="J1869" t="s">
        <v>22</v>
      </c>
      <c r="K1869" t="s">
        <v>16628</v>
      </c>
      <c r="L1869" t="s">
        <v>16629</v>
      </c>
      <c r="M1869" t="s">
        <v>25</v>
      </c>
      <c r="N1869" t="s">
        <v>16630</v>
      </c>
      <c r="O1869" t="s">
        <v>16631</v>
      </c>
      <c r="P1869" t="s">
        <v>16632</v>
      </c>
      <c r="Q1869" t="s">
        <v>29</v>
      </c>
      <c r="R1869" t="s">
        <v>16318</v>
      </c>
      <c r="S1869" t="s">
        <v>16319</v>
      </c>
    </row>
    <row r="1870" spans="1:19" x14ac:dyDescent="0.25">
      <c r="A1870" s="1">
        <v>1868</v>
      </c>
      <c r="B1870" t="str">
        <f>HYPERLINK("https://www.dasschnelle.at/rasen-schmitzberger-ehrwald-kirchplatz","Website")</f>
        <v>Website</v>
      </c>
      <c r="C1870" t="str">
        <f>HYPERLINK("http://www.rasen-schmitzberger.at","Website")</f>
        <v>Website</v>
      </c>
      <c r="D1870" t="str">
        <f>HYPERLINK("http://www.google.com/maps/place/47.3983066,10.9198434","Location")</f>
        <v>Location</v>
      </c>
      <c r="E1870" t="s">
        <v>16633</v>
      </c>
      <c r="F1870" t="s">
        <v>16634</v>
      </c>
      <c r="G1870" t="s">
        <v>14930</v>
      </c>
      <c r="H1870" t="s">
        <v>14931</v>
      </c>
      <c r="I1870" t="s">
        <v>21</v>
      </c>
      <c r="J1870" t="s">
        <v>22</v>
      </c>
      <c r="K1870" t="s">
        <v>16635</v>
      </c>
      <c r="L1870" t="s">
        <v>16638</v>
      </c>
      <c r="M1870" t="s">
        <v>25</v>
      </c>
      <c r="N1870" t="s">
        <v>16639</v>
      </c>
      <c r="O1870" t="s">
        <v>25</v>
      </c>
      <c r="P1870" t="s">
        <v>16640</v>
      </c>
      <c r="Q1870" t="s">
        <v>29</v>
      </c>
      <c r="R1870" t="s">
        <v>16636</v>
      </c>
      <c r="S1870" t="s">
        <v>16637</v>
      </c>
    </row>
    <row r="1871" spans="1:19" x14ac:dyDescent="0.25">
      <c r="A1871" s="1">
        <v>1869</v>
      </c>
      <c r="B1871" t="str">
        <f>HYPERLINK("https://www.dasschnelle.at/belgin-coiffeurs-ehrwald-müllerhofweg-am-römerplatz","Website")</f>
        <v>Website</v>
      </c>
      <c r="C1871" t="str">
        <f>HYPERLINK("https://www.dasschnelle.at/belgin-coiffeurs-ehrwald-m%C3%BCllerhofweg-am-r%C3%B6merplatz","Website")</f>
        <v>Website</v>
      </c>
      <c r="D1871" t="str">
        <f>HYPERLINK("http://www.google.com/maps/place/47.39993,10.92068","Location")</f>
        <v>Location</v>
      </c>
      <c r="E1871" t="s">
        <v>16641</v>
      </c>
      <c r="F1871" t="s">
        <v>16642</v>
      </c>
      <c r="G1871" t="s">
        <v>14930</v>
      </c>
      <c r="H1871" t="s">
        <v>14931</v>
      </c>
      <c r="I1871" t="s">
        <v>21</v>
      </c>
      <c r="J1871" t="s">
        <v>22</v>
      </c>
      <c r="K1871" t="s">
        <v>16643</v>
      </c>
      <c r="L1871" t="s">
        <v>16646</v>
      </c>
      <c r="M1871" t="s">
        <v>25</v>
      </c>
      <c r="N1871" t="s">
        <v>16647</v>
      </c>
      <c r="O1871" t="s">
        <v>25</v>
      </c>
      <c r="P1871" t="s">
        <v>16648</v>
      </c>
      <c r="Q1871" t="s">
        <v>29</v>
      </c>
      <c r="R1871" t="s">
        <v>16644</v>
      </c>
      <c r="S1871" t="s">
        <v>16645</v>
      </c>
    </row>
    <row r="1872" spans="1:19" x14ac:dyDescent="0.25">
      <c r="A1872" s="1">
        <v>1870</v>
      </c>
      <c r="B1872" t="str">
        <f>HYPERLINK("https://www.dasschnelle.at/plunger-hamminger-elisabeth-dr-braunau-am-inn-stadtplatz","Website")</f>
        <v>Website</v>
      </c>
      <c r="C1872" t="str">
        <f>HYPERLINK("http://www.kinderaerztin-braunau.at","Website")</f>
        <v>Website</v>
      </c>
      <c r="D1872" t="str">
        <f>HYPERLINK("http://www.google.com/maps/place/48.2592629,13.0345698","Location")</f>
        <v>Location</v>
      </c>
      <c r="E1872" t="s">
        <v>16649</v>
      </c>
      <c r="F1872" t="s">
        <v>16650</v>
      </c>
      <c r="G1872" t="s">
        <v>1289</v>
      </c>
      <c r="H1872" t="s">
        <v>1310</v>
      </c>
      <c r="I1872" t="s">
        <v>85</v>
      </c>
      <c r="J1872" t="s">
        <v>22</v>
      </c>
      <c r="K1872" t="s">
        <v>1438</v>
      </c>
      <c r="L1872" t="s">
        <v>16653</v>
      </c>
      <c r="M1872" t="s">
        <v>25</v>
      </c>
      <c r="N1872" t="s">
        <v>16654</v>
      </c>
      <c r="O1872" t="s">
        <v>16655</v>
      </c>
      <c r="P1872" t="s">
        <v>16656</v>
      </c>
      <c r="Q1872" t="s">
        <v>29</v>
      </c>
      <c r="R1872" t="s">
        <v>16651</v>
      </c>
      <c r="S1872" t="s">
        <v>16652</v>
      </c>
    </row>
    <row r="1873" spans="1:19" x14ac:dyDescent="0.25">
      <c r="A1873" s="1">
        <v>1871</v>
      </c>
      <c r="B1873" t="str">
        <f>HYPERLINK("https://www.dasschnelle.at/bergmann-fritz-dr-med-dent-ach-ach","Website")</f>
        <v>Website</v>
      </c>
      <c r="C1873" t="str">
        <f>HYPERLINK("http://www.dr-bergmann.info","Website")</f>
        <v>Website</v>
      </c>
      <c r="D1873" t="str">
        <f>HYPERLINK("http://www.google.com/maps/place/48.1553609,12.8335996","Location")</f>
        <v>Location</v>
      </c>
      <c r="E1873" t="s">
        <v>16657</v>
      </c>
      <c r="F1873" t="s">
        <v>16658</v>
      </c>
      <c r="G1873" t="s">
        <v>16660</v>
      </c>
      <c r="H1873" t="s">
        <v>16661</v>
      </c>
      <c r="I1873" t="s">
        <v>85</v>
      </c>
      <c r="J1873" t="s">
        <v>22</v>
      </c>
      <c r="K1873" t="s">
        <v>16659</v>
      </c>
      <c r="L1873" t="s">
        <v>16664</v>
      </c>
      <c r="M1873" t="s">
        <v>25</v>
      </c>
      <c r="N1873" t="s">
        <v>16665</v>
      </c>
      <c r="O1873" t="s">
        <v>25</v>
      </c>
      <c r="P1873" t="s">
        <v>16666</v>
      </c>
      <c r="Q1873" t="s">
        <v>29</v>
      </c>
      <c r="R1873" t="s">
        <v>16662</v>
      </c>
      <c r="S1873" t="s">
        <v>16663</v>
      </c>
    </row>
    <row r="1874" spans="1:19" x14ac:dyDescent="0.25">
      <c r="A1874" s="1">
        <v>1872</v>
      </c>
      <c r="B1874" t="str">
        <f>HYPERLINK("https://www.dasschnelle.at/elbe-markus-globasnitz-globasnitz","Website")</f>
        <v>Website</v>
      </c>
      <c r="C1874" t="str">
        <f>HYPERLINK("https://www.dasschnelle.at/elbe-markus-globasnitz-globasnitz","Website")</f>
        <v>Website</v>
      </c>
      <c r="D1874" t="str">
        <f>HYPERLINK("http://www.google.com/maps/place/46.5444819,14.7062561","Location")</f>
        <v>Location</v>
      </c>
      <c r="E1874" t="s">
        <v>16667</v>
      </c>
      <c r="F1874" t="s">
        <v>16668</v>
      </c>
      <c r="G1874" t="s">
        <v>16179</v>
      </c>
      <c r="H1874" t="s">
        <v>16180</v>
      </c>
      <c r="I1874" t="s">
        <v>4130</v>
      </c>
      <c r="J1874" t="s">
        <v>22</v>
      </c>
      <c r="K1874" t="s">
        <v>16669</v>
      </c>
      <c r="L1874" t="s">
        <v>16672</v>
      </c>
      <c r="M1874" t="s">
        <v>25</v>
      </c>
      <c r="N1874" t="s">
        <v>16673</v>
      </c>
      <c r="O1874" t="s">
        <v>25</v>
      </c>
      <c r="P1874" t="s">
        <v>16674</v>
      </c>
      <c r="Q1874" t="s">
        <v>29</v>
      </c>
      <c r="R1874" t="s">
        <v>16670</v>
      </c>
      <c r="S1874" t="s">
        <v>16671</v>
      </c>
    </row>
    <row r="1875" spans="1:19" x14ac:dyDescent="0.25">
      <c r="A1875" s="1">
        <v>1873</v>
      </c>
      <c r="B1875" t="str">
        <f>HYPERLINK("https://www.dasschnelle.at/haigerer-sieglinde-seekirchen-am-wallersee-mathias-bayrhammer-straße","Website")</f>
        <v>Website</v>
      </c>
      <c r="C1875" t="str">
        <f>HYPERLINK("http://www.salonsieglinde.at","Website")</f>
        <v>Website</v>
      </c>
      <c r="D1875" t="str">
        <f>HYPERLINK("http://www.google.com/maps/place/47.8927300,13.1238300","Location")</f>
        <v>Location</v>
      </c>
      <c r="E1875" t="s">
        <v>16675</v>
      </c>
      <c r="F1875" t="s">
        <v>16676</v>
      </c>
      <c r="G1875" t="s">
        <v>1412</v>
      </c>
      <c r="H1875" t="s">
        <v>10367</v>
      </c>
      <c r="I1875" t="s">
        <v>2239</v>
      </c>
      <c r="J1875" t="s">
        <v>22</v>
      </c>
      <c r="K1875" t="s">
        <v>16677</v>
      </c>
      <c r="L1875" t="s">
        <v>16680</v>
      </c>
      <c r="M1875" t="s">
        <v>25</v>
      </c>
      <c r="N1875" t="s">
        <v>16681</v>
      </c>
      <c r="O1875" t="s">
        <v>25</v>
      </c>
      <c r="P1875" t="s">
        <v>16682</v>
      </c>
      <c r="Q1875" t="s">
        <v>29</v>
      </c>
      <c r="R1875" t="s">
        <v>16678</v>
      </c>
      <c r="S1875" t="s">
        <v>16679</v>
      </c>
    </row>
    <row r="1876" spans="1:19" x14ac:dyDescent="0.25">
      <c r="A1876" s="1">
        <v>1874</v>
      </c>
      <c r="B1876" t="str">
        <f>HYPERLINK("https://www.dasschnelle.at/redmann-franz-bruck-an-der-leitha-lagerstraße","Website")</f>
        <v>Website</v>
      </c>
      <c r="C1876" t="str">
        <f>HYPERLINK("http://www.angelzentrum.at","Website")</f>
        <v>Website</v>
      </c>
      <c r="D1876" t="str">
        <f>HYPERLINK("http://www.google.com/maps/place/48.0181936,16.7779835","Location")</f>
        <v>Location</v>
      </c>
      <c r="E1876" t="s">
        <v>16683</v>
      </c>
      <c r="F1876" t="s">
        <v>16684</v>
      </c>
      <c r="G1876" t="s">
        <v>1769</v>
      </c>
      <c r="H1876" t="s">
        <v>14565</v>
      </c>
      <c r="I1876" t="s">
        <v>177</v>
      </c>
      <c r="J1876" t="s">
        <v>22</v>
      </c>
      <c r="K1876" t="s">
        <v>16685</v>
      </c>
      <c r="L1876" t="s">
        <v>16688</v>
      </c>
      <c r="M1876" t="s">
        <v>25</v>
      </c>
      <c r="N1876" t="s">
        <v>16689</v>
      </c>
      <c r="O1876" t="s">
        <v>25</v>
      </c>
      <c r="P1876" t="s">
        <v>16690</v>
      </c>
      <c r="Q1876" t="s">
        <v>29</v>
      </c>
      <c r="R1876" t="s">
        <v>16686</v>
      </c>
      <c r="S1876" t="s">
        <v>16687</v>
      </c>
    </row>
    <row r="1877" spans="1:19" x14ac:dyDescent="0.25">
      <c r="A1877" s="1">
        <v>1875</v>
      </c>
      <c r="B1877" t="str">
        <f>HYPERLINK("https://www.dasschnelle.at/drack-jutta-mag-grünau-im-almtal-redlmühle","Website")</f>
        <v>Website</v>
      </c>
      <c r="C1877" t="str">
        <f>HYPERLINK("http://www.tierarzt-drack.at","Website")</f>
        <v>Website</v>
      </c>
      <c r="D1877" t="str">
        <f>HYPERLINK("http://www.google.com/maps/place/47.8672855,13.9433415","Location")</f>
        <v>Location</v>
      </c>
      <c r="E1877" t="s">
        <v>16691</v>
      </c>
      <c r="F1877" t="s">
        <v>16692</v>
      </c>
      <c r="G1877" t="s">
        <v>7035</v>
      </c>
      <c r="H1877" t="s">
        <v>7036</v>
      </c>
      <c r="I1877" t="s">
        <v>85</v>
      </c>
      <c r="J1877" t="s">
        <v>22</v>
      </c>
      <c r="K1877" t="s">
        <v>16693</v>
      </c>
      <c r="L1877" t="s">
        <v>16696</v>
      </c>
      <c r="M1877" t="s">
        <v>25</v>
      </c>
      <c r="N1877" t="s">
        <v>16697</v>
      </c>
      <c r="O1877" t="s">
        <v>25</v>
      </c>
      <c r="P1877" t="s">
        <v>16698</v>
      </c>
      <c r="Q1877" t="s">
        <v>29</v>
      </c>
      <c r="R1877" t="s">
        <v>16694</v>
      </c>
      <c r="S1877" t="s">
        <v>16695</v>
      </c>
    </row>
    <row r="1878" spans="1:19" x14ac:dyDescent="0.25">
      <c r="A1878" s="1">
        <v>1876</v>
      </c>
      <c r="B1878" t="str">
        <f>HYPERLINK("https://www.dasschnelle.at/tscherteu-robert-gallizien","Website")</f>
        <v>Website</v>
      </c>
      <c r="C1878" t="str">
        <f>HYPERLINK("https://www.dasschnelle.at/tscherteu-robert-gallizien","Website")</f>
        <v>Website</v>
      </c>
      <c r="D1878" t="str">
        <f>HYPERLINK("http://www.google.com/maps/place/46.5543895,14.5084757","Location")</f>
        <v>Location</v>
      </c>
      <c r="E1878" t="s">
        <v>16699</v>
      </c>
      <c r="F1878" t="s">
        <v>16700</v>
      </c>
      <c r="G1878" t="s">
        <v>16701</v>
      </c>
      <c r="H1878" t="s">
        <v>16702</v>
      </c>
      <c r="I1878" t="s">
        <v>4130</v>
      </c>
      <c r="J1878" t="s">
        <v>22</v>
      </c>
      <c r="K1878" t="s">
        <v>25</v>
      </c>
      <c r="L1878" t="s">
        <v>16705</v>
      </c>
      <c r="M1878" t="s">
        <v>25</v>
      </c>
      <c r="N1878" t="s">
        <v>16706</v>
      </c>
      <c r="O1878" t="s">
        <v>25</v>
      </c>
      <c r="P1878" t="s">
        <v>16707</v>
      </c>
      <c r="Q1878" t="s">
        <v>29</v>
      </c>
      <c r="R1878" t="s">
        <v>16703</v>
      </c>
      <c r="S1878" t="s">
        <v>16704</v>
      </c>
    </row>
    <row r="1879" spans="1:19" x14ac:dyDescent="0.25">
      <c r="A1879" s="1">
        <v>1877</v>
      </c>
      <c r="B1879" t="str">
        <f>HYPERLINK("https://www.dasschnelle.at/maschinenring-grenzland-halbenrain-halbenrain","Website")</f>
        <v>Website</v>
      </c>
      <c r="C1879" t="str">
        <f>HYPERLINK("http://www.maschinenring.at","Website")</f>
        <v>Website</v>
      </c>
      <c r="D1879" t="str">
        <f>HYPERLINK("http://www.google.com/maps/place/46.7216804,15.9472072","Location")</f>
        <v>Location</v>
      </c>
      <c r="E1879" t="s">
        <v>16708</v>
      </c>
      <c r="F1879" t="s">
        <v>16709</v>
      </c>
      <c r="G1879" t="s">
        <v>16208</v>
      </c>
      <c r="H1879" t="s">
        <v>16209</v>
      </c>
      <c r="I1879" t="s">
        <v>451</v>
      </c>
      <c r="J1879" t="s">
        <v>22</v>
      </c>
      <c r="K1879" t="s">
        <v>16710</v>
      </c>
      <c r="L1879" t="s">
        <v>16713</v>
      </c>
      <c r="M1879" t="s">
        <v>25</v>
      </c>
      <c r="N1879" t="s">
        <v>16714</v>
      </c>
      <c r="O1879" t="s">
        <v>25</v>
      </c>
      <c r="P1879" t="s">
        <v>16715</v>
      </c>
      <c r="Q1879" t="s">
        <v>29</v>
      </c>
      <c r="R1879" t="s">
        <v>16711</v>
      </c>
      <c r="S1879" t="s">
        <v>16712</v>
      </c>
    </row>
    <row r="1880" spans="1:19" x14ac:dyDescent="0.25">
      <c r="A1880" s="1">
        <v>1878</v>
      </c>
      <c r="B1880" t="str">
        <f>HYPERLINK("https://www.dasschnelle.at/schelch-sieglinde-straden-waasen-am-berg","Website")</f>
        <v>Website</v>
      </c>
      <c r="C1880" t="str">
        <f>HYPERLINK("http://www.hafnermeisterin.at","Website")</f>
        <v>Website</v>
      </c>
      <c r="D1880" t="str">
        <f>HYPERLINK("http://www.google.com/maps/place/46.8232409,15.8371786","Location")</f>
        <v>Location</v>
      </c>
      <c r="E1880" t="s">
        <v>16716</v>
      </c>
      <c r="F1880" t="s">
        <v>16717</v>
      </c>
      <c r="G1880" t="s">
        <v>460</v>
      </c>
      <c r="H1880" t="s">
        <v>461</v>
      </c>
      <c r="I1880" t="s">
        <v>451</v>
      </c>
      <c r="J1880" t="s">
        <v>22</v>
      </c>
      <c r="K1880" t="s">
        <v>16718</v>
      </c>
      <c r="L1880" t="s">
        <v>16721</v>
      </c>
      <c r="M1880" t="s">
        <v>25</v>
      </c>
      <c r="N1880" t="s">
        <v>16722</v>
      </c>
      <c r="O1880" t="s">
        <v>25</v>
      </c>
      <c r="P1880" t="s">
        <v>16723</v>
      </c>
      <c r="Q1880" t="s">
        <v>29</v>
      </c>
      <c r="R1880" t="s">
        <v>16719</v>
      </c>
      <c r="S1880" t="s">
        <v>16720</v>
      </c>
    </row>
    <row r="1881" spans="1:19" x14ac:dyDescent="0.25">
      <c r="A1881" s="1">
        <v>1879</v>
      </c>
      <c r="B1881" t="str">
        <f>HYPERLINK("https://www.dasschnelle.at/ordinationsgemeinschaft-dr-schmidt-und-dr-john-og-braunau-am-inn-stadtplatz","Website")</f>
        <v>Website</v>
      </c>
      <c r="C1881" t="str">
        <f>HYPERLINK("http://www.internisten-braunau.at","Website")</f>
        <v>Website</v>
      </c>
      <c r="D1881" t="str">
        <f>HYPERLINK("http://www.google.com/maps/place/48.2575767,13.0353618","Location")</f>
        <v>Location</v>
      </c>
      <c r="E1881" t="s">
        <v>16724</v>
      </c>
      <c r="F1881" t="s">
        <v>16725</v>
      </c>
      <c r="G1881" t="s">
        <v>1289</v>
      </c>
      <c r="H1881" t="s">
        <v>1310</v>
      </c>
      <c r="I1881" t="s">
        <v>85</v>
      </c>
      <c r="J1881" t="s">
        <v>22</v>
      </c>
      <c r="K1881" t="s">
        <v>16726</v>
      </c>
      <c r="L1881" t="s">
        <v>16729</v>
      </c>
      <c r="M1881" t="s">
        <v>25</v>
      </c>
      <c r="N1881" t="s">
        <v>16730</v>
      </c>
      <c r="O1881" t="s">
        <v>25</v>
      </c>
      <c r="P1881" t="s">
        <v>16731</v>
      </c>
      <c r="Q1881" t="s">
        <v>29</v>
      </c>
      <c r="R1881" t="s">
        <v>16727</v>
      </c>
      <c r="S1881" t="s">
        <v>16728</v>
      </c>
    </row>
    <row r="1882" spans="1:19" x14ac:dyDescent="0.25">
      <c r="A1882" s="1">
        <v>1880</v>
      </c>
      <c r="B1882" t="str">
        <f>HYPERLINK("https://www.dasschnelle.at/stockinger-herbert-dr-med-bad-ischl-pfarrgasse","Website")</f>
        <v>Website</v>
      </c>
      <c r="C1882" t="str">
        <f>HYPERLINK("http://www.drstockinger.at","Website")</f>
        <v>Website</v>
      </c>
      <c r="D1882" t="str">
        <f>HYPERLINK("http://www.google.com/maps/place/47.71082,13.62209","Location")</f>
        <v>Location</v>
      </c>
      <c r="E1882" t="s">
        <v>16732</v>
      </c>
      <c r="F1882" t="s">
        <v>16733</v>
      </c>
      <c r="G1882" t="s">
        <v>2377</v>
      </c>
      <c r="H1882" t="s">
        <v>2378</v>
      </c>
      <c r="I1882" t="s">
        <v>85</v>
      </c>
      <c r="J1882" t="s">
        <v>22</v>
      </c>
      <c r="K1882" t="s">
        <v>16734</v>
      </c>
      <c r="L1882" t="s">
        <v>16737</v>
      </c>
      <c r="M1882" t="s">
        <v>25</v>
      </c>
      <c r="N1882" t="s">
        <v>25</v>
      </c>
      <c r="O1882" t="s">
        <v>25</v>
      </c>
      <c r="P1882" t="s">
        <v>16738</v>
      </c>
      <c r="Q1882" t="s">
        <v>29</v>
      </c>
      <c r="R1882" t="s">
        <v>16735</v>
      </c>
      <c r="S1882" t="s">
        <v>16736</v>
      </c>
    </row>
    <row r="1883" spans="1:19" x14ac:dyDescent="0.25">
      <c r="A1883" s="1">
        <v>1881</v>
      </c>
      <c r="B1883" t="str">
        <f>HYPERLINK("https://www.dasschnelle.at/fuchs-hans-installationen-gmbh-jochberg-kitzbüheler-straße","Website")</f>
        <v>Website</v>
      </c>
      <c r="C1883" t="str">
        <f>HYPERLINK("https://www.dasschnelle.at/fuchs-hans-installationen-gmbh-jochberg-kitzb%C3%BCheler-stra%C3%9Fe","Website")</f>
        <v>Website</v>
      </c>
      <c r="D1883" t="str">
        <f>HYPERLINK("http://www.google.com/maps/place/47.391,12.42434","Location")</f>
        <v>Location</v>
      </c>
      <c r="E1883" t="s">
        <v>16739</v>
      </c>
      <c r="F1883" t="s">
        <v>16740</v>
      </c>
      <c r="G1883" t="s">
        <v>929</v>
      </c>
      <c r="H1883" t="s">
        <v>930</v>
      </c>
      <c r="I1883" t="s">
        <v>21</v>
      </c>
      <c r="J1883" t="s">
        <v>22</v>
      </c>
      <c r="K1883" t="s">
        <v>16741</v>
      </c>
      <c r="L1883" t="s">
        <v>16744</v>
      </c>
      <c r="M1883" t="s">
        <v>16745</v>
      </c>
      <c r="N1883" t="s">
        <v>16746</v>
      </c>
      <c r="O1883" t="s">
        <v>25</v>
      </c>
      <c r="P1883" t="s">
        <v>16747</v>
      </c>
      <c r="Q1883" t="s">
        <v>29</v>
      </c>
      <c r="R1883" t="s">
        <v>16742</v>
      </c>
      <c r="S1883" t="s">
        <v>16743</v>
      </c>
    </row>
    <row r="1884" spans="1:19" x14ac:dyDescent="0.25">
      <c r="A1884" s="1">
        <v>1882</v>
      </c>
      <c r="B1884" t="str">
        <f>HYPERLINK("https://www.dasschnelle.at/berauer-gmbh-st-johann-in-tirol-salzburgerstraße","Website")</f>
        <v>Website</v>
      </c>
      <c r="C1884" t="str">
        <f>HYPERLINK("http://www.berauergmbh.at","Website")</f>
        <v>Website</v>
      </c>
      <c r="D1884" t="str">
        <f>HYPERLINK("http://www.google.com/maps/place/47.5314376,12.4345858","Location")</f>
        <v>Location</v>
      </c>
      <c r="E1884" t="s">
        <v>16748</v>
      </c>
      <c r="F1884" t="s">
        <v>16749</v>
      </c>
      <c r="G1884" t="s">
        <v>850</v>
      </c>
      <c r="H1884" t="s">
        <v>851</v>
      </c>
      <c r="I1884" t="s">
        <v>21</v>
      </c>
      <c r="J1884" t="s">
        <v>22</v>
      </c>
      <c r="K1884" t="s">
        <v>16750</v>
      </c>
      <c r="L1884" t="s">
        <v>16753</v>
      </c>
      <c r="M1884" t="s">
        <v>25</v>
      </c>
      <c r="N1884" t="s">
        <v>16754</v>
      </c>
      <c r="O1884" t="s">
        <v>25</v>
      </c>
      <c r="P1884" t="s">
        <v>16755</v>
      </c>
      <c r="Q1884" t="s">
        <v>29</v>
      </c>
      <c r="R1884" t="s">
        <v>16751</v>
      </c>
      <c r="S1884" t="s">
        <v>16752</v>
      </c>
    </row>
    <row r="1885" spans="1:19" x14ac:dyDescent="0.25">
      <c r="A1885" s="1">
        <v>1883</v>
      </c>
      <c r="B1885" t="str">
        <f>HYPERLINK("https://www.dasschnelle.at/saurwein-florian-imst-thomas-walch-straße","Website")</f>
        <v>Website</v>
      </c>
      <c r="C1885" t="str">
        <f>HYPERLINK("http://www.wk-glas.at","Website")</f>
        <v>Website</v>
      </c>
      <c r="D1885" t="str">
        <f>HYPERLINK("http://www.google.com/maps/place/47.2456,10.74096","Location")</f>
        <v>Location</v>
      </c>
      <c r="E1885" t="s">
        <v>16756</v>
      </c>
      <c r="F1885" t="s">
        <v>16757</v>
      </c>
      <c r="G1885" t="s">
        <v>7997</v>
      </c>
      <c r="H1885" t="s">
        <v>7998</v>
      </c>
      <c r="I1885" t="s">
        <v>21</v>
      </c>
      <c r="J1885" t="s">
        <v>22</v>
      </c>
      <c r="K1885" t="s">
        <v>16758</v>
      </c>
      <c r="L1885" t="s">
        <v>16761</v>
      </c>
      <c r="M1885" t="s">
        <v>25</v>
      </c>
      <c r="N1885" t="s">
        <v>16762</v>
      </c>
      <c r="O1885" t="s">
        <v>25</v>
      </c>
      <c r="P1885" t="s">
        <v>16763</v>
      </c>
      <c r="Q1885" t="s">
        <v>29</v>
      </c>
      <c r="R1885" t="s">
        <v>16759</v>
      </c>
      <c r="S1885" t="s">
        <v>16760</v>
      </c>
    </row>
    <row r="1886" spans="1:19" x14ac:dyDescent="0.25">
      <c r="A1886" s="1">
        <v>1884</v>
      </c>
      <c r="B1886" t="str">
        <f>HYPERLINK("https://www.dasschnelle.at/lüzlbauer-martin-seekirchen-am-wallersee-hauptstraße","Website")</f>
        <v>Website</v>
      </c>
      <c r="C1886" t="str">
        <f>HYPERLINK("https://www.dasschnelle.at/l%C3%BCzlbauer-martin-seekirchen-am-wallersee-hauptstra%C3%9Fe","Website")</f>
        <v>Website</v>
      </c>
      <c r="D1886" t="str">
        <f>HYPERLINK("http://www.google.com/maps/place/47.8919624,13.1270522","Location")</f>
        <v>Location</v>
      </c>
      <c r="E1886" t="s">
        <v>16764</v>
      </c>
      <c r="F1886" t="s">
        <v>16765</v>
      </c>
      <c r="G1886" t="s">
        <v>1412</v>
      </c>
      <c r="H1886" t="s">
        <v>10367</v>
      </c>
      <c r="I1886" t="s">
        <v>2239</v>
      </c>
      <c r="J1886" t="s">
        <v>22</v>
      </c>
      <c r="K1886" t="s">
        <v>3090</v>
      </c>
      <c r="L1886" t="s">
        <v>16766</v>
      </c>
      <c r="M1886" t="s">
        <v>25</v>
      </c>
      <c r="N1886" t="s">
        <v>16767</v>
      </c>
      <c r="O1886" t="s">
        <v>25</v>
      </c>
      <c r="P1886" t="s">
        <v>16768</v>
      </c>
      <c r="Q1886" t="s">
        <v>29</v>
      </c>
      <c r="R1886" t="s">
        <v>10413</v>
      </c>
      <c r="S1886" t="s">
        <v>10414</v>
      </c>
    </row>
    <row r="1887" spans="1:19" x14ac:dyDescent="0.25">
      <c r="A1887" s="1">
        <v>1885</v>
      </c>
      <c r="B1887" t="str">
        <f>HYPERLINK("https://www.dasschnelle.at/basis-frauenservice-und-familienberatung-in-außerfern-reutte-planseestr","Website")</f>
        <v>Website</v>
      </c>
      <c r="C1887" t="str">
        <f>HYPERLINK("http://www.basis-beratung.net","Website")</f>
        <v>Website</v>
      </c>
      <c r="D1887" t="str">
        <f>HYPERLINK("http://www.google.com/maps/place/47.49025,10.72009","Location")</f>
        <v>Location</v>
      </c>
      <c r="E1887" t="s">
        <v>16769</v>
      </c>
      <c r="F1887" t="s">
        <v>16770</v>
      </c>
      <c r="G1887" t="s">
        <v>6823</v>
      </c>
      <c r="H1887" t="s">
        <v>6824</v>
      </c>
      <c r="I1887" t="s">
        <v>21</v>
      </c>
      <c r="J1887" t="s">
        <v>22</v>
      </c>
      <c r="K1887" t="s">
        <v>16771</v>
      </c>
      <c r="L1887" t="s">
        <v>16774</v>
      </c>
      <c r="M1887" t="s">
        <v>25</v>
      </c>
      <c r="N1887" t="s">
        <v>16775</v>
      </c>
      <c r="O1887" t="s">
        <v>16776</v>
      </c>
      <c r="P1887" t="s">
        <v>697</v>
      </c>
      <c r="Q1887" t="s">
        <v>29</v>
      </c>
      <c r="R1887" t="s">
        <v>16772</v>
      </c>
      <c r="S1887" t="s">
        <v>16773</v>
      </c>
    </row>
    <row r="1888" spans="1:19" x14ac:dyDescent="0.25">
      <c r="A1888" s="1">
        <v>1886</v>
      </c>
      <c r="B1888" t="str">
        <f>HYPERLINK("https://www.dasschnelle.at/pichler-christian-dr-reutte-untermarkt","Website")</f>
        <v>Website</v>
      </c>
      <c r="C1888" t="str">
        <f>HYPERLINK("http://www.pichler-reutte.at","Website")</f>
        <v>Website</v>
      </c>
      <c r="D1888" t="str">
        <f>HYPERLINK("http://www.google.com/maps/place/47.49052,10.71789","Location")</f>
        <v>Location</v>
      </c>
      <c r="E1888" t="s">
        <v>16777</v>
      </c>
      <c r="F1888" t="s">
        <v>16778</v>
      </c>
      <c r="G1888" t="s">
        <v>6823</v>
      </c>
      <c r="H1888" t="s">
        <v>6824</v>
      </c>
      <c r="I1888" t="s">
        <v>21</v>
      </c>
      <c r="J1888" t="s">
        <v>22</v>
      </c>
      <c r="K1888" t="s">
        <v>16779</v>
      </c>
      <c r="L1888" t="s">
        <v>16782</v>
      </c>
      <c r="M1888" t="s">
        <v>25</v>
      </c>
      <c r="N1888" t="s">
        <v>16783</v>
      </c>
      <c r="O1888" t="s">
        <v>25</v>
      </c>
      <c r="P1888" t="s">
        <v>16784</v>
      </c>
      <c r="Q1888" t="s">
        <v>29</v>
      </c>
      <c r="R1888" t="s">
        <v>16780</v>
      </c>
      <c r="S1888" t="s">
        <v>16781</v>
      </c>
    </row>
    <row r="1889" spans="1:19" x14ac:dyDescent="0.25">
      <c r="A1889" s="1">
        <v>1887</v>
      </c>
      <c r="B1889" t="str">
        <f>HYPERLINK("https://www.dasschnelle.at/puntigam-franz-deutsch-goritz-salsach","Website")</f>
        <v>Website</v>
      </c>
      <c r="C1889" t="str">
        <f>HYPERLINK("http://www.franz-puntigam.at","Website")</f>
        <v>Website</v>
      </c>
      <c r="D1889" t="str">
        <f>HYPERLINK("http://www.google.com/maps/place/46.7418219,15.8427333","Location")</f>
        <v>Location</v>
      </c>
      <c r="E1889" t="s">
        <v>16785</v>
      </c>
      <c r="F1889" t="s">
        <v>16786</v>
      </c>
      <c r="G1889" t="s">
        <v>16327</v>
      </c>
      <c r="H1889" t="s">
        <v>16328</v>
      </c>
      <c r="I1889" t="s">
        <v>451</v>
      </c>
      <c r="J1889" t="s">
        <v>22</v>
      </c>
      <c r="K1889" t="s">
        <v>16787</v>
      </c>
      <c r="L1889" t="s">
        <v>16790</v>
      </c>
      <c r="M1889" t="s">
        <v>25</v>
      </c>
      <c r="N1889" t="s">
        <v>16791</v>
      </c>
      <c r="O1889" t="s">
        <v>25</v>
      </c>
      <c r="P1889" t="s">
        <v>16792</v>
      </c>
      <c r="Q1889" t="s">
        <v>29</v>
      </c>
      <c r="R1889" t="s">
        <v>16788</v>
      </c>
      <c r="S1889" t="s">
        <v>16789</v>
      </c>
    </row>
    <row r="1890" spans="1:19" x14ac:dyDescent="0.25">
      <c r="A1890" s="1">
        <v>1888</v>
      </c>
      <c r="B1890" t="str">
        <f>HYPERLINK("https://www.dasschnelle.at/geppert-nina-mag-med-vet-reutte-lina-thyll-straße","Website")</f>
        <v>Website</v>
      </c>
      <c r="C1890" t="str">
        <f>HYPERLINK("http://www.tierarztgeppert.at","Website")</f>
        <v>Website</v>
      </c>
      <c r="D1890" t="str">
        <f>HYPERLINK("http://www.google.com/maps/place/47.48176,10.71413","Location")</f>
        <v>Location</v>
      </c>
      <c r="E1890" t="s">
        <v>16793</v>
      </c>
      <c r="F1890" t="s">
        <v>16794</v>
      </c>
      <c r="G1890" t="s">
        <v>6823</v>
      </c>
      <c r="H1890" t="s">
        <v>6824</v>
      </c>
      <c r="I1890" t="s">
        <v>21</v>
      </c>
      <c r="J1890" t="s">
        <v>22</v>
      </c>
      <c r="K1890" t="s">
        <v>16795</v>
      </c>
      <c r="L1890" t="s">
        <v>16798</v>
      </c>
      <c r="M1890" t="s">
        <v>25</v>
      </c>
      <c r="N1890" t="s">
        <v>16799</v>
      </c>
      <c r="O1890" t="s">
        <v>25</v>
      </c>
      <c r="P1890" t="s">
        <v>16800</v>
      </c>
      <c r="Q1890" t="s">
        <v>29</v>
      </c>
      <c r="R1890" t="s">
        <v>16796</v>
      </c>
      <c r="S1890" t="s">
        <v>16797</v>
      </c>
    </row>
    <row r="1891" spans="1:19" x14ac:dyDescent="0.25">
      <c r="A1891" s="1">
        <v>1889</v>
      </c>
      <c r="B1891" t="str">
        <f>HYPERLINK("https://www.dasschnelle.at/fick-peter-dr-med-st-johann-speckbacherstraße","Website")</f>
        <v>Website</v>
      </c>
      <c r="C1891" t="str">
        <f>HYPERLINK("http://www.lungenarzt-stjohann.at","Website")</f>
        <v>Website</v>
      </c>
      <c r="D1891" t="str">
        <f>HYPERLINK("http://www.google.com/maps/place/47.5212132,12.4273367","Location")</f>
        <v>Location</v>
      </c>
      <c r="E1891" t="s">
        <v>16801</v>
      </c>
      <c r="F1891" t="s">
        <v>16802</v>
      </c>
      <c r="G1891" t="s">
        <v>850</v>
      </c>
      <c r="H1891" t="s">
        <v>910</v>
      </c>
      <c r="I1891" t="s">
        <v>21</v>
      </c>
      <c r="J1891" t="s">
        <v>22</v>
      </c>
      <c r="K1891" t="s">
        <v>16803</v>
      </c>
      <c r="L1891" t="s">
        <v>16806</v>
      </c>
      <c r="M1891" t="s">
        <v>16807</v>
      </c>
      <c r="N1891" t="s">
        <v>16808</v>
      </c>
      <c r="O1891" t="s">
        <v>25</v>
      </c>
      <c r="P1891" t="s">
        <v>16809</v>
      </c>
      <c r="Q1891" t="s">
        <v>29</v>
      </c>
      <c r="R1891" t="s">
        <v>16804</v>
      </c>
      <c r="S1891" t="s">
        <v>16805</v>
      </c>
    </row>
    <row r="1892" spans="1:19" x14ac:dyDescent="0.25">
      <c r="A1892" s="1">
        <v>1890</v>
      </c>
      <c r="B1892" t="str">
        <f>HYPERLINK("https://www.dasschnelle.at/schmid-elisabeth-windischgarsten-hauptstraße","Website")</f>
        <v>Website</v>
      </c>
      <c r="C1892" t="str">
        <f>HYPERLINK("https://www.dasschnelle.at/schmid-elisabeth-windischgarsten-hauptstra%C3%9Fe","Website")</f>
        <v>Website</v>
      </c>
      <c r="D1892" t="str">
        <f>HYPERLINK("http://www.google.com/maps/place/47.7219900,14.3284700","Location")</f>
        <v>Location</v>
      </c>
      <c r="E1892" t="s">
        <v>16810</v>
      </c>
      <c r="F1892" t="s">
        <v>16811</v>
      </c>
      <c r="G1892" t="s">
        <v>10646</v>
      </c>
      <c r="H1892" t="s">
        <v>10647</v>
      </c>
      <c r="I1892" t="s">
        <v>85</v>
      </c>
      <c r="J1892" t="s">
        <v>22</v>
      </c>
      <c r="K1892" t="s">
        <v>16336</v>
      </c>
      <c r="L1892" t="s">
        <v>16814</v>
      </c>
      <c r="M1892" t="s">
        <v>25</v>
      </c>
      <c r="N1892" t="s">
        <v>16815</v>
      </c>
      <c r="O1892" t="s">
        <v>25</v>
      </c>
      <c r="P1892" t="s">
        <v>16816</v>
      </c>
      <c r="Q1892" t="s">
        <v>29</v>
      </c>
      <c r="R1892" t="s">
        <v>16812</v>
      </c>
      <c r="S1892" t="s">
        <v>16813</v>
      </c>
    </row>
    <row r="1893" spans="1:19" x14ac:dyDescent="0.25">
      <c r="A1893" s="1">
        <v>1891</v>
      </c>
      <c r="B1893" t="str">
        <f>HYPERLINK("https://www.dasschnelle.at/rieser-sigrid-windischgarsten-hauptstraße","Website")</f>
        <v>Website</v>
      </c>
      <c r="C1893" t="str">
        <f>HYPERLINK("http://www.wohnstudio-rieser.at","Website")</f>
        <v>Website</v>
      </c>
      <c r="D1893" t="str">
        <f>HYPERLINK("http://www.google.com/maps/place/47.72206,14.32574","Location")</f>
        <v>Location</v>
      </c>
      <c r="E1893" t="s">
        <v>16817</v>
      </c>
      <c r="F1893" t="s">
        <v>16818</v>
      </c>
      <c r="G1893" t="s">
        <v>10646</v>
      </c>
      <c r="H1893" t="s">
        <v>10647</v>
      </c>
      <c r="I1893" t="s">
        <v>85</v>
      </c>
      <c r="J1893" t="s">
        <v>22</v>
      </c>
      <c r="K1893" t="s">
        <v>16819</v>
      </c>
      <c r="L1893" t="s">
        <v>16822</v>
      </c>
      <c r="M1893" t="s">
        <v>25</v>
      </c>
      <c r="N1893" t="s">
        <v>16823</v>
      </c>
      <c r="O1893" t="s">
        <v>25</v>
      </c>
      <c r="P1893" t="s">
        <v>16824</v>
      </c>
      <c r="Q1893" t="s">
        <v>29</v>
      </c>
      <c r="R1893" t="s">
        <v>16820</v>
      </c>
      <c r="S1893" t="s">
        <v>16821</v>
      </c>
    </row>
    <row r="1894" spans="1:19" x14ac:dyDescent="0.25">
      <c r="A1894" s="1">
        <v>1892</v>
      </c>
      <c r="B1894" t="str">
        <f>HYPERLINK("https://www.dasschnelle.at/perner-adolf-windischgarsten-bühelstraße","Website")</f>
        <v>Website</v>
      </c>
      <c r="C1894" t="str">
        <f>HYPERLINK("https://www.dasschnelle.at/perner-adolf-windischgarsten-b%C3%BChelstra%C3%9Fe","Website")</f>
        <v>Website</v>
      </c>
      <c r="D1894" t="str">
        <f>HYPERLINK("http://www.google.com/maps/place/47.71929,14.31429","Location")</f>
        <v>Location</v>
      </c>
      <c r="E1894" t="s">
        <v>16825</v>
      </c>
      <c r="F1894" t="s">
        <v>16826</v>
      </c>
      <c r="G1894" t="s">
        <v>10646</v>
      </c>
      <c r="H1894" t="s">
        <v>10647</v>
      </c>
      <c r="I1894" t="s">
        <v>85</v>
      </c>
      <c r="J1894" t="s">
        <v>22</v>
      </c>
      <c r="K1894" t="s">
        <v>16827</v>
      </c>
      <c r="L1894" t="s">
        <v>16830</v>
      </c>
      <c r="M1894" t="s">
        <v>25</v>
      </c>
      <c r="N1894" t="s">
        <v>25</v>
      </c>
      <c r="O1894" t="s">
        <v>25</v>
      </c>
      <c r="P1894" t="s">
        <v>16831</v>
      </c>
      <c r="Q1894" t="s">
        <v>29</v>
      </c>
      <c r="R1894" t="s">
        <v>16828</v>
      </c>
      <c r="S1894" t="s">
        <v>16829</v>
      </c>
    </row>
    <row r="1895" spans="1:19" x14ac:dyDescent="0.25">
      <c r="A1895" s="1">
        <v>1893</v>
      </c>
      <c r="B1895" t="str">
        <f>HYPERLINK("https://www.dasschnelle.at/gössweiner-josef-spital-am-pyhrn-alpenhof","Website")</f>
        <v>Website</v>
      </c>
      <c r="C1895" t="str">
        <f>HYPERLINK("http://www.meisterbau.at","Website")</f>
        <v>Website</v>
      </c>
      <c r="D1895" t="str">
        <f>HYPERLINK("http://www.google.com/maps/place/47.65491,14.33611","Location")</f>
        <v>Location</v>
      </c>
      <c r="E1895" t="s">
        <v>16832</v>
      </c>
      <c r="F1895" t="s">
        <v>16833</v>
      </c>
      <c r="G1895" t="s">
        <v>10636</v>
      </c>
      <c r="H1895" t="s">
        <v>10637</v>
      </c>
      <c r="I1895" t="s">
        <v>85</v>
      </c>
      <c r="J1895" t="s">
        <v>22</v>
      </c>
      <c r="K1895" t="s">
        <v>16834</v>
      </c>
      <c r="L1895" t="s">
        <v>16837</v>
      </c>
      <c r="M1895" t="s">
        <v>25</v>
      </c>
      <c r="N1895" t="s">
        <v>16838</v>
      </c>
      <c r="O1895" t="s">
        <v>25</v>
      </c>
      <c r="P1895" t="s">
        <v>16839</v>
      </c>
      <c r="Q1895" t="s">
        <v>29</v>
      </c>
      <c r="R1895" t="s">
        <v>16835</v>
      </c>
      <c r="S1895" t="s">
        <v>16836</v>
      </c>
    </row>
    <row r="1896" spans="1:19" x14ac:dyDescent="0.25">
      <c r="A1896" s="1">
        <v>1894</v>
      </c>
      <c r="B1896" t="str">
        <f>HYPERLINK("https://www.dasschnelle.at/swoboda-heizung-sanitär-planung-eu-oetz-oberdorfgasse","Website")</f>
        <v>Website</v>
      </c>
      <c r="C1896" t="str">
        <f>HYPERLINK("https://www.dasschnelle.at/swoboda-heizung-sanit%C3%A4r-planung-eu-oetz-oberdorfgasse","Website")</f>
        <v>Website</v>
      </c>
      <c r="D1896" t="str">
        <f>HYPERLINK("http://www.google.com/maps/place/47.20363,10.89833","Location")</f>
        <v>Location</v>
      </c>
      <c r="E1896" t="s">
        <v>16840</v>
      </c>
      <c r="F1896" t="s">
        <v>16841</v>
      </c>
      <c r="G1896" t="s">
        <v>7986</v>
      </c>
      <c r="H1896" t="s">
        <v>7987</v>
      </c>
      <c r="I1896" t="s">
        <v>21</v>
      </c>
      <c r="J1896" t="s">
        <v>22</v>
      </c>
      <c r="K1896" t="s">
        <v>16842</v>
      </c>
      <c r="L1896" t="s">
        <v>16845</v>
      </c>
      <c r="M1896" t="s">
        <v>25</v>
      </c>
      <c r="N1896" t="s">
        <v>16846</v>
      </c>
      <c r="O1896" t="s">
        <v>25</v>
      </c>
      <c r="P1896" t="s">
        <v>16847</v>
      </c>
      <c r="Q1896" t="s">
        <v>29</v>
      </c>
      <c r="R1896" t="s">
        <v>16843</v>
      </c>
      <c r="S1896" t="s">
        <v>16844</v>
      </c>
    </row>
    <row r="1897" spans="1:19" x14ac:dyDescent="0.25">
      <c r="A1897" s="1">
        <v>1895</v>
      </c>
      <c r="B1897" t="str">
        <f>HYPERLINK("https://www.dasschnelle.at/kuess-gesmbh-griffen-bambergerweg","Website")</f>
        <v>Website</v>
      </c>
      <c r="C1897" t="str">
        <f>HYPERLINK("http://www.kuess-bau.com","Website")</f>
        <v>Website</v>
      </c>
      <c r="D1897" t="str">
        <f>HYPERLINK("http://www.google.com/maps/place/46.7,14.72652","Location")</f>
        <v>Location</v>
      </c>
      <c r="E1897" t="s">
        <v>16848</v>
      </c>
      <c r="F1897" t="s">
        <v>16849</v>
      </c>
      <c r="G1897" t="s">
        <v>5123</v>
      </c>
      <c r="H1897" t="s">
        <v>5124</v>
      </c>
      <c r="I1897" t="s">
        <v>4130</v>
      </c>
      <c r="J1897" t="s">
        <v>22</v>
      </c>
      <c r="K1897" t="s">
        <v>16850</v>
      </c>
      <c r="L1897" t="s">
        <v>16853</v>
      </c>
      <c r="M1897" t="s">
        <v>25</v>
      </c>
      <c r="N1897" t="s">
        <v>16854</v>
      </c>
      <c r="O1897" t="s">
        <v>25</v>
      </c>
      <c r="P1897" t="s">
        <v>16855</v>
      </c>
      <c r="Q1897" t="s">
        <v>29</v>
      </c>
      <c r="R1897" t="s">
        <v>16851</v>
      </c>
      <c r="S1897" t="s">
        <v>16852</v>
      </c>
    </row>
    <row r="1898" spans="1:19" x14ac:dyDescent="0.25">
      <c r="A1898" s="1">
        <v>1896</v>
      </c>
      <c r="B1898" t="str">
        <f>HYPERLINK("https://www.dasschnelle.at/scheidle-d-dr-med-reutte-lindenstraße","Website")</f>
        <v>Website</v>
      </c>
      <c r="C1898" t="str">
        <f>HYPERLINK("http://www.dr-scheidle.at","Website")</f>
        <v>Website</v>
      </c>
      <c r="D1898" t="str">
        <f>HYPERLINK("http://www.google.com/maps/place/47.48785,10.71312","Location")</f>
        <v>Location</v>
      </c>
      <c r="E1898" t="s">
        <v>16856</v>
      </c>
      <c r="F1898" t="s">
        <v>16857</v>
      </c>
      <c r="G1898" t="s">
        <v>6823</v>
      </c>
      <c r="H1898" t="s">
        <v>6824</v>
      </c>
      <c r="I1898" t="s">
        <v>21</v>
      </c>
      <c r="J1898" t="s">
        <v>22</v>
      </c>
      <c r="K1898" t="s">
        <v>16858</v>
      </c>
      <c r="L1898" t="s">
        <v>16861</v>
      </c>
      <c r="M1898" t="s">
        <v>25</v>
      </c>
      <c r="N1898" t="s">
        <v>16862</v>
      </c>
      <c r="O1898" t="s">
        <v>25</v>
      </c>
      <c r="P1898" t="s">
        <v>16863</v>
      </c>
      <c r="Q1898" t="s">
        <v>29</v>
      </c>
      <c r="R1898" t="s">
        <v>16859</v>
      </c>
      <c r="S1898" t="s">
        <v>16860</v>
      </c>
    </row>
    <row r="1899" spans="1:19" x14ac:dyDescent="0.25">
      <c r="A1899" s="1">
        <v>1897</v>
      </c>
      <c r="B1899" t="str">
        <f>HYPERLINK("https://www.dasschnelle.at/jaudl-harald-dr-med-univ-kirchdorf-in-tirol-dorfplatz","Website")</f>
        <v>Website</v>
      </c>
      <c r="C1899" t="str">
        <f>HYPERLINK("https://www.dasschnelle.at/jaudl-harald-dr-med-univ-kirchdorf-in-tirol-dorfplatz","Website")</f>
        <v>Website</v>
      </c>
      <c r="D1899" t="str">
        <f>HYPERLINK("http://www.google.com/maps/place/47.5576933,12.4477083","Location")</f>
        <v>Location</v>
      </c>
      <c r="E1899" t="s">
        <v>16864</v>
      </c>
      <c r="F1899" t="s">
        <v>16865</v>
      </c>
      <c r="G1899" t="s">
        <v>16867</v>
      </c>
      <c r="H1899" t="s">
        <v>16868</v>
      </c>
      <c r="I1899" t="s">
        <v>21</v>
      </c>
      <c r="J1899" t="s">
        <v>22</v>
      </c>
      <c r="K1899" t="s">
        <v>16866</v>
      </c>
      <c r="L1899" t="s">
        <v>16871</v>
      </c>
      <c r="M1899" t="s">
        <v>25</v>
      </c>
      <c r="N1899" t="s">
        <v>16872</v>
      </c>
      <c r="O1899" t="s">
        <v>25</v>
      </c>
      <c r="P1899" t="s">
        <v>16873</v>
      </c>
      <c r="Q1899" t="s">
        <v>29</v>
      </c>
      <c r="R1899" t="s">
        <v>16869</v>
      </c>
      <c r="S1899" t="s">
        <v>16870</v>
      </c>
    </row>
    <row r="1900" spans="1:19" x14ac:dyDescent="0.25">
      <c r="A1900" s="1">
        <v>1898</v>
      </c>
      <c r="B1900" t="str">
        <f>HYPERLINK("https://www.dasschnelle.at/steinmetz-neumayr-oberndorf-in-tirol-josef-hager-straße","Website")</f>
        <v>Website</v>
      </c>
      <c r="C1900" t="str">
        <f>HYPERLINK("http://www.steinmetz-neumayr.at","Website")</f>
        <v>Website</v>
      </c>
      <c r="D1900" t="str">
        <f>HYPERLINK("http://www.google.com/maps/place/47.5046,12.39198","Location")</f>
        <v>Location</v>
      </c>
      <c r="E1900" t="s">
        <v>16874</v>
      </c>
      <c r="F1900" t="s">
        <v>16875</v>
      </c>
      <c r="G1900" t="s">
        <v>16877</v>
      </c>
      <c r="H1900" t="s">
        <v>16878</v>
      </c>
      <c r="I1900" t="s">
        <v>21</v>
      </c>
      <c r="J1900" t="s">
        <v>22</v>
      </c>
      <c r="K1900" t="s">
        <v>16876</v>
      </c>
      <c r="L1900" t="s">
        <v>16880</v>
      </c>
      <c r="M1900" t="s">
        <v>16881</v>
      </c>
      <c r="N1900" t="s">
        <v>16882</v>
      </c>
      <c r="O1900" t="s">
        <v>25</v>
      </c>
      <c r="P1900" t="s">
        <v>16883</v>
      </c>
      <c r="Q1900" t="s">
        <v>29</v>
      </c>
      <c r="R1900" t="s">
        <v>14467</v>
      </c>
      <c r="S1900" t="s">
        <v>16879</v>
      </c>
    </row>
    <row r="1901" spans="1:19" x14ac:dyDescent="0.25">
      <c r="A1901" s="1">
        <v>1899</v>
      </c>
      <c r="B1901" t="str">
        <f>HYPERLINK("https://www.dasschnelle.at/prokop-ludwig-dr-reutte-mühler-straße","Website")</f>
        <v>Website</v>
      </c>
      <c r="C1901" t="str">
        <f>HYPERLINK("http://www.psychiatrie-reutte.at","Website")</f>
        <v>Website</v>
      </c>
      <c r="D1901" t="str">
        <f>HYPERLINK("http://www.google.com/maps/place/47.49132,10.72082","Location")</f>
        <v>Location</v>
      </c>
      <c r="E1901" t="s">
        <v>16884</v>
      </c>
      <c r="F1901" t="s">
        <v>16885</v>
      </c>
      <c r="G1901" t="s">
        <v>6823</v>
      </c>
      <c r="H1901" t="s">
        <v>6824</v>
      </c>
      <c r="I1901" t="s">
        <v>21</v>
      </c>
      <c r="J1901" t="s">
        <v>22</v>
      </c>
      <c r="K1901" t="s">
        <v>16886</v>
      </c>
      <c r="L1901" t="s">
        <v>16889</v>
      </c>
      <c r="M1901" t="s">
        <v>25</v>
      </c>
      <c r="N1901" t="s">
        <v>16890</v>
      </c>
      <c r="O1901" t="s">
        <v>16891</v>
      </c>
      <c r="P1901" t="s">
        <v>16892</v>
      </c>
      <c r="Q1901" t="s">
        <v>29</v>
      </c>
      <c r="R1901" t="s">
        <v>16887</v>
      </c>
      <c r="S1901" t="s">
        <v>16888</v>
      </c>
    </row>
    <row r="1902" spans="1:19" x14ac:dyDescent="0.25">
      <c r="A1902" s="1">
        <v>1900</v>
      </c>
      <c r="B1902" t="str">
        <f>HYPERLINK("https://www.dasschnelle.at/capellari-haustechnik-gesmbh-und-co-kg-kitzbühel-ehrenbachgasse","Website")</f>
        <v>Website</v>
      </c>
      <c r="C1902" t="str">
        <f>HYPERLINK("http://www.capellari.at","Website")</f>
        <v>Website</v>
      </c>
      <c r="D1902" t="str">
        <f>HYPERLINK("http://www.google.com/maps/place/47.44366,12.39562","Location")</f>
        <v>Location</v>
      </c>
      <c r="E1902" t="s">
        <v>16893</v>
      </c>
      <c r="F1902" t="s">
        <v>16894</v>
      </c>
      <c r="G1902" t="s">
        <v>833</v>
      </c>
      <c r="H1902" t="s">
        <v>834</v>
      </c>
      <c r="I1902" t="s">
        <v>21</v>
      </c>
      <c r="J1902" t="s">
        <v>22</v>
      </c>
      <c r="K1902" t="s">
        <v>16895</v>
      </c>
      <c r="L1902" t="s">
        <v>16898</v>
      </c>
      <c r="M1902" t="s">
        <v>16899</v>
      </c>
      <c r="N1902" t="s">
        <v>16900</v>
      </c>
      <c r="O1902" t="s">
        <v>25</v>
      </c>
      <c r="P1902" t="s">
        <v>16901</v>
      </c>
      <c r="Q1902" t="s">
        <v>29</v>
      </c>
      <c r="R1902" t="s">
        <v>16896</v>
      </c>
      <c r="S1902" t="s">
        <v>16897</v>
      </c>
    </row>
    <row r="1903" spans="1:19" x14ac:dyDescent="0.25">
      <c r="A1903" s="1">
        <v>1901</v>
      </c>
      <c r="B1903" t="str">
        <f>HYPERLINK("https://www.dasschnelle.at/fh-installationen-gmbh-perwang-am-grabensee-gumperding","Website")</f>
        <v>Website</v>
      </c>
      <c r="C1903" t="str">
        <f>HYPERLINK("http://www.fh-installationen.at","Website")</f>
        <v>Website</v>
      </c>
      <c r="D1903" t="str">
        <f>HYPERLINK("http://www.google.com/maps/place/48.0307937,13.0619389","Location")</f>
        <v>Location</v>
      </c>
      <c r="E1903" t="s">
        <v>16902</v>
      </c>
      <c r="F1903" t="s">
        <v>16903</v>
      </c>
      <c r="G1903" t="s">
        <v>16491</v>
      </c>
      <c r="H1903" t="s">
        <v>16492</v>
      </c>
      <c r="I1903" t="s">
        <v>85</v>
      </c>
      <c r="J1903" t="s">
        <v>22</v>
      </c>
      <c r="K1903" t="s">
        <v>16904</v>
      </c>
      <c r="L1903" t="s">
        <v>16907</v>
      </c>
      <c r="M1903" t="s">
        <v>25</v>
      </c>
      <c r="N1903" t="s">
        <v>16908</v>
      </c>
      <c r="O1903" t="s">
        <v>25</v>
      </c>
      <c r="P1903" t="s">
        <v>16909</v>
      </c>
      <c r="Q1903" t="s">
        <v>29</v>
      </c>
      <c r="R1903" t="s">
        <v>16905</v>
      </c>
      <c r="S1903" t="s">
        <v>16906</v>
      </c>
    </row>
    <row r="1904" spans="1:19" x14ac:dyDescent="0.25">
      <c r="A1904" s="1">
        <v>1902</v>
      </c>
      <c r="B1904" t="str">
        <f>HYPERLINK("https://www.dasschnelle.at/trockenbau-leymüller-gmbh-mattsee-mundenham","Website")</f>
        <v>Website</v>
      </c>
      <c r="C1904" t="str">
        <f>HYPERLINK("http://www.trockenbau-leymueller.at","Website")</f>
        <v>Website</v>
      </c>
      <c r="D1904" t="str">
        <f>HYPERLINK("http://www.google.com/maps/place/48.0093267,13.1251437","Location")</f>
        <v>Location</v>
      </c>
      <c r="E1904" t="s">
        <v>16910</v>
      </c>
      <c r="F1904" t="s">
        <v>16911</v>
      </c>
      <c r="G1904" t="s">
        <v>10394</v>
      </c>
      <c r="H1904" t="s">
        <v>10395</v>
      </c>
      <c r="I1904" t="s">
        <v>2239</v>
      </c>
      <c r="J1904" t="s">
        <v>22</v>
      </c>
      <c r="K1904" t="s">
        <v>16912</v>
      </c>
      <c r="L1904" t="s">
        <v>16915</v>
      </c>
      <c r="M1904" t="s">
        <v>25</v>
      </c>
      <c r="N1904" t="s">
        <v>16916</v>
      </c>
      <c r="O1904" t="s">
        <v>16917</v>
      </c>
      <c r="P1904" t="s">
        <v>16918</v>
      </c>
      <c r="Q1904" t="s">
        <v>29</v>
      </c>
      <c r="R1904" t="s">
        <v>16913</v>
      </c>
      <c r="S1904" t="s">
        <v>16914</v>
      </c>
    </row>
    <row r="1905" spans="1:19" x14ac:dyDescent="0.25">
      <c r="A1905" s="1">
        <v>1903</v>
      </c>
      <c r="B1905" t="str">
        <f>HYPERLINK("https://www.dasschnelle.at/kornprobst-bosch-service-ges-mb-h-und-co-kg-straßwalchen-salzburgerstraße","Website")</f>
        <v>Website</v>
      </c>
      <c r="C1905" t="str">
        <f>HYPERLINK("http://www.kornprobst.at","Website")</f>
        <v>Website</v>
      </c>
      <c r="D1905" t="str">
        <f>HYPERLINK("http://www.google.com/maps/place/47.97213,13.25098","Location")</f>
        <v>Location</v>
      </c>
      <c r="E1905" t="s">
        <v>16919</v>
      </c>
      <c r="F1905" t="s">
        <v>16920</v>
      </c>
      <c r="G1905" t="s">
        <v>10545</v>
      </c>
      <c r="H1905" t="s">
        <v>10546</v>
      </c>
      <c r="I1905" t="s">
        <v>2239</v>
      </c>
      <c r="J1905" t="s">
        <v>22</v>
      </c>
      <c r="K1905" t="s">
        <v>16921</v>
      </c>
      <c r="L1905" t="s">
        <v>16924</v>
      </c>
      <c r="M1905" t="s">
        <v>25</v>
      </c>
      <c r="N1905" t="s">
        <v>16925</v>
      </c>
      <c r="O1905" t="s">
        <v>16926</v>
      </c>
      <c r="P1905" t="s">
        <v>16927</v>
      </c>
      <c r="Q1905" t="s">
        <v>29</v>
      </c>
      <c r="R1905" t="s">
        <v>16922</v>
      </c>
      <c r="S1905" t="s">
        <v>16923</v>
      </c>
    </row>
    <row r="1906" spans="1:19" x14ac:dyDescent="0.25">
      <c r="A1906" s="1">
        <v>1904</v>
      </c>
      <c r="B1906" t="str">
        <f>HYPERLINK("https://www.dasschnelle.at/bre-installationen-buchner-raidel-enzinger-gesmbh-straßwalchen-mondseerstraße","Website")</f>
        <v>Website</v>
      </c>
      <c r="C1906" t="str">
        <f>HYPERLINK("http://www.bre.at","Website")</f>
        <v>Website</v>
      </c>
      <c r="D1906" t="str">
        <f>HYPERLINK("http://www.google.com/maps/place/47.97708,13.25359","Location")</f>
        <v>Location</v>
      </c>
      <c r="E1906" t="s">
        <v>16928</v>
      </c>
      <c r="F1906" t="s">
        <v>16929</v>
      </c>
      <c r="G1906" t="s">
        <v>10545</v>
      </c>
      <c r="H1906" t="s">
        <v>10546</v>
      </c>
      <c r="I1906" t="s">
        <v>2239</v>
      </c>
      <c r="J1906" t="s">
        <v>22</v>
      </c>
      <c r="K1906" t="s">
        <v>16930</v>
      </c>
      <c r="L1906" t="s">
        <v>16933</v>
      </c>
      <c r="M1906" t="s">
        <v>25</v>
      </c>
      <c r="N1906" t="s">
        <v>16934</v>
      </c>
      <c r="O1906" t="s">
        <v>16935</v>
      </c>
      <c r="P1906" t="s">
        <v>16936</v>
      </c>
      <c r="Q1906" t="s">
        <v>29</v>
      </c>
      <c r="R1906" t="s">
        <v>16931</v>
      </c>
      <c r="S1906" t="s">
        <v>16932</v>
      </c>
    </row>
    <row r="1907" spans="1:19" x14ac:dyDescent="0.25">
      <c r="A1907" s="1">
        <v>1905</v>
      </c>
      <c r="B1907" t="str">
        <f>HYPERLINK("https://www.dasschnelle.at/autohaus-schrems-gmbh-straßwalchen-pfenninglanden","Website")</f>
        <v>Website</v>
      </c>
      <c r="C1907" t="str">
        <f>HYPERLINK("http://www.schrems.cc","Website")</f>
        <v>Website</v>
      </c>
      <c r="D1907" t="str">
        <f>HYPERLINK("http://www.google.com/maps/place/47.9892997,13.2870622","Location")</f>
        <v>Location</v>
      </c>
      <c r="E1907" t="s">
        <v>16937</v>
      </c>
      <c r="F1907" t="s">
        <v>16938</v>
      </c>
      <c r="G1907" t="s">
        <v>10545</v>
      </c>
      <c r="H1907" t="s">
        <v>10546</v>
      </c>
      <c r="I1907" t="s">
        <v>2239</v>
      </c>
      <c r="J1907" t="s">
        <v>22</v>
      </c>
      <c r="K1907" t="s">
        <v>16939</v>
      </c>
      <c r="L1907" t="s">
        <v>16942</v>
      </c>
      <c r="M1907" t="s">
        <v>25</v>
      </c>
      <c r="N1907" t="s">
        <v>16943</v>
      </c>
      <c r="O1907" t="s">
        <v>16944</v>
      </c>
      <c r="P1907" t="s">
        <v>16945</v>
      </c>
      <c r="Q1907" t="s">
        <v>29</v>
      </c>
      <c r="R1907" t="s">
        <v>16940</v>
      </c>
      <c r="S1907" t="s">
        <v>16941</v>
      </c>
    </row>
    <row r="1908" spans="1:19" x14ac:dyDescent="0.25">
      <c r="A1908" s="1">
        <v>1906</v>
      </c>
      <c r="B1908" t="str">
        <f>HYPERLINK("https://www.dasschnelle.at/söllinger-gesmbh-straßwalchen-staudenweg","Website")</f>
        <v>Website</v>
      </c>
      <c r="C1908" t="str">
        <f>HYPERLINK("http://www.saegewerk-soellinger.at","Website")</f>
        <v>Website</v>
      </c>
      <c r="D1908" t="str">
        <f>HYPERLINK("http://www.google.com/maps/place/47.97513,13.26599","Location")</f>
        <v>Location</v>
      </c>
      <c r="E1908" t="s">
        <v>16946</v>
      </c>
      <c r="F1908" t="s">
        <v>16947</v>
      </c>
      <c r="G1908" t="s">
        <v>10545</v>
      </c>
      <c r="H1908" t="s">
        <v>10546</v>
      </c>
      <c r="I1908" t="s">
        <v>2239</v>
      </c>
      <c r="J1908" t="s">
        <v>22</v>
      </c>
      <c r="K1908" t="s">
        <v>16948</v>
      </c>
      <c r="L1908" t="s">
        <v>16951</v>
      </c>
      <c r="M1908" t="s">
        <v>25</v>
      </c>
      <c r="N1908" t="s">
        <v>16952</v>
      </c>
      <c r="O1908" t="s">
        <v>25</v>
      </c>
      <c r="P1908" t="s">
        <v>16953</v>
      </c>
      <c r="Q1908" t="s">
        <v>29</v>
      </c>
      <c r="R1908" t="s">
        <v>16949</v>
      </c>
      <c r="S1908" t="s">
        <v>16950</v>
      </c>
    </row>
    <row r="1909" spans="1:19" x14ac:dyDescent="0.25">
      <c r="A1909" s="1">
        <v>1907</v>
      </c>
      <c r="B1909" t="str">
        <f>HYPERLINK("https://www.dasschnelle.at/estherm-wasser-u-brandschadensanierung-gesmbh-neumarkt-am-wallersee-pfongauer-straße","Website")</f>
        <v>Website</v>
      </c>
      <c r="C1909" t="str">
        <f>HYPERLINK("http://www.estherm.at","Website")</f>
        <v>Website</v>
      </c>
      <c r="D1909" t="str">
        <f>HYPERLINK("http://www.google.com/maps/place/47.95383,13.24739","Location")</f>
        <v>Location</v>
      </c>
      <c r="E1909" t="s">
        <v>16954</v>
      </c>
      <c r="F1909" t="s">
        <v>16955</v>
      </c>
      <c r="G1909" t="s">
        <v>10564</v>
      </c>
      <c r="H1909" t="s">
        <v>10565</v>
      </c>
      <c r="I1909" t="s">
        <v>2239</v>
      </c>
      <c r="J1909" t="s">
        <v>22</v>
      </c>
      <c r="K1909" t="s">
        <v>16956</v>
      </c>
      <c r="L1909" t="s">
        <v>16959</v>
      </c>
      <c r="M1909" t="s">
        <v>25</v>
      </c>
      <c r="N1909" t="s">
        <v>16960</v>
      </c>
      <c r="O1909" t="s">
        <v>25</v>
      </c>
      <c r="P1909" t="s">
        <v>16961</v>
      </c>
      <c r="Q1909" t="s">
        <v>29</v>
      </c>
      <c r="R1909" t="s">
        <v>16957</v>
      </c>
      <c r="S1909" t="s">
        <v>16958</v>
      </c>
    </row>
    <row r="1910" spans="1:19" x14ac:dyDescent="0.25">
      <c r="A1910" s="1">
        <v>1908</v>
      </c>
      <c r="B1910" t="str">
        <f>HYPERLINK("https://www.dasschnelle.at/prader-farben-gesmbh-st-johann-innsbrucker-straße","Website")</f>
        <v>Website</v>
      </c>
      <c r="C1910" t="str">
        <f>HYPERLINK("http://www.bodenleger-prader.at","Website")</f>
        <v>Website</v>
      </c>
      <c r="D1910" t="str">
        <f>HYPERLINK("http://www.google.com/maps/place/47.5240032,12.4171451","Location")</f>
        <v>Location</v>
      </c>
      <c r="E1910" t="s">
        <v>16962</v>
      </c>
      <c r="F1910" t="s">
        <v>16963</v>
      </c>
      <c r="G1910" t="s">
        <v>850</v>
      </c>
      <c r="H1910" t="s">
        <v>910</v>
      </c>
      <c r="I1910" t="s">
        <v>21</v>
      </c>
      <c r="J1910" t="s">
        <v>22</v>
      </c>
      <c r="K1910" t="s">
        <v>16964</v>
      </c>
      <c r="L1910" t="s">
        <v>16967</v>
      </c>
      <c r="M1910" t="s">
        <v>25</v>
      </c>
      <c r="N1910" t="s">
        <v>16968</v>
      </c>
      <c r="O1910" t="s">
        <v>25</v>
      </c>
      <c r="P1910" t="s">
        <v>16969</v>
      </c>
      <c r="Q1910" t="s">
        <v>29</v>
      </c>
      <c r="R1910" t="s">
        <v>16965</v>
      </c>
      <c r="S1910" t="s">
        <v>16966</v>
      </c>
    </row>
    <row r="1911" spans="1:19" x14ac:dyDescent="0.25">
      <c r="A1911" s="1">
        <v>1909</v>
      </c>
      <c r="B1911" t="str">
        <f>HYPERLINK("https://www.dasschnelle.at/egger-bau-u-kunstschlosserei-gmbh-und-co-kg-kitzbühel-jochberger-straße","Website")</f>
        <v>Website</v>
      </c>
      <c r="C1911" t="str">
        <f>HYPERLINK("https://www.dasschnelle.at/egger-bau-u-kunstschlosserei-gmbh-und-co-kg-kitzb%C3%BChel-jochberger-stra%C3%9Fe","Website")</f>
        <v>Website</v>
      </c>
      <c r="D1911" t="str">
        <f>HYPERLINK("http://www.google.com/maps/place/47.43186,12.40846","Location")</f>
        <v>Location</v>
      </c>
      <c r="E1911" t="s">
        <v>16970</v>
      </c>
      <c r="F1911" t="s">
        <v>16971</v>
      </c>
      <c r="G1911" t="s">
        <v>833</v>
      </c>
      <c r="H1911" t="s">
        <v>834</v>
      </c>
      <c r="I1911" t="s">
        <v>21</v>
      </c>
      <c r="J1911" t="s">
        <v>22</v>
      </c>
      <c r="K1911" t="s">
        <v>16972</v>
      </c>
      <c r="L1911" t="s">
        <v>16975</v>
      </c>
      <c r="M1911" t="s">
        <v>25</v>
      </c>
      <c r="N1911" t="s">
        <v>16976</v>
      </c>
      <c r="O1911" t="s">
        <v>25</v>
      </c>
      <c r="P1911" t="s">
        <v>16977</v>
      </c>
      <c r="Q1911" t="s">
        <v>29</v>
      </c>
      <c r="R1911" t="s">
        <v>16973</v>
      </c>
      <c r="S1911" t="s">
        <v>16974</v>
      </c>
    </row>
    <row r="1912" spans="1:19" x14ac:dyDescent="0.25">
      <c r="A1912" s="1">
        <v>1910</v>
      </c>
      <c r="B1912" t="str">
        <f>HYPERLINK("https://www.dasschnelle.at/aigner-gerhard-windischgarsten-hauptstraße","Website")</f>
        <v>Website</v>
      </c>
      <c r="C1912" t="str">
        <f>HYPERLINK("https://www.dasschnelle.at/aigner-gerhard-windischgarsten-hauptstra%C3%9Fe","Website")</f>
        <v>Website</v>
      </c>
      <c r="D1912" t="str">
        <f>HYPERLINK("http://www.google.com/maps/place/47.7220951,14.3259201","Location")</f>
        <v>Location</v>
      </c>
      <c r="E1912" t="s">
        <v>16978</v>
      </c>
      <c r="F1912" t="s">
        <v>16979</v>
      </c>
      <c r="G1912" t="s">
        <v>10646</v>
      </c>
      <c r="H1912" t="s">
        <v>10647</v>
      </c>
      <c r="I1912" t="s">
        <v>85</v>
      </c>
      <c r="J1912" t="s">
        <v>22</v>
      </c>
      <c r="K1912" t="s">
        <v>16980</v>
      </c>
      <c r="L1912" t="s">
        <v>16983</v>
      </c>
      <c r="M1912" t="s">
        <v>25</v>
      </c>
      <c r="N1912" t="s">
        <v>16984</v>
      </c>
      <c r="O1912" t="s">
        <v>25</v>
      </c>
      <c r="P1912" t="s">
        <v>16985</v>
      </c>
      <c r="Q1912" t="s">
        <v>29</v>
      </c>
      <c r="R1912" t="s">
        <v>16981</v>
      </c>
      <c r="S1912" t="s">
        <v>16982</v>
      </c>
    </row>
    <row r="1913" spans="1:19" x14ac:dyDescent="0.25">
      <c r="A1913" s="1">
        <v>1911</v>
      </c>
      <c r="B1913" t="str">
        <f>HYPERLINK("https://www.dasschnelle.at/zemsauer-e-u-roßleithen-schweizersberg","Website")</f>
        <v>Website</v>
      </c>
      <c r="C1913" t="str">
        <f>HYPERLINK("http://www.renault-online.at","Website")</f>
        <v>Website</v>
      </c>
      <c r="D1913" t="str">
        <f>HYPERLINK("http://www.google.com/maps/place/47.7113412,14.2903653","Location")</f>
        <v>Location</v>
      </c>
      <c r="E1913" t="s">
        <v>16986</v>
      </c>
      <c r="F1913" t="s">
        <v>16987</v>
      </c>
      <c r="G1913" t="s">
        <v>10672</v>
      </c>
      <c r="H1913" t="s">
        <v>10673</v>
      </c>
      <c r="I1913" t="s">
        <v>85</v>
      </c>
      <c r="J1913" t="s">
        <v>22</v>
      </c>
      <c r="K1913" t="s">
        <v>16988</v>
      </c>
      <c r="L1913" t="s">
        <v>16991</v>
      </c>
      <c r="M1913" t="s">
        <v>25</v>
      </c>
      <c r="N1913" t="s">
        <v>16992</v>
      </c>
      <c r="O1913" t="s">
        <v>25</v>
      </c>
      <c r="P1913" t="s">
        <v>16993</v>
      </c>
      <c r="Q1913" t="s">
        <v>29</v>
      </c>
      <c r="R1913" t="s">
        <v>16989</v>
      </c>
      <c r="S1913" t="s">
        <v>16990</v>
      </c>
    </row>
    <row r="1914" spans="1:19" x14ac:dyDescent="0.25">
      <c r="A1914" s="1">
        <v>1912</v>
      </c>
      <c r="B1914" t="str">
        <f>HYPERLINK("https://www.dasschnelle.at/auto-b-frischmann-gmbh-umhausen-farchat","Website")</f>
        <v>Website</v>
      </c>
      <c r="C1914" t="str">
        <f>HYPERLINK("http://www.shell-soelden.at","Website")</f>
        <v>Website</v>
      </c>
      <c r="D1914" t="str">
        <f>HYPERLINK("http://www.google.com/maps/place/47.14537,10.91632","Location")</f>
        <v>Location</v>
      </c>
      <c r="E1914" t="s">
        <v>16994</v>
      </c>
      <c r="F1914" t="s">
        <v>16995</v>
      </c>
      <c r="G1914" t="s">
        <v>7968</v>
      </c>
      <c r="H1914" t="s">
        <v>7969</v>
      </c>
      <c r="I1914" t="s">
        <v>21</v>
      </c>
      <c r="J1914" t="s">
        <v>22</v>
      </c>
      <c r="K1914" t="s">
        <v>16996</v>
      </c>
      <c r="L1914" t="s">
        <v>16998</v>
      </c>
      <c r="M1914" t="s">
        <v>25</v>
      </c>
      <c r="N1914" t="s">
        <v>16999</v>
      </c>
      <c r="O1914" t="s">
        <v>25</v>
      </c>
      <c r="P1914" t="s">
        <v>17000</v>
      </c>
      <c r="Q1914" t="s">
        <v>29</v>
      </c>
      <c r="R1914" t="s">
        <v>16997</v>
      </c>
      <c r="S1914" t="s">
        <v>16266</v>
      </c>
    </row>
    <row r="1915" spans="1:19" x14ac:dyDescent="0.25">
      <c r="A1915" s="1">
        <v>1913</v>
      </c>
      <c r="B1915" t="str">
        <f>HYPERLINK("https://www.dasschnelle.at/dr-theresa-kapral-msc-3500-johann-nalepkagasse","Website")</f>
        <v>Website</v>
      </c>
      <c r="C1915" t="str">
        <f>HYPERLINK("http://www.zahnarzt-kapral.at","Website")</f>
        <v>Website</v>
      </c>
      <c r="D1915" t="str">
        <f>HYPERLINK("http://www.google.com/maps/place/48.4133647,15.6057168","Location")</f>
        <v>Location</v>
      </c>
      <c r="E1915" t="s">
        <v>17001</v>
      </c>
      <c r="F1915" t="s">
        <v>17002</v>
      </c>
      <c r="G1915" t="s">
        <v>281</v>
      </c>
      <c r="H1915" t="s">
        <v>281</v>
      </c>
      <c r="I1915" t="s">
        <v>177</v>
      </c>
      <c r="J1915" t="s">
        <v>22</v>
      </c>
      <c r="K1915" t="s">
        <v>17003</v>
      </c>
      <c r="L1915" t="s">
        <v>17006</v>
      </c>
      <c r="M1915" t="s">
        <v>25</v>
      </c>
      <c r="N1915" t="s">
        <v>17007</v>
      </c>
      <c r="O1915" t="s">
        <v>25</v>
      </c>
      <c r="P1915" t="s">
        <v>17008</v>
      </c>
      <c r="Q1915" t="s">
        <v>29</v>
      </c>
      <c r="R1915" t="s">
        <v>17004</v>
      </c>
      <c r="S1915" t="s">
        <v>17005</v>
      </c>
    </row>
    <row r="1916" spans="1:19" x14ac:dyDescent="0.25">
      <c r="A1916" s="1">
        <v>1914</v>
      </c>
      <c r="B1916" t="str">
        <f>HYPERLINK("https://www.dasschnelle.at/denk-hans-peter-straßwalchen-aigelsbrunn","Website")</f>
        <v>Website</v>
      </c>
      <c r="C1916" t="str">
        <f>HYPERLINK("http://www.denk-installationen.at","Website")</f>
        <v>Website</v>
      </c>
      <c r="D1916" t="str">
        <f>HYPERLINK("http://www.google.com/maps/place/47.9903841,13.3068907","Location")</f>
        <v>Location</v>
      </c>
      <c r="E1916" t="s">
        <v>17009</v>
      </c>
      <c r="F1916" t="s">
        <v>17010</v>
      </c>
      <c r="G1916" t="s">
        <v>10545</v>
      </c>
      <c r="H1916" t="s">
        <v>10546</v>
      </c>
      <c r="I1916" t="s">
        <v>2239</v>
      </c>
      <c r="J1916" t="s">
        <v>22</v>
      </c>
      <c r="K1916" t="s">
        <v>17011</v>
      </c>
      <c r="L1916" t="s">
        <v>17014</v>
      </c>
      <c r="M1916" t="s">
        <v>25</v>
      </c>
      <c r="N1916" t="s">
        <v>17015</v>
      </c>
      <c r="O1916" t="s">
        <v>17016</v>
      </c>
      <c r="P1916" t="s">
        <v>17017</v>
      </c>
      <c r="Q1916" t="s">
        <v>29</v>
      </c>
      <c r="R1916" t="s">
        <v>17012</v>
      </c>
      <c r="S1916" t="s">
        <v>17013</v>
      </c>
    </row>
    <row r="1917" spans="1:19" x14ac:dyDescent="0.25">
      <c r="A1917" s="1">
        <v>1915</v>
      </c>
      <c r="B1917" t="str">
        <f>HYPERLINK("https://www.dasschnelle.at/kfz-tafi-wiener-neustadt-hardlgasse","Website")</f>
        <v>Website</v>
      </c>
      <c r="C1917" t="str">
        <f>HYPERLINK("http://www.kfz-tafi.at","Website")</f>
        <v>Website</v>
      </c>
      <c r="D1917" t="str">
        <f>HYPERLINK("http://www.google.com/maps/place/47.8003809,16.2311705","Location")</f>
        <v>Location</v>
      </c>
      <c r="E1917" t="s">
        <v>17018</v>
      </c>
      <c r="F1917" t="s">
        <v>17019</v>
      </c>
      <c r="G1917" t="s">
        <v>3962</v>
      </c>
      <c r="H1917" t="s">
        <v>3982</v>
      </c>
      <c r="I1917" t="s">
        <v>177</v>
      </c>
      <c r="J1917" t="s">
        <v>22</v>
      </c>
      <c r="K1917" t="s">
        <v>17020</v>
      </c>
      <c r="L1917" t="s">
        <v>17023</v>
      </c>
      <c r="M1917" t="s">
        <v>25</v>
      </c>
      <c r="N1917" t="s">
        <v>17024</v>
      </c>
      <c r="O1917" t="s">
        <v>25</v>
      </c>
      <c r="P1917" t="s">
        <v>17025</v>
      </c>
      <c r="Q1917" t="s">
        <v>29</v>
      </c>
      <c r="R1917" t="s">
        <v>17021</v>
      </c>
      <c r="S1917" t="s">
        <v>17022</v>
      </c>
    </row>
    <row r="1918" spans="1:19" x14ac:dyDescent="0.25">
      <c r="A1918" s="1">
        <v>1916</v>
      </c>
      <c r="B1918" t="str">
        <f>HYPERLINK("https://www.dasschnelle.at/ing-daniel-dinhopl-gmbh-wiener-neustadt-plankengasse","Website")</f>
        <v>Website</v>
      </c>
      <c r="C1918" t="str">
        <f>HYPERLINK("http://www.dinhopl.at","Website")</f>
        <v>Website</v>
      </c>
      <c r="D1918" t="str">
        <f>HYPERLINK("http://www.google.com/maps/place/47.8161392,16.2504583","Location")</f>
        <v>Location</v>
      </c>
      <c r="E1918" t="s">
        <v>17026</v>
      </c>
      <c r="F1918" t="s">
        <v>17027</v>
      </c>
      <c r="G1918" t="s">
        <v>3962</v>
      </c>
      <c r="H1918" t="s">
        <v>3982</v>
      </c>
      <c r="I1918" t="s">
        <v>177</v>
      </c>
      <c r="J1918" t="s">
        <v>22</v>
      </c>
      <c r="K1918" t="s">
        <v>17028</v>
      </c>
      <c r="L1918" t="s">
        <v>17031</v>
      </c>
      <c r="M1918" t="s">
        <v>25</v>
      </c>
      <c r="N1918" t="s">
        <v>17032</v>
      </c>
      <c r="O1918" t="s">
        <v>25</v>
      </c>
      <c r="P1918" t="s">
        <v>17033</v>
      </c>
      <c r="Q1918" t="s">
        <v>29</v>
      </c>
      <c r="R1918" t="s">
        <v>17029</v>
      </c>
      <c r="S1918" t="s">
        <v>17030</v>
      </c>
    </row>
    <row r="1919" spans="1:19" x14ac:dyDescent="0.25">
      <c r="A1919" s="1">
        <v>1917</v>
      </c>
      <c r="B1919" t="str">
        <f>HYPERLINK("https://www.dasschnelle.at/pölzleitner-michael-straßwalchen-kaiserpointweg","Website")</f>
        <v>Website</v>
      </c>
      <c r="C1919" t="str">
        <f>HYPERLINK("http://www.holzbau-koasa.at","Website")</f>
        <v>Website</v>
      </c>
      <c r="D1919" t="str">
        <f>HYPERLINK("http://www.google.com/maps/place/47.97426,13.26889","Location")</f>
        <v>Location</v>
      </c>
      <c r="E1919" t="s">
        <v>17034</v>
      </c>
      <c r="F1919" t="s">
        <v>17035</v>
      </c>
      <c r="G1919" t="s">
        <v>10545</v>
      </c>
      <c r="H1919" t="s">
        <v>10546</v>
      </c>
      <c r="I1919" t="s">
        <v>2239</v>
      </c>
      <c r="J1919" t="s">
        <v>22</v>
      </c>
      <c r="K1919" t="s">
        <v>17036</v>
      </c>
      <c r="L1919" t="s">
        <v>17039</v>
      </c>
      <c r="M1919" t="s">
        <v>25</v>
      </c>
      <c r="N1919" t="s">
        <v>17040</v>
      </c>
      <c r="O1919" t="s">
        <v>17041</v>
      </c>
      <c r="P1919" t="s">
        <v>17042</v>
      </c>
      <c r="Q1919" t="s">
        <v>29</v>
      </c>
      <c r="R1919" t="s">
        <v>17037</v>
      </c>
      <c r="S1919" t="s">
        <v>17038</v>
      </c>
    </row>
    <row r="1920" spans="1:19" x14ac:dyDescent="0.25">
      <c r="A1920" s="1">
        <v>1918</v>
      </c>
      <c r="B1920" t="str">
        <f>HYPERLINK("https://www.dasschnelle.at/kern-reinhard-dr-völkermarkt-hauptplatz","Website")</f>
        <v>Website</v>
      </c>
      <c r="C1920" t="str">
        <f>HYPERLINK("http://www.notar-kern.at","Website")</f>
        <v>Website</v>
      </c>
      <c r="D1920" t="str">
        <f>HYPERLINK("http://www.google.com/maps/place/46.65851,14.63355","Location")</f>
        <v>Location</v>
      </c>
      <c r="E1920" t="s">
        <v>17043</v>
      </c>
      <c r="F1920" t="s">
        <v>17044</v>
      </c>
      <c r="G1920" t="s">
        <v>5079</v>
      </c>
      <c r="H1920" t="s">
        <v>5080</v>
      </c>
      <c r="I1920" t="s">
        <v>4130</v>
      </c>
      <c r="J1920" t="s">
        <v>22</v>
      </c>
      <c r="K1920" t="s">
        <v>2948</v>
      </c>
      <c r="L1920" t="s">
        <v>17047</v>
      </c>
      <c r="M1920" t="s">
        <v>25</v>
      </c>
      <c r="N1920" t="s">
        <v>17048</v>
      </c>
      <c r="O1920" t="s">
        <v>25</v>
      </c>
      <c r="P1920" t="s">
        <v>17049</v>
      </c>
      <c r="Q1920" t="s">
        <v>29</v>
      </c>
      <c r="R1920" t="s">
        <v>17045</v>
      </c>
      <c r="S1920" t="s">
        <v>17046</v>
      </c>
    </row>
    <row r="1921" spans="1:19" x14ac:dyDescent="0.25">
      <c r="A1921" s="1">
        <v>1919</v>
      </c>
      <c r="B1921" t="str">
        <f>HYPERLINK("https://www.dasschnelle.at/gebrüder-vietz-og-friedburg-mittererb","Website")</f>
        <v>Website</v>
      </c>
      <c r="C1921" t="str">
        <f>HYPERLINK("http://www.tischlerei-vietz.at","Website")</f>
        <v>Website</v>
      </c>
      <c r="D1921" t="str">
        <f>HYPERLINK("http://www.google.com/maps/place/48.0169825,13.2628734","Location")</f>
        <v>Location</v>
      </c>
      <c r="E1921" t="s">
        <v>17050</v>
      </c>
      <c r="F1921" t="s">
        <v>17051</v>
      </c>
      <c r="G1921" t="s">
        <v>10583</v>
      </c>
      <c r="H1921" t="s">
        <v>10584</v>
      </c>
      <c r="I1921" t="s">
        <v>85</v>
      </c>
      <c r="J1921" t="s">
        <v>22</v>
      </c>
      <c r="K1921" t="s">
        <v>17052</v>
      </c>
      <c r="L1921" t="s">
        <v>17055</v>
      </c>
      <c r="M1921" t="s">
        <v>17056</v>
      </c>
      <c r="N1921" t="s">
        <v>17057</v>
      </c>
      <c r="O1921" t="s">
        <v>25</v>
      </c>
      <c r="P1921" t="s">
        <v>17058</v>
      </c>
      <c r="Q1921" t="s">
        <v>29</v>
      </c>
      <c r="R1921" t="s">
        <v>17053</v>
      </c>
      <c r="S1921" t="s">
        <v>17054</v>
      </c>
    </row>
    <row r="1922" spans="1:19" x14ac:dyDescent="0.25">
      <c r="A1922" s="1">
        <v>1920</v>
      </c>
      <c r="B1922" t="str">
        <f>HYPERLINK("https://www.dasschnelle.at/bse-betonbohr-und-sägedienst-gmbh-obertrum-am-see-köllern","Website")</f>
        <v>Website</v>
      </c>
      <c r="C1922" t="str">
        <f>HYPERLINK("http://www.bseder.at","Website")</f>
        <v>Website</v>
      </c>
      <c r="D1922" t="str">
        <f>HYPERLINK("http://www.google.com/maps/place/47.9210465,13.0794886","Location")</f>
        <v>Location</v>
      </c>
      <c r="E1922" t="s">
        <v>17059</v>
      </c>
      <c r="F1922" t="s">
        <v>17060</v>
      </c>
      <c r="G1922" t="s">
        <v>10429</v>
      </c>
      <c r="H1922" t="s">
        <v>10466</v>
      </c>
      <c r="I1922" t="s">
        <v>2239</v>
      </c>
      <c r="J1922" t="s">
        <v>22</v>
      </c>
      <c r="K1922" t="s">
        <v>17061</v>
      </c>
      <c r="L1922" t="s">
        <v>17064</v>
      </c>
      <c r="M1922" t="s">
        <v>25</v>
      </c>
      <c r="N1922" t="s">
        <v>17065</v>
      </c>
      <c r="O1922" t="s">
        <v>17066</v>
      </c>
      <c r="P1922" t="s">
        <v>17067</v>
      </c>
      <c r="Q1922" t="s">
        <v>29</v>
      </c>
      <c r="R1922" t="s">
        <v>17062</v>
      </c>
      <c r="S1922" t="s">
        <v>17063</v>
      </c>
    </row>
    <row r="1923" spans="1:19" x14ac:dyDescent="0.25">
      <c r="A1923" s="1">
        <v>1921</v>
      </c>
      <c r="B1923" t="str">
        <f>HYPERLINK("https://www.dasschnelle.at/wutschka-gesmbh-st-pölten-kremser-landstraße","Website")</f>
        <v>Website</v>
      </c>
      <c r="C1923" t="str">
        <f>HYPERLINK("http://www.wutschka.at","Website")</f>
        <v>Website</v>
      </c>
      <c r="D1923" t="str">
        <f>HYPERLINK("http://www.google.com/maps/place/48.2114675,15.6250186","Location")</f>
        <v>Location</v>
      </c>
      <c r="E1923" t="s">
        <v>17068</v>
      </c>
      <c r="F1923" t="s">
        <v>17069</v>
      </c>
      <c r="G1923" t="s">
        <v>4019</v>
      </c>
      <c r="H1923" t="s">
        <v>4020</v>
      </c>
      <c r="I1923" t="s">
        <v>177</v>
      </c>
      <c r="J1923" t="s">
        <v>22</v>
      </c>
      <c r="K1923" t="s">
        <v>17070</v>
      </c>
      <c r="L1923" t="s">
        <v>17073</v>
      </c>
      <c r="M1923" t="s">
        <v>25</v>
      </c>
      <c r="N1923" t="s">
        <v>17074</v>
      </c>
      <c r="O1923" t="s">
        <v>25</v>
      </c>
      <c r="P1923" t="s">
        <v>17075</v>
      </c>
      <c r="Q1923" t="s">
        <v>29</v>
      </c>
      <c r="R1923" t="s">
        <v>17071</v>
      </c>
      <c r="S1923" t="s">
        <v>17072</v>
      </c>
    </row>
    <row r="1924" spans="1:19" x14ac:dyDescent="0.25">
      <c r="A1924" s="1">
        <v>1922</v>
      </c>
      <c r="B1924" t="str">
        <f>HYPERLINK("https://www.dasschnelle.at/apotheke-lebensfreude-mag-groh-kg-pöchlarn-manker-straße","Website")</f>
        <v>Website</v>
      </c>
      <c r="C1924" t="str">
        <f>HYPERLINK("http://www.apotheke-lebensfreude.at","Website")</f>
        <v>Website</v>
      </c>
      <c r="D1924" t="str">
        <f>HYPERLINK("http://www.google.com/maps/place/48.20687,15.21561","Location")</f>
        <v>Location</v>
      </c>
      <c r="E1924" t="s">
        <v>17076</v>
      </c>
      <c r="F1924" t="s">
        <v>17077</v>
      </c>
      <c r="G1924" t="s">
        <v>5982</v>
      </c>
      <c r="H1924" t="s">
        <v>5983</v>
      </c>
      <c r="I1924" t="s">
        <v>177</v>
      </c>
      <c r="J1924" t="s">
        <v>22</v>
      </c>
      <c r="K1924" t="s">
        <v>17078</v>
      </c>
      <c r="L1924" t="s">
        <v>17081</v>
      </c>
      <c r="M1924" t="s">
        <v>25</v>
      </c>
      <c r="N1924" t="s">
        <v>17082</v>
      </c>
      <c r="O1924" t="s">
        <v>25</v>
      </c>
      <c r="P1924" t="s">
        <v>17083</v>
      </c>
      <c r="Q1924" t="s">
        <v>29</v>
      </c>
      <c r="R1924" t="s">
        <v>17079</v>
      </c>
      <c r="S1924" t="s">
        <v>17080</v>
      </c>
    </row>
    <row r="1925" spans="1:19" x14ac:dyDescent="0.25">
      <c r="A1925" s="1">
        <v>1923</v>
      </c>
      <c r="B1925" t="str">
        <f>HYPERLINK("https://www.dasschnelle.at/ma-ch-haustechnik-gmbh-griffen-alte-hauptstraße","Website")</f>
        <v>Website</v>
      </c>
      <c r="C1925" t="str">
        <f>HYPERLINK("http://www.mach-gmbh.at","Website")</f>
        <v>Website</v>
      </c>
      <c r="D1925" t="str">
        <f>HYPERLINK("http://www.google.com/maps/place/46.70676,14.73201","Location")</f>
        <v>Location</v>
      </c>
      <c r="E1925" t="s">
        <v>17084</v>
      </c>
      <c r="F1925" t="s">
        <v>17085</v>
      </c>
      <c r="G1925" t="s">
        <v>5123</v>
      </c>
      <c r="H1925" t="s">
        <v>5124</v>
      </c>
      <c r="I1925" t="s">
        <v>4130</v>
      </c>
      <c r="J1925" t="s">
        <v>22</v>
      </c>
      <c r="K1925" t="s">
        <v>17086</v>
      </c>
      <c r="L1925" t="s">
        <v>17089</v>
      </c>
      <c r="M1925" t="s">
        <v>17090</v>
      </c>
      <c r="N1925" t="s">
        <v>17091</v>
      </c>
      <c r="O1925" t="s">
        <v>25</v>
      </c>
      <c r="P1925" t="s">
        <v>17092</v>
      </c>
      <c r="Q1925" t="s">
        <v>29</v>
      </c>
      <c r="R1925" t="s">
        <v>17087</v>
      </c>
      <c r="S1925" t="s">
        <v>17088</v>
      </c>
    </row>
    <row r="1926" spans="1:19" x14ac:dyDescent="0.25">
      <c r="A1926" s="1">
        <v>1924</v>
      </c>
      <c r="B1926" t="str">
        <f>HYPERLINK("https://www.dasschnelle.at/rws-innovative-sanierungssysteme-gmbh-hallein-kalkofenweg","Website")</f>
        <v>Website</v>
      </c>
      <c r="C1926" t="str">
        <f>HYPERLINK("http://www.rws-hallein.at","Website")</f>
        <v>Website</v>
      </c>
      <c r="D1926" t="str">
        <f>HYPERLINK("http://www.google.com/maps/place/47.67119,13.10889","Location")</f>
        <v>Location</v>
      </c>
      <c r="E1926" t="s">
        <v>17093</v>
      </c>
      <c r="F1926" t="s">
        <v>17094</v>
      </c>
      <c r="G1926" t="s">
        <v>7584</v>
      </c>
      <c r="H1926" t="s">
        <v>7585</v>
      </c>
      <c r="I1926" t="s">
        <v>2239</v>
      </c>
      <c r="J1926" t="s">
        <v>22</v>
      </c>
      <c r="K1926" t="s">
        <v>17095</v>
      </c>
      <c r="L1926" t="s">
        <v>17098</v>
      </c>
      <c r="M1926" t="s">
        <v>25</v>
      </c>
      <c r="N1926" t="s">
        <v>17099</v>
      </c>
      <c r="O1926" t="s">
        <v>25</v>
      </c>
      <c r="P1926" t="s">
        <v>17100</v>
      </c>
      <c r="Q1926" t="s">
        <v>29</v>
      </c>
      <c r="R1926" t="s">
        <v>17096</v>
      </c>
      <c r="S1926" t="s">
        <v>17097</v>
      </c>
    </row>
    <row r="1927" spans="1:19" x14ac:dyDescent="0.25">
      <c r="A1927" s="1">
        <v>1925</v>
      </c>
      <c r="B1927" t="str">
        <f>HYPERLINK("https://www.dasschnelle.at/leithner-christian-dr-med-windischgarsten-wehrstraße","Website")</f>
        <v>Website</v>
      </c>
      <c r="C1927" t="str">
        <f>HYPERLINK("https://www.dasschnelle.at/leithner-christian-dr-med-windischgarsten-wehrstra%C3%9Fe","Website")</f>
        <v>Website</v>
      </c>
      <c r="D1927" t="str">
        <f>HYPERLINK("http://www.google.com/maps/place/47.7226,14.32794","Location")</f>
        <v>Location</v>
      </c>
      <c r="E1927" t="s">
        <v>17101</v>
      </c>
      <c r="F1927" t="s">
        <v>17102</v>
      </c>
      <c r="G1927" t="s">
        <v>10646</v>
      </c>
      <c r="H1927" t="s">
        <v>10647</v>
      </c>
      <c r="I1927" t="s">
        <v>85</v>
      </c>
      <c r="J1927" t="s">
        <v>22</v>
      </c>
      <c r="K1927" t="s">
        <v>10713</v>
      </c>
      <c r="L1927" t="s">
        <v>17103</v>
      </c>
      <c r="M1927" t="s">
        <v>25</v>
      </c>
      <c r="N1927" t="s">
        <v>17104</v>
      </c>
      <c r="O1927" t="s">
        <v>25</v>
      </c>
      <c r="P1927" t="s">
        <v>17105</v>
      </c>
      <c r="Q1927" t="s">
        <v>29</v>
      </c>
      <c r="R1927" t="s">
        <v>10714</v>
      </c>
      <c r="S1927" t="s">
        <v>10715</v>
      </c>
    </row>
    <row r="1928" spans="1:19" x14ac:dyDescent="0.25">
      <c r="A1928" s="1">
        <v>1926</v>
      </c>
      <c r="B1928" t="str">
        <f>HYPERLINK("https://www.dasschnelle.at/filzwieser-s-berggasthaus-gmbh-sb-rest-friedrichhütte-spital-am-semmering-stuhleck","Website")</f>
        <v>Website</v>
      </c>
      <c r="C1928" t="str">
        <f>HYPERLINK("http://www.friedrichhuette.at","Website")</f>
        <v>Website</v>
      </c>
      <c r="D1928" t="str">
        <f>HYPERLINK("http://www.google.com/maps/place/47.6148224,15.7509040","Location")</f>
        <v>Location</v>
      </c>
      <c r="E1928" t="s">
        <v>17106</v>
      </c>
      <c r="F1928" t="s">
        <v>17107</v>
      </c>
      <c r="G1928" t="s">
        <v>14623</v>
      </c>
      <c r="H1928" t="s">
        <v>14624</v>
      </c>
      <c r="I1928" t="s">
        <v>451</v>
      </c>
      <c r="J1928" t="s">
        <v>22</v>
      </c>
      <c r="K1928" t="s">
        <v>17108</v>
      </c>
      <c r="L1928" t="s">
        <v>17111</v>
      </c>
      <c r="M1928" t="s">
        <v>25</v>
      </c>
      <c r="N1928" t="s">
        <v>17112</v>
      </c>
      <c r="O1928" t="s">
        <v>17113</v>
      </c>
      <c r="P1928" t="s">
        <v>17114</v>
      </c>
      <c r="Q1928" t="s">
        <v>29</v>
      </c>
      <c r="R1928" t="s">
        <v>17109</v>
      </c>
      <c r="S1928" t="s">
        <v>17110</v>
      </c>
    </row>
    <row r="1929" spans="1:19" x14ac:dyDescent="0.25">
      <c r="A1929" s="1">
        <v>1927</v>
      </c>
      <c r="B1929" t="str">
        <f>HYPERLINK("https://www.dasschnelle.at/lienbacher-rupert-haustechnik-abtenau-markt","Website")</f>
        <v>Website</v>
      </c>
      <c r="C1929" t="str">
        <f>HYPERLINK("https://www.dasschnelle.at/lienbacher-rupert-haustechnik-abtenau-markt","Website")</f>
        <v>Website</v>
      </c>
      <c r="D1929" t="str">
        <f>HYPERLINK("http://www.google.com/maps/place/47.56641,13.34458","Location")</f>
        <v>Location</v>
      </c>
      <c r="E1929" t="s">
        <v>17115</v>
      </c>
      <c r="F1929" t="s">
        <v>17116</v>
      </c>
      <c r="G1929" t="s">
        <v>7614</v>
      </c>
      <c r="H1929" t="s">
        <v>7615</v>
      </c>
      <c r="I1929" t="s">
        <v>2239</v>
      </c>
      <c r="J1929" t="s">
        <v>22</v>
      </c>
      <c r="K1929" t="s">
        <v>17117</v>
      </c>
      <c r="L1929" t="s">
        <v>17120</v>
      </c>
      <c r="M1929" t="s">
        <v>25</v>
      </c>
      <c r="N1929" t="s">
        <v>17121</v>
      </c>
      <c r="O1929" t="s">
        <v>25</v>
      </c>
      <c r="P1929" t="s">
        <v>17122</v>
      </c>
      <c r="Q1929" t="s">
        <v>29</v>
      </c>
      <c r="R1929" t="s">
        <v>17118</v>
      </c>
      <c r="S1929" t="s">
        <v>17119</v>
      </c>
    </row>
    <row r="1930" spans="1:19" x14ac:dyDescent="0.25">
      <c r="A1930" s="1">
        <v>1928</v>
      </c>
      <c r="B1930" t="str">
        <f>HYPERLINK("https://www.dasschnelle.at/priv-doz-dr-alexander-heschl-bad-ischl-kaiser-franz-josef-straße","Website")</f>
        <v>Website</v>
      </c>
      <c r="C1930" t="str">
        <f>HYPERLINK("http://www.zahnarzt-badischl.at","Website")</f>
        <v>Website</v>
      </c>
      <c r="D1930" t="str">
        <f>HYPERLINK("http://www.google.com/maps/place/47.71213,13.62403","Location")</f>
        <v>Location</v>
      </c>
      <c r="E1930" t="s">
        <v>17123</v>
      </c>
      <c r="F1930" t="s">
        <v>17124</v>
      </c>
      <c r="G1930" t="s">
        <v>2377</v>
      </c>
      <c r="H1930" t="s">
        <v>2378</v>
      </c>
      <c r="I1930" t="s">
        <v>85</v>
      </c>
      <c r="J1930" t="s">
        <v>22</v>
      </c>
      <c r="K1930" t="s">
        <v>17125</v>
      </c>
      <c r="L1930" t="s">
        <v>17128</v>
      </c>
      <c r="M1930" t="s">
        <v>25</v>
      </c>
      <c r="N1930" t="s">
        <v>25</v>
      </c>
      <c r="O1930" t="s">
        <v>25</v>
      </c>
      <c r="P1930" t="s">
        <v>17129</v>
      </c>
      <c r="Q1930" t="s">
        <v>29</v>
      </c>
      <c r="R1930" t="s">
        <v>17126</v>
      </c>
      <c r="S1930" t="s">
        <v>17127</v>
      </c>
    </row>
    <row r="1931" spans="1:19" x14ac:dyDescent="0.25">
      <c r="A1931" s="1">
        <v>1929</v>
      </c>
      <c r="B1931" t="str">
        <f>HYPERLINK("https://www.dasschnelle.at/härting-johannes-dr-reutte-augasse","Website")</f>
        <v>Website</v>
      </c>
      <c r="C1931" t="str">
        <f>HYPERLINK("http://www.haustierarzt.at","Website")</f>
        <v>Website</v>
      </c>
      <c r="D1931" t="str">
        <f>HYPERLINK("http://www.google.com/maps/place/47.4945790,10.7175166","Location")</f>
        <v>Location</v>
      </c>
      <c r="E1931" t="s">
        <v>17130</v>
      </c>
      <c r="F1931" t="s">
        <v>17131</v>
      </c>
      <c r="G1931" t="s">
        <v>6823</v>
      </c>
      <c r="H1931" t="s">
        <v>6824</v>
      </c>
      <c r="I1931" t="s">
        <v>21</v>
      </c>
      <c r="J1931" t="s">
        <v>22</v>
      </c>
      <c r="K1931" t="s">
        <v>17132</v>
      </c>
      <c r="L1931" t="s">
        <v>17135</v>
      </c>
      <c r="M1931" t="s">
        <v>25</v>
      </c>
      <c r="N1931" t="s">
        <v>17136</v>
      </c>
      <c r="O1931" t="s">
        <v>25</v>
      </c>
      <c r="P1931" t="s">
        <v>17137</v>
      </c>
      <c r="Q1931" t="s">
        <v>29</v>
      </c>
      <c r="R1931" t="s">
        <v>17133</v>
      </c>
      <c r="S1931" t="s">
        <v>17134</v>
      </c>
    </row>
    <row r="1932" spans="1:19" x14ac:dyDescent="0.25">
      <c r="A1932" s="1">
        <v>1930</v>
      </c>
      <c r="B1932" t="str">
        <f>HYPERLINK("https://www.dasschnelle.at/ziehesberger-peter-neuhofen-an-der-krems-mühlnerfeldstraße","Website")</f>
        <v>Website</v>
      </c>
      <c r="C1932" t="str">
        <f>HYPERLINK("http://www.ziehesberger.at","Website")</f>
        <v>Website</v>
      </c>
      <c r="D1932" t="str">
        <f>HYPERLINK("http://www.google.com/maps/place/48.13395,14.22512","Location")</f>
        <v>Location</v>
      </c>
      <c r="E1932" t="s">
        <v>17138</v>
      </c>
      <c r="F1932" t="s">
        <v>17139</v>
      </c>
      <c r="G1932" t="s">
        <v>12931</v>
      </c>
      <c r="H1932" t="s">
        <v>12932</v>
      </c>
      <c r="I1932" t="s">
        <v>85</v>
      </c>
      <c r="J1932" t="s">
        <v>22</v>
      </c>
      <c r="K1932" t="s">
        <v>17140</v>
      </c>
      <c r="L1932" t="s">
        <v>17143</v>
      </c>
      <c r="M1932" t="s">
        <v>25</v>
      </c>
      <c r="N1932" t="s">
        <v>17144</v>
      </c>
      <c r="O1932" t="s">
        <v>25</v>
      </c>
      <c r="P1932" t="s">
        <v>17145</v>
      </c>
      <c r="Q1932" t="s">
        <v>29</v>
      </c>
      <c r="R1932" t="s">
        <v>17141</v>
      </c>
      <c r="S1932" t="s">
        <v>17142</v>
      </c>
    </row>
    <row r="1933" spans="1:19" x14ac:dyDescent="0.25">
      <c r="A1933" s="1">
        <v>1931</v>
      </c>
      <c r="B1933" t="str">
        <f>HYPERLINK("https://www.dasschnelle.at/kitzbüheler-wirtschaftstreuhandgesellschaft-dkfm-dr-karl-koller-kg-kitzbühel-josef-pirchl-straße","Website")</f>
        <v>Website</v>
      </c>
      <c r="C1933" t="str">
        <f>HYPERLINK("http://www.koller-kitzbuehel.com","Website")</f>
        <v>Website</v>
      </c>
      <c r="D1933" t="str">
        <f>HYPERLINK("http://www.google.com/maps/place/47.4494049,12.3904904","Location")</f>
        <v>Location</v>
      </c>
      <c r="E1933" t="s">
        <v>17146</v>
      </c>
      <c r="F1933" t="s">
        <v>17147</v>
      </c>
      <c r="G1933" t="s">
        <v>833</v>
      </c>
      <c r="H1933" t="s">
        <v>834</v>
      </c>
      <c r="I1933" t="s">
        <v>21</v>
      </c>
      <c r="J1933" t="s">
        <v>22</v>
      </c>
      <c r="K1933" t="s">
        <v>17148</v>
      </c>
      <c r="L1933" t="s">
        <v>17151</v>
      </c>
      <c r="M1933" t="s">
        <v>25</v>
      </c>
      <c r="N1933" t="s">
        <v>17152</v>
      </c>
      <c r="O1933" t="s">
        <v>17153</v>
      </c>
      <c r="P1933" t="s">
        <v>17154</v>
      </c>
      <c r="Q1933" t="s">
        <v>29</v>
      </c>
      <c r="R1933" t="s">
        <v>17149</v>
      </c>
      <c r="S1933" t="s">
        <v>17150</v>
      </c>
    </row>
    <row r="1934" spans="1:19" x14ac:dyDescent="0.25">
      <c r="A1934" s="1">
        <v>1932</v>
      </c>
      <c r="B1934" t="str">
        <f>HYPERLINK("https://www.dasschnelle.at/autohaus-windischgarsten-vw-servicebetrieb-windischgarsten-linzer-straße","Website")</f>
        <v>Website</v>
      </c>
      <c r="C1934" t="str">
        <f>HYPERLINK("http://www.autohaus-windischgarsten.at","Website")</f>
        <v>Website</v>
      </c>
      <c r="D1934" t="str">
        <f>HYPERLINK("http://www.google.com/maps/place/47.722512,14.325525","Location")</f>
        <v>Location</v>
      </c>
      <c r="E1934" t="s">
        <v>17155</v>
      </c>
      <c r="F1934" t="s">
        <v>17156</v>
      </c>
      <c r="G1934" t="s">
        <v>10646</v>
      </c>
      <c r="H1934" t="s">
        <v>10647</v>
      </c>
      <c r="I1934" t="s">
        <v>85</v>
      </c>
      <c r="J1934" t="s">
        <v>22</v>
      </c>
      <c r="K1934" t="s">
        <v>17157</v>
      </c>
      <c r="L1934" t="s">
        <v>17160</v>
      </c>
      <c r="M1934" t="s">
        <v>25</v>
      </c>
      <c r="N1934" t="s">
        <v>17161</v>
      </c>
      <c r="O1934" t="s">
        <v>25</v>
      </c>
      <c r="P1934" t="s">
        <v>17162</v>
      </c>
      <c r="Q1934" t="s">
        <v>29</v>
      </c>
      <c r="R1934" t="s">
        <v>17158</v>
      </c>
      <c r="S1934" t="s">
        <v>17159</v>
      </c>
    </row>
    <row r="1935" spans="1:19" x14ac:dyDescent="0.25">
      <c r="A1935" s="1">
        <v>1933</v>
      </c>
      <c r="B1935" t="str">
        <f>HYPERLINK("https://www.dasschnelle.at/raiffeisenbank-weißkirchen-reggenmbh-allhaming","Website")</f>
        <v>Website</v>
      </c>
      <c r="C1935" t="str">
        <f>HYPERLINK("http://www.raiffeisen-ooe.at","Website")</f>
        <v>Website</v>
      </c>
      <c r="D1935" t="str">
        <f>HYPERLINK("http://www.google.com/maps/place/48.1526934,14.1720896","Location")</f>
        <v>Location</v>
      </c>
      <c r="E1935" t="s">
        <v>17163</v>
      </c>
      <c r="F1935" t="s">
        <v>17164</v>
      </c>
      <c r="G1935" t="s">
        <v>17165</v>
      </c>
      <c r="H1935" t="s">
        <v>17166</v>
      </c>
      <c r="I1935" t="s">
        <v>85</v>
      </c>
      <c r="J1935" t="s">
        <v>22</v>
      </c>
      <c r="K1935" t="s">
        <v>25</v>
      </c>
      <c r="L1935" t="s">
        <v>17169</v>
      </c>
      <c r="M1935" t="s">
        <v>25</v>
      </c>
      <c r="N1935" t="s">
        <v>17170</v>
      </c>
      <c r="O1935" t="s">
        <v>25</v>
      </c>
      <c r="P1935" t="s">
        <v>17171</v>
      </c>
      <c r="Q1935" t="s">
        <v>29</v>
      </c>
      <c r="R1935" t="s">
        <v>17167</v>
      </c>
      <c r="S1935" t="s">
        <v>17168</v>
      </c>
    </row>
    <row r="1936" spans="1:19" x14ac:dyDescent="0.25">
      <c r="A1936" s="1">
        <v>1934</v>
      </c>
      <c r="B1936" t="str">
        <f>HYPERLINK("https://www.dasschnelle.at/walkner-eduard-und-co-keg-hallein-hammerstraße","Website")</f>
        <v>Website</v>
      </c>
      <c r="C1936" t="str">
        <f>HYPERLINK("http://www.steinmetz-walkner.at","Website")</f>
        <v>Website</v>
      </c>
      <c r="D1936" t="str">
        <f>HYPERLINK("http://www.google.com/maps/place/47.68841,13.10023","Location")</f>
        <v>Location</v>
      </c>
      <c r="E1936" t="s">
        <v>17172</v>
      </c>
      <c r="F1936" t="s">
        <v>17173</v>
      </c>
      <c r="G1936" t="s">
        <v>7584</v>
      </c>
      <c r="H1936" t="s">
        <v>7585</v>
      </c>
      <c r="I1936" t="s">
        <v>2239</v>
      </c>
      <c r="J1936" t="s">
        <v>22</v>
      </c>
      <c r="K1936" t="s">
        <v>17174</v>
      </c>
      <c r="L1936" t="s">
        <v>17177</v>
      </c>
      <c r="M1936" t="s">
        <v>25</v>
      </c>
      <c r="N1936" t="s">
        <v>17178</v>
      </c>
      <c r="O1936" t="s">
        <v>25</v>
      </c>
      <c r="P1936" t="s">
        <v>17179</v>
      </c>
      <c r="Q1936" t="s">
        <v>29</v>
      </c>
      <c r="R1936" t="s">
        <v>17175</v>
      </c>
      <c r="S1936" t="s">
        <v>17176</v>
      </c>
    </row>
    <row r="1937" spans="1:19" x14ac:dyDescent="0.25">
      <c r="A1937" s="1">
        <v>1935</v>
      </c>
      <c r="B1937" t="str">
        <f>HYPERLINK("https://www.dasschnelle.at/dundler-robert-ybbs-an-der-donau-krautäckerstraße","Website")</f>
        <v>Website</v>
      </c>
      <c r="C1937" t="str">
        <f>HYPERLINK("http://www.verklebungen-dundler.at","Website")</f>
        <v>Website</v>
      </c>
      <c r="D1937" t="str">
        <f>HYPERLINK("http://www.google.com/maps/place/48.16741,15.06886","Location")</f>
        <v>Location</v>
      </c>
      <c r="E1937" t="s">
        <v>17180</v>
      </c>
      <c r="F1937" t="s">
        <v>17181</v>
      </c>
      <c r="G1937" t="s">
        <v>6019</v>
      </c>
      <c r="H1937" t="s">
        <v>6195</v>
      </c>
      <c r="I1937" t="s">
        <v>177</v>
      </c>
      <c r="J1937" t="s">
        <v>22</v>
      </c>
      <c r="K1937" t="s">
        <v>17182</v>
      </c>
      <c r="L1937" t="s">
        <v>17185</v>
      </c>
      <c r="M1937" t="s">
        <v>25</v>
      </c>
      <c r="N1937" t="s">
        <v>17186</v>
      </c>
      <c r="O1937" t="s">
        <v>17187</v>
      </c>
      <c r="P1937" t="s">
        <v>17188</v>
      </c>
      <c r="Q1937" t="s">
        <v>29</v>
      </c>
      <c r="R1937" t="s">
        <v>17183</v>
      </c>
      <c r="S1937" t="s">
        <v>17184</v>
      </c>
    </row>
    <row r="1938" spans="1:19" x14ac:dyDescent="0.25">
      <c r="A1938" s="1">
        <v>1936</v>
      </c>
      <c r="B1938" t="str">
        <f>HYPERLINK("https://www.dasschnelle.at/dicketmüller-emil-gesmbh-windischgarsten-dambachstraße","Website")</f>
        <v>Website</v>
      </c>
      <c r="C1938" t="str">
        <f>HYPERLINK("http://www.dicketmueller.at","Website")</f>
        <v>Website</v>
      </c>
      <c r="D1938" t="str">
        <f>HYPERLINK("http://www.google.com/maps/place/47.72174,14.32029","Location")</f>
        <v>Location</v>
      </c>
      <c r="E1938" t="s">
        <v>17189</v>
      </c>
      <c r="F1938" t="s">
        <v>17190</v>
      </c>
      <c r="G1938" t="s">
        <v>10646</v>
      </c>
      <c r="H1938" t="s">
        <v>10647</v>
      </c>
      <c r="I1938" t="s">
        <v>85</v>
      </c>
      <c r="J1938" t="s">
        <v>22</v>
      </c>
      <c r="K1938" t="s">
        <v>17191</v>
      </c>
      <c r="L1938" t="s">
        <v>17194</v>
      </c>
      <c r="M1938" t="s">
        <v>25</v>
      </c>
      <c r="N1938" t="s">
        <v>17195</v>
      </c>
      <c r="O1938" t="s">
        <v>17196</v>
      </c>
      <c r="P1938" t="s">
        <v>17197</v>
      </c>
      <c r="Q1938" t="s">
        <v>29</v>
      </c>
      <c r="R1938" t="s">
        <v>17192</v>
      </c>
      <c r="S1938" t="s">
        <v>17193</v>
      </c>
    </row>
    <row r="1939" spans="1:19" x14ac:dyDescent="0.25">
      <c r="A1939" s="1">
        <v>1937</v>
      </c>
      <c r="B1939" t="str">
        <f>HYPERLINK("https://www.dasschnelle.at/greil-und-doleschal-gesmbh-wiener-neustadt-bräunlichgasse","Website")</f>
        <v>Website</v>
      </c>
      <c r="C1939" t="str">
        <f>HYPERLINK("http://www.greil-doleschal.com","Website")</f>
        <v>Website</v>
      </c>
      <c r="D1939" t="str">
        <f>HYPERLINK("http://www.google.com/maps/place/47.80822,16.23395","Location")</f>
        <v>Location</v>
      </c>
      <c r="E1939" t="s">
        <v>17198</v>
      </c>
      <c r="F1939" t="s">
        <v>17199</v>
      </c>
      <c r="G1939" t="s">
        <v>3962</v>
      </c>
      <c r="H1939" t="s">
        <v>3982</v>
      </c>
      <c r="I1939" t="s">
        <v>177</v>
      </c>
      <c r="J1939" t="s">
        <v>22</v>
      </c>
      <c r="K1939" t="s">
        <v>17200</v>
      </c>
      <c r="L1939" t="s">
        <v>17203</v>
      </c>
      <c r="M1939" t="s">
        <v>25</v>
      </c>
      <c r="N1939" t="s">
        <v>17204</v>
      </c>
      <c r="O1939" t="s">
        <v>25</v>
      </c>
      <c r="P1939" t="s">
        <v>17205</v>
      </c>
      <c r="Q1939" t="s">
        <v>29</v>
      </c>
      <c r="R1939" t="s">
        <v>17201</v>
      </c>
      <c r="S1939" t="s">
        <v>17202</v>
      </c>
    </row>
    <row r="1940" spans="1:19" x14ac:dyDescent="0.25">
      <c r="A1940" s="1">
        <v>1938</v>
      </c>
      <c r="B1940" t="str">
        <f>HYPERLINK("https://www.dasschnelle.at/flachgauer-baumservice-henndorf-am-wallersee-hauptstraße","Website")</f>
        <v>Website</v>
      </c>
      <c r="C1940" t="str">
        <f>HYPERLINK("http://www.baumservice.at","Website")</f>
        <v>Website</v>
      </c>
      <c r="D1940" t="str">
        <f>HYPERLINK("http://www.google.com/maps/place/47.8970281,13.1858614","Location")</f>
        <v>Location</v>
      </c>
      <c r="E1940" t="s">
        <v>17206</v>
      </c>
      <c r="F1940" t="s">
        <v>17207</v>
      </c>
      <c r="G1940" t="s">
        <v>16337</v>
      </c>
      <c r="H1940" t="s">
        <v>16338</v>
      </c>
      <c r="I1940" t="s">
        <v>2239</v>
      </c>
      <c r="J1940" t="s">
        <v>22</v>
      </c>
      <c r="K1940" t="s">
        <v>17208</v>
      </c>
      <c r="L1940" t="s">
        <v>17211</v>
      </c>
      <c r="M1940" t="s">
        <v>25</v>
      </c>
      <c r="N1940" t="s">
        <v>17212</v>
      </c>
      <c r="O1940" t="s">
        <v>25</v>
      </c>
      <c r="P1940" t="s">
        <v>697</v>
      </c>
      <c r="Q1940" t="s">
        <v>29</v>
      </c>
      <c r="R1940" t="s">
        <v>17209</v>
      </c>
      <c r="S1940" t="s">
        <v>17210</v>
      </c>
    </row>
    <row r="1941" spans="1:19" x14ac:dyDescent="0.25">
      <c r="A1941" s="1">
        <v>1939</v>
      </c>
      <c r="B1941" t="str">
        <f>HYPERLINK("https://www.dasschnelle.at/zimmerei-johann-frauenschuh-gmbh-neumarkt-am-wallersee-irrsbergstraße","Website")</f>
        <v>Website</v>
      </c>
      <c r="C1941" t="str">
        <f>HYPERLINK("http://www.holzbau-frauenschuh.at","Website")</f>
        <v>Website</v>
      </c>
      <c r="D1941" t="str">
        <f>HYPERLINK("http://www.google.com/maps/place/47.95253,13.24684","Location")</f>
        <v>Location</v>
      </c>
      <c r="E1941" t="s">
        <v>17213</v>
      </c>
      <c r="F1941" t="s">
        <v>17214</v>
      </c>
      <c r="G1941" t="s">
        <v>10564</v>
      </c>
      <c r="H1941" t="s">
        <v>10565</v>
      </c>
      <c r="I1941" t="s">
        <v>2239</v>
      </c>
      <c r="J1941" t="s">
        <v>22</v>
      </c>
      <c r="K1941" t="s">
        <v>17215</v>
      </c>
      <c r="L1941" t="s">
        <v>17218</v>
      </c>
      <c r="M1941" t="s">
        <v>25</v>
      </c>
      <c r="N1941" t="s">
        <v>17219</v>
      </c>
      <c r="O1941" t="s">
        <v>25</v>
      </c>
      <c r="P1941" t="s">
        <v>17220</v>
      </c>
      <c r="Q1941" t="s">
        <v>29</v>
      </c>
      <c r="R1941" t="s">
        <v>17216</v>
      </c>
      <c r="S1941" t="s">
        <v>17217</v>
      </c>
    </row>
    <row r="1942" spans="1:19" x14ac:dyDescent="0.25">
      <c r="A1942" s="1">
        <v>1940</v>
      </c>
      <c r="B1942" t="str">
        <f>HYPERLINK("https://www.dasschnelle.at/stöger-robert-gmbh-roßleithen-rading","Website")</f>
        <v>Website</v>
      </c>
      <c r="C1942" t="str">
        <f>HYPERLINK("http://www.stoeger-transporte.at","Website")</f>
        <v>Website</v>
      </c>
      <c r="D1942" t="str">
        <f>HYPERLINK("http://www.google.com/maps/place/47.7338188,14.2960714","Location")</f>
        <v>Location</v>
      </c>
      <c r="E1942" t="s">
        <v>17221</v>
      </c>
      <c r="F1942" t="s">
        <v>17222</v>
      </c>
      <c r="G1942" t="s">
        <v>10672</v>
      </c>
      <c r="H1942" t="s">
        <v>10673</v>
      </c>
      <c r="I1942" t="s">
        <v>85</v>
      </c>
      <c r="J1942" t="s">
        <v>22</v>
      </c>
      <c r="K1942" t="s">
        <v>17223</v>
      </c>
      <c r="L1942" t="s">
        <v>17226</v>
      </c>
      <c r="M1942" t="s">
        <v>25</v>
      </c>
      <c r="N1942" t="s">
        <v>17227</v>
      </c>
      <c r="O1942" t="s">
        <v>25</v>
      </c>
      <c r="P1942" t="s">
        <v>17228</v>
      </c>
      <c r="Q1942" t="s">
        <v>29</v>
      </c>
      <c r="R1942" t="s">
        <v>17224</v>
      </c>
      <c r="S1942" t="s">
        <v>17225</v>
      </c>
    </row>
    <row r="1943" spans="1:19" x14ac:dyDescent="0.25">
      <c r="A1943" s="1">
        <v>1941</v>
      </c>
      <c r="B1943" t="str">
        <f>HYPERLINK("https://www.dasschnelle.at/führer-bernhard-gmbh-oberhofen-am-irrsee-gewerbegebiet-salzweg","Website")</f>
        <v>Website</v>
      </c>
      <c r="C1943" t="str">
        <f>HYPERLINK("http://www.fuehrer-fenster.at","Website")</f>
        <v>Website</v>
      </c>
      <c r="D1943" t="str">
        <f>HYPERLINK("http://www.google.com/maps/place/47.9593800,13.3062800","Location")</f>
        <v>Location</v>
      </c>
      <c r="E1943" t="s">
        <v>17229</v>
      </c>
      <c r="F1943" t="s">
        <v>17230</v>
      </c>
      <c r="G1943" t="s">
        <v>17232</v>
      </c>
      <c r="H1943" t="s">
        <v>17233</v>
      </c>
      <c r="I1943" t="s">
        <v>85</v>
      </c>
      <c r="J1943" t="s">
        <v>22</v>
      </c>
      <c r="K1943" t="s">
        <v>17231</v>
      </c>
      <c r="L1943" t="s">
        <v>17236</v>
      </c>
      <c r="M1943" t="s">
        <v>25</v>
      </c>
      <c r="N1943" t="s">
        <v>17237</v>
      </c>
      <c r="O1943" t="s">
        <v>17238</v>
      </c>
      <c r="P1943" t="s">
        <v>17239</v>
      </c>
      <c r="Q1943" t="s">
        <v>29</v>
      </c>
      <c r="R1943" t="s">
        <v>17234</v>
      </c>
      <c r="S1943" t="s">
        <v>17235</v>
      </c>
    </row>
    <row r="1944" spans="1:19" x14ac:dyDescent="0.25">
      <c r="A1944" s="1">
        <v>1942</v>
      </c>
      <c r="B1944" t="str">
        <f>HYPERLINK("https://www.dasschnelle.at/handlechner-karin-seekirchen-am-wallersee-hauptstraße","Website")</f>
        <v>Website</v>
      </c>
      <c r="C1944" t="str">
        <f>HYPERLINK("http://www.hirschenwirt-seekirchen.at","Website")</f>
        <v>Website</v>
      </c>
      <c r="D1944" t="str">
        <f>HYPERLINK("http://www.google.com/maps/place/47.8969547,13.1227899","Location")</f>
        <v>Location</v>
      </c>
      <c r="E1944" t="s">
        <v>17240</v>
      </c>
      <c r="F1944" t="s">
        <v>17241</v>
      </c>
      <c r="G1944" t="s">
        <v>1412</v>
      </c>
      <c r="H1944" t="s">
        <v>10367</v>
      </c>
      <c r="I1944" t="s">
        <v>2239</v>
      </c>
      <c r="J1944" t="s">
        <v>22</v>
      </c>
      <c r="K1944" t="s">
        <v>2041</v>
      </c>
      <c r="L1944" t="s">
        <v>17244</v>
      </c>
      <c r="M1944" t="s">
        <v>25</v>
      </c>
      <c r="N1944" t="s">
        <v>17245</v>
      </c>
      <c r="O1944" t="s">
        <v>25</v>
      </c>
      <c r="P1944" t="s">
        <v>17246</v>
      </c>
      <c r="Q1944" t="s">
        <v>29</v>
      </c>
      <c r="R1944" t="s">
        <v>17242</v>
      </c>
      <c r="S1944" t="s">
        <v>17243</v>
      </c>
    </row>
    <row r="1945" spans="1:19" x14ac:dyDescent="0.25">
      <c r="A1945" s="1">
        <v>1943</v>
      </c>
      <c r="B1945" t="str">
        <f>HYPERLINK("https://www.dasschnelle.at/ramel-leopold-st-leonhard-wieselburger-straße","Website")</f>
        <v>Website</v>
      </c>
      <c r="C1945" t="str">
        <f>HYPERLINK("http://www.ramel.at","Website")</f>
        <v>Website</v>
      </c>
      <c r="D1945" t="str">
        <f>HYPERLINK("http://www.google.com/maps/place/48.1420049,15.2827268","Location")</f>
        <v>Location</v>
      </c>
      <c r="E1945" t="s">
        <v>17247</v>
      </c>
      <c r="F1945" t="s">
        <v>17248</v>
      </c>
      <c r="G1945" t="s">
        <v>6038</v>
      </c>
      <c r="H1945" t="s">
        <v>6119</v>
      </c>
      <c r="I1945" t="s">
        <v>177</v>
      </c>
      <c r="J1945" t="s">
        <v>22</v>
      </c>
      <c r="K1945" t="s">
        <v>17249</v>
      </c>
      <c r="L1945" t="s">
        <v>17252</v>
      </c>
      <c r="M1945" t="s">
        <v>25</v>
      </c>
      <c r="N1945" t="s">
        <v>17253</v>
      </c>
      <c r="O1945" t="s">
        <v>25</v>
      </c>
      <c r="P1945" t="s">
        <v>17254</v>
      </c>
      <c r="Q1945" t="s">
        <v>29</v>
      </c>
      <c r="R1945" t="s">
        <v>17250</v>
      </c>
      <c r="S1945" t="s">
        <v>17251</v>
      </c>
    </row>
    <row r="1946" spans="1:19" x14ac:dyDescent="0.25">
      <c r="A1946" s="1">
        <v>1944</v>
      </c>
      <c r="B1946" t="str">
        <f>HYPERLINK("https://www.dasschnelle.at/gasthof-pock-straden-hof-bei-straden","Website")</f>
        <v>Website</v>
      </c>
      <c r="C1946" t="str">
        <f>HYPERLINK("https://www.dasschnelle.at/gasthof-pock-straden-hof-bei-straden","Website")</f>
        <v>Website</v>
      </c>
      <c r="D1946" t="str">
        <f>HYPERLINK("http://www.google.com/maps/place/46.7989213,15.8991735","Location")</f>
        <v>Location</v>
      </c>
      <c r="E1946" t="s">
        <v>17255</v>
      </c>
      <c r="F1946" t="s">
        <v>17256</v>
      </c>
      <c r="G1946" t="s">
        <v>460</v>
      </c>
      <c r="H1946" t="s">
        <v>461</v>
      </c>
      <c r="I1946" t="s">
        <v>451</v>
      </c>
      <c r="J1946" t="s">
        <v>22</v>
      </c>
      <c r="K1946" t="s">
        <v>11718</v>
      </c>
      <c r="L1946" t="s">
        <v>11721</v>
      </c>
      <c r="M1946" t="s">
        <v>25</v>
      </c>
      <c r="N1946" t="s">
        <v>11722</v>
      </c>
      <c r="O1946" t="s">
        <v>25</v>
      </c>
      <c r="P1946" t="s">
        <v>17257</v>
      </c>
      <c r="Q1946" t="s">
        <v>29</v>
      </c>
      <c r="R1946" t="s">
        <v>11719</v>
      </c>
      <c r="S1946" t="s">
        <v>11720</v>
      </c>
    </row>
    <row r="1947" spans="1:19" x14ac:dyDescent="0.25">
      <c r="A1947" s="1">
        <v>1945</v>
      </c>
      <c r="B1947" t="str">
        <f>HYPERLINK("https://www.dasschnelle.at/ratt-dorothea-mag-pharm-mauerkirchen-obermarkt","Website")</f>
        <v>Website</v>
      </c>
      <c r="C1947" t="str">
        <f>HYPERLINK("http://www.apotheke-mauerkirchen.at","Website")</f>
        <v>Website</v>
      </c>
      <c r="D1947" t="str">
        <f>HYPERLINK("http://www.google.com/maps/place/48.19027,13.13489","Location")</f>
        <v>Location</v>
      </c>
      <c r="E1947" t="s">
        <v>17258</v>
      </c>
      <c r="F1947" t="s">
        <v>17259</v>
      </c>
      <c r="G1947" t="s">
        <v>1422</v>
      </c>
      <c r="H1947" t="s">
        <v>1423</v>
      </c>
      <c r="I1947" t="s">
        <v>85</v>
      </c>
      <c r="J1947" t="s">
        <v>22</v>
      </c>
      <c r="K1947" t="s">
        <v>17260</v>
      </c>
      <c r="L1947" t="s">
        <v>17263</v>
      </c>
      <c r="M1947" t="s">
        <v>25</v>
      </c>
      <c r="N1947" t="s">
        <v>25</v>
      </c>
      <c r="O1947" t="s">
        <v>25</v>
      </c>
      <c r="P1947" t="s">
        <v>17264</v>
      </c>
      <c r="Q1947" t="s">
        <v>29</v>
      </c>
      <c r="R1947" t="s">
        <v>17261</v>
      </c>
      <c r="S1947" t="s">
        <v>17262</v>
      </c>
    </row>
    <row r="1948" spans="1:19" x14ac:dyDescent="0.25">
      <c r="A1948" s="1">
        <v>1946</v>
      </c>
      <c r="B1948" t="str">
        <f>HYPERLINK("https://www.dasschnelle.at/taxi-busreisen-eckerstorfer-e-u-windischgarsten-schulstraße","Website")</f>
        <v>Website</v>
      </c>
      <c r="C1948" t="str">
        <f>HYPERLINK("http://www.eckerstorfer.at","Website")</f>
        <v>Website</v>
      </c>
      <c r="D1948" t="str">
        <f>HYPERLINK("http://www.google.com/maps/place/47.72166,14.32731","Location")</f>
        <v>Location</v>
      </c>
      <c r="E1948" t="s">
        <v>17265</v>
      </c>
      <c r="F1948" t="s">
        <v>17266</v>
      </c>
      <c r="G1948" t="s">
        <v>10646</v>
      </c>
      <c r="H1948" t="s">
        <v>10647</v>
      </c>
      <c r="I1948" t="s">
        <v>85</v>
      </c>
      <c r="J1948" t="s">
        <v>22</v>
      </c>
      <c r="K1948" t="s">
        <v>17267</v>
      </c>
      <c r="L1948" t="s">
        <v>17270</v>
      </c>
      <c r="M1948" t="s">
        <v>17271</v>
      </c>
      <c r="N1948" t="s">
        <v>17272</v>
      </c>
      <c r="O1948" t="s">
        <v>25</v>
      </c>
      <c r="P1948" t="s">
        <v>17273</v>
      </c>
      <c r="Q1948" t="s">
        <v>29</v>
      </c>
      <c r="R1948" t="s">
        <v>17268</v>
      </c>
      <c r="S1948" t="s">
        <v>17269</v>
      </c>
    </row>
    <row r="1949" spans="1:19" x14ac:dyDescent="0.25">
      <c r="A1949" s="1">
        <v>1947</v>
      </c>
      <c r="B1949" t="str">
        <f>HYPERLINK("https://www.dasschnelle.at/blumen-rath-neunkirchen-peischingerstraße","Website")</f>
        <v>Website</v>
      </c>
      <c r="C1949" t="str">
        <f>HYPERLINK("http://www.blumen-rath.at","Website")</f>
        <v>Website</v>
      </c>
      <c r="D1949" t="str">
        <f>HYPERLINK("http://www.google.com/maps/place/47.72532,16.0919","Location")</f>
        <v>Location</v>
      </c>
      <c r="E1949" t="s">
        <v>17274</v>
      </c>
      <c r="F1949" t="s">
        <v>17275</v>
      </c>
      <c r="G1949" t="s">
        <v>5676</v>
      </c>
      <c r="H1949" t="s">
        <v>5677</v>
      </c>
      <c r="I1949" t="s">
        <v>177</v>
      </c>
      <c r="J1949" t="s">
        <v>22</v>
      </c>
      <c r="K1949" t="s">
        <v>17276</v>
      </c>
      <c r="L1949" t="s">
        <v>17279</v>
      </c>
      <c r="M1949" t="s">
        <v>25</v>
      </c>
      <c r="N1949" t="s">
        <v>17280</v>
      </c>
      <c r="O1949" t="s">
        <v>25</v>
      </c>
      <c r="P1949" t="s">
        <v>17281</v>
      </c>
      <c r="Q1949" t="s">
        <v>29</v>
      </c>
      <c r="R1949" t="s">
        <v>17277</v>
      </c>
      <c r="S1949" t="s">
        <v>17278</v>
      </c>
    </row>
    <row r="1950" spans="1:19" x14ac:dyDescent="0.25">
      <c r="A1950" s="1">
        <v>1948</v>
      </c>
      <c r="B1950" t="str">
        <f>HYPERLINK("https://www.dasschnelle.at/prenner-gartendesign-melk-sandweg","Website")</f>
        <v>Website</v>
      </c>
      <c r="C1950" t="str">
        <f>HYPERLINK("http://www.gartendesign-prenner.at","Website")</f>
        <v>Website</v>
      </c>
      <c r="D1950" t="str">
        <f>HYPERLINK("http://www.google.com/maps/place/48.22109,15.35291","Location")</f>
        <v>Location</v>
      </c>
      <c r="E1950" t="s">
        <v>17282</v>
      </c>
      <c r="F1950" t="s">
        <v>17283</v>
      </c>
      <c r="G1950" t="s">
        <v>5926</v>
      </c>
      <c r="H1950" t="s">
        <v>5927</v>
      </c>
      <c r="I1950" t="s">
        <v>177</v>
      </c>
      <c r="J1950" t="s">
        <v>22</v>
      </c>
      <c r="K1950" t="s">
        <v>17284</v>
      </c>
      <c r="L1950" t="s">
        <v>17287</v>
      </c>
      <c r="M1950" t="s">
        <v>17288</v>
      </c>
      <c r="N1950" t="s">
        <v>17289</v>
      </c>
      <c r="O1950" t="s">
        <v>17290</v>
      </c>
      <c r="P1950" t="s">
        <v>17291</v>
      </c>
      <c r="Q1950" t="s">
        <v>29</v>
      </c>
      <c r="R1950" t="s">
        <v>17285</v>
      </c>
      <c r="S1950" t="s">
        <v>17286</v>
      </c>
    </row>
    <row r="1951" spans="1:19" x14ac:dyDescent="0.25">
      <c r="A1951" s="1">
        <v>1949</v>
      </c>
      <c r="B1951" t="str">
        <f>HYPERLINK("https://www.dasschnelle.at/herk-jakob-dr-völkermarkt-hauptplatz","Website")</f>
        <v>Website</v>
      </c>
      <c r="C1951" t="str">
        <f>HYPERLINK("https://www.dasschnelle.at/herk-jakob-dr-v%C3%B6lkermarkt-hauptplatz","Website")</f>
        <v>Website</v>
      </c>
      <c r="D1951" t="str">
        <f>HYPERLINK("http://www.google.com/maps/place/46.65922,14.63428","Location")</f>
        <v>Location</v>
      </c>
      <c r="E1951" t="s">
        <v>17292</v>
      </c>
      <c r="F1951" t="s">
        <v>17293</v>
      </c>
      <c r="G1951" t="s">
        <v>5079</v>
      </c>
      <c r="H1951" t="s">
        <v>5080</v>
      </c>
      <c r="I1951" t="s">
        <v>4130</v>
      </c>
      <c r="J1951" t="s">
        <v>22</v>
      </c>
      <c r="K1951" t="s">
        <v>17294</v>
      </c>
      <c r="L1951" t="s">
        <v>17297</v>
      </c>
      <c r="M1951" t="s">
        <v>25</v>
      </c>
      <c r="N1951" t="s">
        <v>17298</v>
      </c>
      <c r="O1951" t="s">
        <v>25</v>
      </c>
      <c r="P1951" t="s">
        <v>17299</v>
      </c>
      <c r="Q1951" t="s">
        <v>29</v>
      </c>
      <c r="R1951" t="s">
        <v>17295</v>
      </c>
      <c r="S1951" t="s">
        <v>17296</v>
      </c>
    </row>
    <row r="1952" spans="1:19" x14ac:dyDescent="0.25">
      <c r="A1952" s="1">
        <v>1950</v>
      </c>
      <c r="B1952" t="str">
        <f>HYPERLINK("https://www.dasschnelle.at/schütz-durits-johannes-bad-radkersburg-halbenrainerstraße","Website")</f>
        <v>Website</v>
      </c>
      <c r="C1952" t="str">
        <f>HYPERLINK("https://www.dasschnelle.at/sch%C3%BCtz-durits-johannes-bad-radkersburg-halbenrainerstra%C3%9Fe","Website")</f>
        <v>Website</v>
      </c>
      <c r="D1952" t="str">
        <f>HYPERLINK("http://www.google.com/maps/place/46.69098,15.98486","Location")</f>
        <v>Location</v>
      </c>
      <c r="E1952" t="s">
        <v>17300</v>
      </c>
      <c r="F1952" t="s">
        <v>17301</v>
      </c>
      <c r="G1952" t="s">
        <v>11773</v>
      </c>
      <c r="H1952" t="s">
        <v>11791</v>
      </c>
      <c r="I1952" t="s">
        <v>451</v>
      </c>
      <c r="J1952" t="s">
        <v>22</v>
      </c>
      <c r="K1952" t="s">
        <v>17302</v>
      </c>
      <c r="L1952" t="s">
        <v>17305</v>
      </c>
      <c r="M1952" t="s">
        <v>25</v>
      </c>
      <c r="N1952" t="s">
        <v>17306</v>
      </c>
      <c r="O1952" t="s">
        <v>25</v>
      </c>
      <c r="P1952" t="s">
        <v>17307</v>
      </c>
      <c r="Q1952" t="s">
        <v>29</v>
      </c>
      <c r="R1952" t="s">
        <v>17303</v>
      </c>
      <c r="S1952" t="s">
        <v>17304</v>
      </c>
    </row>
    <row r="1953" spans="1:19" x14ac:dyDescent="0.25">
      <c r="A1953" s="1">
        <v>1951</v>
      </c>
      <c r="B1953" t="str">
        <f>HYPERLINK("https://www.dasschnelle.at/glaser-christian-roßleithen-pichl","Website")</f>
        <v>Website</v>
      </c>
      <c r="C1953" t="str">
        <f>HYPERLINK("https://www.dasschnelle.at/glaser-christian-ro%C3%9Fleithen-pichl","Website")</f>
        <v>Website</v>
      </c>
      <c r="D1953" t="str">
        <f>HYPERLINK("http://www.google.com/maps/place/47.72226,14.30844","Location")</f>
        <v>Location</v>
      </c>
      <c r="E1953" t="s">
        <v>17308</v>
      </c>
      <c r="F1953" t="s">
        <v>17309</v>
      </c>
      <c r="G1953" t="s">
        <v>10672</v>
      </c>
      <c r="H1953" t="s">
        <v>10673</v>
      </c>
      <c r="I1953" t="s">
        <v>85</v>
      </c>
      <c r="J1953" t="s">
        <v>22</v>
      </c>
      <c r="K1953" t="s">
        <v>17310</v>
      </c>
      <c r="L1953" t="s">
        <v>17313</v>
      </c>
      <c r="M1953" t="s">
        <v>25</v>
      </c>
      <c r="N1953" t="s">
        <v>17314</v>
      </c>
      <c r="O1953" t="s">
        <v>25</v>
      </c>
      <c r="P1953" t="s">
        <v>697</v>
      </c>
      <c r="Q1953" t="s">
        <v>29</v>
      </c>
      <c r="R1953" t="s">
        <v>17311</v>
      </c>
      <c r="S1953" t="s">
        <v>17312</v>
      </c>
    </row>
    <row r="1954" spans="1:19" x14ac:dyDescent="0.25">
      <c r="A1954" s="1">
        <v>1952</v>
      </c>
      <c r="B1954" t="str">
        <f>HYPERLINK("https://www.dasschnelle.at/kniewasser-siegfried-ing-windischgarsten-edlbach","Website")</f>
        <v>Website</v>
      </c>
      <c r="C1954" t="str">
        <f>HYPERLINK("http://www.bm-kniewasser.at","Website")</f>
        <v>Website</v>
      </c>
      <c r="D1954" t="str">
        <f>HYPERLINK("http://www.google.com/maps/place/47.7147509,14.3374353","Location")</f>
        <v>Location</v>
      </c>
      <c r="E1954" t="s">
        <v>17315</v>
      </c>
      <c r="F1954" t="s">
        <v>17316</v>
      </c>
      <c r="G1954" t="s">
        <v>10646</v>
      </c>
      <c r="H1954" t="s">
        <v>10647</v>
      </c>
      <c r="I1954" t="s">
        <v>85</v>
      </c>
      <c r="J1954" t="s">
        <v>22</v>
      </c>
      <c r="K1954" t="s">
        <v>17317</v>
      </c>
      <c r="L1954" t="s">
        <v>17320</v>
      </c>
      <c r="M1954" t="s">
        <v>25</v>
      </c>
      <c r="N1954" t="s">
        <v>17321</v>
      </c>
      <c r="O1954" t="s">
        <v>25</v>
      </c>
      <c r="P1954" t="s">
        <v>17322</v>
      </c>
      <c r="Q1954" t="s">
        <v>29</v>
      </c>
      <c r="R1954" t="s">
        <v>17318</v>
      </c>
      <c r="S1954" t="s">
        <v>17319</v>
      </c>
    </row>
    <row r="1955" spans="1:19" x14ac:dyDescent="0.25">
      <c r="A1955" s="1">
        <v>1953</v>
      </c>
      <c r="B1955" t="str">
        <f>HYPERLINK("https://www.dasschnelle.at/metzgerei-schnegg-imsterberg-au","Website")</f>
        <v>Website</v>
      </c>
      <c r="C1955" t="str">
        <f>HYPERLINK("https://www.dasschnelle.at/metzgerei-schnegg-imsterberg-au","Website")</f>
        <v>Website</v>
      </c>
      <c r="D1955" t="str">
        <f>HYPERLINK("http://www.google.com/maps/place/47.2107700,10.7114700","Location")</f>
        <v>Location</v>
      </c>
      <c r="E1955" t="s">
        <v>17323</v>
      </c>
      <c r="F1955" t="s">
        <v>17324</v>
      </c>
      <c r="G1955" t="s">
        <v>17326</v>
      </c>
      <c r="H1955" t="s">
        <v>17327</v>
      </c>
      <c r="I1955" t="s">
        <v>21</v>
      </c>
      <c r="J1955" t="s">
        <v>22</v>
      </c>
      <c r="K1955" t="s">
        <v>17325</v>
      </c>
      <c r="L1955" t="s">
        <v>17330</v>
      </c>
      <c r="M1955" t="s">
        <v>25</v>
      </c>
      <c r="N1955" t="s">
        <v>17331</v>
      </c>
      <c r="O1955" t="s">
        <v>25</v>
      </c>
      <c r="P1955" t="s">
        <v>17332</v>
      </c>
      <c r="Q1955" t="s">
        <v>29</v>
      </c>
      <c r="R1955" t="s">
        <v>17328</v>
      </c>
      <c r="S1955" t="s">
        <v>17329</v>
      </c>
    </row>
    <row r="1956" spans="1:19" x14ac:dyDescent="0.25">
      <c r="A1956" s="1">
        <v>1954</v>
      </c>
      <c r="B1956" t="str">
        <f>HYPERLINK("https://www.dasschnelle.at/elektroinstallationen-armin-antl-langenlois-kamptalstrasse","Website")</f>
        <v>Website</v>
      </c>
      <c r="C1956" t="str">
        <f>HYPERLINK("http://www.elektro-antl.at","Website")</f>
        <v>Website</v>
      </c>
      <c r="D1956" t="str">
        <f>HYPERLINK("http://www.google.com/maps/place/48.4788300,15.6735200","Location")</f>
        <v>Location</v>
      </c>
      <c r="E1956" t="s">
        <v>17333</v>
      </c>
      <c r="F1956" t="s">
        <v>17334</v>
      </c>
      <c r="G1956" t="s">
        <v>413</v>
      </c>
      <c r="H1956" t="s">
        <v>414</v>
      </c>
      <c r="I1956" t="s">
        <v>177</v>
      </c>
      <c r="J1956" t="s">
        <v>22</v>
      </c>
      <c r="K1956" t="s">
        <v>17335</v>
      </c>
      <c r="L1956" t="s">
        <v>17338</v>
      </c>
      <c r="M1956" t="s">
        <v>25</v>
      </c>
      <c r="N1956" t="s">
        <v>17339</v>
      </c>
      <c r="O1956" t="s">
        <v>25</v>
      </c>
      <c r="P1956" t="s">
        <v>17340</v>
      </c>
      <c r="Q1956" t="s">
        <v>29</v>
      </c>
      <c r="R1956" t="s">
        <v>17336</v>
      </c>
      <c r="S1956" t="s">
        <v>17337</v>
      </c>
    </row>
    <row r="1957" spans="1:19" x14ac:dyDescent="0.25">
      <c r="A1957" s="1">
        <v>1955</v>
      </c>
      <c r="B1957" t="str">
        <f>HYPERLINK("https://www.dasschnelle.at/pieber-johann-texing-altendorf","Website")</f>
        <v>Website</v>
      </c>
      <c r="C1957" t="str">
        <f>HYPERLINK("https://www.dasschnelle.at/pieber-johann-texing-altendorf","Website")</f>
        <v>Website</v>
      </c>
      <c r="D1957" t="str">
        <f>HYPERLINK("http://www.google.com/maps/place/48.0567468,15.3099626","Location")</f>
        <v>Location</v>
      </c>
      <c r="E1957" t="s">
        <v>17341</v>
      </c>
      <c r="F1957" t="s">
        <v>17342</v>
      </c>
      <c r="G1957" t="s">
        <v>5954</v>
      </c>
      <c r="H1957" t="s">
        <v>5955</v>
      </c>
      <c r="I1957" t="s">
        <v>177</v>
      </c>
      <c r="J1957" t="s">
        <v>22</v>
      </c>
      <c r="K1957" t="s">
        <v>17343</v>
      </c>
      <c r="L1957" t="s">
        <v>17346</v>
      </c>
      <c r="M1957" t="s">
        <v>25</v>
      </c>
      <c r="N1957" t="s">
        <v>17347</v>
      </c>
      <c r="O1957" t="s">
        <v>25</v>
      </c>
      <c r="P1957" t="s">
        <v>17348</v>
      </c>
      <c r="Q1957" t="s">
        <v>29</v>
      </c>
      <c r="R1957" t="s">
        <v>17344</v>
      </c>
      <c r="S1957" t="s">
        <v>17345</v>
      </c>
    </row>
    <row r="1958" spans="1:19" x14ac:dyDescent="0.25">
      <c r="A1958" s="1">
        <v>1956</v>
      </c>
      <c r="B1958" t="str">
        <f>HYPERLINK("https://www.dasschnelle.at/greul-roland-texing","Website")</f>
        <v>Website</v>
      </c>
      <c r="C1958" t="str">
        <f>HYPERLINK("http://www.greulonline.at","Website")</f>
        <v>Website</v>
      </c>
      <c r="D1958" t="str">
        <f>HYPERLINK("http://www.google.com/maps/place/48.0496556,15.3252478","Location")</f>
        <v>Location</v>
      </c>
      <c r="E1958" t="s">
        <v>17349</v>
      </c>
      <c r="F1958" t="s">
        <v>17350</v>
      </c>
      <c r="G1958" t="s">
        <v>5954</v>
      </c>
      <c r="H1958" t="s">
        <v>5955</v>
      </c>
      <c r="I1958" t="s">
        <v>177</v>
      </c>
      <c r="J1958" t="s">
        <v>22</v>
      </c>
      <c r="K1958" t="s">
        <v>25</v>
      </c>
      <c r="L1958" t="s">
        <v>17353</v>
      </c>
      <c r="M1958" t="s">
        <v>17354</v>
      </c>
      <c r="N1958" t="s">
        <v>17355</v>
      </c>
      <c r="O1958" t="s">
        <v>25</v>
      </c>
      <c r="P1958" t="s">
        <v>17356</v>
      </c>
      <c r="Q1958" t="s">
        <v>29</v>
      </c>
      <c r="R1958" t="s">
        <v>17351</v>
      </c>
      <c r="S1958" t="s">
        <v>17352</v>
      </c>
    </row>
    <row r="1959" spans="1:19" x14ac:dyDescent="0.25">
      <c r="A1959" s="1">
        <v>1957</v>
      </c>
      <c r="B1959" t="str">
        <f>HYPERLINK("https://www.dasschnelle.at/achatz-alfred-tainach-dr-j-kucher-weg","Website")</f>
        <v>Website</v>
      </c>
      <c r="C1959" t="str">
        <f>HYPERLINK("http://www.ws-achatz.at","Website")</f>
        <v>Website</v>
      </c>
      <c r="D1959" t="str">
        <f>HYPERLINK("http://www.google.com/maps/place/46.63205,14.53186","Location")</f>
        <v>Location</v>
      </c>
      <c r="E1959" t="s">
        <v>17357</v>
      </c>
      <c r="F1959" t="s">
        <v>17358</v>
      </c>
      <c r="G1959" t="s">
        <v>17360</v>
      </c>
      <c r="H1959" t="s">
        <v>17361</v>
      </c>
      <c r="I1959" t="s">
        <v>4130</v>
      </c>
      <c r="J1959" t="s">
        <v>22</v>
      </c>
      <c r="K1959" t="s">
        <v>17359</v>
      </c>
      <c r="L1959" t="s">
        <v>17364</v>
      </c>
      <c r="M1959" t="s">
        <v>25</v>
      </c>
      <c r="N1959" t="s">
        <v>17365</v>
      </c>
      <c r="O1959" t="s">
        <v>25</v>
      </c>
      <c r="P1959" t="s">
        <v>17366</v>
      </c>
      <c r="Q1959" t="s">
        <v>29</v>
      </c>
      <c r="R1959" t="s">
        <v>17362</v>
      </c>
      <c r="S1959" t="s">
        <v>17363</v>
      </c>
    </row>
    <row r="1960" spans="1:19" x14ac:dyDescent="0.25">
      <c r="A1960" s="1">
        <v>1958</v>
      </c>
      <c r="B1960" t="str">
        <f>HYPERLINK("https://www.dasschnelle.at/miklau-hans-jakob-völkermarkt-sankt-ruprechter-straße","Website")</f>
        <v>Website</v>
      </c>
      <c r="C1960" t="str">
        <f>HYPERLINK("http://www.fliesenmiklau.at","Website")</f>
        <v>Website</v>
      </c>
      <c r="D1960" t="str">
        <f>HYPERLINK("http://www.google.com/maps/place/46.66361,14.6243","Location")</f>
        <v>Location</v>
      </c>
      <c r="E1960" t="s">
        <v>17367</v>
      </c>
      <c r="F1960" t="s">
        <v>17368</v>
      </c>
      <c r="G1960" t="s">
        <v>5079</v>
      </c>
      <c r="H1960" t="s">
        <v>5080</v>
      </c>
      <c r="I1960" t="s">
        <v>4130</v>
      </c>
      <c r="J1960" t="s">
        <v>22</v>
      </c>
      <c r="K1960" t="s">
        <v>17369</v>
      </c>
      <c r="L1960" t="s">
        <v>17372</v>
      </c>
      <c r="M1960" t="s">
        <v>17373</v>
      </c>
      <c r="N1960" t="s">
        <v>17374</v>
      </c>
      <c r="O1960" t="s">
        <v>25</v>
      </c>
      <c r="P1960" t="s">
        <v>17375</v>
      </c>
      <c r="Q1960" t="s">
        <v>29</v>
      </c>
      <c r="R1960" t="s">
        <v>17370</v>
      </c>
      <c r="S1960" t="s">
        <v>17371</v>
      </c>
    </row>
    <row r="1961" spans="1:19" x14ac:dyDescent="0.25">
      <c r="A1961" s="1">
        <v>1959</v>
      </c>
      <c r="B1961" t="str">
        <f>HYPERLINK("https://www.dasschnelle.at/cziglar-gmbh-bad-radkersburg-oberlaafelderstraße","Website")</f>
        <v>Website</v>
      </c>
      <c r="C1961" t="str">
        <f>HYPERLINK("http://www.cziglar.at","Website")</f>
        <v>Website</v>
      </c>
      <c r="D1961" t="str">
        <f>HYPERLINK("http://www.google.com/maps/place/46.69559,15.99688","Location")</f>
        <v>Location</v>
      </c>
      <c r="E1961" t="s">
        <v>17376</v>
      </c>
      <c r="F1961" t="s">
        <v>17377</v>
      </c>
      <c r="G1961" t="s">
        <v>11773</v>
      </c>
      <c r="H1961" t="s">
        <v>11791</v>
      </c>
      <c r="I1961" t="s">
        <v>451</v>
      </c>
      <c r="J1961" t="s">
        <v>22</v>
      </c>
      <c r="K1961" t="s">
        <v>17378</v>
      </c>
      <c r="L1961" t="s">
        <v>17381</v>
      </c>
      <c r="M1961" t="s">
        <v>17382</v>
      </c>
      <c r="N1961" t="s">
        <v>17383</v>
      </c>
      <c r="O1961" t="s">
        <v>25</v>
      </c>
      <c r="P1961" t="s">
        <v>17384</v>
      </c>
      <c r="Q1961" t="s">
        <v>29</v>
      </c>
      <c r="R1961" t="s">
        <v>17379</v>
      </c>
      <c r="S1961" t="s">
        <v>17380</v>
      </c>
    </row>
    <row r="1962" spans="1:19" x14ac:dyDescent="0.25">
      <c r="A1962" s="1">
        <v>1960</v>
      </c>
      <c r="B1962" t="str">
        <f>HYPERLINK("https://www.dasschnelle.at/schennach-florian-ehrwald-reinhard-spielmann-straße","Website")</f>
        <v>Website</v>
      </c>
      <c r="C1962" t="str">
        <f>HYPERLINK("http://www.htschennach.at","Website")</f>
        <v>Website</v>
      </c>
      <c r="D1962" t="str">
        <f>HYPERLINK("http://www.google.com/maps/place/47.40005,10.92167","Location")</f>
        <v>Location</v>
      </c>
      <c r="E1962" t="s">
        <v>17385</v>
      </c>
      <c r="F1962" t="s">
        <v>17386</v>
      </c>
      <c r="G1962" t="s">
        <v>14930</v>
      </c>
      <c r="H1962" t="s">
        <v>14931</v>
      </c>
      <c r="I1962" t="s">
        <v>21</v>
      </c>
      <c r="J1962" t="s">
        <v>22</v>
      </c>
      <c r="K1962" t="s">
        <v>17387</v>
      </c>
      <c r="L1962" t="s">
        <v>17390</v>
      </c>
      <c r="M1962" t="s">
        <v>25</v>
      </c>
      <c r="N1962" t="s">
        <v>17391</v>
      </c>
      <c r="O1962" t="s">
        <v>25</v>
      </c>
      <c r="P1962" t="s">
        <v>17392</v>
      </c>
      <c r="Q1962" t="s">
        <v>29</v>
      </c>
      <c r="R1962" t="s">
        <v>17388</v>
      </c>
      <c r="S1962" t="s">
        <v>17389</v>
      </c>
    </row>
    <row r="1963" spans="1:19" x14ac:dyDescent="0.25">
      <c r="A1963" s="1">
        <v>1961</v>
      </c>
      <c r="B1963" t="str">
        <f>HYPERLINK("https://www.dasschnelle.at/wolfinger-klaus-neuhofen-an-der-krems-birnenweg","Website")</f>
        <v>Website</v>
      </c>
      <c r="C1963" t="str">
        <f>HYPERLINK("https://www.dasschnelle.at/wolfinger-klaus-neuhofen-an-der-krems-birnenweg","Website")</f>
        <v>Website</v>
      </c>
      <c r="D1963" t="str">
        <f>HYPERLINK("http://www.google.com/maps/place/48.12945,14.21441","Location")</f>
        <v>Location</v>
      </c>
      <c r="E1963" t="s">
        <v>17393</v>
      </c>
      <c r="F1963" t="s">
        <v>17394</v>
      </c>
      <c r="G1963" t="s">
        <v>12931</v>
      </c>
      <c r="H1963" t="s">
        <v>12932</v>
      </c>
      <c r="I1963" t="s">
        <v>85</v>
      </c>
      <c r="J1963" t="s">
        <v>22</v>
      </c>
      <c r="K1963" t="s">
        <v>17395</v>
      </c>
      <c r="L1963" t="s">
        <v>17398</v>
      </c>
      <c r="M1963" t="s">
        <v>25</v>
      </c>
      <c r="N1963" t="s">
        <v>17399</v>
      </c>
      <c r="O1963" t="s">
        <v>25</v>
      </c>
      <c r="P1963" t="s">
        <v>17400</v>
      </c>
      <c r="Q1963" t="s">
        <v>29</v>
      </c>
      <c r="R1963" t="s">
        <v>17396</v>
      </c>
      <c r="S1963" t="s">
        <v>17397</v>
      </c>
    </row>
    <row r="1964" spans="1:19" x14ac:dyDescent="0.25">
      <c r="A1964" s="1">
        <v>1962</v>
      </c>
      <c r="B1964" t="str">
        <f>HYPERLINK("https://www.dasschnelle.at/büro-kiss-und-partner-ziviltechniker-gmbh-reutte-lärchenweg","Website")</f>
        <v>Website</v>
      </c>
      <c r="C1964" t="str">
        <f>HYPERLINK("http://www.ib-kiss.at","Website")</f>
        <v>Website</v>
      </c>
      <c r="D1964" t="str">
        <f>HYPERLINK("http://www.google.com/maps/place/47.48299,10.7412","Location")</f>
        <v>Location</v>
      </c>
      <c r="E1964" t="s">
        <v>17401</v>
      </c>
      <c r="F1964" t="s">
        <v>17402</v>
      </c>
      <c r="G1964" t="s">
        <v>6823</v>
      </c>
      <c r="H1964" t="s">
        <v>6824</v>
      </c>
      <c r="I1964" t="s">
        <v>21</v>
      </c>
      <c r="J1964" t="s">
        <v>22</v>
      </c>
      <c r="K1964" t="s">
        <v>17403</v>
      </c>
      <c r="L1964" t="s">
        <v>17406</v>
      </c>
      <c r="M1964" t="s">
        <v>25</v>
      </c>
      <c r="N1964" t="s">
        <v>17407</v>
      </c>
      <c r="O1964" t="s">
        <v>25</v>
      </c>
      <c r="P1964" t="s">
        <v>17408</v>
      </c>
      <c r="Q1964" t="s">
        <v>29</v>
      </c>
      <c r="R1964" t="s">
        <v>17404</v>
      </c>
      <c r="S1964" t="s">
        <v>17405</v>
      </c>
    </row>
    <row r="1965" spans="1:19" x14ac:dyDescent="0.25">
      <c r="A1965" s="1">
        <v>1963</v>
      </c>
      <c r="B1965" t="str">
        <f>HYPERLINK("https://www.dasschnelle.at/zenkl-günther-glantschach","Website")</f>
        <v>Website</v>
      </c>
      <c r="C1965" t="str">
        <f>HYPERLINK("http://www.zenkl.co.at","Website")</f>
        <v>Website</v>
      </c>
      <c r="D1965" t="str">
        <f>HYPERLINK("http://www.google.com/maps/place/46.5445492,14.5369733","Location")</f>
        <v>Location</v>
      </c>
      <c r="E1965" t="s">
        <v>17409</v>
      </c>
      <c r="F1965" t="s">
        <v>17410</v>
      </c>
      <c r="G1965" t="s">
        <v>16701</v>
      </c>
      <c r="H1965" t="s">
        <v>17411</v>
      </c>
      <c r="I1965" t="s">
        <v>4130</v>
      </c>
      <c r="J1965" t="s">
        <v>22</v>
      </c>
      <c r="K1965" t="s">
        <v>25</v>
      </c>
      <c r="L1965" t="s">
        <v>17414</v>
      </c>
      <c r="M1965" t="s">
        <v>25</v>
      </c>
      <c r="N1965" t="s">
        <v>17415</v>
      </c>
      <c r="O1965" t="s">
        <v>25</v>
      </c>
      <c r="P1965" t="s">
        <v>17416</v>
      </c>
      <c r="Q1965" t="s">
        <v>29</v>
      </c>
      <c r="R1965" t="s">
        <v>17412</v>
      </c>
      <c r="S1965" t="s">
        <v>17413</v>
      </c>
    </row>
    <row r="1966" spans="1:19" x14ac:dyDescent="0.25">
      <c r="A1966" s="1">
        <v>1964</v>
      </c>
      <c r="B1966" t="str">
        <f>HYPERLINK("https://www.dasschnelle.at/csar-christa-reutte-untermarkt","Website")</f>
        <v>Website</v>
      </c>
      <c r="C1966" t="str">
        <f>HYPERLINK("https://www.dasschnelle.at/csar-christa-reutte-untermarkt","Website")</f>
        <v>Website</v>
      </c>
      <c r="D1966" t="str">
        <f>HYPERLINK("http://www.google.com/maps/place/47.48949,10.71744","Location")</f>
        <v>Location</v>
      </c>
      <c r="E1966" t="s">
        <v>17417</v>
      </c>
      <c r="F1966" t="s">
        <v>17418</v>
      </c>
      <c r="G1966" t="s">
        <v>6823</v>
      </c>
      <c r="H1966" t="s">
        <v>6824</v>
      </c>
      <c r="I1966" t="s">
        <v>21</v>
      </c>
      <c r="J1966" t="s">
        <v>22</v>
      </c>
      <c r="K1966" t="s">
        <v>17419</v>
      </c>
      <c r="L1966" t="s">
        <v>17422</v>
      </c>
      <c r="M1966" t="s">
        <v>25</v>
      </c>
      <c r="N1966" t="s">
        <v>17423</v>
      </c>
      <c r="O1966" t="s">
        <v>25</v>
      </c>
      <c r="P1966" t="s">
        <v>17424</v>
      </c>
      <c r="Q1966" t="s">
        <v>29</v>
      </c>
      <c r="R1966" t="s">
        <v>17420</v>
      </c>
      <c r="S1966" t="s">
        <v>17421</v>
      </c>
    </row>
    <row r="1967" spans="1:19" x14ac:dyDescent="0.25">
      <c r="A1967" s="1">
        <v>1965</v>
      </c>
      <c r="B1967" t="str">
        <f>HYPERLINK("https://www.dasschnelle.at/knez-rene-bad-eisenkappel-leppen","Website")</f>
        <v>Website</v>
      </c>
      <c r="C1967" t="str">
        <f>HYPERLINK("http://www.wohnkeramik-knez.at","Website")</f>
        <v>Website</v>
      </c>
      <c r="D1967" t="str">
        <f>HYPERLINK("http://www.google.com/maps/place/46.4869543,14.6375733","Location")</f>
        <v>Location</v>
      </c>
      <c r="E1967" t="s">
        <v>17425</v>
      </c>
      <c r="F1967" t="s">
        <v>17426</v>
      </c>
      <c r="G1967" t="s">
        <v>17428</v>
      </c>
      <c r="H1967" t="s">
        <v>17429</v>
      </c>
      <c r="I1967" t="s">
        <v>4130</v>
      </c>
      <c r="J1967" t="s">
        <v>22</v>
      </c>
      <c r="K1967" t="s">
        <v>17427</v>
      </c>
      <c r="L1967" t="s">
        <v>17432</v>
      </c>
      <c r="M1967" t="s">
        <v>25</v>
      </c>
      <c r="N1967" t="s">
        <v>17433</v>
      </c>
      <c r="O1967" t="s">
        <v>25</v>
      </c>
      <c r="P1967" t="s">
        <v>17434</v>
      </c>
      <c r="Q1967" t="s">
        <v>29</v>
      </c>
      <c r="R1967" t="s">
        <v>17430</v>
      </c>
      <c r="S1967" t="s">
        <v>17431</v>
      </c>
    </row>
    <row r="1968" spans="1:19" x14ac:dyDescent="0.25">
      <c r="A1968" s="1">
        <v>1966</v>
      </c>
      <c r="B1968" t="str">
        <f>HYPERLINK("https://www.dasschnelle.at/gerda-habicher-ehenbichl-oberried","Website")</f>
        <v>Website</v>
      </c>
      <c r="C1968" t="str">
        <f>HYPERLINK("http://www.gerda-habicher.at","Website")</f>
        <v>Website</v>
      </c>
      <c r="D1968" t="str">
        <f>HYPERLINK("http://www.google.com/maps/place/47.46909,10.6973","Location")</f>
        <v>Location</v>
      </c>
      <c r="E1968" t="s">
        <v>17435</v>
      </c>
      <c r="F1968" t="s">
        <v>17436</v>
      </c>
      <c r="G1968" t="s">
        <v>6823</v>
      </c>
      <c r="H1968" t="s">
        <v>17438</v>
      </c>
      <c r="I1968" t="s">
        <v>21</v>
      </c>
      <c r="J1968" t="s">
        <v>22</v>
      </c>
      <c r="K1968" t="s">
        <v>17437</v>
      </c>
      <c r="L1968" t="s">
        <v>17441</v>
      </c>
      <c r="M1968" t="s">
        <v>25</v>
      </c>
      <c r="N1968" t="s">
        <v>17442</v>
      </c>
      <c r="O1968" t="s">
        <v>25</v>
      </c>
      <c r="P1968" t="s">
        <v>17443</v>
      </c>
      <c r="Q1968" t="s">
        <v>29</v>
      </c>
      <c r="R1968" t="s">
        <v>17439</v>
      </c>
      <c r="S1968" t="s">
        <v>17440</v>
      </c>
    </row>
    <row r="1969" spans="1:19" x14ac:dyDescent="0.25">
      <c r="A1969" s="1">
        <v>1967</v>
      </c>
      <c r="B1969" t="str">
        <f>HYPERLINK("https://www.dasschnelle.at/gerber-peter-wirtschaftstreuhand-u-steuerberatung-gmbh-reutte-schulstraße","Website")</f>
        <v>Website</v>
      </c>
      <c r="C1969" t="str">
        <f>HYPERLINK("http://www.wt-gerber.at","Website")</f>
        <v>Website</v>
      </c>
      <c r="D1969" t="str">
        <f>HYPERLINK("http://www.google.com/maps/place/47.48722,10.7219","Location")</f>
        <v>Location</v>
      </c>
      <c r="E1969" t="s">
        <v>17444</v>
      </c>
      <c r="F1969" t="s">
        <v>17445</v>
      </c>
      <c r="G1969" t="s">
        <v>6823</v>
      </c>
      <c r="H1969" t="s">
        <v>6824</v>
      </c>
      <c r="I1969" t="s">
        <v>21</v>
      </c>
      <c r="J1969" t="s">
        <v>22</v>
      </c>
      <c r="K1969" t="s">
        <v>17446</v>
      </c>
      <c r="L1969" t="s">
        <v>17449</v>
      </c>
      <c r="M1969" t="s">
        <v>17450</v>
      </c>
      <c r="N1969" t="s">
        <v>17451</v>
      </c>
      <c r="O1969" t="s">
        <v>25</v>
      </c>
      <c r="P1969" t="s">
        <v>17452</v>
      </c>
      <c r="Q1969" t="s">
        <v>29</v>
      </c>
      <c r="R1969" t="s">
        <v>17447</v>
      </c>
      <c r="S1969" t="s">
        <v>17448</v>
      </c>
    </row>
    <row r="1970" spans="1:19" x14ac:dyDescent="0.25">
      <c r="A1970" s="1">
        <v>1968</v>
      </c>
      <c r="B1970" t="str">
        <f>HYPERLINK("https://www.dasschnelle.at/pölzl-christian-reutte-untermarkt","Website")</f>
        <v>Website</v>
      </c>
      <c r="C1970" t="str">
        <f>HYPERLINK("https://www.dasschnelle.at/p%C3%B6lzl-christian-reutte-untermarkt","Website")</f>
        <v>Website</v>
      </c>
      <c r="D1970" t="str">
        <f>HYPERLINK("http://www.google.com/maps/place/47.48959,10.71613","Location")</f>
        <v>Location</v>
      </c>
      <c r="E1970" t="s">
        <v>17453</v>
      </c>
      <c r="F1970" t="s">
        <v>17454</v>
      </c>
      <c r="G1970" t="s">
        <v>6823</v>
      </c>
      <c r="H1970" t="s">
        <v>6824</v>
      </c>
      <c r="I1970" t="s">
        <v>21</v>
      </c>
      <c r="J1970" t="s">
        <v>22</v>
      </c>
      <c r="K1970" t="s">
        <v>17455</v>
      </c>
      <c r="L1970" t="s">
        <v>17458</v>
      </c>
      <c r="M1970" t="s">
        <v>25</v>
      </c>
      <c r="N1970" t="s">
        <v>17459</v>
      </c>
      <c r="O1970" t="s">
        <v>25</v>
      </c>
      <c r="P1970" t="s">
        <v>17460</v>
      </c>
      <c r="Q1970" t="s">
        <v>29</v>
      </c>
      <c r="R1970" t="s">
        <v>17456</v>
      </c>
      <c r="S1970" t="s">
        <v>17457</v>
      </c>
    </row>
    <row r="1971" spans="1:19" x14ac:dyDescent="0.25">
      <c r="A1971" s="1">
        <v>1969</v>
      </c>
      <c r="B1971" t="str">
        <f>HYPERLINK("https://www.dasschnelle.at/mitterbauer-christine-neuhofen-an-der-krems-lining","Website")</f>
        <v>Website</v>
      </c>
      <c r="C1971" t="str">
        <f>HYPERLINK("https://www.dasschnelle.at/mitterbauer-christine-neuhofen-an-der-krems-lining","Website")</f>
        <v>Website</v>
      </c>
      <c r="D1971" t="str">
        <f>HYPERLINK("http://www.google.com/maps/place/48.13947,14.25563","Location")</f>
        <v>Location</v>
      </c>
      <c r="E1971" t="s">
        <v>17461</v>
      </c>
      <c r="F1971" t="s">
        <v>17462</v>
      </c>
      <c r="G1971" t="s">
        <v>12931</v>
      </c>
      <c r="H1971" t="s">
        <v>12932</v>
      </c>
      <c r="I1971" t="s">
        <v>85</v>
      </c>
      <c r="J1971" t="s">
        <v>22</v>
      </c>
      <c r="K1971" t="s">
        <v>17463</v>
      </c>
      <c r="L1971" t="s">
        <v>17466</v>
      </c>
      <c r="M1971" t="s">
        <v>25</v>
      </c>
      <c r="N1971" t="s">
        <v>17467</v>
      </c>
      <c r="O1971" t="s">
        <v>25</v>
      </c>
      <c r="P1971" t="s">
        <v>17468</v>
      </c>
      <c r="Q1971" t="s">
        <v>29</v>
      </c>
      <c r="R1971" t="s">
        <v>17464</v>
      </c>
      <c r="S1971" t="s">
        <v>17465</v>
      </c>
    </row>
    <row r="1972" spans="1:19" x14ac:dyDescent="0.25">
      <c r="A1972" s="1">
        <v>1970</v>
      </c>
      <c r="B1972" t="str">
        <f>HYPERLINK("https://www.dasschnelle.at/keuschnigg-manuela-st-johann-in-tirol-hinterkaiserweg","Website")</f>
        <v>Website</v>
      </c>
      <c r="C1972" t="str">
        <f>HYPERLINK("http://www.mielecenter-keuschnigg.at","Website")</f>
        <v>Website</v>
      </c>
      <c r="D1972" t="str">
        <f>HYPERLINK("http://www.google.com/maps/place/47.5235677,12.4214924","Location")</f>
        <v>Location</v>
      </c>
      <c r="E1972" t="s">
        <v>17469</v>
      </c>
      <c r="F1972" t="s">
        <v>17470</v>
      </c>
      <c r="G1972" t="s">
        <v>850</v>
      </c>
      <c r="H1972" t="s">
        <v>851</v>
      </c>
      <c r="I1972" t="s">
        <v>21</v>
      </c>
      <c r="J1972" t="s">
        <v>22</v>
      </c>
      <c r="K1972" t="s">
        <v>17471</v>
      </c>
      <c r="L1972" t="s">
        <v>17474</v>
      </c>
      <c r="M1972" t="s">
        <v>25</v>
      </c>
      <c r="N1972" t="s">
        <v>17475</v>
      </c>
      <c r="O1972" t="s">
        <v>25</v>
      </c>
      <c r="P1972" t="s">
        <v>17476</v>
      </c>
      <c r="Q1972" t="s">
        <v>29</v>
      </c>
      <c r="R1972" t="s">
        <v>17472</v>
      </c>
      <c r="S1972" t="s">
        <v>17473</v>
      </c>
    </row>
    <row r="1973" spans="1:19" x14ac:dyDescent="0.25">
      <c r="A1973" s="1">
        <v>1971</v>
      </c>
      <c r="B1973" t="str">
        <f>HYPERLINK("https://www.dasschnelle.at/daxauer-andreas-sanitärinstallationen-gesmbh-st-johann-in-tirol-winkl-schattseite","Website")</f>
        <v>Website</v>
      </c>
      <c r="C1973" t="str">
        <f>HYPERLINK("http://www.daxauer.com","Website")</f>
        <v>Website</v>
      </c>
      <c r="D1973" t="str">
        <f>HYPERLINK("http://www.google.com/maps/place/47.5158213,12.4497308","Location")</f>
        <v>Location</v>
      </c>
      <c r="E1973" t="s">
        <v>17477</v>
      </c>
      <c r="F1973" t="s">
        <v>17478</v>
      </c>
      <c r="G1973" t="s">
        <v>850</v>
      </c>
      <c r="H1973" t="s">
        <v>851</v>
      </c>
      <c r="I1973" t="s">
        <v>21</v>
      </c>
      <c r="J1973" t="s">
        <v>22</v>
      </c>
      <c r="K1973" t="s">
        <v>17479</v>
      </c>
      <c r="L1973" t="s">
        <v>17482</v>
      </c>
      <c r="M1973" t="s">
        <v>25</v>
      </c>
      <c r="N1973" t="s">
        <v>17483</v>
      </c>
      <c r="O1973" t="s">
        <v>17484</v>
      </c>
      <c r="P1973" t="s">
        <v>17485</v>
      </c>
      <c r="Q1973" t="s">
        <v>29</v>
      </c>
      <c r="R1973" t="s">
        <v>17480</v>
      </c>
      <c r="S1973" t="s">
        <v>17481</v>
      </c>
    </row>
    <row r="1974" spans="1:19" x14ac:dyDescent="0.25">
      <c r="A1974" s="1">
        <v>1972</v>
      </c>
      <c r="B1974" t="str">
        <f>HYPERLINK("https://www.dasschnelle.at/mobile-pferdepraxis-kirchdorf-further-weg","Website")</f>
        <v>Website</v>
      </c>
      <c r="C1974" t="str">
        <f>HYPERLINK("https://www.dasschnelle.at/mobile-pferdepraxis-kirchdorf-further-weg","Website")</f>
        <v>Website</v>
      </c>
      <c r="D1974" t="str">
        <f>HYPERLINK("http://www.google.com/maps/place/47.5443206,12.4479044","Location")</f>
        <v>Location</v>
      </c>
      <c r="E1974" t="s">
        <v>17486</v>
      </c>
      <c r="F1974" t="s">
        <v>17487</v>
      </c>
      <c r="G1974" t="s">
        <v>16867</v>
      </c>
      <c r="H1974" t="s">
        <v>17489</v>
      </c>
      <c r="I1974" t="s">
        <v>21</v>
      </c>
      <c r="J1974" t="s">
        <v>22</v>
      </c>
      <c r="K1974" t="s">
        <v>17488</v>
      </c>
      <c r="L1974" t="s">
        <v>17492</v>
      </c>
      <c r="M1974" t="s">
        <v>25</v>
      </c>
      <c r="N1974" t="s">
        <v>17493</v>
      </c>
      <c r="O1974" t="s">
        <v>25</v>
      </c>
      <c r="P1974" t="s">
        <v>17494</v>
      </c>
      <c r="Q1974" t="s">
        <v>29</v>
      </c>
      <c r="R1974" t="s">
        <v>17490</v>
      </c>
      <c r="S1974" t="s">
        <v>17491</v>
      </c>
    </row>
    <row r="1975" spans="1:19" x14ac:dyDescent="0.25">
      <c r="A1975" s="1">
        <v>1973</v>
      </c>
      <c r="B1975" t="str">
        <f>HYPERLINK("https://www.dasschnelle.at/krisch-hannes-othmar-st-johann-in-tirol-salzburgerstraße","Website")</f>
        <v>Website</v>
      </c>
      <c r="C1975" t="str">
        <f>HYPERLINK("https://www.dasschnelle.at/krisch-hannes-othmar-st-johann-in-tirol-salzburgerstra%C3%9Fe","Website")</f>
        <v>Website</v>
      </c>
      <c r="D1975" t="str">
        <f>HYPERLINK("http://www.google.com/maps/place/47.5262016,12.4235957","Location")</f>
        <v>Location</v>
      </c>
      <c r="E1975" t="s">
        <v>17495</v>
      </c>
      <c r="F1975" t="s">
        <v>17496</v>
      </c>
      <c r="G1975" t="s">
        <v>850</v>
      </c>
      <c r="H1975" t="s">
        <v>851</v>
      </c>
      <c r="I1975" t="s">
        <v>21</v>
      </c>
      <c r="J1975" t="s">
        <v>22</v>
      </c>
      <c r="K1975" t="s">
        <v>10544</v>
      </c>
      <c r="L1975" t="s">
        <v>17499</v>
      </c>
      <c r="M1975" t="s">
        <v>25</v>
      </c>
      <c r="N1975" t="s">
        <v>17500</v>
      </c>
      <c r="O1975" t="s">
        <v>25</v>
      </c>
      <c r="P1975" t="s">
        <v>17501</v>
      </c>
      <c r="Q1975" t="s">
        <v>29</v>
      </c>
      <c r="R1975" t="s">
        <v>17497</v>
      </c>
      <c r="S1975" t="s">
        <v>17498</v>
      </c>
    </row>
    <row r="1976" spans="1:19" x14ac:dyDescent="0.25">
      <c r="A1976" s="1">
        <v>1974</v>
      </c>
      <c r="B1976" t="str">
        <f>HYPERLINK("https://www.dasschnelle.at/jeitler-anton-neunkirchen-wienerstraße","Website")</f>
        <v>Website</v>
      </c>
      <c r="C1976" t="str">
        <f>HYPERLINK("http://www.redzac.jeitler.at","Website")</f>
        <v>Website</v>
      </c>
      <c r="D1976" t="str">
        <f>HYPERLINK("http://www.google.com/maps/place/47.72261,16.08129","Location")</f>
        <v>Location</v>
      </c>
      <c r="E1976" t="s">
        <v>17502</v>
      </c>
      <c r="F1976" t="s">
        <v>17503</v>
      </c>
      <c r="G1976" t="s">
        <v>5676</v>
      </c>
      <c r="H1976" t="s">
        <v>5677</v>
      </c>
      <c r="I1976" t="s">
        <v>177</v>
      </c>
      <c r="J1976" t="s">
        <v>22</v>
      </c>
      <c r="K1976" t="s">
        <v>17504</v>
      </c>
      <c r="L1976" t="s">
        <v>17507</v>
      </c>
      <c r="M1976" t="s">
        <v>25</v>
      </c>
      <c r="N1976" t="s">
        <v>17508</v>
      </c>
      <c r="O1976" t="s">
        <v>17509</v>
      </c>
      <c r="P1976" t="s">
        <v>17510</v>
      </c>
      <c r="Q1976" t="s">
        <v>29</v>
      </c>
      <c r="R1976" t="s">
        <v>17505</v>
      </c>
      <c r="S1976" t="s">
        <v>17506</v>
      </c>
    </row>
    <row r="1977" spans="1:19" x14ac:dyDescent="0.25">
      <c r="A1977" s="1">
        <v>1975</v>
      </c>
      <c r="B1977" t="str">
        <f>HYPERLINK("https://www.dasschnelle.at/lugstein-florian-straßwalchen-stefan-fadinger-straße","Website")</f>
        <v>Website</v>
      </c>
      <c r="C1977" t="str">
        <f>HYPERLINK("http://www.elektrolugstein.at","Website")</f>
        <v>Website</v>
      </c>
      <c r="D1977" t="str">
        <f>HYPERLINK("http://www.google.com/maps/place/47.98253,13.25675","Location")</f>
        <v>Location</v>
      </c>
      <c r="E1977" t="s">
        <v>17511</v>
      </c>
      <c r="F1977" t="s">
        <v>17512</v>
      </c>
      <c r="G1977" t="s">
        <v>10545</v>
      </c>
      <c r="H1977" t="s">
        <v>10546</v>
      </c>
      <c r="I1977" t="s">
        <v>2239</v>
      </c>
      <c r="J1977" t="s">
        <v>22</v>
      </c>
      <c r="K1977" t="s">
        <v>17513</v>
      </c>
      <c r="L1977" t="s">
        <v>17516</v>
      </c>
      <c r="M1977" t="s">
        <v>25</v>
      </c>
      <c r="N1977" t="s">
        <v>17517</v>
      </c>
      <c r="O1977" t="s">
        <v>17518</v>
      </c>
      <c r="P1977" t="s">
        <v>17519</v>
      </c>
      <c r="Q1977" t="s">
        <v>29</v>
      </c>
      <c r="R1977" t="s">
        <v>17514</v>
      </c>
      <c r="S1977" t="s">
        <v>17515</v>
      </c>
    </row>
    <row r="1978" spans="1:19" x14ac:dyDescent="0.25">
      <c r="A1978" s="1">
        <v>1976</v>
      </c>
      <c r="B1978" t="str">
        <f>HYPERLINK("https://www.dasschnelle.at/foidl-josef-gesmbh-und-co-kg-fieberbrunn-rosenegg","Website")</f>
        <v>Website</v>
      </c>
      <c r="C1978" t="str">
        <f>HYPERLINK("http://www.holzbau-foidl.at","Website")</f>
        <v>Website</v>
      </c>
      <c r="D1978" t="str">
        <f>HYPERLINK("http://www.google.com/maps/place/47.48789,12.52889","Location")</f>
        <v>Location</v>
      </c>
      <c r="E1978" t="s">
        <v>17520</v>
      </c>
      <c r="F1978" t="s">
        <v>17521</v>
      </c>
      <c r="G1978" t="s">
        <v>16577</v>
      </c>
      <c r="H1978" t="s">
        <v>16578</v>
      </c>
      <c r="I1978" t="s">
        <v>21</v>
      </c>
      <c r="J1978" t="s">
        <v>22</v>
      </c>
      <c r="K1978" t="s">
        <v>17522</v>
      </c>
      <c r="L1978" t="s">
        <v>17525</v>
      </c>
      <c r="M1978" t="s">
        <v>17526</v>
      </c>
      <c r="N1978" t="s">
        <v>17527</v>
      </c>
      <c r="O1978" t="s">
        <v>17528</v>
      </c>
      <c r="P1978" t="s">
        <v>17529</v>
      </c>
      <c r="Q1978" t="s">
        <v>29</v>
      </c>
      <c r="R1978" t="s">
        <v>17523</v>
      </c>
      <c r="S1978" t="s">
        <v>17524</v>
      </c>
    </row>
    <row r="1979" spans="1:19" x14ac:dyDescent="0.25">
      <c r="A1979" s="1">
        <v>1977</v>
      </c>
      <c r="B1979" t="str">
        <f>HYPERLINK("https://www.dasschnelle.at/planungsbüro-wieser-gmbh-st-johann-in-tirol-salzburgerstraße","Website")</f>
        <v>Website</v>
      </c>
      <c r="C1979" t="str">
        <f>HYPERLINK("http://www.hls-wieser.at","Website")</f>
        <v>Website</v>
      </c>
      <c r="D1979" t="str">
        <f>HYPERLINK("http://www.google.com/maps/place/47.5285468,12.4269463","Location")</f>
        <v>Location</v>
      </c>
      <c r="E1979" t="s">
        <v>17530</v>
      </c>
      <c r="F1979" t="s">
        <v>17531</v>
      </c>
      <c r="G1979" t="s">
        <v>850</v>
      </c>
      <c r="H1979" t="s">
        <v>851</v>
      </c>
      <c r="I1979" t="s">
        <v>21</v>
      </c>
      <c r="J1979" t="s">
        <v>22</v>
      </c>
      <c r="K1979" t="s">
        <v>17532</v>
      </c>
      <c r="L1979" t="s">
        <v>17535</v>
      </c>
      <c r="M1979" t="s">
        <v>17536</v>
      </c>
      <c r="N1979" t="s">
        <v>17537</v>
      </c>
      <c r="O1979" t="s">
        <v>17538</v>
      </c>
      <c r="P1979" t="s">
        <v>17539</v>
      </c>
      <c r="Q1979" t="s">
        <v>29</v>
      </c>
      <c r="R1979" t="s">
        <v>17533</v>
      </c>
      <c r="S1979" t="s">
        <v>17534</v>
      </c>
    </row>
    <row r="1980" spans="1:19" x14ac:dyDescent="0.25">
      <c r="A1980" s="1">
        <v>1978</v>
      </c>
      <c r="B1980" t="str">
        <f>HYPERLINK("https://www.dasschnelle.at/rußner-hans-roßleithen-pichl","Website")</f>
        <v>Website</v>
      </c>
      <c r="C1980" t="str">
        <f>HYPERLINK("http://www.peugeot-partner.at/russner","Website")</f>
        <v>Website</v>
      </c>
      <c r="D1980" t="str">
        <f>HYPERLINK("http://www.google.com/maps/place/47.72318,14.30787","Location")</f>
        <v>Location</v>
      </c>
      <c r="E1980" t="s">
        <v>17540</v>
      </c>
      <c r="F1980" t="s">
        <v>17541</v>
      </c>
      <c r="G1980" t="s">
        <v>10672</v>
      </c>
      <c r="H1980" t="s">
        <v>10673</v>
      </c>
      <c r="I1980" t="s">
        <v>85</v>
      </c>
      <c r="J1980" t="s">
        <v>22</v>
      </c>
      <c r="K1980" t="s">
        <v>17542</v>
      </c>
      <c r="L1980" t="s">
        <v>17545</v>
      </c>
      <c r="M1980" t="s">
        <v>25</v>
      </c>
      <c r="N1980" t="s">
        <v>17546</v>
      </c>
      <c r="O1980" t="s">
        <v>25</v>
      </c>
      <c r="P1980" t="s">
        <v>17547</v>
      </c>
      <c r="Q1980" t="s">
        <v>29</v>
      </c>
      <c r="R1980" t="s">
        <v>17543</v>
      </c>
      <c r="S1980" t="s">
        <v>17544</v>
      </c>
    </row>
    <row r="1981" spans="1:19" x14ac:dyDescent="0.25">
      <c r="A1981" s="1">
        <v>1979</v>
      </c>
      <c r="B1981" t="str">
        <f>HYPERLINK("https://www.dasschnelle.at/haslmayr-andreas-jimmys-box-rosenau-am-hengstpaß-rosenau","Website")</f>
        <v>Website</v>
      </c>
      <c r="C1981" t="str">
        <f>HYPERLINK("http://www.jimmysbox.at","Website")</f>
        <v>Website</v>
      </c>
      <c r="D1981" t="str">
        <f>HYPERLINK("http://www.google.com/maps/place/47.7133063,14.3916871","Location")</f>
        <v>Location</v>
      </c>
      <c r="E1981" t="s">
        <v>17548</v>
      </c>
      <c r="F1981" t="s">
        <v>17549</v>
      </c>
      <c r="G1981" t="s">
        <v>17551</v>
      </c>
      <c r="H1981" t="s">
        <v>17552</v>
      </c>
      <c r="I1981" t="s">
        <v>85</v>
      </c>
      <c r="J1981" t="s">
        <v>22</v>
      </c>
      <c r="K1981" t="s">
        <v>17550</v>
      </c>
      <c r="L1981" t="s">
        <v>17555</v>
      </c>
      <c r="M1981" t="s">
        <v>25</v>
      </c>
      <c r="N1981" t="s">
        <v>17556</v>
      </c>
      <c r="O1981" t="s">
        <v>25</v>
      </c>
      <c r="P1981" t="s">
        <v>17557</v>
      </c>
      <c r="Q1981" t="s">
        <v>29</v>
      </c>
      <c r="R1981" t="s">
        <v>17553</v>
      </c>
      <c r="S1981" t="s">
        <v>17554</v>
      </c>
    </row>
    <row r="1982" spans="1:19" x14ac:dyDescent="0.25">
      <c r="A1982" s="1">
        <v>1980</v>
      </c>
      <c r="B1982" t="str">
        <f>HYPERLINK("https://www.dasschnelle.at/dallinger-birgit-dr-med-polling-im-innkreis-unionstraße","Website")</f>
        <v>Website</v>
      </c>
      <c r="C1982" t="str">
        <f>HYPERLINK("http://www.gynaekologie-dallinger.at","Website")</f>
        <v>Website</v>
      </c>
      <c r="D1982" t="str">
        <f>HYPERLINK("http://www.google.com/maps/place/48.23056,13.2876","Location")</f>
        <v>Location</v>
      </c>
      <c r="E1982" t="s">
        <v>17558</v>
      </c>
      <c r="F1982" t="s">
        <v>17559</v>
      </c>
      <c r="G1982" t="s">
        <v>6342</v>
      </c>
      <c r="H1982" t="s">
        <v>6343</v>
      </c>
      <c r="I1982" t="s">
        <v>85</v>
      </c>
      <c r="J1982" t="s">
        <v>22</v>
      </c>
      <c r="K1982" t="s">
        <v>17560</v>
      </c>
      <c r="L1982" t="s">
        <v>17563</v>
      </c>
      <c r="M1982" t="s">
        <v>25</v>
      </c>
      <c r="N1982" t="s">
        <v>25</v>
      </c>
      <c r="O1982" t="s">
        <v>25</v>
      </c>
      <c r="P1982" t="s">
        <v>17564</v>
      </c>
      <c r="Q1982" t="s">
        <v>29</v>
      </c>
      <c r="R1982" t="s">
        <v>17561</v>
      </c>
      <c r="S1982" t="s">
        <v>17562</v>
      </c>
    </row>
    <row r="1983" spans="1:19" x14ac:dyDescent="0.25">
      <c r="A1983" s="1">
        <v>1981</v>
      </c>
      <c r="B1983" t="str">
        <f>HYPERLINK("https://www.dasschnelle.at/holzbau-oberleitner-gmbh-waidring-unterwasser","Website")</f>
        <v>Website</v>
      </c>
      <c r="C1983" t="str">
        <f>HYPERLINK("http://www.oberleitner.info","Website")</f>
        <v>Website</v>
      </c>
      <c r="D1983" t="str">
        <f>HYPERLINK("http://www.google.com/maps/place/47.58466,12.59179","Location")</f>
        <v>Location</v>
      </c>
      <c r="E1983" t="s">
        <v>17565</v>
      </c>
      <c r="F1983" t="s">
        <v>17566</v>
      </c>
      <c r="G1983" t="s">
        <v>955</v>
      </c>
      <c r="H1983" t="s">
        <v>956</v>
      </c>
      <c r="I1983" t="s">
        <v>21</v>
      </c>
      <c r="J1983" t="s">
        <v>22</v>
      </c>
      <c r="K1983" t="s">
        <v>17567</v>
      </c>
      <c r="L1983" t="s">
        <v>17570</v>
      </c>
      <c r="M1983" t="s">
        <v>25</v>
      </c>
      <c r="N1983" t="s">
        <v>17571</v>
      </c>
      <c r="O1983" t="s">
        <v>25</v>
      </c>
      <c r="P1983" t="s">
        <v>17572</v>
      </c>
      <c r="Q1983" t="s">
        <v>29</v>
      </c>
      <c r="R1983" t="s">
        <v>17568</v>
      </c>
      <c r="S1983" t="s">
        <v>17569</v>
      </c>
    </row>
    <row r="1984" spans="1:19" x14ac:dyDescent="0.25">
      <c r="A1984" s="1">
        <v>1982</v>
      </c>
      <c r="B1984" t="str">
        <f>HYPERLINK("https://www.dasschnelle.at/hausverwaltung-jöchl-kg-st-johann-in-tirol-schießstandgasse","Website")</f>
        <v>Website</v>
      </c>
      <c r="C1984" t="str">
        <f>HYPERLINK("http://www.joechl.at","Website")</f>
        <v>Website</v>
      </c>
      <c r="D1984" t="str">
        <f>HYPERLINK("http://www.google.com/maps/place/47.5188357,12.4253116","Location")</f>
        <v>Location</v>
      </c>
      <c r="E1984" t="s">
        <v>17573</v>
      </c>
      <c r="F1984" t="s">
        <v>17574</v>
      </c>
      <c r="G1984" t="s">
        <v>850</v>
      </c>
      <c r="H1984" t="s">
        <v>851</v>
      </c>
      <c r="I1984" t="s">
        <v>21</v>
      </c>
      <c r="J1984" t="s">
        <v>22</v>
      </c>
      <c r="K1984" t="s">
        <v>17575</v>
      </c>
      <c r="L1984" t="s">
        <v>17578</v>
      </c>
      <c r="M1984" t="s">
        <v>25</v>
      </c>
      <c r="N1984" t="s">
        <v>17579</v>
      </c>
      <c r="O1984" t="s">
        <v>25</v>
      </c>
      <c r="P1984" t="s">
        <v>17580</v>
      </c>
      <c r="Q1984" t="s">
        <v>29</v>
      </c>
      <c r="R1984" t="s">
        <v>17576</v>
      </c>
      <c r="S1984" t="s">
        <v>17577</v>
      </c>
    </row>
    <row r="1985" spans="1:19" x14ac:dyDescent="0.25">
      <c r="A1985" s="1">
        <v>1983</v>
      </c>
      <c r="B1985" t="str">
        <f>HYPERLINK("https://www.dasschnelle.at/bauer-reinhard-dambach","Website")</f>
        <v>Website</v>
      </c>
      <c r="C1985" t="str">
        <f>HYPERLINK("https://www.dasschnelle.at/bauer-reinhard-dambach","Website")</f>
        <v>Website</v>
      </c>
      <c r="D1985" t="str">
        <f>HYPERLINK("http://www.google.com/maps/place/48.1486144,14.2185434","Location")</f>
        <v>Location</v>
      </c>
      <c r="E1985" t="s">
        <v>17581</v>
      </c>
      <c r="F1985" t="s">
        <v>17582</v>
      </c>
      <c r="G1985" t="s">
        <v>12931</v>
      </c>
      <c r="H1985" t="s">
        <v>17584</v>
      </c>
      <c r="I1985" t="s">
        <v>85</v>
      </c>
      <c r="J1985" t="s">
        <v>22</v>
      </c>
      <c r="K1985" t="s">
        <v>17583</v>
      </c>
      <c r="L1985" t="s">
        <v>17587</v>
      </c>
      <c r="M1985" t="s">
        <v>25</v>
      </c>
      <c r="N1985" t="s">
        <v>17588</v>
      </c>
      <c r="O1985" t="s">
        <v>25</v>
      </c>
      <c r="P1985" t="s">
        <v>17589</v>
      </c>
      <c r="Q1985" t="s">
        <v>29</v>
      </c>
      <c r="R1985" t="s">
        <v>17585</v>
      </c>
      <c r="S1985" t="s">
        <v>17586</v>
      </c>
    </row>
    <row r="1986" spans="1:19" x14ac:dyDescent="0.25">
      <c r="A1986" s="1">
        <v>1984</v>
      </c>
      <c r="B1986" t="str">
        <f>HYPERLINK("https://www.dasschnelle.at/kleintierpraxis-erlach-gbr-simbach-passauer-str","Website")</f>
        <v>Website</v>
      </c>
      <c r="C1986" t="str">
        <f>HYPERLINK("http://www.kleintierpraxis-erlach.de","Website")</f>
        <v>Website</v>
      </c>
      <c r="D1986" t="str">
        <f>HYPERLINK("http://www.google.com/maps/place/48.2723200,13.0407201","Location")</f>
        <v>Location</v>
      </c>
      <c r="E1986" t="s">
        <v>17590</v>
      </c>
      <c r="F1986" t="s">
        <v>17591</v>
      </c>
      <c r="G1986" t="s">
        <v>17593</v>
      </c>
      <c r="H1986" t="s">
        <v>17594</v>
      </c>
      <c r="I1986" t="s">
        <v>25</v>
      </c>
      <c r="J1986" t="s">
        <v>10106</v>
      </c>
      <c r="K1986" t="s">
        <v>17592</v>
      </c>
      <c r="L1986" t="s">
        <v>17597</v>
      </c>
      <c r="M1986" t="s">
        <v>25</v>
      </c>
      <c r="N1986" t="s">
        <v>17598</v>
      </c>
      <c r="O1986" t="s">
        <v>17599</v>
      </c>
      <c r="P1986" t="s">
        <v>17600</v>
      </c>
      <c r="Q1986" t="s">
        <v>29</v>
      </c>
      <c r="R1986" t="s">
        <v>17595</v>
      </c>
      <c r="S1986" t="s">
        <v>17596</v>
      </c>
    </row>
    <row r="1987" spans="1:19" x14ac:dyDescent="0.25">
      <c r="A1987" s="1">
        <v>1985</v>
      </c>
      <c r="B1987" t="str">
        <f>HYPERLINK("https://www.dasschnelle.at/leitner-hermann-sankt-johann-in-tirol-winkl-schattseite","Website")</f>
        <v>Website</v>
      </c>
      <c r="C1987" t="str">
        <f>HYPERLINK("http://www.fliesen-leitner.at","Website")</f>
        <v>Website</v>
      </c>
      <c r="D1987" t="str">
        <f>HYPERLINK("http://www.google.com/maps/place/47.5132600,12.4554000","Location")</f>
        <v>Location</v>
      </c>
      <c r="E1987" t="s">
        <v>17601</v>
      </c>
      <c r="F1987" t="s">
        <v>17602</v>
      </c>
      <c r="G1987" t="s">
        <v>850</v>
      </c>
      <c r="H1987" t="s">
        <v>17604</v>
      </c>
      <c r="I1987" t="s">
        <v>21</v>
      </c>
      <c r="J1987" t="s">
        <v>22</v>
      </c>
      <c r="K1987" t="s">
        <v>17603</v>
      </c>
      <c r="L1987" t="s">
        <v>17607</v>
      </c>
      <c r="M1987" t="s">
        <v>25</v>
      </c>
      <c r="N1987" t="s">
        <v>17608</v>
      </c>
      <c r="O1987" t="s">
        <v>25</v>
      </c>
      <c r="P1987" t="s">
        <v>17609</v>
      </c>
      <c r="Q1987" t="s">
        <v>29</v>
      </c>
      <c r="R1987" t="s">
        <v>17605</v>
      </c>
      <c r="S1987" t="s">
        <v>17606</v>
      </c>
    </row>
    <row r="1988" spans="1:19" x14ac:dyDescent="0.25">
      <c r="A1988" s="1">
        <v>1986</v>
      </c>
      <c r="B1988" t="str">
        <f>HYPERLINK("https://www.dasschnelle.at/grander-schupf-berggasthaus-st-johann-in-tirol-eichenhof","Website")</f>
        <v>Website</v>
      </c>
      <c r="C1988" t="str">
        <f>HYPERLINK("http://www.granderschupf.at","Website")</f>
        <v>Website</v>
      </c>
      <c r="D1988" t="str">
        <f>HYPERLINK("http://www.google.com/maps/place/47.5158213,12.4497308","Location")</f>
        <v>Location</v>
      </c>
      <c r="E1988" t="s">
        <v>17610</v>
      </c>
      <c r="F1988" t="s">
        <v>17611</v>
      </c>
      <c r="G1988" t="s">
        <v>850</v>
      </c>
      <c r="H1988" t="s">
        <v>851</v>
      </c>
      <c r="I1988" t="s">
        <v>21</v>
      </c>
      <c r="J1988" t="s">
        <v>22</v>
      </c>
      <c r="K1988" t="s">
        <v>17612</v>
      </c>
      <c r="L1988" t="s">
        <v>17613</v>
      </c>
      <c r="M1988" t="s">
        <v>25</v>
      </c>
      <c r="N1988" t="s">
        <v>17614</v>
      </c>
      <c r="O1988" t="s">
        <v>25</v>
      </c>
      <c r="P1988" t="s">
        <v>17615</v>
      </c>
      <c r="Q1988" t="s">
        <v>29</v>
      </c>
      <c r="R1988" t="s">
        <v>17480</v>
      </c>
      <c r="S1988" t="s">
        <v>17481</v>
      </c>
    </row>
    <row r="1989" spans="1:19" x14ac:dyDescent="0.25">
      <c r="A1989" s="1">
        <v>1987</v>
      </c>
      <c r="B1989" t="str">
        <f>HYPERLINK("https://www.dasschnelle.at/hochreiter-manuel-windischgarsten-bahnhofstraße","Website")</f>
        <v>Website</v>
      </c>
      <c r="C1989" t="str">
        <f>HYPERLINK("https://www.dasschnelle.at/hochreiter-manuel-windischgarsten-bahnhofstra%C3%9Fe","Website")</f>
        <v>Website</v>
      </c>
      <c r="D1989" t="str">
        <f>HYPERLINK("http://www.google.com/maps/place/47.7189,14.32792","Location")</f>
        <v>Location</v>
      </c>
      <c r="E1989" t="s">
        <v>17616</v>
      </c>
      <c r="F1989" t="s">
        <v>17617</v>
      </c>
      <c r="G1989" t="s">
        <v>10646</v>
      </c>
      <c r="H1989" t="s">
        <v>10647</v>
      </c>
      <c r="I1989" t="s">
        <v>85</v>
      </c>
      <c r="J1989" t="s">
        <v>22</v>
      </c>
      <c r="K1989" t="s">
        <v>909</v>
      </c>
      <c r="L1989" t="s">
        <v>17620</v>
      </c>
      <c r="M1989" t="s">
        <v>25</v>
      </c>
      <c r="N1989" t="s">
        <v>17621</v>
      </c>
      <c r="O1989" t="s">
        <v>25</v>
      </c>
      <c r="P1989" t="s">
        <v>17622</v>
      </c>
      <c r="Q1989" t="s">
        <v>29</v>
      </c>
      <c r="R1989" t="s">
        <v>17618</v>
      </c>
      <c r="S1989" t="s">
        <v>17619</v>
      </c>
    </row>
    <row r="1990" spans="1:19" x14ac:dyDescent="0.25">
      <c r="A1990" s="1">
        <v>1988</v>
      </c>
      <c r="B1990" t="str">
        <f>HYPERLINK("https://www.dasschnelle.at/sorger-karoline-st-kanzian-am-klopeiner-see-klopeiner-straße","Website")</f>
        <v>Website</v>
      </c>
      <c r="C1990" t="str">
        <f>HYPERLINK("https://www.dasschnelle.at/sorger-karoline-st-kanzian-am-klopeiner-see-klopeiner-stra%C3%9Fe","Website")</f>
        <v>Website</v>
      </c>
      <c r="D1990" t="str">
        <f>HYPERLINK("http://www.google.com/maps/place/46.6136,14.5761","Location")</f>
        <v>Location</v>
      </c>
      <c r="E1990" t="s">
        <v>17623</v>
      </c>
      <c r="F1990" t="s">
        <v>17624</v>
      </c>
      <c r="G1990" t="s">
        <v>5188</v>
      </c>
      <c r="H1990" t="s">
        <v>5189</v>
      </c>
      <c r="I1990" t="s">
        <v>4130</v>
      </c>
      <c r="J1990" t="s">
        <v>22</v>
      </c>
      <c r="K1990" t="s">
        <v>17625</v>
      </c>
      <c r="L1990" t="s">
        <v>17628</v>
      </c>
      <c r="M1990" t="s">
        <v>25</v>
      </c>
      <c r="N1990" t="s">
        <v>17629</v>
      </c>
      <c r="O1990" t="s">
        <v>25</v>
      </c>
      <c r="P1990" t="s">
        <v>17630</v>
      </c>
      <c r="Q1990" t="s">
        <v>29</v>
      </c>
      <c r="R1990" t="s">
        <v>17626</v>
      </c>
      <c r="S1990" t="s">
        <v>17627</v>
      </c>
    </row>
    <row r="1991" spans="1:19" x14ac:dyDescent="0.25">
      <c r="A1991" s="1">
        <v>1989</v>
      </c>
      <c r="B1991" t="str">
        <f>HYPERLINK("https://www.dasschnelle.at/sim-service-installationen-malle-kg-gerhard-malle-heizung-u-alternativenergie-eberndorf-gablerner-straße","Website")</f>
        <v>Website</v>
      </c>
      <c r="C1991" t="str">
        <f>HYPERLINK("http://www.sim-malle.at","Website")</f>
        <v>Website</v>
      </c>
      <c r="D1991" t="str">
        <f>HYPERLINK("http://www.google.com/maps/place/46.5878206,14.6561117","Location")</f>
        <v>Location</v>
      </c>
      <c r="E1991" t="s">
        <v>17631</v>
      </c>
      <c r="F1991" t="s">
        <v>17632</v>
      </c>
      <c r="G1991" t="s">
        <v>15559</v>
      </c>
      <c r="H1991" t="s">
        <v>15560</v>
      </c>
      <c r="I1991" t="s">
        <v>4130</v>
      </c>
      <c r="J1991" t="s">
        <v>22</v>
      </c>
      <c r="K1991" t="s">
        <v>17633</v>
      </c>
      <c r="L1991" t="s">
        <v>17636</v>
      </c>
      <c r="M1991" t="s">
        <v>25</v>
      </c>
      <c r="N1991" t="s">
        <v>17637</v>
      </c>
      <c r="O1991" t="s">
        <v>25</v>
      </c>
      <c r="P1991" t="s">
        <v>17638</v>
      </c>
      <c r="Q1991" t="s">
        <v>29</v>
      </c>
      <c r="R1991" t="s">
        <v>17634</v>
      </c>
      <c r="S1991" t="s">
        <v>17635</v>
      </c>
    </row>
    <row r="1992" spans="1:19" x14ac:dyDescent="0.25">
      <c r="A1992" s="1">
        <v>1990</v>
      </c>
      <c r="B1992" t="str">
        <f>HYPERLINK("https://www.dasschnelle.at/raiffeisen-realitäten-gmbh-völkermarkt-hauptplatz","Website")</f>
        <v>Website</v>
      </c>
      <c r="C1992" t="str">
        <f>HYPERLINK("http://www.raiffeisen-immobilien.at","Website")</f>
        <v>Website</v>
      </c>
      <c r="D1992" t="str">
        <f>HYPERLINK("http://www.google.com/maps/place/46.65885,14.63429","Location")</f>
        <v>Location</v>
      </c>
      <c r="E1992" t="s">
        <v>17639</v>
      </c>
      <c r="F1992" t="s">
        <v>17640</v>
      </c>
      <c r="G1992" t="s">
        <v>5079</v>
      </c>
      <c r="H1992" t="s">
        <v>5080</v>
      </c>
      <c r="I1992" t="s">
        <v>4130</v>
      </c>
      <c r="J1992" t="s">
        <v>22</v>
      </c>
      <c r="K1992" t="s">
        <v>17641</v>
      </c>
      <c r="L1992" t="s">
        <v>17643</v>
      </c>
      <c r="M1992" t="s">
        <v>17644</v>
      </c>
      <c r="N1992" t="s">
        <v>17645</v>
      </c>
      <c r="O1992" t="s">
        <v>17646</v>
      </c>
      <c r="P1992" t="s">
        <v>17647</v>
      </c>
      <c r="Q1992" t="s">
        <v>29</v>
      </c>
      <c r="R1992" t="s">
        <v>16099</v>
      </c>
      <c r="S1992" t="s">
        <v>17642</v>
      </c>
    </row>
    <row r="1993" spans="1:19" x14ac:dyDescent="0.25">
      <c r="A1993" s="1">
        <v>1991</v>
      </c>
      <c r="B1993" t="str">
        <f>HYPERLINK("https://www.dasschnelle.at/schwarz-benedict-st-johann-in-tirol-poststraße","Website")</f>
        <v>Website</v>
      </c>
      <c r="C1993" t="str">
        <f>HYPERLINK("http://www.optik-schwarz.info","Website")</f>
        <v>Website</v>
      </c>
      <c r="D1993" t="str">
        <f>HYPERLINK("http://www.google.com/maps/place/47.5218503,12.4272075","Location")</f>
        <v>Location</v>
      </c>
      <c r="E1993" t="s">
        <v>17648</v>
      </c>
      <c r="F1993" t="s">
        <v>17649</v>
      </c>
      <c r="G1993" t="s">
        <v>850</v>
      </c>
      <c r="H1993" t="s">
        <v>851</v>
      </c>
      <c r="I1993" t="s">
        <v>21</v>
      </c>
      <c r="J1993" t="s">
        <v>22</v>
      </c>
      <c r="K1993" t="s">
        <v>17650</v>
      </c>
      <c r="L1993" t="s">
        <v>17653</v>
      </c>
      <c r="M1993" t="s">
        <v>25</v>
      </c>
      <c r="N1993" t="s">
        <v>17654</v>
      </c>
      <c r="O1993" t="s">
        <v>25</v>
      </c>
      <c r="P1993" t="s">
        <v>17655</v>
      </c>
      <c r="Q1993" t="s">
        <v>29</v>
      </c>
      <c r="R1993" t="s">
        <v>17651</v>
      </c>
      <c r="S1993" t="s">
        <v>17652</v>
      </c>
    </row>
    <row r="1994" spans="1:19" x14ac:dyDescent="0.25">
      <c r="A1994" s="1">
        <v>1992</v>
      </c>
      <c r="B1994" t="str">
        <f>HYPERLINK("https://www.dasschnelle.at/popp-karl-roßleithen-walchegg","Website")</f>
        <v>Website</v>
      </c>
      <c r="C1994" t="str">
        <f>HYPERLINK("http://www.popp-dach.at","Website")</f>
        <v>Website</v>
      </c>
      <c r="D1994" t="str">
        <f>HYPERLINK("http://www.google.com/maps/place/47.7035108,14.2713562","Location")</f>
        <v>Location</v>
      </c>
      <c r="E1994" t="s">
        <v>17656</v>
      </c>
      <c r="F1994" t="s">
        <v>17657</v>
      </c>
      <c r="G1994" t="s">
        <v>10672</v>
      </c>
      <c r="H1994" t="s">
        <v>10673</v>
      </c>
      <c r="I1994" t="s">
        <v>85</v>
      </c>
      <c r="J1994" t="s">
        <v>22</v>
      </c>
      <c r="K1994" t="s">
        <v>17658</v>
      </c>
      <c r="L1994" t="s">
        <v>17661</v>
      </c>
      <c r="M1994" t="s">
        <v>25</v>
      </c>
      <c r="N1994" t="s">
        <v>17662</v>
      </c>
      <c r="O1994" t="s">
        <v>17663</v>
      </c>
      <c r="P1994" t="s">
        <v>17664</v>
      </c>
      <c r="Q1994" t="s">
        <v>29</v>
      </c>
      <c r="R1994" t="s">
        <v>17659</v>
      </c>
      <c r="S1994" t="s">
        <v>17660</v>
      </c>
    </row>
    <row r="1995" spans="1:19" x14ac:dyDescent="0.25">
      <c r="A1995" s="1">
        <v>1993</v>
      </c>
      <c r="B1995" t="str">
        <f>HYPERLINK("https://www.dasschnelle.at/dan-küchen-krems-krems-wachaustrasse","Website")</f>
        <v>Website</v>
      </c>
      <c r="C1995" t="str">
        <f>HYPERLINK("http://www.dankuechen-krems.at","Website")</f>
        <v>Website</v>
      </c>
      <c r="D1995" t="str">
        <f>HYPERLINK("http://www.google.com/maps/place/48.4128000,15.6112600","Location")</f>
        <v>Location</v>
      </c>
      <c r="E1995" t="s">
        <v>17665</v>
      </c>
      <c r="F1995" t="s">
        <v>17666</v>
      </c>
      <c r="G1995" t="s">
        <v>281</v>
      </c>
      <c r="H1995" t="s">
        <v>291</v>
      </c>
      <c r="I1995" t="s">
        <v>177</v>
      </c>
      <c r="J1995" t="s">
        <v>22</v>
      </c>
      <c r="K1995" t="s">
        <v>17667</v>
      </c>
      <c r="L1995" t="s">
        <v>17670</v>
      </c>
      <c r="M1995" t="s">
        <v>25</v>
      </c>
      <c r="N1995" t="s">
        <v>17671</v>
      </c>
      <c r="O1995" t="s">
        <v>17672</v>
      </c>
      <c r="P1995" t="s">
        <v>17673</v>
      </c>
      <c r="Q1995" t="s">
        <v>29</v>
      </c>
      <c r="R1995" t="s">
        <v>17668</v>
      </c>
      <c r="S1995" t="s">
        <v>17669</v>
      </c>
    </row>
    <row r="1996" spans="1:19" x14ac:dyDescent="0.25">
      <c r="A1996" s="1">
        <v>1994</v>
      </c>
      <c r="B1996" t="str">
        <f>HYPERLINK("https://www.dasschnelle.at/fundm-zechner-sonnenschutz-og-wertheim","Website")</f>
        <v>Website</v>
      </c>
      <c r="C1996" t="str">
        <f>HYPERLINK("http://www.zechner-sonnenschutz.at","Website")</f>
        <v>Website</v>
      </c>
      <c r="D1996" t="str">
        <f>HYPERLINK("http://www.google.com/maps/place/47.9337114,13.2400954","Location")</f>
        <v>Location</v>
      </c>
      <c r="E1996" t="s">
        <v>17674</v>
      </c>
      <c r="F1996" t="s">
        <v>17675</v>
      </c>
      <c r="G1996" t="s">
        <v>10564</v>
      </c>
      <c r="H1996" t="s">
        <v>17676</v>
      </c>
      <c r="I1996" t="s">
        <v>2239</v>
      </c>
      <c r="J1996" t="s">
        <v>22</v>
      </c>
      <c r="K1996" t="s">
        <v>25</v>
      </c>
      <c r="L1996" t="s">
        <v>17679</v>
      </c>
      <c r="M1996" t="s">
        <v>25</v>
      </c>
      <c r="N1996" t="s">
        <v>17680</v>
      </c>
      <c r="O1996" t="s">
        <v>17681</v>
      </c>
      <c r="P1996" t="s">
        <v>17682</v>
      </c>
      <c r="Q1996" t="s">
        <v>29</v>
      </c>
      <c r="R1996" t="s">
        <v>17677</v>
      </c>
      <c r="S1996" t="s">
        <v>17678</v>
      </c>
    </row>
    <row r="1997" spans="1:19" x14ac:dyDescent="0.25">
      <c r="A1997" s="1">
        <v>1995</v>
      </c>
      <c r="B1997" t="str">
        <f>HYPERLINK("https://www.dasschnelle.at/dürnberger-elektrotechnik-gmbh-seeham-gewerbestraße","Website")</f>
        <v>Website</v>
      </c>
      <c r="C1997" t="str">
        <f>HYPERLINK("http://www.duernberger.cc","Website")</f>
        <v>Website</v>
      </c>
      <c r="D1997" t="str">
        <f>HYPERLINK("http://www.google.com/maps/place/47.96497,13.0719","Location")</f>
        <v>Location</v>
      </c>
      <c r="E1997" t="s">
        <v>17683</v>
      </c>
      <c r="F1997" t="s">
        <v>17684</v>
      </c>
      <c r="G1997" t="s">
        <v>10507</v>
      </c>
      <c r="H1997" t="s">
        <v>10508</v>
      </c>
      <c r="I1997" t="s">
        <v>2239</v>
      </c>
      <c r="J1997" t="s">
        <v>22</v>
      </c>
      <c r="K1997" t="s">
        <v>3145</v>
      </c>
      <c r="L1997" t="s">
        <v>17687</v>
      </c>
      <c r="M1997" t="s">
        <v>17688</v>
      </c>
      <c r="N1997" t="s">
        <v>17689</v>
      </c>
      <c r="O1997" t="s">
        <v>17690</v>
      </c>
      <c r="P1997" t="s">
        <v>17691</v>
      </c>
      <c r="Q1997" t="s">
        <v>29</v>
      </c>
      <c r="R1997" t="s">
        <v>17685</v>
      </c>
      <c r="S1997" t="s">
        <v>17686</v>
      </c>
    </row>
    <row r="1998" spans="1:19" x14ac:dyDescent="0.25">
      <c r="A1998" s="1">
        <v>1996</v>
      </c>
      <c r="B1998" t="str">
        <f>HYPERLINK("https://www.dasschnelle.at/falbesonder-martin-nassereith-brunnwald","Website")</f>
        <v>Website</v>
      </c>
      <c r="C1998" t="str">
        <f>HYPERLINK("http://www.falbesoner-holzbau.at","Website")</f>
        <v>Website</v>
      </c>
      <c r="D1998" t="str">
        <f>HYPERLINK("http://www.google.com/maps/place/47.31737,10.82942","Location")</f>
        <v>Location</v>
      </c>
      <c r="E1998" t="s">
        <v>17692</v>
      </c>
      <c r="F1998" t="s">
        <v>17693</v>
      </c>
      <c r="G1998" t="s">
        <v>17695</v>
      </c>
      <c r="H1998" t="s">
        <v>17696</v>
      </c>
      <c r="I1998" t="s">
        <v>21</v>
      </c>
      <c r="J1998" t="s">
        <v>22</v>
      </c>
      <c r="K1998" t="s">
        <v>17694</v>
      </c>
      <c r="L1998" t="s">
        <v>17699</v>
      </c>
      <c r="M1998" t="s">
        <v>25</v>
      </c>
      <c r="N1998" t="s">
        <v>17700</v>
      </c>
      <c r="O1998" t="s">
        <v>17701</v>
      </c>
      <c r="P1998" t="s">
        <v>17702</v>
      </c>
      <c r="Q1998" t="s">
        <v>29</v>
      </c>
      <c r="R1998" t="s">
        <v>17697</v>
      </c>
      <c r="S1998" t="s">
        <v>17698</v>
      </c>
    </row>
    <row r="1999" spans="1:19" x14ac:dyDescent="0.25">
      <c r="A1999" s="1">
        <v>1997</v>
      </c>
      <c r="B1999" t="str">
        <f>HYPERLINK("https://www.dasschnelle.at/rausch-kg-neumarkt-am-wallersee-pfongau-west","Website")</f>
        <v>Website</v>
      </c>
      <c r="C1999" t="str">
        <f>HYPERLINK("http://www.rausch-dach.at","Website")</f>
        <v>Website</v>
      </c>
      <c r="D1999" t="str">
        <f>HYPERLINK("http://www.google.com/maps/place/47.95109,13.22209","Location")</f>
        <v>Location</v>
      </c>
      <c r="E1999" t="s">
        <v>17703</v>
      </c>
      <c r="F1999" t="s">
        <v>17704</v>
      </c>
      <c r="G1999" t="s">
        <v>10564</v>
      </c>
      <c r="H1999" t="s">
        <v>10565</v>
      </c>
      <c r="I1999" t="s">
        <v>2239</v>
      </c>
      <c r="J1999" t="s">
        <v>22</v>
      </c>
      <c r="K1999" t="s">
        <v>17705</v>
      </c>
      <c r="L1999" t="s">
        <v>17708</v>
      </c>
      <c r="M1999" t="s">
        <v>25</v>
      </c>
      <c r="N1999" t="s">
        <v>17709</v>
      </c>
      <c r="O1999" t="s">
        <v>25</v>
      </c>
      <c r="P1999" t="s">
        <v>17710</v>
      </c>
      <c r="Q1999" t="s">
        <v>29</v>
      </c>
      <c r="R1999" t="s">
        <v>17706</v>
      </c>
      <c r="S1999" t="s">
        <v>17707</v>
      </c>
    </row>
    <row r="2000" spans="1:19" x14ac:dyDescent="0.25">
      <c r="A2000" s="1">
        <v>1998</v>
      </c>
      <c r="B2000" t="str">
        <f>HYPERLINK("https://www.dasschnelle.at/hemetsberger-johann-köstendorf-untere-dorfstraße","Website")</f>
        <v>Website</v>
      </c>
      <c r="C2000" t="str">
        <f>HYPERLINK("http://www.tischlerei-hemetsberger.at","Website")</f>
        <v>Website</v>
      </c>
      <c r="D2000" t="str">
        <f>HYPERLINK("http://www.google.com/maps/place/47.957,13.20018","Location")</f>
        <v>Location</v>
      </c>
      <c r="E2000" t="s">
        <v>17711</v>
      </c>
      <c r="F2000" t="s">
        <v>17712</v>
      </c>
      <c r="G2000" t="s">
        <v>10618</v>
      </c>
      <c r="H2000" t="s">
        <v>10619</v>
      </c>
      <c r="I2000" t="s">
        <v>2239</v>
      </c>
      <c r="J2000" t="s">
        <v>22</v>
      </c>
      <c r="K2000" t="s">
        <v>17713</v>
      </c>
      <c r="L2000" t="s">
        <v>17716</v>
      </c>
      <c r="M2000" t="s">
        <v>25</v>
      </c>
      <c r="N2000" t="s">
        <v>17717</v>
      </c>
      <c r="O2000" t="s">
        <v>25</v>
      </c>
      <c r="P2000" t="s">
        <v>17718</v>
      </c>
      <c r="Q2000" t="s">
        <v>29</v>
      </c>
      <c r="R2000" t="s">
        <v>17714</v>
      </c>
      <c r="S2000" t="s">
        <v>17715</v>
      </c>
    </row>
    <row r="2001" spans="1:19" x14ac:dyDescent="0.25">
      <c r="A2001" s="1">
        <v>1999</v>
      </c>
      <c r="B2001" t="str">
        <f>HYPERLINK("https://www.dasschnelle.at/bezirksseniorenzentrum-eggelsberg-eggelsberg-weidenweg","Website")</f>
        <v>Website</v>
      </c>
      <c r="C2001" t="str">
        <f>HYPERLINK("http://www.shvbr.at","Website")</f>
        <v>Website</v>
      </c>
      <c r="D2001" t="str">
        <f>HYPERLINK("http://www.google.com/maps/place/48.0822560,12.9938651","Location")</f>
        <v>Location</v>
      </c>
      <c r="E2001" t="s">
        <v>17719</v>
      </c>
      <c r="F2001" t="s">
        <v>17720</v>
      </c>
      <c r="G2001" t="s">
        <v>1385</v>
      </c>
      <c r="H2001" t="s">
        <v>1386</v>
      </c>
      <c r="I2001" t="s">
        <v>85</v>
      </c>
      <c r="J2001" t="s">
        <v>22</v>
      </c>
      <c r="K2001" t="s">
        <v>17721</v>
      </c>
      <c r="L2001" t="s">
        <v>17724</v>
      </c>
      <c r="M2001" t="s">
        <v>25</v>
      </c>
      <c r="N2001" t="s">
        <v>17725</v>
      </c>
      <c r="O2001" t="s">
        <v>25</v>
      </c>
      <c r="P2001" t="s">
        <v>17726</v>
      </c>
      <c r="Q2001" t="s">
        <v>29</v>
      </c>
      <c r="R2001" t="s">
        <v>17722</v>
      </c>
      <c r="S2001" t="s">
        <v>17723</v>
      </c>
    </row>
    <row r="2002" spans="1:19" x14ac:dyDescent="0.25">
      <c r="A2002" s="1">
        <v>2000</v>
      </c>
      <c r="B2002" t="str">
        <f>HYPERLINK("https://www.dasschnelle.at/puntigam-gmbh-deutsch-goritz-salsach","Website")</f>
        <v>Website</v>
      </c>
      <c r="C2002" t="str">
        <f>HYPERLINK("http://www.baumaschinen-puntigam.at","Website")</f>
        <v>Website</v>
      </c>
      <c r="D2002" t="str">
        <f>HYPERLINK("http://www.google.com/maps/place/46.7418219,15.8427333","Location")</f>
        <v>Location</v>
      </c>
      <c r="E2002" t="s">
        <v>17727</v>
      </c>
      <c r="F2002" t="s">
        <v>17728</v>
      </c>
      <c r="G2002" t="s">
        <v>16327</v>
      </c>
      <c r="H2002" t="s">
        <v>16328</v>
      </c>
      <c r="I2002" t="s">
        <v>451</v>
      </c>
      <c r="J2002" t="s">
        <v>22</v>
      </c>
      <c r="K2002" t="s">
        <v>16787</v>
      </c>
      <c r="L2002" t="s">
        <v>17729</v>
      </c>
      <c r="M2002" t="s">
        <v>25</v>
      </c>
      <c r="N2002" t="s">
        <v>17730</v>
      </c>
      <c r="O2002" t="s">
        <v>17731</v>
      </c>
      <c r="P2002" t="s">
        <v>17732</v>
      </c>
      <c r="Q2002" t="s">
        <v>29</v>
      </c>
      <c r="R2002" t="s">
        <v>16788</v>
      </c>
      <c r="S2002" t="s">
        <v>16789</v>
      </c>
    </row>
    <row r="2003" spans="1:19" x14ac:dyDescent="0.25">
      <c r="A2003" s="1">
        <v>2001</v>
      </c>
      <c r="B2003" t="str">
        <f>HYPERLINK("https://www.dasschnelle.at/abri-samad-dr-med-eferding-oberer-graben","Website")</f>
        <v>Website</v>
      </c>
      <c r="C2003" t="str">
        <f>HYPERLINK("http://www.augenarzt-abri.at","Website")</f>
        <v>Website</v>
      </c>
      <c r="D2003" t="str">
        <f>HYPERLINK("http://www.google.com/maps/place/48.3094,14.01994","Location")</f>
        <v>Location</v>
      </c>
      <c r="E2003" t="s">
        <v>17733</v>
      </c>
      <c r="F2003" t="s">
        <v>17734</v>
      </c>
      <c r="G2003" t="s">
        <v>3101</v>
      </c>
      <c r="H2003" t="s">
        <v>3102</v>
      </c>
      <c r="I2003" t="s">
        <v>85</v>
      </c>
      <c r="J2003" t="s">
        <v>22</v>
      </c>
      <c r="K2003" t="s">
        <v>17735</v>
      </c>
      <c r="L2003" t="s">
        <v>17738</v>
      </c>
      <c r="M2003" t="s">
        <v>25</v>
      </c>
      <c r="N2003" t="s">
        <v>17739</v>
      </c>
      <c r="O2003" t="s">
        <v>25</v>
      </c>
      <c r="P2003" t="s">
        <v>17740</v>
      </c>
      <c r="Q2003" t="s">
        <v>29</v>
      </c>
      <c r="R2003" t="s">
        <v>17736</v>
      </c>
      <c r="S2003" t="s">
        <v>17737</v>
      </c>
    </row>
    <row r="2004" spans="1:19" x14ac:dyDescent="0.25">
      <c r="A2004" s="1">
        <v>2002</v>
      </c>
      <c r="B2004" t="str">
        <f>HYPERLINK("https://www.dasschnelle.at/gapp-elisabeth-ing-stanzach-lend","Website")</f>
        <v>Website</v>
      </c>
      <c r="C2004" t="str">
        <f>HYPERLINK("http://www.gapp.tirol","Website")</f>
        <v>Website</v>
      </c>
      <c r="D2004" t="str">
        <f>HYPERLINK("http://www.google.com/maps/place/47.3820053,10.5931543","Location")</f>
        <v>Location</v>
      </c>
      <c r="E2004" t="s">
        <v>17741</v>
      </c>
      <c r="F2004" t="s">
        <v>17742</v>
      </c>
      <c r="G2004" t="s">
        <v>17744</v>
      </c>
      <c r="H2004" t="s">
        <v>17745</v>
      </c>
      <c r="I2004" t="s">
        <v>21</v>
      </c>
      <c r="J2004" t="s">
        <v>22</v>
      </c>
      <c r="K2004" t="s">
        <v>17743</v>
      </c>
      <c r="L2004" t="s">
        <v>17748</v>
      </c>
      <c r="M2004" t="s">
        <v>17749</v>
      </c>
      <c r="N2004" t="s">
        <v>17750</v>
      </c>
      <c r="O2004" t="s">
        <v>25</v>
      </c>
      <c r="P2004" t="s">
        <v>17751</v>
      </c>
      <c r="Q2004" t="s">
        <v>29</v>
      </c>
      <c r="R2004" t="s">
        <v>17746</v>
      </c>
      <c r="S2004" t="s">
        <v>17747</v>
      </c>
    </row>
    <row r="2005" spans="1:19" x14ac:dyDescent="0.25">
      <c r="A2005" s="1">
        <v>2003</v>
      </c>
      <c r="B2005" t="str">
        <f>HYPERLINK("https://www.dasschnelle.at/wäger-und-hechl-brixen-im-thale-brixentalerstrasse","Website")</f>
        <v>Website</v>
      </c>
      <c r="C2005" t="str">
        <f>HYPERLINK("https://www.dasschnelle.at/w%C3%A4ger-und-hechl-brixen-im-thale-brixentalerstrasse","Website")</f>
        <v>Website</v>
      </c>
      <c r="D2005" t="str">
        <f>HYPERLINK("http://www.google.com/maps/place/47.44917,12.32512","Location")</f>
        <v>Location</v>
      </c>
      <c r="E2005" t="s">
        <v>17752</v>
      </c>
      <c r="F2005" t="s">
        <v>17753</v>
      </c>
      <c r="G2005" t="s">
        <v>17755</v>
      </c>
      <c r="H2005" t="s">
        <v>17756</v>
      </c>
      <c r="I2005" t="s">
        <v>21</v>
      </c>
      <c r="J2005" t="s">
        <v>22</v>
      </c>
      <c r="K2005" t="s">
        <v>17754</v>
      </c>
      <c r="L2005" t="s">
        <v>17759</v>
      </c>
      <c r="M2005" t="s">
        <v>25</v>
      </c>
      <c r="N2005" t="s">
        <v>17760</v>
      </c>
      <c r="O2005" t="s">
        <v>25</v>
      </c>
      <c r="P2005" t="s">
        <v>17761</v>
      </c>
      <c r="Q2005" t="s">
        <v>29</v>
      </c>
      <c r="R2005" t="s">
        <v>17757</v>
      </c>
      <c r="S2005" t="s">
        <v>17758</v>
      </c>
    </row>
    <row r="2006" spans="1:19" x14ac:dyDescent="0.25">
      <c r="A2006" s="1">
        <v>2004</v>
      </c>
      <c r="B2006" t="str">
        <f>HYPERLINK("https://www.dasschnelle.at/gugglberger-thomas-ellmau-föhrenwald","Website")</f>
        <v>Website</v>
      </c>
      <c r="C2006" t="str">
        <f>HYPERLINK("http://www.tischlereigugglberger.at","Website")</f>
        <v>Website</v>
      </c>
      <c r="D2006" t="str">
        <f>HYPERLINK("http://www.google.com/maps/place/47.52586,12.296","Location")</f>
        <v>Location</v>
      </c>
      <c r="E2006" t="s">
        <v>17762</v>
      </c>
      <c r="F2006" t="s">
        <v>17763</v>
      </c>
      <c r="G2006" t="s">
        <v>17765</v>
      </c>
      <c r="H2006" t="s">
        <v>17766</v>
      </c>
      <c r="I2006" t="s">
        <v>21</v>
      </c>
      <c r="J2006" t="s">
        <v>22</v>
      </c>
      <c r="K2006" t="s">
        <v>17764</v>
      </c>
      <c r="L2006" t="s">
        <v>17769</v>
      </c>
      <c r="M2006" t="s">
        <v>25</v>
      </c>
      <c r="N2006" t="s">
        <v>17770</v>
      </c>
      <c r="O2006" t="s">
        <v>25</v>
      </c>
      <c r="P2006" t="s">
        <v>17771</v>
      </c>
      <c r="Q2006" t="s">
        <v>29</v>
      </c>
      <c r="R2006" t="s">
        <v>17767</v>
      </c>
      <c r="S2006" t="s">
        <v>17768</v>
      </c>
    </row>
    <row r="2007" spans="1:19" x14ac:dyDescent="0.25">
      <c r="A2007" s="1">
        <v>2005</v>
      </c>
      <c r="B2007" t="str">
        <f>HYPERLINK("https://www.dasschnelle.at/kitzbüheler-bestattung-wv-gmbh-kitzbühel-jochberger-straße","Website")</f>
        <v>Website</v>
      </c>
      <c r="C2007" t="str">
        <f>HYPERLINK("http://www.trauerhilfe.at","Website")</f>
        <v>Website</v>
      </c>
      <c r="D2007" t="str">
        <f>HYPERLINK("http://www.google.com/maps/place/47.43888,12.4","Location")</f>
        <v>Location</v>
      </c>
      <c r="E2007" t="s">
        <v>17772</v>
      </c>
      <c r="F2007" t="s">
        <v>17773</v>
      </c>
      <c r="G2007" t="s">
        <v>833</v>
      </c>
      <c r="H2007" t="s">
        <v>834</v>
      </c>
      <c r="I2007" t="s">
        <v>21</v>
      </c>
      <c r="J2007" t="s">
        <v>22</v>
      </c>
      <c r="K2007" t="s">
        <v>17774</v>
      </c>
      <c r="L2007" t="s">
        <v>17777</v>
      </c>
      <c r="M2007" t="s">
        <v>17778</v>
      </c>
      <c r="N2007" t="s">
        <v>17779</v>
      </c>
      <c r="O2007" t="s">
        <v>17780</v>
      </c>
      <c r="P2007" t="s">
        <v>17781</v>
      </c>
      <c r="Q2007" t="s">
        <v>29</v>
      </c>
      <c r="R2007" t="s">
        <v>17775</v>
      </c>
      <c r="S2007" t="s">
        <v>17776</v>
      </c>
    </row>
    <row r="2008" spans="1:19" x14ac:dyDescent="0.25">
      <c r="A2008" s="1">
        <v>2006</v>
      </c>
      <c r="B2008" t="str">
        <f>HYPERLINK("https://www.dasschnelle.at/resch-schlosserei-gmbh-jochberg-kitzbüheler-straße","Website")</f>
        <v>Website</v>
      </c>
      <c r="C2008" t="str">
        <f>HYPERLINK("http://www.schlosserei-resch.at","Website")</f>
        <v>Website</v>
      </c>
      <c r="D2008" t="str">
        <f>HYPERLINK("http://www.google.com/maps/place/47.39323,12.42425","Location")</f>
        <v>Location</v>
      </c>
      <c r="E2008" t="s">
        <v>17782</v>
      </c>
      <c r="F2008" t="s">
        <v>17783</v>
      </c>
      <c r="G2008" t="s">
        <v>929</v>
      </c>
      <c r="H2008" t="s">
        <v>930</v>
      </c>
      <c r="I2008" t="s">
        <v>21</v>
      </c>
      <c r="J2008" t="s">
        <v>22</v>
      </c>
      <c r="K2008" t="s">
        <v>17784</v>
      </c>
      <c r="L2008" t="s">
        <v>17787</v>
      </c>
      <c r="M2008" t="s">
        <v>17788</v>
      </c>
      <c r="N2008" t="s">
        <v>17789</v>
      </c>
      <c r="O2008" t="s">
        <v>25</v>
      </c>
      <c r="P2008" t="s">
        <v>17790</v>
      </c>
      <c r="Q2008" t="s">
        <v>29</v>
      </c>
      <c r="R2008" t="s">
        <v>17785</v>
      </c>
      <c r="S2008" t="s">
        <v>17786</v>
      </c>
    </row>
    <row r="2009" spans="1:19" x14ac:dyDescent="0.25">
      <c r="A2009" s="1">
        <v>2007</v>
      </c>
      <c r="B2009" t="str">
        <f>HYPERLINK("https://www.dasschnelle.at/bruckschlögl-gesmbh-reiterndorf-rosenkranzgasse","Website")</f>
        <v>Website</v>
      </c>
      <c r="C2009" t="str">
        <f>HYPERLINK("http://www.bruckschloegl.co.at","Website")</f>
        <v>Website</v>
      </c>
      <c r="D2009" t="str">
        <f>HYPERLINK("http://www.google.com/maps/place/47.7041,13.6288","Location")</f>
        <v>Location</v>
      </c>
      <c r="E2009" t="s">
        <v>17791</v>
      </c>
      <c r="F2009" t="s">
        <v>17792</v>
      </c>
      <c r="G2009" t="s">
        <v>2377</v>
      </c>
      <c r="H2009" t="s">
        <v>17794</v>
      </c>
      <c r="I2009" t="s">
        <v>85</v>
      </c>
      <c r="J2009" t="s">
        <v>22</v>
      </c>
      <c r="K2009" t="s">
        <v>17793</v>
      </c>
      <c r="L2009" t="s">
        <v>17797</v>
      </c>
      <c r="M2009" t="s">
        <v>25</v>
      </c>
      <c r="N2009" t="s">
        <v>17798</v>
      </c>
      <c r="O2009" t="s">
        <v>25</v>
      </c>
      <c r="P2009" t="s">
        <v>17799</v>
      </c>
      <c r="Q2009" t="s">
        <v>29</v>
      </c>
      <c r="R2009" t="s">
        <v>17795</v>
      </c>
      <c r="S2009" t="s">
        <v>17796</v>
      </c>
    </row>
    <row r="2010" spans="1:19" x14ac:dyDescent="0.25">
      <c r="A2010" s="1">
        <v>2008</v>
      </c>
      <c r="B2010" t="str">
        <f>HYPERLINK("https://www.dasschnelle.at/fink-rainer-dr-med-braunau-am-inn-stadtplatz","Website")</f>
        <v>Website</v>
      </c>
      <c r="C2010" t="str">
        <f>HYPERLINK("http://www.euer-durchleucht.at","Website")</f>
        <v>Website</v>
      </c>
      <c r="D2010" t="str">
        <f>HYPERLINK("http://www.google.com/maps/place/48.2592629,13.0345698","Location")</f>
        <v>Location</v>
      </c>
      <c r="E2010" t="s">
        <v>17800</v>
      </c>
      <c r="F2010" t="s">
        <v>17801</v>
      </c>
      <c r="G2010" t="s">
        <v>1289</v>
      </c>
      <c r="H2010" t="s">
        <v>1310</v>
      </c>
      <c r="I2010" t="s">
        <v>85</v>
      </c>
      <c r="J2010" t="s">
        <v>22</v>
      </c>
      <c r="K2010" t="s">
        <v>1438</v>
      </c>
      <c r="L2010" t="s">
        <v>17802</v>
      </c>
      <c r="M2010" t="s">
        <v>25</v>
      </c>
      <c r="N2010" t="s">
        <v>17803</v>
      </c>
      <c r="O2010" t="s">
        <v>25</v>
      </c>
      <c r="P2010" t="s">
        <v>17804</v>
      </c>
      <c r="Q2010" t="s">
        <v>29</v>
      </c>
      <c r="R2010" t="s">
        <v>16651</v>
      </c>
      <c r="S2010" t="s">
        <v>16652</v>
      </c>
    </row>
    <row r="2011" spans="1:19" x14ac:dyDescent="0.25">
      <c r="A2011" s="1">
        <v>2009</v>
      </c>
      <c r="B2011" t="str">
        <f>HYPERLINK("https://www.dasschnelle.at/activa-linortner-unterberger-og-bad-ischl-salzburger-straße","Website")</f>
        <v>Website</v>
      </c>
      <c r="C2011" t="str">
        <f>HYPERLINK("http://www.activa-web.at","Website")</f>
        <v>Website</v>
      </c>
      <c r="D2011" t="str">
        <f>HYPERLINK("http://www.google.com/maps/place/47.71353,13.61935","Location")</f>
        <v>Location</v>
      </c>
      <c r="E2011" t="s">
        <v>17805</v>
      </c>
      <c r="F2011" t="s">
        <v>17806</v>
      </c>
      <c r="G2011" t="s">
        <v>2377</v>
      </c>
      <c r="H2011" t="s">
        <v>2378</v>
      </c>
      <c r="I2011" t="s">
        <v>85</v>
      </c>
      <c r="J2011" t="s">
        <v>22</v>
      </c>
      <c r="K2011" t="s">
        <v>17807</v>
      </c>
      <c r="L2011" t="s">
        <v>17808</v>
      </c>
      <c r="M2011" t="s">
        <v>17809</v>
      </c>
      <c r="N2011" t="s">
        <v>17810</v>
      </c>
      <c r="O2011" t="s">
        <v>25</v>
      </c>
      <c r="P2011" t="s">
        <v>17811</v>
      </c>
      <c r="Q2011" t="s">
        <v>29</v>
      </c>
      <c r="R2011" t="s">
        <v>15979</v>
      </c>
      <c r="S2011" t="s">
        <v>15980</v>
      </c>
    </row>
    <row r="2012" spans="1:19" x14ac:dyDescent="0.25">
      <c r="A2012" s="1">
        <v>2010</v>
      </c>
      <c r="B2012" t="str">
        <f>HYPERLINK("https://www.dasschnelle.at/taubinger-thomas-mag-eferding-oberer-graben","Website")</f>
        <v>Website</v>
      </c>
      <c r="C2012" t="str">
        <f>HYPERLINK("http://www.taubinger.info","Website")</f>
        <v>Website</v>
      </c>
      <c r="D2012" t="str">
        <f>HYPERLINK("http://www.google.com/maps/place/48.30998,14.02001","Location")</f>
        <v>Location</v>
      </c>
      <c r="E2012" t="s">
        <v>17812</v>
      </c>
      <c r="F2012" t="s">
        <v>17813</v>
      </c>
      <c r="G2012" t="s">
        <v>3101</v>
      </c>
      <c r="H2012" t="s">
        <v>3102</v>
      </c>
      <c r="I2012" t="s">
        <v>85</v>
      </c>
      <c r="J2012" t="s">
        <v>22</v>
      </c>
      <c r="K2012" t="s">
        <v>17814</v>
      </c>
      <c r="L2012" t="s">
        <v>17817</v>
      </c>
      <c r="M2012" t="s">
        <v>25</v>
      </c>
      <c r="N2012" t="s">
        <v>17818</v>
      </c>
      <c r="O2012" t="s">
        <v>17819</v>
      </c>
      <c r="P2012" t="s">
        <v>697</v>
      </c>
      <c r="Q2012" t="s">
        <v>29</v>
      </c>
      <c r="R2012" t="s">
        <v>17815</v>
      </c>
      <c r="S2012" t="s">
        <v>17816</v>
      </c>
    </row>
    <row r="2013" spans="1:19" x14ac:dyDescent="0.25">
      <c r="A2013" s="1">
        <v>2011</v>
      </c>
      <c r="B2013" t="str">
        <f>HYPERLINK("https://www.dasschnelle.at/winkler-pflasterbau-lochen-am-see-scherschham","Website")</f>
        <v>Website</v>
      </c>
      <c r="C2013" t="str">
        <f>HYPERLINK("https://www.dasschnelle.at/winkler-pflasterbau-lochen-am-see-scherschham","Website")</f>
        <v>Website</v>
      </c>
      <c r="D2013" t="str">
        <f>HYPERLINK("http://www.google.com/maps/place/48.0216370,13.1765878","Location")</f>
        <v>Location</v>
      </c>
      <c r="E2013" t="s">
        <v>17820</v>
      </c>
      <c r="F2013" t="s">
        <v>17821</v>
      </c>
      <c r="G2013" t="s">
        <v>17823</v>
      </c>
      <c r="H2013" t="s">
        <v>17824</v>
      </c>
      <c r="I2013" t="s">
        <v>85</v>
      </c>
      <c r="J2013" t="s">
        <v>22</v>
      </c>
      <c r="K2013" t="s">
        <v>17822</v>
      </c>
      <c r="L2013" t="s">
        <v>17827</v>
      </c>
      <c r="M2013" t="s">
        <v>25</v>
      </c>
      <c r="N2013" t="s">
        <v>17828</v>
      </c>
      <c r="O2013" t="s">
        <v>17829</v>
      </c>
      <c r="P2013" t="s">
        <v>17830</v>
      </c>
      <c r="Q2013" t="s">
        <v>29</v>
      </c>
      <c r="R2013" t="s">
        <v>17825</v>
      </c>
      <c r="S2013" t="s">
        <v>17826</v>
      </c>
    </row>
    <row r="2014" spans="1:19" x14ac:dyDescent="0.25">
      <c r="A2014" s="1">
        <v>2012</v>
      </c>
      <c r="B2014" t="str">
        <f>HYPERLINK("https://www.dasschnelle.at/schuh-ski-sportartikelhandel-und-sportmarketingservice-gesmbh-bad-ischl-salzburger-straße","Website")</f>
        <v>Website</v>
      </c>
      <c r="C2014" t="str">
        <f>HYPERLINK("http://www.schuhski.at","Website")</f>
        <v>Website</v>
      </c>
      <c r="D2014" t="str">
        <f>HYPERLINK("http://www.google.com/maps/place/47.71853,13.58668","Location")</f>
        <v>Location</v>
      </c>
      <c r="E2014" t="s">
        <v>17831</v>
      </c>
      <c r="F2014" t="s">
        <v>17832</v>
      </c>
      <c r="G2014" t="s">
        <v>2377</v>
      </c>
      <c r="H2014" t="s">
        <v>2378</v>
      </c>
      <c r="I2014" t="s">
        <v>85</v>
      </c>
      <c r="J2014" t="s">
        <v>22</v>
      </c>
      <c r="K2014" t="s">
        <v>17833</v>
      </c>
      <c r="L2014" t="s">
        <v>17836</v>
      </c>
      <c r="M2014" t="s">
        <v>25</v>
      </c>
      <c r="N2014" t="s">
        <v>17837</v>
      </c>
      <c r="O2014" t="s">
        <v>17838</v>
      </c>
      <c r="P2014" t="s">
        <v>17839</v>
      </c>
      <c r="Q2014" t="s">
        <v>29</v>
      </c>
      <c r="R2014" t="s">
        <v>17834</v>
      </c>
      <c r="S2014" t="s">
        <v>17835</v>
      </c>
    </row>
    <row r="2015" spans="1:19" x14ac:dyDescent="0.25">
      <c r="A2015" s="1">
        <v>2013</v>
      </c>
      <c r="B2015" t="str">
        <f>HYPERLINK("https://www.dasschnelle.at/schwaiger-matthias-kirchberg-in-tirol-spenglergasse","Website")</f>
        <v>Website</v>
      </c>
      <c r="C2015" t="str">
        <f>HYPERLINK("http://www.dach-glas.at","Website")</f>
        <v>Website</v>
      </c>
      <c r="D2015" t="str">
        <f>HYPERLINK("http://www.google.com/maps/place/47.44706,12.31257","Location")</f>
        <v>Location</v>
      </c>
      <c r="E2015" t="s">
        <v>17840</v>
      </c>
      <c r="F2015" t="s">
        <v>17841</v>
      </c>
      <c r="G2015" t="s">
        <v>822</v>
      </c>
      <c r="H2015" t="s">
        <v>823</v>
      </c>
      <c r="I2015" t="s">
        <v>21</v>
      </c>
      <c r="J2015" t="s">
        <v>22</v>
      </c>
      <c r="K2015" t="s">
        <v>17842</v>
      </c>
      <c r="L2015" t="s">
        <v>17845</v>
      </c>
      <c r="M2015" t="s">
        <v>25</v>
      </c>
      <c r="N2015" t="s">
        <v>17846</v>
      </c>
      <c r="O2015" t="s">
        <v>25</v>
      </c>
      <c r="P2015" t="s">
        <v>17847</v>
      </c>
      <c r="Q2015" t="s">
        <v>29</v>
      </c>
      <c r="R2015" t="s">
        <v>17843</v>
      </c>
      <c r="S2015" t="s">
        <v>17844</v>
      </c>
    </row>
    <row r="2016" spans="1:19" x14ac:dyDescent="0.25">
      <c r="A2016" s="1">
        <v>2014</v>
      </c>
      <c r="B2016" t="str">
        <f>HYPERLINK("https://www.dasschnelle.at/ahammer-peter-bad-ischl-salzburger-straße","Website")</f>
        <v>Website</v>
      </c>
      <c r="C2016" t="str">
        <f>HYPERLINK("http://www.exmanco.at","Website")</f>
        <v>Website</v>
      </c>
      <c r="D2016" t="str">
        <f>HYPERLINK("http://www.google.com/maps/place/47.71737,13.5984","Location")</f>
        <v>Location</v>
      </c>
      <c r="E2016" t="s">
        <v>17848</v>
      </c>
      <c r="F2016" t="s">
        <v>17849</v>
      </c>
      <c r="G2016" t="s">
        <v>2377</v>
      </c>
      <c r="H2016" t="s">
        <v>2378</v>
      </c>
      <c r="I2016" t="s">
        <v>85</v>
      </c>
      <c r="J2016" t="s">
        <v>22</v>
      </c>
      <c r="K2016" t="s">
        <v>17850</v>
      </c>
      <c r="L2016" t="s">
        <v>17853</v>
      </c>
      <c r="M2016" t="s">
        <v>25</v>
      </c>
      <c r="N2016" t="s">
        <v>17854</v>
      </c>
      <c r="O2016" t="s">
        <v>25</v>
      </c>
      <c r="P2016" t="s">
        <v>17855</v>
      </c>
      <c r="Q2016" t="s">
        <v>29</v>
      </c>
      <c r="R2016" t="s">
        <v>17851</v>
      </c>
      <c r="S2016" t="s">
        <v>17852</v>
      </c>
    </row>
    <row r="2017" spans="1:19" x14ac:dyDescent="0.25">
      <c r="A2017" s="1">
        <v>2015</v>
      </c>
      <c r="B2017" t="str">
        <f>HYPERLINK("https://www.dasschnelle.at/exenberger-elektro-technik-gmbh-kitzbühel-jochberger-straße","Website")</f>
        <v>Website</v>
      </c>
      <c r="C2017" t="str">
        <f>HYPERLINK("http://www.kitz-elektro.at","Website")</f>
        <v>Website</v>
      </c>
      <c r="D2017" t="str">
        <f>HYPERLINK("http://www.google.com/maps/place/47.43405,12.40712","Location")</f>
        <v>Location</v>
      </c>
      <c r="E2017" t="s">
        <v>17856</v>
      </c>
      <c r="F2017" t="s">
        <v>17857</v>
      </c>
      <c r="G2017" t="s">
        <v>833</v>
      </c>
      <c r="H2017" t="s">
        <v>834</v>
      </c>
      <c r="I2017" t="s">
        <v>21</v>
      </c>
      <c r="J2017" t="s">
        <v>22</v>
      </c>
      <c r="K2017" t="s">
        <v>17858</v>
      </c>
      <c r="L2017" t="s">
        <v>17861</v>
      </c>
      <c r="M2017" t="s">
        <v>25</v>
      </c>
      <c r="N2017" t="s">
        <v>17862</v>
      </c>
      <c r="O2017" t="s">
        <v>25</v>
      </c>
      <c r="P2017" t="s">
        <v>17863</v>
      </c>
      <c r="Q2017" t="s">
        <v>29</v>
      </c>
      <c r="R2017" t="s">
        <v>17859</v>
      </c>
      <c r="S2017" t="s">
        <v>17860</v>
      </c>
    </row>
    <row r="2018" spans="1:19" x14ac:dyDescent="0.25">
      <c r="A2018" s="1">
        <v>2016</v>
      </c>
      <c r="B2018" t="str">
        <f>HYPERLINK("https://www.dasschnelle.at/sonnleitner-karl-jun-spital-am-pyhrn-austraße","Website")</f>
        <v>Website</v>
      </c>
      <c r="C2018" t="str">
        <f>HYPERLINK("https://www.dasschnelle.at/sonnleitner-karl-jun-spital-am-pyhrn-austra%C3%9Fe","Website")</f>
        <v>Website</v>
      </c>
      <c r="D2018" t="str">
        <f>HYPERLINK("http://www.google.com/maps/place/47.7281796,14.2952638","Location")</f>
        <v>Location</v>
      </c>
      <c r="E2018" t="s">
        <v>17864</v>
      </c>
      <c r="F2018" t="s">
        <v>17865</v>
      </c>
      <c r="G2018" t="s">
        <v>10636</v>
      </c>
      <c r="H2018" t="s">
        <v>10637</v>
      </c>
      <c r="I2018" t="s">
        <v>85</v>
      </c>
      <c r="J2018" t="s">
        <v>22</v>
      </c>
      <c r="K2018" t="s">
        <v>17866</v>
      </c>
      <c r="L2018" t="s">
        <v>17869</v>
      </c>
      <c r="M2018" t="s">
        <v>25</v>
      </c>
      <c r="N2018" t="s">
        <v>17870</v>
      </c>
      <c r="O2018" t="s">
        <v>25</v>
      </c>
      <c r="P2018" t="s">
        <v>17871</v>
      </c>
      <c r="Q2018" t="s">
        <v>29</v>
      </c>
      <c r="R2018" t="s">
        <v>17867</v>
      </c>
      <c r="S2018" t="s">
        <v>17868</v>
      </c>
    </row>
    <row r="2019" spans="1:19" x14ac:dyDescent="0.25">
      <c r="A2019" s="1">
        <v>2017</v>
      </c>
      <c r="B2019" t="str">
        <f>HYPERLINK("https://www.dasschnelle.at/zweirad-erwin-unterberger-bad-ischl-salzburger-straße","Website")</f>
        <v>Website</v>
      </c>
      <c r="C2019" t="str">
        <f>HYPERLINK("http://www.2rad.cc","Website")</f>
        <v>Website</v>
      </c>
      <c r="D2019" t="str">
        <f>HYPERLINK("http://www.google.com/maps/place/47.71917,13.60802","Location")</f>
        <v>Location</v>
      </c>
      <c r="E2019" t="s">
        <v>17872</v>
      </c>
      <c r="F2019" t="s">
        <v>17873</v>
      </c>
      <c r="G2019" t="s">
        <v>2377</v>
      </c>
      <c r="H2019" t="s">
        <v>2378</v>
      </c>
      <c r="I2019" t="s">
        <v>85</v>
      </c>
      <c r="J2019" t="s">
        <v>22</v>
      </c>
      <c r="K2019" t="s">
        <v>17874</v>
      </c>
      <c r="L2019" t="s">
        <v>17877</v>
      </c>
      <c r="M2019" t="s">
        <v>17878</v>
      </c>
      <c r="N2019" t="s">
        <v>17879</v>
      </c>
      <c r="O2019" t="s">
        <v>25</v>
      </c>
      <c r="P2019" t="s">
        <v>17880</v>
      </c>
      <c r="Q2019" t="s">
        <v>29</v>
      </c>
      <c r="R2019" t="s">
        <v>17875</v>
      </c>
      <c r="S2019" t="s">
        <v>17876</v>
      </c>
    </row>
    <row r="2020" spans="1:19" x14ac:dyDescent="0.25">
      <c r="A2020" s="1">
        <v>2018</v>
      </c>
      <c r="B2020" t="str">
        <f>HYPERLINK("https://www.dasschnelle.at/auto-wiener-fahrzeughandel-gmbh-und-co-kg-sulzbach-sulzbacherstraße","Website")</f>
        <v>Website</v>
      </c>
      <c r="C2020" t="str">
        <f>HYPERLINK("http://www.autowiener.at","Website")</f>
        <v>Website</v>
      </c>
      <c r="D2020" t="str">
        <f>HYPERLINK("http://www.google.com/maps/place/47.69084,13.62224","Location")</f>
        <v>Location</v>
      </c>
      <c r="E2020" t="s">
        <v>17881</v>
      </c>
      <c r="F2020" t="s">
        <v>17882</v>
      </c>
      <c r="G2020" t="s">
        <v>2377</v>
      </c>
      <c r="H2020" t="s">
        <v>17884</v>
      </c>
      <c r="I2020" t="s">
        <v>85</v>
      </c>
      <c r="J2020" t="s">
        <v>22</v>
      </c>
      <c r="K2020" t="s">
        <v>17883</v>
      </c>
      <c r="L2020" t="s">
        <v>17887</v>
      </c>
      <c r="M2020" t="s">
        <v>17888</v>
      </c>
      <c r="N2020" t="s">
        <v>17889</v>
      </c>
      <c r="O2020" t="s">
        <v>25</v>
      </c>
      <c r="P2020" t="s">
        <v>17890</v>
      </c>
      <c r="Q2020" t="s">
        <v>29</v>
      </c>
      <c r="R2020" t="s">
        <v>17885</v>
      </c>
      <c r="S2020" t="s">
        <v>17886</v>
      </c>
    </row>
    <row r="2021" spans="1:19" x14ac:dyDescent="0.25">
      <c r="A2021" s="1">
        <v>2019</v>
      </c>
      <c r="B2021" t="str">
        <f>HYPERLINK("https://www.dasschnelle.at/ehz-elektrotechnik-mitterstoder","Website")</f>
        <v>Website</v>
      </c>
      <c r="C2021" t="str">
        <f>HYPERLINK("http://www.ehz-elektrotechnik.at","Website")</f>
        <v>Website</v>
      </c>
      <c r="D2021" t="str">
        <f>HYPERLINK("http://www.google.com/maps/place/47.7038916,14.1695729","Location")</f>
        <v>Location</v>
      </c>
      <c r="E2021" t="s">
        <v>17891</v>
      </c>
      <c r="F2021" t="s">
        <v>17892</v>
      </c>
      <c r="G2021" t="s">
        <v>17893</v>
      </c>
      <c r="H2021" t="s">
        <v>17894</v>
      </c>
      <c r="I2021" t="s">
        <v>85</v>
      </c>
      <c r="J2021" t="s">
        <v>22</v>
      </c>
      <c r="K2021" t="s">
        <v>25</v>
      </c>
      <c r="L2021" t="s">
        <v>17897</v>
      </c>
      <c r="M2021" t="s">
        <v>25</v>
      </c>
      <c r="N2021" t="s">
        <v>17898</v>
      </c>
      <c r="O2021" t="s">
        <v>25</v>
      </c>
      <c r="P2021" t="s">
        <v>17899</v>
      </c>
      <c r="Q2021" t="s">
        <v>29</v>
      </c>
      <c r="R2021" t="s">
        <v>17895</v>
      </c>
      <c r="S2021" t="s">
        <v>17896</v>
      </c>
    </row>
    <row r="2022" spans="1:19" x14ac:dyDescent="0.25">
      <c r="A2022" s="1">
        <v>2020</v>
      </c>
      <c r="B2022" t="str">
        <f>HYPERLINK("https://www.dasschnelle.at/elektro-gruber-gmbh-neumarkt-am-wallersee-bahnhofstraße","Website")</f>
        <v>Website</v>
      </c>
      <c r="C2022" t="str">
        <f>HYPERLINK("http://www.elektrogruber.at","Website")</f>
        <v>Website</v>
      </c>
      <c r="D2022" t="str">
        <f>HYPERLINK("http://www.google.com/maps/place/47.95109,13.22209","Location")</f>
        <v>Location</v>
      </c>
      <c r="E2022" t="s">
        <v>17900</v>
      </c>
      <c r="F2022" t="s">
        <v>17901</v>
      </c>
      <c r="G2022" t="s">
        <v>10564</v>
      </c>
      <c r="H2022" t="s">
        <v>10565</v>
      </c>
      <c r="I2022" t="s">
        <v>2239</v>
      </c>
      <c r="J2022" t="s">
        <v>22</v>
      </c>
      <c r="K2022" t="s">
        <v>17902</v>
      </c>
      <c r="L2022" t="s">
        <v>17903</v>
      </c>
      <c r="M2022" t="s">
        <v>25</v>
      </c>
      <c r="N2022" t="s">
        <v>17904</v>
      </c>
      <c r="O2022" t="s">
        <v>17905</v>
      </c>
      <c r="P2022" t="s">
        <v>17906</v>
      </c>
      <c r="Q2022" t="s">
        <v>29</v>
      </c>
      <c r="R2022" t="s">
        <v>17706</v>
      </c>
      <c r="S2022" t="s">
        <v>17707</v>
      </c>
    </row>
    <row r="2023" spans="1:19" x14ac:dyDescent="0.25">
      <c r="A2023" s="1">
        <v>2021</v>
      </c>
      <c r="B2023" t="str">
        <f>HYPERLINK("https://www.dasschnelle.at/hogo-bau-und-dämmstoffe-bad-eisenkappel-leppen","Website")</f>
        <v>Website</v>
      </c>
      <c r="C2023" t="str">
        <f>HYPERLINK("http://www.hogo-bau.at","Website")</f>
        <v>Website</v>
      </c>
      <c r="D2023" t="str">
        <f>HYPERLINK("http://www.google.com/maps/place/46.4876357,14.6581356","Location")</f>
        <v>Location</v>
      </c>
      <c r="E2023" t="s">
        <v>17907</v>
      </c>
      <c r="F2023" t="s">
        <v>17908</v>
      </c>
      <c r="G2023" t="s">
        <v>17428</v>
      </c>
      <c r="H2023" t="s">
        <v>17429</v>
      </c>
      <c r="I2023" t="s">
        <v>4130</v>
      </c>
      <c r="J2023" t="s">
        <v>22</v>
      </c>
      <c r="K2023" t="s">
        <v>17909</v>
      </c>
      <c r="L2023" t="s">
        <v>17912</v>
      </c>
      <c r="M2023" t="s">
        <v>25</v>
      </c>
      <c r="N2023" t="s">
        <v>17913</v>
      </c>
      <c r="O2023" t="s">
        <v>25</v>
      </c>
      <c r="P2023" t="s">
        <v>17914</v>
      </c>
      <c r="Q2023" t="s">
        <v>29</v>
      </c>
      <c r="R2023" t="s">
        <v>17910</v>
      </c>
      <c r="S2023" t="s">
        <v>17911</v>
      </c>
    </row>
    <row r="2024" spans="1:19" x14ac:dyDescent="0.25">
      <c r="A2024" s="1">
        <v>2022</v>
      </c>
      <c r="B2024" t="str">
        <f>HYPERLINK("https://www.dasschnelle.at/burkhardt-oliver-cafe-reinhart-eberndorf-kreuzberglweg","Website")</f>
        <v>Website</v>
      </c>
      <c r="C2024" t="str">
        <f>HYPERLINK("http://www.cafemitherz.net","Website")</f>
        <v>Website</v>
      </c>
      <c r="D2024" t="str">
        <f>HYPERLINK("http://www.google.com/maps/place/46.59082,14.6424","Location")</f>
        <v>Location</v>
      </c>
      <c r="E2024" t="s">
        <v>17915</v>
      </c>
      <c r="F2024" t="s">
        <v>17916</v>
      </c>
      <c r="G2024" t="s">
        <v>15559</v>
      </c>
      <c r="H2024" t="s">
        <v>15560</v>
      </c>
      <c r="I2024" t="s">
        <v>4130</v>
      </c>
      <c r="J2024" t="s">
        <v>22</v>
      </c>
      <c r="K2024" t="s">
        <v>17917</v>
      </c>
      <c r="L2024" t="s">
        <v>17920</v>
      </c>
      <c r="M2024" t="s">
        <v>25</v>
      </c>
      <c r="N2024" t="s">
        <v>17921</v>
      </c>
      <c r="O2024" t="s">
        <v>25</v>
      </c>
      <c r="P2024" t="s">
        <v>17922</v>
      </c>
      <c r="Q2024" t="s">
        <v>29</v>
      </c>
      <c r="R2024" t="s">
        <v>17918</v>
      </c>
      <c r="S2024" t="s">
        <v>17919</v>
      </c>
    </row>
    <row r="2025" spans="1:19" x14ac:dyDescent="0.25">
      <c r="A2025" s="1">
        <v>2023</v>
      </c>
      <c r="B2025" t="str">
        <f>HYPERLINK("https://www.dasschnelle.at/orthopädietechnik-bad-ischl-dr-mayer-straße","Website")</f>
        <v>Website</v>
      </c>
      <c r="C2025" t="str">
        <f>HYPERLINK("https://www.dasschnelle.at/orthop%C3%A4dietechnik-bad-ischl-dr-mayer-stra%C3%9Fe","Website")</f>
        <v>Website</v>
      </c>
      <c r="D2025" t="str">
        <f>HYPERLINK("http://www.google.com/maps/place/47.707195,13.6244749","Location")</f>
        <v>Location</v>
      </c>
      <c r="E2025" t="s">
        <v>17923</v>
      </c>
      <c r="F2025" t="s">
        <v>17924</v>
      </c>
      <c r="G2025" t="s">
        <v>2377</v>
      </c>
      <c r="H2025" t="s">
        <v>2378</v>
      </c>
      <c r="I2025" t="s">
        <v>85</v>
      </c>
      <c r="J2025" t="s">
        <v>22</v>
      </c>
      <c r="K2025" t="s">
        <v>17925</v>
      </c>
      <c r="L2025" t="s">
        <v>17928</v>
      </c>
      <c r="M2025" t="s">
        <v>25</v>
      </c>
      <c r="N2025" t="s">
        <v>17929</v>
      </c>
      <c r="O2025" t="s">
        <v>25</v>
      </c>
      <c r="P2025" t="s">
        <v>17930</v>
      </c>
      <c r="Q2025" t="s">
        <v>29</v>
      </c>
      <c r="R2025" t="s">
        <v>17926</v>
      </c>
      <c r="S2025" t="s">
        <v>17927</v>
      </c>
    </row>
    <row r="2026" spans="1:19" x14ac:dyDescent="0.25">
      <c r="A2026" s="1">
        <v>2024</v>
      </c>
      <c r="B2026" t="str">
        <f>HYPERLINK("https://www.dasschnelle.at/anlanger-reinhold-bad-ischl-grazer-straße","Website")</f>
        <v>Website</v>
      </c>
      <c r="C2026" t="str">
        <f>HYPERLINK("http://www.anlanger.com","Website")</f>
        <v>Website</v>
      </c>
      <c r="D2026" t="str">
        <f>HYPERLINK("http://www.google.com/maps/place/47.70797,13.62453","Location")</f>
        <v>Location</v>
      </c>
      <c r="E2026" t="s">
        <v>17931</v>
      </c>
      <c r="F2026" t="s">
        <v>17932</v>
      </c>
      <c r="G2026" t="s">
        <v>2377</v>
      </c>
      <c r="H2026" t="s">
        <v>2378</v>
      </c>
      <c r="I2026" t="s">
        <v>85</v>
      </c>
      <c r="J2026" t="s">
        <v>22</v>
      </c>
      <c r="K2026" t="s">
        <v>17933</v>
      </c>
      <c r="L2026" t="s">
        <v>17936</v>
      </c>
      <c r="M2026" t="s">
        <v>17937</v>
      </c>
      <c r="N2026" t="s">
        <v>17938</v>
      </c>
      <c r="O2026" t="s">
        <v>25</v>
      </c>
      <c r="P2026" t="s">
        <v>17939</v>
      </c>
      <c r="Q2026" t="s">
        <v>29</v>
      </c>
      <c r="R2026" t="s">
        <v>17934</v>
      </c>
      <c r="S2026" t="s">
        <v>17935</v>
      </c>
    </row>
    <row r="2027" spans="1:19" x14ac:dyDescent="0.25">
      <c r="A2027" s="1">
        <v>2025</v>
      </c>
      <c r="B2027" t="str">
        <f>HYPERLINK("https://www.dasschnelle.at/pernkopf-und-haas-gesmbh-bad-ischl-tänzlgasse","Website")</f>
        <v>Website</v>
      </c>
      <c r="C2027" t="str">
        <f>HYPERLINK("http://www.pernkopf-haas.at","Website")</f>
        <v>Website</v>
      </c>
      <c r="D2027" t="str">
        <f>HYPERLINK("http://www.google.com/maps/place/47.70964,13.61769","Location")</f>
        <v>Location</v>
      </c>
      <c r="E2027" t="s">
        <v>17940</v>
      </c>
      <c r="F2027" t="s">
        <v>17941</v>
      </c>
      <c r="G2027" t="s">
        <v>2377</v>
      </c>
      <c r="H2027" t="s">
        <v>2378</v>
      </c>
      <c r="I2027" t="s">
        <v>85</v>
      </c>
      <c r="J2027" t="s">
        <v>22</v>
      </c>
      <c r="K2027" t="s">
        <v>17942</v>
      </c>
      <c r="L2027" t="s">
        <v>17945</v>
      </c>
      <c r="M2027" t="s">
        <v>17946</v>
      </c>
      <c r="N2027" t="s">
        <v>17947</v>
      </c>
      <c r="O2027" t="s">
        <v>17948</v>
      </c>
      <c r="P2027" t="s">
        <v>17949</v>
      </c>
      <c r="Q2027" t="s">
        <v>29</v>
      </c>
      <c r="R2027" t="s">
        <v>17943</v>
      </c>
      <c r="S2027" t="s">
        <v>17944</v>
      </c>
    </row>
    <row r="2028" spans="1:19" x14ac:dyDescent="0.25">
      <c r="A2028" s="1">
        <v>2026</v>
      </c>
      <c r="B2028" t="str">
        <f>HYPERLINK("https://www.dasschnelle.at/schneidinger-thomas-aurach-bei-kitzbühel-aschbachweg","Website")</f>
        <v>Website</v>
      </c>
      <c r="C2028" t="str">
        <f>HYPERLINK("http://www.toms-glaserei.at","Website")</f>
        <v>Website</v>
      </c>
      <c r="D2028" t="str">
        <f>HYPERLINK("http://www.google.com/maps/place/47.42213,12.41584","Location")</f>
        <v>Location</v>
      </c>
      <c r="E2028" t="s">
        <v>17950</v>
      </c>
      <c r="F2028" t="s">
        <v>17951</v>
      </c>
      <c r="G2028" t="s">
        <v>17953</v>
      </c>
      <c r="H2028" t="s">
        <v>17954</v>
      </c>
      <c r="I2028" t="s">
        <v>21</v>
      </c>
      <c r="J2028" t="s">
        <v>22</v>
      </c>
      <c r="K2028" t="s">
        <v>17952</v>
      </c>
      <c r="L2028" t="s">
        <v>17957</v>
      </c>
      <c r="M2028" t="s">
        <v>17958</v>
      </c>
      <c r="N2028" t="s">
        <v>17959</v>
      </c>
      <c r="O2028" t="s">
        <v>25</v>
      </c>
      <c r="P2028" t="s">
        <v>17960</v>
      </c>
      <c r="Q2028" t="s">
        <v>29</v>
      </c>
      <c r="R2028" t="s">
        <v>17955</v>
      </c>
      <c r="S2028" t="s">
        <v>17956</v>
      </c>
    </row>
    <row r="2029" spans="1:19" x14ac:dyDescent="0.25">
      <c r="A2029" s="1">
        <v>2027</v>
      </c>
      <c r="B2029" t="str">
        <f>HYPERLINK("https://www.dasschnelle.at/berger-installationen-rosenau-am-hengstpaß-dambach","Website")</f>
        <v>Website</v>
      </c>
      <c r="C2029" t="str">
        <f>HYPERLINK("https://www.dasschnelle.at/berger-installationen-rosenau-am-hengstpa%C3%9F-dambach","Website")</f>
        <v>Website</v>
      </c>
      <c r="D2029" t="str">
        <f>HYPERLINK("http://www.google.com/maps/place/47.7230962,14.4063186","Location")</f>
        <v>Location</v>
      </c>
      <c r="E2029" t="s">
        <v>17961</v>
      </c>
      <c r="F2029" t="s">
        <v>17962</v>
      </c>
      <c r="G2029" t="s">
        <v>17551</v>
      </c>
      <c r="H2029" t="s">
        <v>17552</v>
      </c>
      <c r="I2029" t="s">
        <v>85</v>
      </c>
      <c r="J2029" t="s">
        <v>22</v>
      </c>
      <c r="K2029" t="s">
        <v>17963</v>
      </c>
      <c r="L2029" t="s">
        <v>17966</v>
      </c>
      <c r="M2029" t="s">
        <v>25</v>
      </c>
      <c r="N2029" t="s">
        <v>17967</v>
      </c>
      <c r="O2029" t="s">
        <v>25</v>
      </c>
      <c r="P2029" t="s">
        <v>17968</v>
      </c>
      <c r="Q2029" t="s">
        <v>29</v>
      </c>
      <c r="R2029" t="s">
        <v>17964</v>
      </c>
      <c r="S2029" t="s">
        <v>17965</v>
      </c>
    </row>
    <row r="2030" spans="1:19" x14ac:dyDescent="0.25">
      <c r="A2030" s="1">
        <v>2028</v>
      </c>
      <c r="B2030" t="str">
        <f>HYPERLINK("https://www.dasschnelle.at/at-automobile-ternitz-dunkelstein-triesterstraße","Website")</f>
        <v>Website</v>
      </c>
      <c r="C2030" t="str">
        <f>HYPERLINK("http://www.at-automobile.at","Website")</f>
        <v>Website</v>
      </c>
      <c r="D2030" t="str">
        <f>HYPERLINK("http://www.google.com/maps/place/47.7097173,16.0454712","Location")</f>
        <v>Location</v>
      </c>
      <c r="E2030" t="s">
        <v>17969</v>
      </c>
      <c r="F2030" t="s">
        <v>17970</v>
      </c>
      <c r="G2030" t="s">
        <v>5667</v>
      </c>
      <c r="H2030" t="s">
        <v>5668</v>
      </c>
      <c r="I2030" t="s">
        <v>177</v>
      </c>
      <c r="J2030" t="s">
        <v>22</v>
      </c>
      <c r="K2030" t="s">
        <v>17971</v>
      </c>
      <c r="L2030" t="s">
        <v>17974</v>
      </c>
      <c r="M2030" t="s">
        <v>25</v>
      </c>
      <c r="N2030" t="s">
        <v>17975</v>
      </c>
      <c r="O2030" t="s">
        <v>17976</v>
      </c>
      <c r="P2030" t="s">
        <v>17977</v>
      </c>
      <c r="Q2030" t="s">
        <v>29</v>
      </c>
      <c r="R2030" t="s">
        <v>17972</v>
      </c>
      <c r="S2030" t="s">
        <v>17973</v>
      </c>
    </row>
    <row r="2031" spans="1:19" x14ac:dyDescent="0.25">
      <c r="A2031" s="1">
        <v>2029</v>
      </c>
      <c r="B2031" t="str">
        <f>HYPERLINK("https://www.dasschnelle.at/heizbär-gmbh-ternitz-forstnerweg","Website")</f>
        <v>Website</v>
      </c>
      <c r="C2031" t="str">
        <f>HYPERLINK("http://www.heizbaer.at","Website")</f>
        <v>Website</v>
      </c>
      <c r="D2031" t="str">
        <f>HYPERLINK("http://www.google.com/maps/place/47.71965,16.0263","Location")</f>
        <v>Location</v>
      </c>
      <c r="E2031" t="s">
        <v>17978</v>
      </c>
      <c r="F2031" t="s">
        <v>17979</v>
      </c>
      <c r="G2031" t="s">
        <v>5667</v>
      </c>
      <c r="H2031" t="s">
        <v>5668</v>
      </c>
      <c r="I2031" t="s">
        <v>177</v>
      </c>
      <c r="J2031" t="s">
        <v>22</v>
      </c>
      <c r="K2031" t="s">
        <v>17980</v>
      </c>
      <c r="L2031" t="s">
        <v>17983</v>
      </c>
      <c r="M2031" t="s">
        <v>25</v>
      </c>
      <c r="N2031" t="s">
        <v>17984</v>
      </c>
      <c r="O2031" t="s">
        <v>25</v>
      </c>
      <c r="P2031" t="s">
        <v>17985</v>
      </c>
      <c r="Q2031" t="s">
        <v>29</v>
      </c>
      <c r="R2031" t="s">
        <v>17981</v>
      </c>
      <c r="S2031" t="s">
        <v>17982</v>
      </c>
    </row>
    <row r="2032" spans="1:19" x14ac:dyDescent="0.25">
      <c r="A2032" s="1">
        <v>2030</v>
      </c>
      <c r="B2032" t="str">
        <f>HYPERLINK("https://www.dasschnelle.at/abdichtunge-da-ges-m-b-h-seekirchen-rupertusstraße","Website")</f>
        <v>Website</v>
      </c>
      <c r="C2032" t="str">
        <f>HYPERLINK("http://www.da-abdichtung.at","Website")</f>
        <v>Website</v>
      </c>
      <c r="D2032" t="str">
        <f>HYPERLINK("http://www.google.com/maps/place/47.8891900,13.1208400","Location")</f>
        <v>Location</v>
      </c>
      <c r="E2032" t="s">
        <v>17986</v>
      </c>
      <c r="F2032" t="s">
        <v>17987</v>
      </c>
      <c r="G2032" t="s">
        <v>1412</v>
      </c>
      <c r="H2032" t="s">
        <v>16372</v>
      </c>
      <c r="I2032" t="s">
        <v>2239</v>
      </c>
      <c r="J2032" t="s">
        <v>22</v>
      </c>
      <c r="K2032" t="s">
        <v>17988</v>
      </c>
      <c r="L2032" t="s">
        <v>17991</v>
      </c>
      <c r="M2032" t="s">
        <v>25</v>
      </c>
      <c r="N2032" t="s">
        <v>17992</v>
      </c>
      <c r="O2032" t="s">
        <v>17993</v>
      </c>
      <c r="P2032" t="s">
        <v>697</v>
      </c>
      <c r="Q2032" t="s">
        <v>29</v>
      </c>
      <c r="R2032" t="s">
        <v>17989</v>
      </c>
      <c r="S2032" t="s">
        <v>17990</v>
      </c>
    </row>
    <row r="2033" spans="1:19" x14ac:dyDescent="0.25">
      <c r="A2033" s="1">
        <v>2031</v>
      </c>
      <c r="B2033" t="str">
        <f>HYPERLINK("https://www.dasschnelle.at/tischlerei-hupf-gmbh-neunkirchen-semmelweisstraße","Website")</f>
        <v>Website</v>
      </c>
      <c r="C2033" t="str">
        <f>HYPERLINK("http://www.tischlerei-hupf.at","Website")</f>
        <v>Website</v>
      </c>
      <c r="D2033" t="str">
        <f>HYPERLINK("http://www.google.com/maps/place/47.7293566,16.0887458","Location")</f>
        <v>Location</v>
      </c>
      <c r="E2033" t="s">
        <v>17994</v>
      </c>
      <c r="F2033" t="s">
        <v>17995</v>
      </c>
      <c r="G2033" t="s">
        <v>5676</v>
      </c>
      <c r="H2033" t="s">
        <v>5677</v>
      </c>
      <c r="I2033" t="s">
        <v>177</v>
      </c>
      <c r="J2033" t="s">
        <v>22</v>
      </c>
      <c r="K2033" t="s">
        <v>17996</v>
      </c>
      <c r="L2033" t="s">
        <v>17999</v>
      </c>
      <c r="M2033" t="s">
        <v>25</v>
      </c>
      <c r="N2033" t="s">
        <v>18000</v>
      </c>
      <c r="O2033" t="s">
        <v>25</v>
      </c>
      <c r="P2033" t="s">
        <v>18001</v>
      </c>
      <c r="Q2033" t="s">
        <v>29</v>
      </c>
      <c r="R2033" t="s">
        <v>17997</v>
      </c>
      <c r="S2033" t="s">
        <v>17998</v>
      </c>
    </row>
    <row r="2034" spans="1:19" x14ac:dyDescent="0.25">
      <c r="A2034" s="1">
        <v>2032</v>
      </c>
      <c r="B2034" t="str">
        <f>HYPERLINK("https://www.dasschnelle.at/exit-sozial-verein-f-psychosoziale-dienste-eferding-bahnhofstraße","Website")</f>
        <v>Website</v>
      </c>
      <c r="C2034" t="str">
        <f>HYPERLINK("http://www.exitsozial.at","Website")</f>
        <v>Website</v>
      </c>
      <c r="D2034" t="str">
        <f>HYPERLINK("http://www.google.com/maps/place/48.30776,14.02061","Location")</f>
        <v>Location</v>
      </c>
      <c r="E2034" t="s">
        <v>18002</v>
      </c>
      <c r="F2034" t="s">
        <v>18003</v>
      </c>
      <c r="G2034" t="s">
        <v>3101</v>
      </c>
      <c r="H2034" t="s">
        <v>3102</v>
      </c>
      <c r="I2034" t="s">
        <v>85</v>
      </c>
      <c r="J2034" t="s">
        <v>22</v>
      </c>
      <c r="K2034" t="s">
        <v>10655</v>
      </c>
      <c r="L2034" t="s">
        <v>18006</v>
      </c>
      <c r="M2034" t="s">
        <v>25</v>
      </c>
      <c r="N2034" t="s">
        <v>18007</v>
      </c>
      <c r="O2034" t="s">
        <v>25</v>
      </c>
      <c r="P2034" t="s">
        <v>18008</v>
      </c>
      <c r="Q2034" t="s">
        <v>29</v>
      </c>
      <c r="R2034" t="s">
        <v>18004</v>
      </c>
      <c r="S2034" t="s">
        <v>18005</v>
      </c>
    </row>
    <row r="2035" spans="1:19" x14ac:dyDescent="0.25">
      <c r="A2035" s="1">
        <v>2033</v>
      </c>
      <c r="B2035" t="str">
        <f>HYPERLINK("https://www.dasschnelle.at/bestattung-stranz-gmbh-grafenbach-dammstraße","Website")</f>
        <v>Website</v>
      </c>
      <c r="C2035" t="str">
        <f>HYPERLINK("http://www.bestattung-stranz.at;http://www.urnenwald-ternitz.at","Website")</f>
        <v>Website</v>
      </c>
      <c r="D2035" t="str">
        <f>HYPERLINK("http://www.google.com/maps/place/47.6922889,16.0066990","Location")</f>
        <v>Location</v>
      </c>
      <c r="E2035" t="s">
        <v>18009</v>
      </c>
      <c r="F2035" t="s">
        <v>18010</v>
      </c>
      <c r="G2035" t="s">
        <v>5667</v>
      </c>
      <c r="H2035" t="s">
        <v>18012</v>
      </c>
      <c r="I2035" t="s">
        <v>177</v>
      </c>
      <c r="J2035" t="s">
        <v>22</v>
      </c>
      <c r="K2035" t="s">
        <v>18011</v>
      </c>
      <c r="L2035" t="s">
        <v>18015</v>
      </c>
      <c r="M2035" t="s">
        <v>25</v>
      </c>
      <c r="N2035" t="s">
        <v>18016</v>
      </c>
      <c r="O2035" t="s">
        <v>25</v>
      </c>
      <c r="P2035" t="s">
        <v>18017</v>
      </c>
      <c r="Q2035" t="s">
        <v>29</v>
      </c>
      <c r="R2035" t="s">
        <v>18013</v>
      </c>
      <c r="S2035" t="s">
        <v>18014</v>
      </c>
    </row>
    <row r="2036" spans="1:19" x14ac:dyDescent="0.25">
      <c r="A2036" s="1">
        <v>2034</v>
      </c>
      <c r="B2036" t="str">
        <f>HYPERLINK("https://www.dasschnelle.at/krems-schrott-gmbh-gloggnitz-stuppacher-straße","Website")</f>
        <v>Website</v>
      </c>
      <c r="C2036" t="str">
        <f>HYPERLINK("http://www.krems-schrott.at","Website")</f>
        <v>Website</v>
      </c>
      <c r="D2036" t="str">
        <f>HYPERLINK("http://www.google.com/maps/place/47.67978,15.96038","Location")</f>
        <v>Location</v>
      </c>
      <c r="E2036" t="s">
        <v>18018</v>
      </c>
      <c r="F2036" t="s">
        <v>18019</v>
      </c>
      <c r="G2036" t="s">
        <v>5703</v>
      </c>
      <c r="H2036" t="s">
        <v>5704</v>
      </c>
      <c r="I2036" t="s">
        <v>177</v>
      </c>
      <c r="J2036" t="s">
        <v>22</v>
      </c>
      <c r="K2036" t="s">
        <v>18020</v>
      </c>
      <c r="L2036" t="s">
        <v>18023</v>
      </c>
      <c r="M2036" t="s">
        <v>25</v>
      </c>
      <c r="N2036" t="s">
        <v>18024</v>
      </c>
      <c r="O2036" t="s">
        <v>25</v>
      </c>
      <c r="P2036" t="s">
        <v>18025</v>
      </c>
      <c r="Q2036" t="s">
        <v>29</v>
      </c>
      <c r="R2036" t="s">
        <v>18021</v>
      </c>
      <c r="S2036" t="s">
        <v>18022</v>
      </c>
    </row>
    <row r="2037" spans="1:19" x14ac:dyDescent="0.25">
      <c r="A2037" s="1">
        <v>2035</v>
      </c>
      <c r="B2037" t="str">
        <f>HYPERLINK("https://www.dasschnelle.at/höflmaier-haustechnik-gmbh-perwang-am-grabensee-grub","Website")</f>
        <v>Website</v>
      </c>
      <c r="C2037" t="str">
        <f>HYPERLINK("http://www.hu00f6flmaier.at","Website")</f>
        <v>Website</v>
      </c>
      <c r="D2037" t="str">
        <f>HYPERLINK("http://www.google.com/maps/place/48.0198677,13.0684823","Location")</f>
        <v>Location</v>
      </c>
      <c r="E2037" t="s">
        <v>18026</v>
      </c>
      <c r="F2037" t="s">
        <v>18027</v>
      </c>
      <c r="G2037" t="s">
        <v>16491</v>
      </c>
      <c r="H2037" t="s">
        <v>16492</v>
      </c>
      <c r="I2037" t="s">
        <v>85</v>
      </c>
      <c r="J2037" t="s">
        <v>22</v>
      </c>
      <c r="K2037" t="s">
        <v>18028</v>
      </c>
      <c r="L2037" t="s">
        <v>18031</v>
      </c>
      <c r="M2037" t="s">
        <v>25</v>
      </c>
      <c r="N2037" t="s">
        <v>18032</v>
      </c>
      <c r="O2037" t="s">
        <v>18033</v>
      </c>
      <c r="P2037" t="s">
        <v>18034</v>
      </c>
      <c r="Q2037" t="s">
        <v>29</v>
      </c>
      <c r="R2037" t="s">
        <v>18029</v>
      </c>
      <c r="S2037" t="s">
        <v>18030</v>
      </c>
    </row>
    <row r="2038" spans="1:19" x14ac:dyDescent="0.25">
      <c r="A2038" s="1">
        <v>2036</v>
      </c>
      <c r="B2038" t="str">
        <f>HYPERLINK("https://www.dasschnelle.at/hennerbichler-gerhard-bad-wimsbach-neydharting-haag","Website")</f>
        <v>Website</v>
      </c>
      <c r="C2038" t="str">
        <f>HYPERLINK("https://www.dasschnelle.at/hennerbichler-gerhard-bad-wimsbach-neydharting-haag","Website")</f>
        <v>Website</v>
      </c>
      <c r="D2038" t="str">
        <f>HYPERLINK("http://www.google.com/maps/place/48.0376510,13.8820440","Location")</f>
        <v>Location</v>
      </c>
      <c r="E2038" t="s">
        <v>18035</v>
      </c>
      <c r="F2038" t="s">
        <v>18036</v>
      </c>
      <c r="G2038" t="s">
        <v>18038</v>
      </c>
      <c r="H2038" t="s">
        <v>18039</v>
      </c>
      <c r="I2038" t="s">
        <v>85</v>
      </c>
      <c r="J2038" t="s">
        <v>22</v>
      </c>
      <c r="K2038" t="s">
        <v>18037</v>
      </c>
      <c r="L2038" t="s">
        <v>18042</v>
      </c>
      <c r="M2038" t="s">
        <v>25</v>
      </c>
      <c r="N2038" t="s">
        <v>18043</v>
      </c>
      <c r="O2038" t="s">
        <v>25</v>
      </c>
      <c r="P2038" t="s">
        <v>18044</v>
      </c>
      <c r="Q2038" t="s">
        <v>29</v>
      </c>
      <c r="R2038" t="s">
        <v>18040</v>
      </c>
      <c r="S2038" t="s">
        <v>18041</v>
      </c>
    </row>
    <row r="2039" spans="1:19" x14ac:dyDescent="0.25">
      <c r="A2039" s="1">
        <v>2037</v>
      </c>
      <c r="B2039" t="str">
        <f>HYPERLINK("https://www.dasschnelle.at/hennerbichler-gerhard-wimsbach-haag","Website")</f>
        <v>Website</v>
      </c>
      <c r="C2039" t="str">
        <f>HYPERLINK("https://www.dasschnelle.at/hennerbichler-gerhard-wimsbach-haag","Website")</f>
        <v>Website</v>
      </c>
      <c r="D2039" t="str">
        <f>HYPERLINK("http://www.google.com/maps/place/48.0376510,13.8820440","Location")</f>
        <v>Location</v>
      </c>
      <c r="E2039" t="s">
        <v>18045</v>
      </c>
      <c r="F2039" t="s">
        <v>18046</v>
      </c>
      <c r="G2039" t="s">
        <v>18038</v>
      </c>
      <c r="H2039" t="s">
        <v>18047</v>
      </c>
      <c r="I2039" t="s">
        <v>85</v>
      </c>
      <c r="J2039" t="s">
        <v>22</v>
      </c>
      <c r="K2039" t="s">
        <v>18037</v>
      </c>
      <c r="L2039" t="s">
        <v>18048</v>
      </c>
      <c r="M2039" t="s">
        <v>25</v>
      </c>
      <c r="N2039" t="s">
        <v>18043</v>
      </c>
      <c r="O2039" t="s">
        <v>25</v>
      </c>
      <c r="P2039" t="s">
        <v>18049</v>
      </c>
      <c r="Q2039" t="s">
        <v>29</v>
      </c>
      <c r="R2039" t="s">
        <v>18040</v>
      </c>
      <c r="S2039" t="s">
        <v>18041</v>
      </c>
    </row>
    <row r="2040" spans="1:19" x14ac:dyDescent="0.25">
      <c r="A2040" s="1">
        <v>2038</v>
      </c>
      <c r="B2040" t="str">
        <f>HYPERLINK("https://www.dasschnelle.at/wutte-michael-dr-med-univ-st-kanzian-am-klopeiner-see-seenweg","Website")</f>
        <v>Website</v>
      </c>
      <c r="C2040" t="str">
        <f>HYPERLINK("http://www.docwutte.at","Website")</f>
        <v>Website</v>
      </c>
      <c r="D2040" t="str">
        <f>HYPERLINK("http://www.google.com/maps/place/46.60837,14.57228","Location")</f>
        <v>Location</v>
      </c>
      <c r="E2040" t="s">
        <v>18050</v>
      </c>
      <c r="F2040" t="s">
        <v>18051</v>
      </c>
      <c r="G2040" t="s">
        <v>5188</v>
      </c>
      <c r="H2040" t="s">
        <v>5189</v>
      </c>
      <c r="I2040" t="s">
        <v>4130</v>
      </c>
      <c r="J2040" t="s">
        <v>22</v>
      </c>
      <c r="K2040" t="s">
        <v>18052</v>
      </c>
      <c r="L2040" t="s">
        <v>18055</v>
      </c>
      <c r="M2040" t="s">
        <v>18056</v>
      </c>
      <c r="N2040" t="s">
        <v>18057</v>
      </c>
      <c r="O2040" t="s">
        <v>25</v>
      </c>
      <c r="P2040" t="s">
        <v>18058</v>
      </c>
      <c r="Q2040" t="s">
        <v>29</v>
      </c>
      <c r="R2040" t="s">
        <v>18053</v>
      </c>
      <c r="S2040" t="s">
        <v>18054</v>
      </c>
    </row>
    <row r="2041" spans="1:19" x14ac:dyDescent="0.25">
      <c r="A2041" s="1">
        <v>2039</v>
      </c>
      <c r="B2041" t="str">
        <f>HYPERLINK("https://www.dasschnelle.at/sturbmayr-walter-neukirchen-bei-lambach-stötten","Website")</f>
        <v>Website</v>
      </c>
      <c r="C2041" t="str">
        <f>HYPERLINK("http://www.sturbmayr-tischler.stadtausstellung.at","Website")</f>
        <v>Website</v>
      </c>
      <c r="D2041" t="str">
        <f>HYPERLINK("http://www.google.com/maps/place/48.1096670,13.7922189","Location")</f>
        <v>Location</v>
      </c>
      <c r="E2041" t="s">
        <v>18059</v>
      </c>
      <c r="F2041" t="s">
        <v>18060</v>
      </c>
      <c r="G2041" t="s">
        <v>18062</v>
      </c>
      <c r="H2041" t="s">
        <v>18063</v>
      </c>
      <c r="I2041" t="s">
        <v>85</v>
      </c>
      <c r="J2041" t="s">
        <v>22</v>
      </c>
      <c r="K2041" t="s">
        <v>18061</v>
      </c>
      <c r="L2041" t="s">
        <v>18066</v>
      </c>
      <c r="M2041" t="s">
        <v>25</v>
      </c>
      <c r="N2041" t="s">
        <v>18067</v>
      </c>
      <c r="O2041" t="s">
        <v>18068</v>
      </c>
      <c r="P2041" t="s">
        <v>18069</v>
      </c>
      <c r="Q2041" t="s">
        <v>29</v>
      </c>
      <c r="R2041" t="s">
        <v>18064</v>
      </c>
      <c r="S2041" t="s">
        <v>18065</v>
      </c>
    </row>
    <row r="2042" spans="1:19" x14ac:dyDescent="0.25">
      <c r="A2042" s="1">
        <v>2040</v>
      </c>
      <c r="B2042" t="str">
        <f>HYPERLINK("https://www.dasschnelle.at/forsthuber-transport-gmbh-meggenhofen-trappenhof-nord","Website")</f>
        <v>Website</v>
      </c>
      <c r="C2042" t="str">
        <f>HYPERLINK("https://www.dasschnelle.at/forsthuber-transport-gmbh-meggenhofen-trappenhof-nord","Website")</f>
        <v>Website</v>
      </c>
      <c r="D2042" t="str">
        <f>HYPERLINK("http://www.google.com/maps/place/48.1832985,13.7823638","Location")</f>
        <v>Location</v>
      </c>
      <c r="E2042" t="s">
        <v>18070</v>
      </c>
      <c r="F2042" t="s">
        <v>18071</v>
      </c>
      <c r="G2042" t="s">
        <v>14780</v>
      </c>
      <c r="H2042" t="s">
        <v>14781</v>
      </c>
      <c r="I2042" t="s">
        <v>85</v>
      </c>
      <c r="J2042" t="s">
        <v>22</v>
      </c>
      <c r="K2042" t="s">
        <v>18072</v>
      </c>
      <c r="L2042" t="s">
        <v>18075</v>
      </c>
      <c r="M2042" t="s">
        <v>25</v>
      </c>
      <c r="N2042" t="s">
        <v>18076</v>
      </c>
      <c r="O2042" t="s">
        <v>25</v>
      </c>
      <c r="P2042" t="s">
        <v>18077</v>
      </c>
      <c r="Q2042" t="s">
        <v>29</v>
      </c>
      <c r="R2042" t="s">
        <v>18073</v>
      </c>
      <c r="S2042" t="s">
        <v>18074</v>
      </c>
    </row>
    <row r="2043" spans="1:19" x14ac:dyDescent="0.25">
      <c r="A2043" s="1">
        <v>2041</v>
      </c>
      <c r="B2043" t="str">
        <f>HYPERLINK("https://www.dasschnelle.at/wiese-sebastian-dr-pöchlarn-regensburger-straße","Website")</f>
        <v>Website</v>
      </c>
      <c r="C2043" t="str">
        <f>HYPERLINK("http://www.ra-wiese.at","Website")</f>
        <v>Website</v>
      </c>
      <c r="D2043" t="str">
        <f>HYPERLINK("http://www.google.com/maps/place/48.2117553,15.2081696","Location")</f>
        <v>Location</v>
      </c>
      <c r="E2043" t="s">
        <v>18078</v>
      </c>
      <c r="F2043" t="s">
        <v>18079</v>
      </c>
      <c r="G2043" t="s">
        <v>5982</v>
      </c>
      <c r="H2043" t="s">
        <v>5983</v>
      </c>
      <c r="I2043" t="s">
        <v>177</v>
      </c>
      <c r="J2043" t="s">
        <v>22</v>
      </c>
      <c r="K2043" t="s">
        <v>18080</v>
      </c>
      <c r="L2043" t="s">
        <v>18083</v>
      </c>
      <c r="M2043" t="s">
        <v>25</v>
      </c>
      <c r="N2043" t="s">
        <v>18084</v>
      </c>
      <c r="O2043" t="s">
        <v>25</v>
      </c>
      <c r="P2043" t="s">
        <v>18085</v>
      </c>
      <c r="Q2043" t="s">
        <v>29</v>
      </c>
      <c r="R2043" t="s">
        <v>18081</v>
      </c>
      <c r="S2043" t="s">
        <v>18082</v>
      </c>
    </row>
    <row r="2044" spans="1:19" x14ac:dyDescent="0.25">
      <c r="A2044" s="1">
        <v>2042</v>
      </c>
      <c r="B2044" t="str">
        <f>HYPERLINK("https://www.dasschnelle.at/fellner-josef-e-u-neunkirchen-wienerstraße","Website")</f>
        <v>Website</v>
      </c>
      <c r="C2044" t="str">
        <f>HYPERLINK("http://www.fellner-energie.at","Website")</f>
        <v>Website</v>
      </c>
      <c r="D2044" t="str">
        <f>HYPERLINK("http://www.google.com/maps/place/47.73054,16.09542","Location")</f>
        <v>Location</v>
      </c>
      <c r="E2044" t="s">
        <v>18086</v>
      </c>
      <c r="F2044" t="s">
        <v>18087</v>
      </c>
      <c r="G2044" t="s">
        <v>5676</v>
      </c>
      <c r="H2044" t="s">
        <v>5677</v>
      </c>
      <c r="I2044" t="s">
        <v>177</v>
      </c>
      <c r="J2044" t="s">
        <v>22</v>
      </c>
      <c r="K2044" t="s">
        <v>18088</v>
      </c>
      <c r="L2044" t="s">
        <v>18091</v>
      </c>
      <c r="M2044" t="s">
        <v>25</v>
      </c>
      <c r="N2044" t="s">
        <v>18092</v>
      </c>
      <c r="O2044" t="s">
        <v>18093</v>
      </c>
      <c r="P2044" t="s">
        <v>18094</v>
      </c>
      <c r="Q2044" t="s">
        <v>29</v>
      </c>
      <c r="R2044" t="s">
        <v>18089</v>
      </c>
      <c r="S2044" t="s">
        <v>18090</v>
      </c>
    </row>
    <row r="2045" spans="1:19" x14ac:dyDescent="0.25">
      <c r="A2045" s="1">
        <v>2043</v>
      </c>
      <c r="B2045" t="str">
        <f>HYPERLINK("https://www.dasschnelle.at/dr-barbieri-und-dr-grünbichler-gruppenpraxis-melk-abbe-stadler-gasse","Website")</f>
        <v>Website</v>
      </c>
      <c r="C2045" t="str">
        <f>HYPERLINK("http://www.innere-medizin-melk.at","Website")</f>
        <v>Website</v>
      </c>
      <c r="D2045" t="str">
        <f>HYPERLINK("http://www.google.com/maps/place/48.22691,15.33315","Location")</f>
        <v>Location</v>
      </c>
      <c r="E2045" t="s">
        <v>18095</v>
      </c>
      <c r="F2045" t="s">
        <v>18096</v>
      </c>
      <c r="G2045" t="s">
        <v>5926</v>
      </c>
      <c r="H2045" t="s">
        <v>5927</v>
      </c>
      <c r="I2045" t="s">
        <v>177</v>
      </c>
      <c r="J2045" t="s">
        <v>22</v>
      </c>
      <c r="K2045" t="s">
        <v>18097</v>
      </c>
      <c r="L2045" t="s">
        <v>18100</v>
      </c>
      <c r="M2045" t="s">
        <v>25</v>
      </c>
      <c r="N2045" t="s">
        <v>18101</v>
      </c>
      <c r="O2045" t="s">
        <v>25</v>
      </c>
      <c r="P2045" t="s">
        <v>18102</v>
      </c>
      <c r="Q2045" t="s">
        <v>29</v>
      </c>
      <c r="R2045" t="s">
        <v>18098</v>
      </c>
      <c r="S2045" t="s">
        <v>18099</v>
      </c>
    </row>
    <row r="2046" spans="1:19" x14ac:dyDescent="0.25">
      <c r="A2046" s="1">
        <v>2044</v>
      </c>
      <c r="B2046" t="str">
        <f>HYPERLINK("https://www.dasschnelle.at/krausgruber-gerd-mag-braunau-stadtplatz","Website")</f>
        <v>Website</v>
      </c>
      <c r="C2046" t="str">
        <f>HYPERLINK("http://www.notar-krausgruber.at","Website")</f>
        <v>Website</v>
      </c>
      <c r="D2046" t="str">
        <f>HYPERLINK("http://www.google.com/maps/place/48.2595093,13.0352972","Location")</f>
        <v>Location</v>
      </c>
      <c r="E2046" t="s">
        <v>18103</v>
      </c>
      <c r="F2046" t="s">
        <v>18104</v>
      </c>
      <c r="G2046" t="s">
        <v>1289</v>
      </c>
      <c r="H2046" t="s">
        <v>1290</v>
      </c>
      <c r="I2046" t="s">
        <v>85</v>
      </c>
      <c r="J2046" t="s">
        <v>22</v>
      </c>
      <c r="K2046" t="s">
        <v>18105</v>
      </c>
      <c r="L2046" t="s">
        <v>18108</v>
      </c>
      <c r="M2046" t="s">
        <v>25</v>
      </c>
      <c r="N2046" t="s">
        <v>18109</v>
      </c>
      <c r="O2046" t="s">
        <v>18110</v>
      </c>
      <c r="P2046" t="s">
        <v>18111</v>
      </c>
      <c r="Q2046" t="s">
        <v>29</v>
      </c>
      <c r="R2046" t="s">
        <v>18106</v>
      </c>
      <c r="S2046" t="s">
        <v>18107</v>
      </c>
    </row>
    <row r="2047" spans="1:19" x14ac:dyDescent="0.25">
      <c r="A2047" s="1">
        <v>2045</v>
      </c>
      <c r="B2047" t="str">
        <f>HYPERLINK("https://www.dasschnelle.at/winterauer-andreas-bad-goisern-ramsaustraße","Website")</f>
        <v>Website</v>
      </c>
      <c r="C2047" t="str">
        <f>HYPERLINK("http://www.winterauer.at","Website")</f>
        <v>Website</v>
      </c>
      <c r="D2047" t="str">
        <f>HYPERLINK("http://www.google.com/maps/place/47.6376500,13.6152800","Location")</f>
        <v>Location</v>
      </c>
      <c r="E2047" t="s">
        <v>18112</v>
      </c>
      <c r="F2047" t="s">
        <v>18113</v>
      </c>
      <c r="G2047" t="s">
        <v>2335</v>
      </c>
      <c r="H2047" t="s">
        <v>2356</v>
      </c>
      <c r="I2047" t="s">
        <v>85</v>
      </c>
      <c r="J2047" t="s">
        <v>22</v>
      </c>
      <c r="K2047" t="s">
        <v>18114</v>
      </c>
      <c r="L2047" t="s">
        <v>18117</v>
      </c>
      <c r="M2047" t="s">
        <v>25</v>
      </c>
      <c r="N2047" t="s">
        <v>18118</v>
      </c>
      <c r="O2047" t="s">
        <v>25</v>
      </c>
      <c r="P2047" t="s">
        <v>18119</v>
      </c>
      <c r="Q2047" t="s">
        <v>29</v>
      </c>
      <c r="R2047" t="s">
        <v>18115</v>
      </c>
      <c r="S2047" t="s">
        <v>18116</v>
      </c>
    </row>
    <row r="2048" spans="1:19" x14ac:dyDescent="0.25">
      <c r="A2048" s="1">
        <v>2046</v>
      </c>
      <c r="B2048" t="str">
        <f>HYPERLINK("https://www.dasschnelle.at/gamsjäger-helmut-bad-goisern-am-hallstättersee-weißenbach","Website")</f>
        <v>Website</v>
      </c>
      <c r="C2048" t="str">
        <f>HYPERLINK("http://www.metallservice.at","Website")</f>
        <v>Website</v>
      </c>
      <c r="D2048" t="str">
        <f>HYPERLINK("http://www.google.com/maps/place/47.6638311,13.6062506","Location")</f>
        <v>Location</v>
      </c>
      <c r="E2048" t="s">
        <v>18120</v>
      </c>
      <c r="F2048" t="s">
        <v>18121</v>
      </c>
      <c r="G2048" t="s">
        <v>2335</v>
      </c>
      <c r="H2048" t="s">
        <v>2436</v>
      </c>
      <c r="I2048" t="s">
        <v>85</v>
      </c>
      <c r="J2048" t="s">
        <v>22</v>
      </c>
      <c r="K2048" t="s">
        <v>18122</v>
      </c>
      <c r="L2048" t="s">
        <v>18125</v>
      </c>
      <c r="M2048" t="s">
        <v>25</v>
      </c>
      <c r="N2048" t="s">
        <v>18126</v>
      </c>
      <c r="O2048" t="s">
        <v>18127</v>
      </c>
      <c r="P2048" t="s">
        <v>18128</v>
      </c>
      <c r="Q2048" t="s">
        <v>29</v>
      </c>
      <c r="R2048" t="s">
        <v>18123</v>
      </c>
      <c r="S2048" t="s">
        <v>18124</v>
      </c>
    </row>
    <row r="2049" spans="1:19" x14ac:dyDescent="0.25">
      <c r="A2049" s="1">
        <v>2047</v>
      </c>
      <c r="B2049" t="str">
        <f>HYPERLINK("https://www.dasschnelle.at/kurz-caroline-dr-med-dent-braunau-stadtplatz","Website")</f>
        <v>Website</v>
      </c>
      <c r="C2049" t="str">
        <f>HYPERLINK("https://www.dasschnelle.at/kurz-caroline-dr-med-dent-braunau-stadtplatz","Website")</f>
        <v>Website</v>
      </c>
      <c r="D2049" t="str">
        <f>HYPERLINK("http://www.google.com/maps/place/48.2573396,13.0354778","Location")</f>
        <v>Location</v>
      </c>
      <c r="E2049" t="s">
        <v>18129</v>
      </c>
      <c r="F2049" t="s">
        <v>18130</v>
      </c>
      <c r="G2049" t="s">
        <v>1289</v>
      </c>
      <c r="H2049" t="s">
        <v>1290</v>
      </c>
      <c r="I2049" t="s">
        <v>85</v>
      </c>
      <c r="J2049" t="s">
        <v>22</v>
      </c>
      <c r="K2049" t="s">
        <v>18131</v>
      </c>
      <c r="L2049" t="s">
        <v>18134</v>
      </c>
      <c r="M2049" t="s">
        <v>25</v>
      </c>
      <c r="N2049" t="s">
        <v>18135</v>
      </c>
      <c r="O2049" t="s">
        <v>25</v>
      </c>
      <c r="P2049" t="s">
        <v>697</v>
      </c>
      <c r="Q2049" t="s">
        <v>29</v>
      </c>
      <c r="R2049" t="s">
        <v>18132</v>
      </c>
      <c r="S2049" t="s">
        <v>18133</v>
      </c>
    </row>
    <row r="2050" spans="1:19" x14ac:dyDescent="0.25">
      <c r="A2050" s="1">
        <v>2048</v>
      </c>
      <c r="B2050" t="str">
        <f>HYPERLINK("https://www.dasschnelle.at/lumerding-claus-dr-mattighofen-stadtplatz","Website")</f>
        <v>Website</v>
      </c>
      <c r="C2050" t="str">
        <f>HYPERLINK("http://www.notar-mattighofen.at","Website")</f>
        <v>Website</v>
      </c>
      <c r="D2050" t="str">
        <f>HYPERLINK("http://www.google.com/maps/place/48.10426,13.15","Location")</f>
        <v>Location</v>
      </c>
      <c r="E2050" t="s">
        <v>18136</v>
      </c>
      <c r="F2050" t="s">
        <v>18137</v>
      </c>
      <c r="G2050" t="s">
        <v>1365</v>
      </c>
      <c r="H2050" t="s">
        <v>1366</v>
      </c>
      <c r="I2050" t="s">
        <v>85</v>
      </c>
      <c r="J2050" t="s">
        <v>22</v>
      </c>
      <c r="K2050" t="s">
        <v>18138</v>
      </c>
      <c r="L2050" t="s">
        <v>18141</v>
      </c>
      <c r="M2050" t="s">
        <v>25</v>
      </c>
      <c r="N2050" t="s">
        <v>18142</v>
      </c>
      <c r="O2050" t="s">
        <v>25</v>
      </c>
      <c r="P2050" t="s">
        <v>18143</v>
      </c>
      <c r="Q2050" t="s">
        <v>29</v>
      </c>
      <c r="R2050" t="s">
        <v>18139</v>
      </c>
      <c r="S2050" t="s">
        <v>18140</v>
      </c>
    </row>
    <row r="2051" spans="1:19" x14ac:dyDescent="0.25">
      <c r="A2051" s="1">
        <v>2049</v>
      </c>
      <c r="B2051" t="str">
        <f>HYPERLINK("https://www.dasschnelle.at/ivo-bau-und-steintechnik-gmbh-bad-goisern-weißenbachstraße","Website")</f>
        <v>Website</v>
      </c>
      <c r="C2051" t="str">
        <f>HYPERLINK("http://www.ivobau.at","Website")</f>
        <v>Website</v>
      </c>
      <c r="D2051" t="str">
        <f>HYPERLINK("http://www.google.com/maps/place/47.6612909,13.6063956","Location")</f>
        <v>Location</v>
      </c>
      <c r="E2051" t="s">
        <v>18144</v>
      </c>
      <c r="F2051" t="s">
        <v>18145</v>
      </c>
      <c r="G2051" t="s">
        <v>2335</v>
      </c>
      <c r="H2051" t="s">
        <v>2356</v>
      </c>
      <c r="I2051" t="s">
        <v>85</v>
      </c>
      <c r="J2051" t="s">
        <v>22</v>
      </c>
      <c r="K2051" t="s">
        <v>18146</v>
      </c>
      <c r="L2051" t="s">
        <v>18149</v>
      </c>
      <c r="M2051" t="s">
        <v>25</v>
      </c>
      <c r="N2051" t="s">
        <v>18150</v>
      </c>
      <c r="O2051" t="s">
        <v>18151</v>
      </c>
      <c r="P2051" t="s">
        <v>18152</v>
      </c>
      <c r="Q2051" t="s">
        <v>29</v>
      </c>
      <c r="R2051" t="s">
        <v>18147</v>
      </c>
      <c r="S2051" t="s">
        <v>18148</v>
      </c>
    </row>
    <row r="2052" spans="1:19" x14ac:dyDescent="0.25">
      <c r="A2052" s="1">
        <v>2050</v>
      </c>
      <c r="B2052" t="str">
        <f>HYPERLINK("https://www.dasschnelle.at/springinsfeld-st-johann-niederhofen","Website")</f>
        <v>Website</v>
      </c>
      <c r="C2052" t="str">
        <f>HYPERLINK("https://www.dasschnelle.at/springinsfeld-st-johann-niederhofen","Website")</f>
        <v>Website</v>
      </c>
      <c r="D2052" t="str">
        <f>HYPERLINK("http://www.google.com/maps/place/47.5346826,12.4392819","Location")</f>
        <v>Location</v>
      </c>
      <c r="E2052" t="s">
        <v>18153</v>
      </c>
      <c r="F2052" t="s">
        <v>18154</v>
      </c>
      <c r="G2052" t="s">
        <v>850</v>
      </c>
      <c r="H2052" t="s">
        <v>910</v>
      </c>
      <c r="I2052" t="s">
        <v>21</v>
      </c>
      <c r="J2052" t="s">
        <v>22</v>
      </c>
      <c r="K2052" t="s">
        <v>18155</v>
      </c>
      <c r="L2052" t="s">
        <v>18158</v>
      </c>
      <c r="M2052" t="s">
        <v>25</v>
      </c>
      <c r="N2052" t="s">
        <v>18159</v>
      </c>
      <c r="O2052" t="s">
        <v>25</v>
      </c>
      <c r="P2052" t="s">
        <v>18160</v>
      </c>
      <c r="Q2052" t="s">
        <v>29</v>
      </c>
      <c r="R2052" t="s">
        <v>18156</v>
      </c>
      <c r="S2052" t="s">
        <v>18157</v>
      </c>
    </row>
    <row r="2053" spans="1:19" x14ac:dyDescent="0.25">
      <c r="A2053" s="1">
        <v>2051</v>
      </c>
      <c r="B2053" t="str">
        <f>HYPERLINK("https://www.dasschnelle.at/engljähringer-elektrotechnik-gmbh-weißenbach-alte-bundesstraße","Website")</f>
        <v>Website</v>
      </c>
      <c r="C2053" t="str">
        <f>HYPERLINK("http://www.engljaehringer.biz","Website")</f>
        <v>Website</v>
      </c>
      <c r="D2053" t="str">
        <f>HYPERLINK("http://www.google.com/maps/place/47.71308,13.49951","Location")</f>
        <v>Location</v>
      </c>
      <c r="E2053" t="s">
        <v>18161</v>
      </c>
      <c r="F2053" t="s">
        <v>18162</v>
      </c>
      <c r="G2053" t="s">
        <v>2493</v>
      </c>
      <c r="H2053" t="s">
        <v>2784</v>
      </c>
      <c r="I2053" t="s">
        <v>2239</v>
      </c>
      <c r="J2053" t="s">
        <v>22</v>
      </c>
      <c r="K2053" t="s">
        <v>18163</v>
      </c>
      <c r="L2053" t="s">
        <v>18164</v>
      </c>
      <c r="M2053" t="s">
        <v>25</v>
      </c>
      <c r="N2053" t="s">
        <v>18165</v>
      </c>
      <c r="O2053" t="s">
        <v>25</v>
      </c>
      <c r="P2053" t="s">
        <v>18166</v>
      </c>
      <c r="Q2053" t="s">
        <v>29</v>
      </c>
      <c r="R2053" t="s">
        <v>2561</v>
      </c>
      <c r="S2053" t="s">
        <v>2562</v>
      </c>
    </row>
    <row r="2054" spans="1:19" x14ac:dyDescent="0.25">
      <c r="A2054" s="1">
        <v>2052</v>
      </c>
      <c r="B2054" t="str">
        <f>HYPERLINK("https://www.dasschnelle.at/astl-gerhard-kirchdorf-in-tirol-sensenschmiedweg","Website")</f>
        <v>Website</v>
      </c>
      <c r="C2054" t="str">
        <f>HYPERLINK("http://www.fliesen-astl.at","Website")</f>
        <v>Website</v>
      </c>
      <c r="D2054" t="str">
        <f>HYPERLINK("http://www.google.com/maps/place/47.5437748,12.4353749","Location")</f>
        <v>Location</v>
      </c>
      <c r="E2054" t="s">
        <v>18167</v>
      </c>
      <c r="F2054" t="s">
        <v>18168</v>
      </c>
      <c r="G2054" t="s">
        <v>16867</v>
      </c>
      <c r="H2054" t="s">
        <v>16868</v>
      </c>
      <c r="I2054" t="s">
        <v>21</v>
      </c>
      <c r="J2054" t="s">
        <v>22</v>
      </c>
      <c r="K2054" t="s">
        <v>18169</v>
      </c>
      <c r="L2054" t="s">
        <v>18172</v>
      </c>
      <c r="M2054" t="s">
        <v>25</v>
      </c>
      <c r="N2054" t="s">
        <v>18173</v>
      </c>
      <c r="O2054" t="s">
        <v>25</v>
      </c>
      <c r="P2054" t="s">
        <v>18174</v>
      </c>
      <c r="Q2054" t="s">
        <v>29</v>
      </c>
      <c r="R2054" t="s">
        <v>18170</v>
      </c>
      <c r="S2054" t="s">
        <v>18171</v>
      </c>
    </row>
    <row r="2055" spans="1:19" x14ac:dyDescent="0.25">
      <c r="A2055" s="1">
        <v>2053</v>
      </c>
      <c r="B2055" t="str">
        <f>HYPERLINK("https://www.dasschnelle.at/pöckl-johann-strobl-postalmstraße","Website")</f>
        <v>Website</v>
      </c>
      <c r="C2055" t="str">
        <f>HYPERLINK("https://www.dasschnelle.at/p%C3%B6ckl-johann-strobl-postalmstra%C3%9Fe","Website")</f>
        <v>Website</v>
      </c>
      <c r="D2055" t="str">
        <f>HYPERLINK("http://www.google.com/maps/place/47.70692,13.49365","Location")</f>
        <v>Location</v>
      </c>
      <c r="E2055" t="s">
        <v>18175</v>
      </c>
      <c r="F2055" t="s">
        <v>18176</v>
      </c>
      <c r="G2055" t="s">
        <v>2493</v>
      </c>
      <c r="H2055" t="s">
        <v>2494</v>
      </c>
      <c r="I2055" t="s">
        <v>2239</v>
      </c>
      <c r="J2055" t="s">
        <v>22</v>
      </c>
      <c r="K2055" t="s">
        <v>18177</v>
      </c>
      <c r="L2055" t="s">
        <v>18180</v>
      </c>
      <c r="M2055" t="s">
        <v>25</v>
      </c>
      <c r="N2055" t="s">
        <v>18181</v>
      </c>
      <c r="O2055" t="s">
        <v>25</v>
      </c>
      <c r="P2055" t="s">
        <v>18182</v>
      </c>
      <c r="Q2055" t="s">
        <v>29</v>
      </c>
      <c r="R2055" t="s">
        <v>18178</v>
      </c>
      <c r="S2055" t="s">
        <v>18179</v>
      </c>
    </row>
    <row r="2056" spans="1:19" x14ac:dyDescent="0.25">
      <c r="A2056" s="1">
        <v>2054</v>
      </c>
      <c r="B2056" t="str">
        <f>HYPERLINK("https://www.dasschnelle.at/styleeffect-sabine-obwaller-og-sankt-johann-in-tirol-dechant-wieshoferstrasse","Website")</f>
        <v>Website</v>
      </c>
      <c r="C2056" t="str">
        <f>HYPERLINK("http://www.styleeffect.at","Website")</f>
        <v>Website</v>
      </c>
      <c r="D2056" t="str">
        <f>HYPERLINK("http://www.google.com/maps/place/47.5234491,12.4302019","Location")</f>
        <v>Location</v>
      </c>
      <c r="E2056" t="s">
        <v>18183</v>
      </c>
      <c r="F2056" t="s">
        <v>18184</v>
      </c>
      <c r="G2056" t="s">
        <v>850</v>
      </c>
      <c r="H2056" t="s">
        <v>17604</v>
      </c>
      <c r="I2056" t="s">
        <v>21</v>
      </c>
      <c r="J2056" t="s">
        <v>22</v>
      </c>
      <c r="K2056" t="s">
        <v>18185</v>
      </c>
      <c r="L2056" t="s">
        <v>18188</v>
      </c>
      <c r="M2056" t="s">
        <v>25</v>
      </c>
      <c r="N2056" t="s">
        <v>18189</v>
      </c>
      <c r="O2056" t="s">
        <v>25</v>
      </c>
      <c r="P2056" t="s">
        <v>18190</v>
      </c>
      <c r="Q2056" t="s">
        <v>29</v>
      </c>
      <c r="R2056" t="s">
        <v>18186</v>
      </c>
      <c r="S2056" t="s">
        <v>18187</v>
      </c>
    </row>
    <row r="2057" spans="1:19" x14ac:dyDescent="0.25">
      <c r="A2057" s="1">
        <v>2055</v>
      </c>
      <c r="B2057" t="str">
        <f>HYPERLINK("https://www.dasschnelle.at/rendl-planungs-gmbh-kitzbühel-jochberger-straße","Website")</f>
        <v>Website</v>
      </c>
      <c r="C2057" t="str">
        <f>HYPERLINK("http://www.rendl-plan.at","Website")</f>
        <v>Website</v>
      </c>
      <c r="D2057" t="str">
        <f>HYPERLINK("http://www.google.com/maps/place/47.44392,12.39603","Location")</f>
        <v>Location</v>
      </c>
      <c r="E2057" t="s">
        <v>18191</v>
      </c>
      <c r="F2057" t="s">
        <v>18192</v>
      </c>
      <c r="G2057" t="s">
        <v>833</v>
      </c>
      <c r="H2057" t="s">
        <v>834</v>
      </c>
      <c r="I2057" t="s">
        <v>21</v>
      </c>
      <c r="J2057" t="s">
        <v>22</v>
      </c>
      <c r="K2057" t="s">
        <v>859</v>
      </c>
      <c r="L2057" t="s">
        <v>18193</v>
      </c>
      <c r="M2057" t="s">
        <v>25</v>
      </c>
      <c r="N2057" t="s">
        <v>18194</v>
      </c>
      <c r="O2057" t="s">
        <v>18195</v>
      </c>
      <c r="P2057" t="s">
        <v>18196</v>
      </c>
      <c r="Q2057" t="s">
        <v>29</v>
      </c>
      <c r="R2057" t="s">
        <v>860</v>
      </c>
      <c r="S2057" t="s">
        <v>861</v>
      </c>
    </row>
    <row r="2058" spans="1:19" x14ac:dyDescent="0.25">
      <c r="A2058" s="1">
        <v>2056</v>
      </c>
      <c r="B2058" t="str">
        <f>HYPERLINK("https://www.dasschnelle.at/gansterer-andreas-ing-wimpassing-im-schwarzatale-ferdinand-hanusch-straße","Website")</f>
        <v>Website</v>
      </c>
      <c r="C2058" t="str">
        <f>HYPERLINK("http://www.elektro-gansterer.at","Website")</f>
        <v>Website</v>
      </c>
      <c r="D2058" t="str">
        <f>HYPERLINK("http://www.google.com/maps/place/47.7051,16.03052","Location")</f>
        <v>Location</v>
      </c>
      <c r="E2058" t="s">
        <v>18197</v>
      </c>
      <c r="F2058" t="s">
        <v>18198</v>
      </c>
      <c r="G2058" t="s">
        <v>5820</v>
      </c>
      <c r="H2058" t="s">
        <v>5821</v>
      </c>
      <c r="I2058" t="s">
        <v>177</v>
      </c>
      <c r="J2058" t="s">
        <v>22</v>
      </c>
      <c r="K2058" t="s">
        <v>18199</v>
      </c>
      <c r="L2058" t="s">
        <v>18202</v>
      </c>
      <c r="M2058" t="s">
        <v>18203</v>
      </c>
      <c r="N2058" t="s">
        <v>18204</v>
      </c>
      <c r="O2058" t="s">
        <v>25</v>
      </c>
      <c r="P2058" t="s">
        <v>18205</v>
      </c>
      <c r="Q2058" t="s">
        <v>29</v>
      </c>
      <c r="R2058" t="s">
        <v>18200</v>
      </c>
      <c r="S2058" t="s">
        <v>18201</v>
      </c>
    </row>
    <row r="2059" spans="1:19" x14ac:dyDescent="0.25">
      <c r="A2059" s="1">
        <v>2057</v>
      </c>
      <c r="B2059" t="str">
        <f>HYPERLINK("https://www.dasschnelle.at/installationsunternehmen-brandauer-bernhard-altaussee-lichtersberg","Website")</f>
        <v>Website</v>
      </c>
      <c r="C2059" t="str">
        <f>HYPERLINK("http://www.bernhard-brandauer.at","Website")</f>
        <v>Website</v>
      </c>
      <c r="D2059" t="str">
        <f>HYPERLINK("http://www.google.com/maps/place/47.6302923,13.7568861","Location")</f>
        <v>Location</v>
      </c>
      <c r="E2059" t="s">
        <v>18206</v>
      </c>
      <c r="F2059" t="s">
        <v>18207</v>
      </c>
      <c r="G2059" t="s">
        <v>2643</v>
      </c>
      <c r="H2059" t="s">
        <v>2644</v>
      </c>
      <c r="I2059" t="s">
        <v>451</v>
      </c>
      <c r="J2059" t="s">
        <v>22</v>
      </c>
      <c r="K2059" t="s">
        <v>18208</v>
      </c>
      <c r="L2059" t="s">
        <v>18211</v>
      </c>
      <c r="M2059" t="s">
        <v>25</v>
      </c>
      <c r="N2059" t="s">
        <v>18212</v>
      </c>
      <c r="O2059" t="s">
        <v>18213</v>
      </c>
      <c r="P2059" t="s">
        <v>18214</v>
      </c>
      <c r="Q2059" t="s">
        <v>29</v>
      </c>
      <c r="R2059" t="s">
        <v>18209</v>
      </c>
      <c r="S2059" t="s">
        <v>18210</v>
      </c>
    </row>
    <row r="2060" spans="1:19" x14ac:dyDescent="0.25">
      <c r="A2060" s="1">
        <v>2058</v>
      </c>
      <c r="B2060" t="str">
        <f>HYPERLINK("https://www.dasschnelle.at/huber-und-rosenthal-steuerberatung-kg-braunau-am-inn-stadtplatz","Website")</f>
        <v>Website</v>
      </c>
      <c r="C2060" t="str">
        <f>HYPERLINK("http://www.hr-steuerberatung.at","Website")</f>
        <v>Website</v>
      </c>
      <c r="D2060" t="str">
        <f>HYPERLINK("http://www.google.com/maps/place/48.2595093,13.0352972","Location")</f>
        <v>Location</v>
      </c>
      <c r="E2060" t="s">
        <v>18215</v>
      </c>
      <c r="F2060" t="s">
        <v>18216</v>
      </c>
      <c r="G2060" t="s">
        <v>1289</v>
      </c>
      <c r="H2060" t="s">
        <v>1310</v>
      </c>
      <c r="I2060" t="s">
        <v>85</v>
      </c>
      <c r="J2060" t="s">
        <v>22</v>
      </c>
      <c r="K2060" t="s">
        <v>18105</v>
      </c>
      <c r="L2060" t="s">
        <v>18217</v>
      </c>
      <c r="M2060" t="s">
        <v>25</v>
      </c>
      <c r="N2060" t="s">
        <v>18218</v>
      </c>
      <c r="O2060" t="s">
        <v>18219</v>
      </c>
      <c r="P2060" t="s">
        <v>18220</v>
      </c>
      <c r="Q2060" t="s">
        <v>29</v>
      </c>
      <c r="R2060" t="s">
        <v>18106</v>
      </c>
      <c r="S2060" t="s">
        <v>18107</v>
      </c>
    </row>
    <row r="2061" spans="1:19" x14ac:dyDescent="0.25">
      <c r="A2061" s="1">
        <v>2059</v>
      </c>
      <c r="B2061" t="str">
        <f>HYPERLINK("https://www.dasschnelle.at/holzbau-köberl-gmbh-grundlsee-archkogl","Website")</f>
        <v>Website</v>
      </c>
      <c r="C2061" t="str">
        <f>HYPERLINK("http://www.holzbau-koeberl.at","Website")</f>
        <v>Website</v>
      </c>
      <c r="D2061" t="str">
        <f>HYPERLINK("http://www.google.com/maps/place/47.6189474,13.8239316","Location")</f>
        <v>Location</v>
      </c>
      <c r="E2061" t="s">
        <v>18221</v>
      </c>
      <c r="F2061" t="s">
        <v>18222</v>
      </c>
      <c r="G2061" t="s">
        <v>2367</v>
      </c>
      <c r="H2061" t="s">
        <v>2368</v>
      </c>
      <c r="I2061" t="s">
        <v>451</v>
      </c>
      <c r="J2061" t="s">
        <v>22</v>
      </c>
      <c r="K2061" t="s">
        <v>18223</v>
      </c>
      <c r="L2061" t="s">
        <v>18226</v>
      </c>
      <c r="M2061" t="s">
        <v>25</v>
      </c>
      <c r="N2061" t="s">
        <v>18227</v>
      </c>
      <c r="O2061" t="s">
        <v>18228</v>
      </c>
      <c r="P2061" t="s">
        <v>18229</v>
      </c>
      <c r="Q2061" t="s">
        <v>29</v>
      </c>
      <c r="R2061" t="s">
        <v>18224</v>
      </c>
      <c r="S2061" t="s">
        <v>18225</v>
      </c>
    </row>
    <row r="2062" spans="1:19" x14ac:dyDescent="0.25">
      <c r="A2062" s="1">
        <v>2060</v>
      </c>
      <c r="B2062" t="str">
        <f>HYPERLINK("https://www.dasschnelle.at/wagner-bettina-adir-wimpassing-im-schwarzata-bundesstraße","Website")</f>
        <v>Website</v>
      </c>
      <c r="C2062" t="str">
        <f>HYPERLINK("http://www.burger-electronic.at","Website")</f>
        <v>Website</v>
      </c>
      <c r="D2062" t="str">
        <f>HYPERLINK("http://www.google.com/maps/place/47.7031,16.03357","Location")</f>
        <v>Location</v>
      </c>
      <c r="E2062" t="s">
        <v>18230</v>
      </c>
      <c r="F2062" t="s">
        <v>18231</v>
      </c>
      <c r="G2062" t="s">
        <v>5820</v>
      </c>
      <c r="H2062" t="s">
        <v>18232</v>
      </c>
      <c r="I2062" t="s">
        <v>177</v>
      </c>
      <c r="J2062" t="s">
        <v>22</v>
      </c>
      <c r="K2062" t="s">
        <v>12209</v>
      </c>
      <c r="L2062" t="s">
        <v>18235</v>
      </c>
      <c r="M2062" t="s">
        <v>25</v>
      </c>
      <c r="N2062" t="s">
        <v>18236</v>
      </c>
      <c r="O2062" t="s">
        <v>25</v>
      </c>
      <c r="P2062" t="s">
        <v>18237</v>
      </c>
      <c r="Q2062" t="s">
        <v>29</v>
      </c>
      <c r="R2062" t="s">
        <v>18233</v>
      </c>
      <c r="S2062" t="s">
        <v>18234</v>
      </c>
    </row>
    <row r="2063" spans="1:19" x14ac:dyDescent="0.25">
      <c r="A2063" s="1">
        <v>2061</v>
      </c>
      <c r="B2063" t="str">
        <f>HYPERLINK("https://www.dasschnelle.at/baumschule-cada-enzenreith-triester-bundesstraße","Website")</f>
        <v>Website</v>
      </c>
      <c r="C2063" t="str">
        <f>HYPERLINK("http://www.baumschule-cada.at","Website")</f>
        <v>Website</v>
      </c>
      <c r="D2063" t="str">
        <f>HYPERLINK("http://www.google.com/maps/place/47.66533,15.9416","Location")</f>
        <v>Location</v>
      </c>
      <c r="E2063" t="s">
        <v>18238</v>
      </c>
      <c r="F2063" t="s">
        <v>18239</v>
      </c>
      <c r="G2063" t="s">
        <v>5703</v>
      </c>
      <c r="H2063" t="s">
        <v>18241</v>
      </c>
      <c r="I2063" t="s">
        <v>177</v>
      </c>
      <c r="J2063" t="s">
        <v>22</v>
      </c>
      <c r="K2063" t="s">
        <v>18240</v>
      </c>
      <c r="L2063" t="s">
        <v>18244</v>
      </c>
      <c r="M2063" t="s">
        <v>25</v>
      </c>
      <c r="N2063" t="s">
        <v>18245</v>
      </c>
      <c r="O2063" t="s">
        <v>25</v>
      </c>
      <c r="P2063" t="s">
        <v>18246</v>
      </c>
      <c r="Q2063" t="s">
        <v>29</v>
      </c>
      <c r="R2063" t="s">
        <v>18242</v>
      </c>
      <c r="S2063" t="s">
        <v>18243</v>
      </c>
    </row>
    <row r="2064" spans="1:19" x14ac:dyDescent="0.25">
      <c r="A2064" s="1">
        <v>2062</v>
      </c>
      <c r="B2064" t="str">
        <f>HYPERLINK("https://www.dasschnelle.at/grill-und-ronacher-og-bad-aussee-pötschenstraße","Website")</f>
        <v>Website</v>
      </c>
      <c r="C2064" t="str">
        <f>HYPERLINK("http://www.grill-ronacher.at","Website")</f>
        <v>Website</v>
      </c>
      <c r="D2064" t="str">
        <f>HYPERLINK("http://www.google.com/maps/place/47.6124400,13.7664700","Location")</f>
        <v>Location</v>
      </c>
      <c r="E2064" t="s">
        <v>18247</v>
      </c>
      <c r="F2064" t="s">
        <v>18248</v>
      </c>
      <c r="G2064" t="s">
        <v>1195</v>
      </c>
      <c r="H2064" t="s">
        <v>1196</v>
      </c>
      <c r="I2064" t="s">
        <v>451</v>
      </c>
      <c r="J2064" t="s">
        <v>22</v>
      </c>
      <c r="K2064" t="s">
        <v>18249</v>
      </c>
      <c r="L2064" t="s">
        <v>18252</v>
      </c>
      <c r="M2064" t="s">
        <v>25</v>
      </c>
      <c r="N2064" t="s">
        <v>18253</v>
      </c>
      <c r="O2064" t="s">
        <v>18254</v>
      </c>
      <c r="P2064" t="s">
        <v>18255</v>
      </c>
      <c r="Q2064" t="s">
        <v>29</v>
      </c>
      <c r="R2064" t="s">
        <v>18250</v>
      </c>
      <c r="S2064" t="s">
        <v>18251</v>
      </c>
    </row>
    <row r="2065" spans="1:19" x14ac:dyDescent="0.25">
      <c r="A2065" s="1">
        <v>2063</v>
      </c>
      <c r="B2065" t="str">
        <f>HYPERLINK("https://www.dasschnelle.at/heinzl-holzbau-gmbh-heiligenstatt-heiliegenstatt","Website")</f>
        <v>Website</v>
      </c>
      <c r="C2065" t="str">
        <f>HYPERLINK("http://www.holzbau-heinzl.at","Website")</f>
        <v>Website</v>
      </c>
      <c r="D2065" t="str">
        <f>HYPERLINK("http://www.google.com/maps/place/48.0272267,13.2260639","Location")</f>
        <v>Location</v>
      </c>
      <c r="E2065" t="s">
        <v>18256</v>
      </c>
      <c r="F2065" t="s">
        <v>18257</v>
      </c>
      <c r="G2065" t="s">
        <v>10583</v>
      </c>
      <c r="H2065" t="s">
        <v>18259</v>
      </c>
      <c r="I2065" t="s">
        <v>85</v>
      </c>
      <c r="J2065" t="s">
        <v>22</v>
      </c>
      <c r="K2065" t="s">
        <v>18258</v>
      </c>
      <c r="L2065" t="s">
        <v>18262</v>
      </c>
      <c r="M2065" t="s">
        <v>25</v>
      </c>
      <c r="N2065" t="s">
        <v>18263</v>
      </c>
      <c r="O2065" t="s">
        <v>18264</v>
      </c>
      <c r="P2065" t="s">
        <v>18265</v>
      </c>
      <c r="Q2065" t="s">
        <v>29</v>
      </c>
      <c r="R2065" t="s">
        <v>18260</v>
      </c>
      <c r="S2065" t="s">
        <v>18261</v>
      </c>
    </row>
    <row r="2066" spans="1:19" x14ac:dyDescent="0.25">
      <c r="A2066" s="1">
        <v>2064</v>
      </c>
      <c r="B2066" t="str">
        <f>HYPERLINK("https://www.dasschnelle.at/zimmerei-holzbau-steinbrecher-und-köberl-gmbh-bad-aussee-sießreithstraße","Website")</f>
        <v>Website</v>
      </c>
      <c r="C2066" t="str">
        <f>HYPERLINK("http://www.holzbau-badaussee.at","Website")</f>
        <v>Website</v>
      </c>
      <c r="D2066" t="str">
        <f>HYPERLINK("http://www.google.com/maps/place/47.59348,13.79239","Location")</f>
        <v>Location</v>
      </c>
      <c r="E2066" t="s">
        <v>18266</v>
      </c>
      <c r="F2066" t="s">
        <v>18267</v>
      </c>
      <c r="G2066" t="s">
        <v>1195</v>
      </c>
      <c r="H2066" t="s">
        <v>1196</v>
      </c>
      <c r="I2066" t="s">
        <v>451</v>
      </c>
      <c r="J2066" t="s">
        <v>22</v>
      </c>
      <c r="K2066" t="s">
        <v>18268</v>
      </c>
      <c r="L2066" t="s">
        <v>18271</v>
      </c>
      <c r="M2066" t="s">
        <v>25</v>
      </c>
      <c r="N2066" t="s">
        <v>18272</v>
      </c>
      <c r="O2066" t="s">
        <v>18273</v>
      </c>
      <c r="P2066" t="s">
        <v>18274</v>
      </c>
      <c r="Q2066" t="s">
        <v>29</v>
      </c>
      <c r="R2066" t="s">
        <v>18269</v>
      </c>
      <c r="S2066" t="s">
        <v>18270</v>
      </c>
    </row>
    <row r="2067" spans="1:19" x14ac:dyDescent="0.25">
      <c r="A2067" s="1">
        <v>2065</v>
      </c>
      <c r="B2067" t="str">
        <f>HYPERLINK("https://www.dasschnelle.at/schönauer-armin-bad-aussee-grundlseer-straße","Website")</f>
        <v>Website</v>
      </c>
      <c r="C2067" t="str">
        <f>HYPERLINK("https://www.dasschnelle.at/sch%C3%B6nauer-armin-bad-aussee-grundlseer-stra%C3%9Fe","Website")</f>
        <v>Website</v>
      </c>
      <c r="D2067" t="str">
        <f>HYPERLINK("http://www.google.com/maps/place/47.6148900,13.7915000","Location")</f>
        <v>Location</v>
      </c>
      <c r="E2067" t="s">
        <v>18275</v>
      </c>
      <c r="F2067" t="s">
        <v>18276</v>
      </c>
      <c r="G2067" t="s">
        <v>1195</v>
      </c>
      <c r="H2067" t="s">
        <v>1196</v>
      </c>
      <c r="I2067" t="s">
        <v>451</v>
      </c>
      <c r="J2067" t="s">
        <v>22</v>
      </c>
      <c r="K2067" t="s">
        <v>18277</v>
      </c>
      <c r="L2067" t="s">
        <v>18280</v>
      </c>
      <c r="M2067" t="s">
        <v>25</v>
      </c>
      <c r="N2067" t="s">
        <v>25</v>
      </c>
      <c r="O2067" t="s">
        <v>25</v>
      </c>
      <c r="P2067" t="s">
        <v>18281</v>
      </c>
      <c r="Q2067" t="s">
        <v>29</v>
      </c>
      <c r="R2067" t="s">
        <v>18278</v>
      </c>
      <c r="S2067" t="s">
        <v>18279</v>
      </c>
    </row>
    <row r="2068" spans="1:19" x14ac:dyDescent="0.25">
      <c r="A2068" s="1">
        <v>2066</v>
      </c>
      <c r="B2068" t="str">
        <f>HYPERLINK("https://www.dasschnelle.at/weiß-andreas-msc-windischgarsten-edlbach","Website")</f>
        <v>Website</v>
      </c>
      <c r="C2068" t="str">
        <f>HYPERLINK("http://www.logosgemeinschaft.at","Website")</f>
        <v>Website</v>
      </c>
      <c r="D2068" t="str">
        <f>HYPERLINK("http://www.google.com/maps/place/47.7126961,14.3508855","Location")</f>
        <v>Location</v>
      </c>
      <c r="E2068" t="s">
        <v>18282</v>
      </c>
      <c r="F2068" t="s">
        <v>18283</v>
      </c>
      <c r="G2068" t="s">
        <v>10646</v>
      </c>
      <c r="H2068" t="s">
        <v>10647</v>
      </c>
      <c r="I2068" t="s">
        <v>85</v>
      </c>
      <c r="J2068" t="s">
        <v>22</v>
      </c>
      <c r="K2068" t="s">
        <v>18284</v>
      </c>
      <c r="L2068" t="s">
        <v>18287</v>
      </c>
      <c r="M2068" t="s">
        <v>25</v>
      </c>
      <c r="N2068" t="s">
        <v>18288</v>
      </c>
      <c r="O2068" t="s">
        <v>25</v>
      </c>
      <c r="P2068" t="s">
        <v>18289</v>
      </c>
      <c r="Q2068" t="s">
        <v>29</v>
      </c>
      <c r="R2068" t="s">
        <v>18285</v>
      </c>
      <c r="S2068" t="s">
        <v>18286</v>
      </c>
    </row>
    <row r="2069" spans="1:19" x14ac:dyDescent="0.25">
      <c r="A2069" s="1">
        <v>2067</v>
      </c>
      <c r="B2069" t="str">
        <f>HYPERLINK("https://www.dasschnelle.at/holzer-artur-dr-micheldorf-franz-lehar-straße","Website")</f>
        <v>Website</v>
      </c>
      <c r="C2069" t="str">
        <f>HYPERLINK("https://www.dasschnelle.at/holzer-artur-dr-micheldorf-franz-lehar-stra%C3%9Fe","Website")</f>
        <v>Website</v>
      </c>
      <c r="D2069" t="str">
        <f>HYPERLINK("http://www.google.com/maps/place/47.8758473,14.1325087","Location")</f>
        <v>Location</v>
      </c>
      <c r="E2069" t="s">
        <v>18290</v>
      </c>
      <c r="F2069" t="s">
        <v>18291</v>
      </c>
      <c r="G2069" t="s">
        <v>12399</v>
      </c>
      <c r="H2069" t="s">
        <v>12400</v>
      </c>
      <c r="I2069" t="s">
        <v>85</v>
      </c>
      <c r="J2069" t="s">
        <v>22</v>
      </c>
      <c r="K2069" t="s">
        <v>18292</v>
      </c>
      <c r="L2069" t="s">
        <v>18295</v>
      </c>
      <c r="M2069" t="s">
        <v>25</v>
      </c>
      <c r="N2069" t="s">
        <v>18296</v>
      </c>
      <c r="O2069" t="s">
        <v>25</v>
      </c>
      <c r="P2069" t="s">
        <v>18297</v>
      </c>
      <c r="Q2069" t="s">
        <v>29</v>
      </c>
      <c r="R2069" t="s">
        <v>18293</v>
      </c>
      <c r="S2069" t="s">
        <v>18294</v>
      </c>
    </row>
    <row r="2070" spans="1:19" x14ac:dyDescent="0.25">
      <c r="A2070" s="1">
        <v>2068</v>
      </c>
      <c r="B2070" t="str">
        <f>HYPERLINK("https://www.dasschnelle.at/paulak-walter-kühnsdorf-nord","Website")</f>
        <v>Website</v>
      </c>
      <c r="C2070" t="str">
        <f>HYPERLINK("https://www.dasschnelle.at/paulak-walter-k%C3%BChnsdorf-nord","Website")</f>
        <v>Website</v>
      </c>
      <c r="D2070" t="str">
        <f>HYPERLINK("http://www.google.com/maps/place/46.61617,14.62252","Location")</f>
        <v>Location</v>
      </c>
      <c r="E2070" t="s">
        <v>18298</v>
      </c>
      <c r="F2070" t="s">
        <v>18299</v>
      </c>
      <c r="G2070" t="s">
        <v>5206</v>
      </c>
      <c r="H2070" t="s">
        <v>5207</v>
      </c>
      <c r="I2070" t="s">
        <v>4130</v>
      </c>
      <c r="J2070" t="s">
        <v>22</v>
      </c>
      <c r="K2070" t="s">
        <v>18300</v>
      </c>
      <c r="L2070" t="s">
        <v>18303</v>
      </c>
      <c r="M2070" t="s">
        <v>25</v>
      </c>
      <c r="N2070" t="s">
        <v>18304</v>
      </c>
      <c r="O2070" t="s">
        <v>25</v>
      </c>
      <c r="P2070" t="s">
        <v>18305</v>
      </c>
      <c r="Q2070" t="s">
        <v>29</v>
      </c>
      <c r="R2070" t="s">
        <v>18301</v>
      </c>
      <c r="S2070" t="s">
        <v>18302</v>
      </c>
    </row>
    <row r="2071" spans="1:19" x14ac:dyDescent="0.25">
      <c r="A2071" s="1">
        <v>2069</v>
      </c>
      <c r="B2071" t="str">
        <f>HYPERLINK("https://www.dasschnelle.at/deco-schnitt-margit-feneberger-höfen-hofweg","Website")</f>
        <v>Website</v>
      </c>
      <c r="C2071" t="str">
        <f>HYPERLINK("http://www.deco-schnitt.at","Website")</f>
        <v>Website</v>
      </c>
      <c r="D2071" t="str">
        <f>HYPERLINK("http://www.google.com/maps/place/47.4731168,10.6887847","Location")</f>
        <v>Location</v>
      </c>
      <c r="E2071" t="s">
        <v>18306</v>
      </c>
      <c r="F2071" t="s">
        <v>18307</v>
      </c>
      <c r="G2071" t="s">
        <v>6854</v>
      </c>
      <c r="H2071" t="s">
        <v>6855</v>
      </c>
      <c r="I2071" t="s">
        <v>21</v>
      </c>
      <c r="J2071" t="s">
        <v>22</v>
      </c>
      <c r="K2071" t="s">
        <v>18308</v>
      </c>
      <c r="L2071" t="s">
        <v>18311</v>
      </c>
      <c r="M2071" t="s">
        <v>25</v>
      </c>
      <c r="N2071" t="s">
        <v>18312</v>
      </c>
      <c r="O2071" t="s">
        <v>18313</v>
      </c>
      <c r="P2071" t="s">
        <v>18314</v>
      </c>
      <c r="Q2071" t="s">
        <v>29</v>
      </c>
      <c r="R2071" t="s">
        <v>18309</v>
      </c>
      <c r="S2071" t="s">
        <v>18310</v>
      </c>
    </row>
    <row r="2072" spans="1:19" x14ac:dyDescent="0.25">
      <c r="A2072" s="1">
        <v>2070</v>
      </c>
      <c r="B2072" t="str">
        <f>HYPERLINK("https://www.dasschnelle.at/meschnark-johannes-völkermarkt-klagenfurter-straße","Website")</f>
        <v>Website</v>
      </c>
      <c r="C2072" t="str">
        <f>HYPERLINK("http://www.bosch-meschnark.at","Website")</f>
        <v>Website</v>
      </c>
      <c r="D2072" t="str">
        <f>HYPERLINK("http://www.google.com/maps/place/46.65959,14.61863","Location")</f>
        <v>Location</v>
      </c>
      <c r="E2072" t="s">
        <v>18315</v>
      </c>
      <c r="F2072" t="s">
        <v>18316</v>
      </c>
      <c r="G2072" t="s">
        <v>5079</v>
      </c>
      <c r="H2072" t="s">
        <v>5080</v>
      </c>
      <c r="I2072" t="s">
        <v>4130</v>
      </c>
      <c r="J2072" t="s">
        <v>22</v>
      </c>
      <c r="K2072" t="s">
        <v>18317</v>
      </c>
      <c r="L2072" t="s">
        <v>18320</v>
      </c>
      <c r="M2072" t="s">
        <v>25</v>
      </c>
      <c r="N2072" t="s">
        <v>18321</v>
      </c>
      <c r="O2072" t="s">
        <v>18322</v>
      </c>
      <c r="P2072" t="s">
        <v>18323</v>
      </c>
      <c r="Q2072" t="s">
        <v>29</v>
      </c>
      <c r="R2072" t="s">
        <v>18318</v>
      </c>
      <c r="S2072" t="s">
        <v>18319</v>
      </c>
    </row>
    <row r="2073" spans="1:19" x14ac:dyDescent="0.25">
      <c r="A2073" s="1">
        <v>2071</v>
      </c>
      <c r="B2073" t="str">
        <f>HYPERLINK("https://www.dasschnelle.at/kummer-franz-ing-sankt-peter-am-ottersbach-perbersdorf-bei-sankt-peter","Website")</f>
        <v>Website</v>
      </c>
      <c r="C2073" t="str">
        <f>HYPERLINK("https://www.dasschnelle.at/kummer-franz-ing-sankt-peter-am-ottersbach-perbersdorf-bei-sankt-peter","Website")</f>
        <v>Website</v>
      </c>
      <c r="D2073" t="str">
        <f>HYPERLINK("http://www.google.com/maps/place/46.8138887,15.7910575","Location")</f>
        <v>Location</v>
      </c>
      <c r="E2073" t="s">
        <v>18324</v>
      </c>
      <c r="F2073" t="s">
        <v>18325</v>
      </c>
      <c r="G2073" t="s">
        <v>11800</v>
      </c>
      <c r="H2073" t="s">
        <v>11801</v>
      </c>
      <c r="I2073" t="s">
        <v>451</v>
      </c>
      <c r="J2073" t="s">
        <v>22</v>
      </c>
      <c r="K2073" t="s">
        <v>18326</v>
      </c>
      <c r="L2073" t="s">
        <v>18329</v>
      </c>
      <c r="M2073" t="s">
        <v>25</v>
      </c>
      <c r="N2073" t="s">
        <v>18330</v>
      </c>
      <c r="O2073" t="s">
        <v>25</v>
      </c>
      <c r="P2073" t="s">
        <v>18331</v>
      </c>
      <c r="Q2073" t="s">
        <v>29</v>
      </c>
      <c r="R2073" t="s">
        <v>18327</v>
      </c>
      <c r="S2073" t="s">
        <v>18328</v>
      </c>
    </row>
    <row r="2074" spans="1:19" x14ac:dyDescent="0.25">
      <c r="A2074" s="1">
        <v>2072</v>
      </c>
      <c r="B2074" t="str">
        <f>HYPERLINK("https://www.dasschnelle.at/hentschel-juergen-altaussee","Website")</f>
        <v>Website</v>
      </c>
      <c r="C2074" t="str">
        <f>HYPERLINK("http://www.hentschel.at","Website")</f>
        <v>Website</v>
      </c>
      <c r="D2074" t="str">
        <f>HYPERLINK("http://www.google.com/maps/place/47.6377002,13.7623870","Location")</f>
        <v>Location</v>
      </c>
      <c r="E2074" t="s">
        <v>18332</v>
      </c>
      <c r="F2074" t="s">
        <v>18333</v>
      </c>
      <c r="G2074" t="s">
        <v>2643</v>
      </c>
      <c r="H2074" t="s">
        <v>2644</v>
      </c>
      <c r="I2074" t="s">
        <v>451</v>
      </c>
      <c r="J2074" t="s">
        <v>22</v>
      </c>
      <c r="K2074" t="s">
        <v>25</v>
      </c>
      <c r="L2074" t="s">
        <v>18336</v>
      </c>
      <c r="M2074" t="s">
        <v>18337</v>
      </c>
      <c r="N2074" t="s">
        <v>18338</v>
      </c>
      <c r="O2074" t="s">
        <v>18339</v>
      </c>
      <c r="P2074" t="s">
        <v>18340</v>
      </c>
      <c r="Q2074" t="s">
        <v>29</v>
      </c>
      <c r="R2074" t="s">
        <v>18334</v>
      </c>
      <c r="S2074" t="s">
        <v>18335</v>
      </c>
    </row>
    <row r="2075" spans="1:19" x14ac:dyDescent="0.25">
      <c r="A2075" s="1">
        <v>2073</v>
      </c>
      <c r="B2075" t="str">
        <f>HYPERLINK("https://www.dasschnelle.at/stöckl-christian-altaussee-altaussee","Website")</f>
        <v>Website</v>
      </c>
      <c r="C2075" t="str">
        <f>HYPERLINK("http://www.raumausstattung-stoeckl.at","Website")</f>
        <v>Website</v>
      </c>
      <c r="D2075" t="str">
        <f>HYPERLINK("http://www.google.com/maps/place/47.6371746,13.7624806","Location")</f>
        <v>Location</v>
      </c>
      <c r="E2075" t="s">
        <v>18341</v>
      </c>
      <c r="F2075" t="s">
        <v>18342</v>
      </c>
      <c r="G2075" t="s">
        <v>2643</v>
      </c>
      <c r="H2075" t="s">
        <v>2644</v>
      </c>
      <c r="I2075" t="s">
        <v>451</v>
      </c>
      <c r="J2075" t="s">
        <v>22</v>
      </c>
      <c r="K2075" t="s">
        <v>18343</v>
      </c>
      <c r="L2075" t="s">
        <v>18346</v>
      </c>
      <c r="M2075" t="s">
        <v>18347</v>
      </c>
      <c r="N2075" t="s">
        <v>18348</v>
      </c>
      <c r="O2075" t="s">
        <v>18349</v>
      </c>
      <c r="P2075" t="s">
        <v>18350</v>
      </c>
      <c r="Q2075" t="s">
        <v>29</v>
      </c>
      <c r="R2075" t="s">
        <v>18344</v>
      </c>
      <c r="S2075" t="s">
        <v>18345</v>
      </c>
    </row>
    <row r="2076" spans="1:19" x14ac:dyDescent="0.25">
      <c r="A2076" s="1">
        <v>2074</v>
      </c>
      <c r="B2076" t="str">
        <f>HYPERLINK("https://www.dasschnelle.at/anderle-martina-ternitz-th-körner-platz","Website")</f>
        <v>Website</v>
      </c>
      <c r="C2076" t="str">
        <f>HYPERLINK("https://www.dasschnelle.at/anderle-martina-ternitz-th-k%C3%B6rner-platz","Website")</f>
        <v>Website</v>
      </c>
      <c r="D2076" t="str">
        <f>HYPERLINK("http://www.google.com/maps/place/47.7164439,16.0360029","Location")</f>
        <v>Location</v>
      </c>
      <c r="E2076" t="s">
        <v>18351</v>
      </c>
      <c r="F2076" t="s">
        <v>18352</v>
      </c>
      <c r="G2076" t="s">
        <v>5667</v>
      </c>
      <c r="H2076" t="s">
        <v>5668</v>
      </c>
      <c r="I2076" t="s">
        <v>177</v>
      </c>
      <c r="J2076" t="s">
        <v>22</v>
      </c>
      <c r="K2076" t="s">
        <v>18353</v>
      </c>
      <c r="L2076" t="s">
        <v>18356</v>
      </c>
      <c r="M2076" t="s">
        <v>25</v>
      </c>
      <c r="N2076" t="s">
        <v>18357</v>
      </c>
      <c r="O2076" t="s">
        <v>25</v>
      </c>
      <c r="P2076" t="s">
        <v>18358</v>
      </c>
      <c r="Q2076" t="s">
        <v>29</v>
      </c>
      <c r="R2076" t="s">
        <v>18354</v>
      </c>
      <c r="S2076" t="s">
        <v>18355</v>
      </c>
    </row>
    <row r="2077" spans="1:19" x14ac:dyDescent="0.25">
      <c r="A2077" s="1">
        <v>2075</v>
      </c>
      <c r="B2077" t="str">
        <f>HYPERLINK("https://www.dasschnelle.at/bilal-karabulut-kg-ternitz-rechengasse","Website")</f>
        <v>Website</v>
      </c>
      <c r="C2077" t="str">
        <f>HYPERLINK("http://www.maler-bilal.at","Website")</f>
        <v>Website</v>
      </c>
      <c r="D2077" t="str">
        <f>HYPERLINK("http://www.google.com/maps/place/47.7278970,16.0611398","Location")</f>
        <v>Location</v>
      </c>
      <c r="E2077" t="s">
        <v>18359</v>
      </c>
      <c r="F2077" t="s">
        <v>18360</v>
      </c>
      <c r="G2077" t="s">
        <v>5667</v>
      </c>
      <c r="H2077" t="s">
        <v>5668</v>
      </c>
      <c r="I2077" t="s">
        <v>177</v>
      </c>
      <c r="J2077" t="s">
        <v>22</v>
      </c>
      <c r="K2077" t="s">
        <v>18361</v>
      </c>
      <c r="L2077" t="s">
        <v>18364</v>
      </c>
      <c r="M2077" t="s">
        <v>25</v>
      </c>
      <c r="N2077" t="s">
        <v>18365</v>
      </c>
      <c r="O2077" t="s">
        <v>25</v>
      </c>
      <c r="P2077" t="s">
        <v>18366</v>
      </c>
      <c r="Q2077" t="s">
        <v>29</v>
      </c>
      <c r="R2077" t="s">
        <v>18362</v>
      </c>
      <c r="S2077" t="s">
        <v>18363</v>
      </c>
    </row>
    <row r="2078" spans="1:19" x14ac:dyDescent="0.25">
      <c r="A2078" s="1">
        <v>2076</v>
      </c>
      <c r="B2078" t="str">
        <f>HYPERLINK("https://www.dasschnelle.at/feldbacher-trockenbau-auerbach-oberirnprechting","Website")</f>
        <v>Website</v>
      </c>
      <c r="C2078" t="str">
        <f>HYPERLINK("http://www.feldbacher-trockenbau.at","Website")</f>
        <v>Website</v>
      </c>
      <c r="D2078" t="str">
        <f>HYPERLINK("http://www.google.com/maps/place/48.0834800,13.1067600","Location")</f>
        <v>Location</v>
      </c>
      <c r="E2078" t="s">
        <v>18367</v>
      </c>
      <c r="F2078" t="s">
        <v>18368</v>
      </c>
      <c r="G2078" t="s">
        <v>18370</v>
      </c>
      <c r="H2078" t="s">
        <v>18371</v>
      </c>
      <c r="I2078" t="s">
        <v>85</v>
      </c>
      <c r="J2078" t="s">
        <v>22</v>
      </c>
      <c r="K2078" t="s">
        <v>18369</v>
      </c>
      <c r="L2078" t="s">
        <v>18374</v>
      </c>
      <c r="M2078" t="s">
        <v>25</v>
      </c>
      <c r="N2078" t="s">
        <v>18375</v>
      </c>
      <c r="O2078" t="s">
        <v>18376</v>
      </c>
      <c r="P2078" t="s">
        <v>18377</v>
      </c>
      <c r="Q2078" t="s">
        <v>29</v>
      </c>
      <c r="R2078" t="s">
        <v>18372</v>
      </c>
      <c r="S2078" t="s">
        <v>18373</v>
      </c>
    </row>
    <row r="2079" spans="1:19" x14ac:dyDescent="0.25">
      <c r="A2079" s="1">
        <v>2077</v>
      </c>
      <c r="B2079" t="str">
        <f>HYPERLINK("https://www.dasschnelle.at/thalmayr-erdbau-u-transport-gesmbh-berndorf-bei-salzburg-auweg","Website")</f>
        <v>Website</v>
      </c>
      <c r="C2079" t="str">
        <f>HYPERLINK("http://www.thalmayr-erdbau.at","Website")</f>
        <v>Website</v>
      </c>
      <c r="D2079" t="str">
        <f>HYPERLINK("http://www.google.com/maps/place/47.9945000,13.0576700","Location")</f>
        <v>Location</v>
      </c>
      <c r="E2079" t="s">
        <v>18378</v>
      </c>
      <c r="F2079" t="s">
        <v>18379</v>
      </c>
      <c r="G2079" t="s">
        <v>2237</v>
      </c>
      <c r="H2079" t="s">
        <v>2238</v>
      </c>
      <c r="I2079" t="s">
        <v>2239</v>
      </c>
      <c r="J2079" t="s">
        <v>22</v>
      </c>
      <c r="K2079" t="s">
        <v>9737</v>
      </c>
      <c r="L2079" t="s">
        <v>18382</v>
      </c>
      <c r="M2079" t="s">
        <v>18383</v>
      </c>
      <c r="N2079" t="s">
        <v>18384</v>
      </c>
      <c r="O2079" t="s">
        <v>18385</v>
      </c>
      <c r="P2079" t="s">
        <v>18386</v>
      </c>
      <c r="Q2079" t="s">
        <v>29</v>
      </c>
      <c r="R2079" t="s">
        <v>18380</v>
      </c>
      <c r="S2079" t="s">
        <v>18381</v>
      </c>
    </row>
    <row r="2080" spans="1:19" x14ac:dyDescent="0.25">
      <c r="A2080" s="1">
        <v>2078</v>
      </c>
      <c r="B2080" t="str">
        <f>HYPERLINK("https://www.dasschnelle.at/strasser-patrick-lambach-zoblstraße","Website")</f>
        <v>Website</v>
      </c>
      <c r="C2080" t="str">
        <f>HYPERLINK("https://www.dasschnelle.at/strasser-patrick-lambach-zoblstra%C3%9Fe","Website")</f>
        <v>Website</v>
      </c>
      <c r="D2080" t="str">
        <f>HYPERLINK("http://www.google.com/maps/place/48.09245,13.90949","Location")</f>
        <v>Location</v>
      </c>
      <c r="E2080" t="s">
        <v>18387</v>
      </c>
      <c r="F2080" t="s">
        <v>18388</v>
      </c>
      <c r="G2080" t="s">
        <v>12956</v>
      </c>
      <c r="H2080" t="s">
        <v>12957</v>
      </c>
      <c r="I2080" t="s">
        <v>85</v>
      </c>
      <c r="J2080" t="s">
        <v>22</v>
      </c>
      <c r="K2080" t="s">
        <v>18389</v>
      </c>
      <c r="L2080" t="s">
        <v>18392</v>
      </c>
      <c r="M2080" t="s">
        <v>25</v>
      </c>
      <c r="N2080" t="s">
        <v>18393</v>
      </c>
      <c r="O2080" t="s">
        <v>25</v>
      </c>
      <c r="P2080" t="s">
        <v>18394</v>
      </c>
      <c r="Q2080" t="s">
        <v>29</v>
      </c>
      <c r="R2080" t="s">
        <v>18390</v>
      </c>
      <c r="S2080" t="s">
        <v>18391</v>
      </c>
    </row>
    <row r="2081" spans="1:19" x14ac:dyDescent="0.25">
      <c r="A2081" s="1">
        <v>2079</v>
      </c>
      <c r="B2081" t="str">
        <f>HYPERLINK("https://www.dasschnelle.at/aigner-patrick-lambach-mernbach","Website")</f>
        <v>Website</v>
      </c>
      <c r="C2081" t="str">
        <f>HYPERLINK("http://www.aigner-dach.at","Website")</f>
        <v>Website</v>
      </c>
      <c r="D2081" t="str">
        <f>HYPERLINK("http://www.google.com/maps/place/48.1084100,13.8451200","Location")</f>
        <v>Location</v>
      </c>
      <c r="E2081" t="s">
        <v>18395</v>
      </c>
      <c r="F2081" t="s">
        <v>18396</v>
      </c>
      <c r="G2081" t="s">
        <v>12956</v>
      </c>
      <c r="H2081" t="s">
        <v>12957</v>
      </c>
      <c r="I2081" t="s">
        <v>85</v>
      </c>
      <c r="J2081" t="s">
        <v>22</v>
      </c>
      <c r="K2081" t="s">
        <v>18397</v>
      </c>
      <c r="L2081" t="s">
        <v>18400</v>
      </c>
      <c r="M2081" t="s">
        <v>25</v>
      </c>
      <c r="N2081" t="s">
        <v>18401</v>
      </c>
      <c r="O2081" t="s">
        <v>25</v>
      </c>
      <c r="P2081" t="s">
        <v>18402</v>
      </c>
      <c r="Q2081" t="s">
        <v>29</v>
      </c>
      <c r="R2081" t="s">
        <v>18398</v>
      </c>
      <c r="S2081" t="s">
        <v>18399</v>
      </c>
    </row>
    <row r="2082" spans="1:19" x14ac:dyDescent="0.25">
      <c r="A2082" s="1">
        <v>2080</v>
      </c>
      <c r="B2082" t="str">
        <f>HYPERLINK("https://www.dasschnelle.at/robia-christine-dr-deutschlandsberg-wildbacher-straße","Website")</f>
        <v>Website</v>
      </c>
      <c r="C2082" t="str">
        <f>HYPERLINK("http://www.praxis-mit-herz.at","Website")</f>
        <v>Website</v>
      </c>
      <c r="D2082" t="str">
        <f>HYPERLINK("http://www.google.com/maps/place/46.81926,15.21373","Location")</f>
        <v>Location</v>
      </c>
      <c r="E2082" t="s">
        <v>18403</v>
      </c>
      <c r="F2082" t="s">
        <v>18404</v>
      </c>
      <c r="G2082" t="s">
        <v>2921</v>
      </c>
      <c r="H2082" t="s">
        <v>2922</v>
      </c>
      <c r="I2082" t="s">
        <v>451</v>
      </c>
      <c r="J2082" t="s">
        <v>22</v>
      </c>
      <c r="K2082" t="s">
        <v>18405</v>
      </c>
      <c r="L2082" t="s">
        <v>18408</v>
      </c>
      <c r="M2082" t="s">
        <v>25</v>
      </c>
      <c r="N2082" t="s">
        <v>18409</v>
      </c>
      <c r="O2082" t="s">
        <v>18410</v>
      </c>
      <c r="P2082" t="s">
        <v>18411</v>
      </c>
      <c r="Q2082" t="s">
        <v>29</v>
      </c>
      <c r="R2082" t="s">
        <v>18406</v>
      </c>
      <c r="S2082" t="s">
        <v>18407</v>
      </c>
    </row>
    <row r="2083" spans="1:19" x14ac:dyDescent="0.25">
      <c r="A2083" s="1">
        <v>2081</v>
      </c>
      <c r="B2083" t="str">
        <f>HYPERLINK("https://www.dasschnelle.at/rassaerts-anita-dr-med-schalchen-hauptstraße","Website")</f>
        <v>Website</v>
      </c>
      <c r="C2083" t="str">
        <f>HYPERLINK("https://www.dasschnelle.at/rassaerts-anita-dr-med-schalchen-hauptstra%C3%9Fe","Website")</f>
        <v>Website</v>
      </c>
      <c r="D2083" t="str">
        <f>HYPERLINK("http://www.google.com/maps/place/48.11886,13.15681","Location")</f>
        <v>Location</v>
      </c>
      <c r="E2083" t="s">
        <v>18412</v>
      </c>
      <c r="F2083" t="s">
        <v>18413</v>
      </c>
      <c r="G2083" t="s">
        <v>1318</v>
      </c>
      <c r="H2083" t="s">
        <v>1319</v>
      </c>
      <c r="I2083" t="s">
        <v>85</v>
      </c>
      <c r="J2083" t="s">
        <v>22</v>
      </c>
      <c r="K2083" t="s">
        <v>18414</v>
      </c>
      <c r="L2083" t="s">
        <v>18417</v>
      </c>
      <c r="M2083" t="s">
        <v>18418</v>
      </c>
      <c r="N2083" t="s">
        <v>25</v>
      </c>
      <c r="O2083" t="s">
        <v>25</v>
      </c>
      <c r="P2083" t="s">
        <v>18419</v>
      </c>
      <c r="Q2083" t="s">
        <v>29</v>
      </c>
      <c r="R2083" t="s">
        <v>18415</v>
      </c>
      <c r="S2083" t="s">
        <v>18416</v>
      </c>
    </row>
    <row r="2084" spans="1:19" x14ac:dyDescent="0.25">
      <c r="A2084" s="1">
        <v>2082</v>
      </c>
      <c r="B2084" t="str">
        <f>HYPERLINK("https://www.dasschnelle.at/ds-elektro-melk-pöverding","Website")</f>
        <v>Website</v>
      </c>
      <c r="C2084" t="str">
        <f>HYPERLINK("https://ds-elektro.at/","Website")</f>
        <v>Website</v>
      </c>
      <c r="D2084" t="str">
        <f>HYPERLINK("http://www.google.com/maps/place/48.3253438,16.0629373","Location")</f>
        <v>Location</v>
      </c>
      <c r="E2084" t="s">
        <v>18420</v>
      </c>
      <c r="F2084" t="s">
        <v>18421</v>
      </c>
      <c r="G2084" t="s">
        <v>5926</v>
      </c>
      <c r="H2084" t="s">
        <v>5927</v>
      </c>
      <c r="I2084" t="s">
        <v>177</v>
      </c>
      <c r="J2084" t="s">
        <v>22</v>
      </c>
      <c r="K2084" t="s">
        <v>18422</v>
      </c>
      <c r="L2084" t="s">
        <v>18423</v>
      </c>
      <c r="M2084" t="s">
        <v>25</v>
      </c>
      <c r="N2084" t="s">
        <v>18424</v>
      </c>
      <c r="O2084" t="s">
        <v>18425</v>
      </c>
      <c r="P2084" t="s">
        <v>697</v>
      </c>
      <c r="Q2084" t="s">
        <v>29</v>
      </c>
      <c r="R2084" t="s">
        <v>9563</v>
      </c>
      <c r="S2084" t="s">
        <v>9564</v>
      </c>
    </row>
    <row r="2085" spans="1:19" x14ac:dyDescent="0.25">
      <c r="A2085" s="1">
        <v>2083</v>
      </c>
      <c r="B2085" t="str">
        <f>HYPERLINK("https://www.dasschnelle.at/gkv-haustechnik-gmbh-völkermarkt-st-ruprechter-straße","Website")</f>
        <v>Website</v>
      </c>
      <c r="C2085" t="str">
        <f>HYPERLINK("http://www.gkv-haustechnik.at","Website")</f>
        <v>Website</v>
      </c>
      <c r="D2085" t="str">
        <f>HYPERLINK("http://www.google.com/maps/place/46.6642,14.62447","Location")</f>
        <v>Location</v>
      </c>
      <c r="E2085" t="s">
        <v>18426</v>
      </c>
      <c r="F2085" t="s">
        <v>18427</v>
      </c>
      <c r="G2085" t="s">
        <v>5079</v>
      </c>
      <c r="H2085" t="s">
        <v>5080</v>
      </c>
      <c r="I2085" t="s">
        <v>4130</v>
      </c>
      <c r="J2085" t="s">
        <v>22</v>
      </c>
      <c r="K2085" t="s">
        <v>18428</v>
      </c>
      <c r="L2085" t="s">
        <v>18431</v>
      </c>
      <c r="M2085" t="s">
        <v>25</v>
      </c>
      <c r="N2085" t="s">
        <v>18432</v>
      </c>
      <c r="O2085" t="s">
        <v>25</v>
      </c>
      <c r="P2085" t="s">
        <v>18433</v>
      </c>
      <c r="Q2085" t="s">
        <v>29</v>
      </c>
      <c r="R2085" t="s">
        <v>18429</v>
      </c>
      <c r="S2085" t="s">
        <v>18430</v>
      </c>
    </row>
    <row r="2086" spans="1:19" x14ac:dyDescent="0.25">
      <c r="A2086" s="1">
        <v>2084</v>
      </c>
      <c r="B2086" t="str">
        <f>HYPERLINK("https://www.dasschnelle.at/grabner-martina-st-wolfgang-im-salzkammergut-markt","Website")</f>
        <v>Website</v>
      </c>
      <c r="C2086" t="str">
        <f>HYPERLINK("http://www.wolfganger-trachtenstube.at","Website")</f>
        <v>Website</v>
      </c>
      <c r="D2086" t="str">
        <f>HYPERLINK("http://www.google.com/maps/place/47.73844,13.4487","Location")</f>
        <v>Location</v>
      </c>
      <c r="E2086" t="s">
        <v>18434</v>
      </c>
      <c r="F2086" t="s">
        <v>18435</v>
      </c>
      <c r="G2086" t="s">
        <v>2290</v>
      </c>
      <c r="H2086" t="s">
        <v>2291</v>
      </c>
      <c r="I2086" t="s">
        <v>85</v>
      </c>
      <c r="J2086" t="s">
        <v>22</v>
      </c>
      <c r="K2086" t="s">
        <v>18436</v>
      </c>
      <c r="L2086" t="s">
        <v>18439</v>
      </c>
      <c r="M2086" t="s">
        <v>25</v>
      </c>
      <c r="N2086" t="s">
        <v>18440</v>
      </c>
      <c r="O2086" t="s">
        <v>25</v>
      </c>
      <c r="P2086" t="s">
        <v>18441</v>
      </c>
      <c r="Q2086" t="s">
        <v>29</v>
      </c>
      <c r="R2086" t="s">
        <v>18437</v>
      </c>
      <c r="S2086" t="s">
        <v>18438</v>
      </c>
    </row>
    <row r="2087" spans="1:19" x14ac:dyDescent="0.25">
      <c r="A2087" s="1">
        <v>2085</v>
      </c>
      <c r="B2087" t="str">
        <f>HYPERLINK("https://www.dasschnelle.at/plamberger-peter-jun-st-wolfgang-im-salzkammergut-weinbach","Website")</f>
        <v>Website</v>
      </c>
      <c r="C2087" t="str">
        <f>HYPERLINK("https://www.dasschnelle.at/plamberger-peter-jun-st-wolfgang-im-salzkammergut-weinbach","Website")</f>
        <v>Website</v>
      </c>
      <c r="D2087" t="str">
        <f>HYPERLINK("http://www.google.com/maps/place/47.7248912,13.5123423","Location")</f>
        <v>Location</v>
      </c>
      <c r="E2087" t="s">
        <v>18442</v>
      </c>
      <c r="F2087" t="s">
        <v>18443</v>
      </c>
      <c r="G2087" t="s">
        <v>2290</v>
      </c>
      <c r="H2087" t="s">
        <v>2291</v>
      </c>
      <c r="I2087" t="s">
        <v>85</v>
      </c>
      <c r="J2087" t="s">
        <v>22</v>
      </c>
      <c r="K2087" t="s">
        <v>18444</v>
      </c>
      <c r="L2087" t="s">
        <v>18447</v>
      </c>
      <c r="M2087" t="s">
        <v>18448</v>
      </c>
      <c r="N2087" t="s">
        <v>18449</v>
      </c>
      <c r="O2087" t="s">
        <v>25</v>
      </c>
      <c r="P2087" t="s">
        <v>18450</v>
      </c>
      <c r="Q2087" t="s">
        <v>29</v>
      </c>
      <c r="R2087" t="s">
        <v>18445</v>
      </c>
      <c r="S2087" t="s">
        <v>18446</v>
      </c>
    </row>
    <row r="2088" spans="1:19" x14ac:dyDescent="0.25">
      <c r="A2088" s="1">
        <v>2086</v>
      </c>
      <c r="B2088" t="str">
        <f>HYPERLINK("https://www.dasschnelle.at/feldbacher-gerald-dr-med-univ-burgkirchen-geretsdorf","Website")</f>
        <v>Website</v>
      </c>
      <c r="C2088" t="str">
        <f>HYPERLINK("https://www.dasschnelle.at/feldbacher-gerald-dr-med-univ-burgkirchen-geretsdorf","Website")</f>
        <v>Website</v>
      </c>
      <c r="D2088" t="str">
        <f>HYPERLINK("http://www.google.com/maps/place/48.2035698,13.1153409","Location")</f>
        <v>Location</v>
      </c>
      <c r="E2088" t="s">
        <v>18451</v>
      </c>
      <c r="F2088" t="s">
        <v>18452</v>
      </c>
      <c r="G2088" t="s">
        <v>18454</v>
      </c>
      <c r="H2088" t="s">
        <v>18455</v>
      </c>
      <c r="I2088" t="s">
        <v>85</v>
      </c>
      <c r="J2088" t="s">
        <v>22</v>
      </c>
      <c r="K2088" t="s">
        <v>18453</v>
      </c>
      <c r="L2088" t="s">
        <v>18458</v>
      </c>
      <c r="M2088" t="s">
        <v>25</v>
      </c>
      <c r="N2088" t="s">
        <v>25</v>
      </c>
      <c r="O2088" t="s">
        <v>25</v>
      </c>
      <c r="P2088" t="s">
        <v>18459</v>
      </c>
      <c r="Q2088" t="s">
        <v>29</v>
      </c>
      <c r="R2088" t="s">
        <v>18456</v>
      </c>
      <c r="S2088" t="s">
        <v>18457</v>
      </c>
    </row>
    <row r="2089" spans="1:19" x14ac:dyDescent="0.25">
      <c r="A2089" s="1">
        <v>2087</v>
      </c>
      <c r="B2089" t="str">
        <f>HYPERLINK("https://www.dasschnelle.at/simmerer-josef-transportunternehmen-gmbh-pasching-prinz-eugen-straße","Website")</f>
        <v>Website</v>
      </c>
      <c r="C2089" t="str">
        <f>HYPERLINK("http://www.simmerer.at","Website")</f>
        <v>Website</v>
      </c>
      <c r="D2089" t="str">
        <f>HYPERLINK("http://www.google.com/maps/place/48.24004,14.24535","Location")</f>
        <v>Location</v>
      </c>
      <c r="E2089" t="s">
        <v>18460</v>
      </c>
      <c r="F2089" t="s">
        <v>18461</v>
      </c>
      <c r="G2089" t="s">
        <v>18463</v>
      </c>
      <c r="H2089" t="s">
        <v>18464</v>
      </c>
      <c r="I2089" t="s">
        <v>85</v>
      </c>
      <c r="J2089" t="s">
        <v>22</v>
      </c>
      <c r="K2089" t="s">
        <v>18462</v>
      </c>
      <c r="L2089" t="s">
        <v>18467</v>
      </c>
      <c r="M2089" t="s">
        <v>25</v>
      </c>
      <c r="N2089" t="s">
        <v>18468</v>
      </c>
      <c r="O2089" t="s">
        <v>18469</v>
      </c>
      <c r="P2089" t="s">
        <v>18470</v>
      </c>
      <c r="Q2089" t="s">
        <v>29</v>
      </c>
      <c r="R2089" t="s">
        <v>18465</v>
      </c>
      <c r="S2089" t="s">
        <v>18466</v>
      </c>
    </row>
    <row r="2090" spans="1:19" x14ac:dyDescent="0.25">
      <c r="A2090" s="1">
        <v>2088</v>
      </c>
      <c r="B2090" t="str">
        <f>HYPERLINK("https://www.dasschnelle.at/frisch-peter-dr-altheim-braunauer-straße","Website")</f>
        <v>Website</v>
      </c>
      <c r="C2090" t="str">
        <f>HYPERLINK("http://www.ra-frisch.at","Website")</f>
        <v>Website</v>
      </c>
      <c r="D2090" t="str">
        <f>HYPERLINK("http://www.google.com/maps/place/48.24922,13.22845","Location")</f>
        <v>Location</v>
      </c>
      <c r="E2090" t="s">
        <v>18471</v>
      </c>
      <c r="F2090" t="s">
        <v>18472</v>
      </c>
      <c r="G2090" t="s">
        <v>1354</v>
      </c>
      <c r="H2090" t="s">
        <v>1355</v>
      </c>
      <c r="I2090" t="s">
        <v>85</v>
      </c>
      <c r="J2090" t="s">
        <v>22</v>
      </c>
      <c r="K2090" t="s">
        <v>18473</v>
      </c>
      <c r="L2090" t="s">
        <v>18476</v>
      </c>
      <c r="M2090" t="s">
        <v>25</v>
      </c>
      <c r="N2090" t="s">
        <v>18477</v>
      </c>
      <c r="O2090" t="s">
        <v>18478</v>
      </c>
      <c r="P2090" t="s">
        <v>18479</v>
      </c>
      <c r="Q2090" t="s">
        <v>29</v>
      </c>
      <c r="R2090" t="s">
        <v>18474</v>
      </c>
      <c r="S2090" t="s">
        <v>18475</v>
      </c>
    </row>
    <row r="2091" spans="1:19" x14ac:dyDescent="0.25">
      <c r="A2091" s="1">
        <v>2089</v>
      </c>
      <c r="B2091" t="str">
        <f>HYPERLINK("https://www.dasschnelle.at/storf-johannes-reutte-untermarkt","Website")</f>
        <v>Website</v>
      </c>
      <c r="C2091" t="str">
        <f>HYPERLINK("http://www.storfdesign.tirol","Website")</f>
        <v>Website</v>
      </c>
      <c r="D2091" t="str">
        <f>HYPERLINK("http://www.google.com/maps/place/47.49012,10.71773","Location")</f>
        <v>Location</v>
      </c>
      <c r="E2091" t="s">
        <v>18480</v>
      </c>
      <c r="F2091" t="s">
        <v>18481</v>
      </c>
      <c r="G2091" t="s">
        <v>6823</v>
      </c>
      <c r="H2091" t="s">
        <v>6824</v>
      </c>
      <c r="I2091" t="s">
        <v>21</v>
      </c>
      <c r="J2091" t="s">
        <v>22</v>
      </c>
      <c r="K2091" t="s">
        <v>18482</v>
      </c>
      <c r="L2091" t="s">
        <v>18485</v>
      </c>
      <c r="M2091" t="s">
        <v>25</v>
      </c>
      <c r="N2091" t="s">
        <v>18486</v>
      </c>
      <c r="O2091" t="s">
        <v>25</v>
      </c>
      <c r="P2091" t="s">
        <v>18487</v>
      </c>
      <c r="Q2091" t="s">
        <v>29</v>
      </c>
      <c r="R2091" t="s">
        <v>18483</v>
      </c>
      <c r="S2091" t="s">
        <v>18484</v>
      </c>
    </row>
    <row r="2092" spans="1:19" x14ac:dyDescent="0.25">
      <c r="A2092" s="1">
        <v>2090</v>
      </c>
      <c r="B2092" t="str">
        <f>HYPERLINK("https://www.dasschnelle.at/christophorus-apotheke-eferding-linzer-straße","Website")</f>
        <v>Website</v>
      </c>
      <c r="C2092" t="str">
        <f>HYPERLINK("http://www.apotheke-christophorus.at","Website")</f>
        <v>Website</v>
      </c>
      <c r="D2092" t="str">
        <f>HYPERLINK("http://www.google.com/maps/place/48.30219,14.02803","Location")</f>
        <v>Location</v>
      </c>
      <c r="E2092" t="s">
        <v>18488</v>
      </c>
      <c r="F2092" t="s">
        <v>18489</v>
      </c>
      <c r="G2092" t="s">
        <v>3101</v>
      </c>
      <c r="H2092" t="s">
        <v>3102</v>
      </c>
      <c r="I2092" t="s">
        <v>85</v>
      </c>
      <c r="J2092" t="s">
        <v>22</v>
      </c>
      <c r="K2092" t="s">
        <v>18490</v>
      </c>
      <c r="L2092" t="s">
        <v>18493</v>
      </c>
      <c r="M2092" t="s">
        <v>25</v>
      </c>
      <c r="N2092" t="s">
        <v>18494</v>
      </c>
      <c r="O2092" t="s">
        <v>18495</v>
      </c>
      <c r="P2092" t="s">
        <v>18496</v>
      </c>
      <c r="Q2092" t="s">
        <v>29</v>
      </c>
      <c r="R2092" t="s">
        <v>18491</v>
      </c>
      <c r="S2092" t="s">
        <v>18492</v>
      </c>
    </row>
    <row r="2093" spans="1:19" x14ac:dyDescent="0.25">
      <c r="A2093" s="1">
        <v>2091</v>
      </c>
      <c r="B2093" t="str">
        <f>HYPERLINK("https://www.dasschnelle.at/hotel-thaneller-gmbh-berwang-rinnen","Website")</f>
        <v>Website</v>
      </c>
      <c r="C2093" t="str">
        <f>HYPERLINK("http://www.hotelthaneller.at","Website")</f>
        <v>Website</v>
      </c>
      <c r="D2093" t="str">
        <f>HYPERLINK("http://www.google.com/maps/place/47.4054263,10.7186544","Location")</f>
        <v>Location</v>
      </c>
      <c r="E2093" t="s">
        <v>18497</v>
      </c>
      <c r="F2093" t="s">
        <v>18498</v>
      </c>
      <c r="G2093" t="s">
        <v>6863</v>
      </c>
      <c r="H2093" t="s">
        <v>6864</v>
      </c>
      <c r="I2093" t="s">
        <v>21</v>
      </c>
      <c r="J2093" t="s">
        <v>22</v>
      </c>
      <c r="K2093" t="s">
        <v>18499</v>
      </c>
      <c r="L2093" t="s">
        <v>18502</v>
      </c>
      <c r="M2093" t="s">
        <v>25</v>
      </c>
      <c r="N2093" t="s">
        <v>18503</v>
      </c>
      <c r="O2093" t="s">
        <v>25</v>
      </c>
      <c r="P2093" t="s">
        <v>18504</v>
      </c>
      <c r="Q2093" t="s">
        <v>29</v>
      </c>
      <c r="R2093" t="s">
        <v>18500</v>
      </c>
      <c r="S2093" t="s">
        <v>18501</v>
      </c>
    </row>
    <row r="2094" spans="1:19" x14ac:dyDescent="0.25">
      <c r="A2094" s="1">
        <v>2092</v>
      </c>
      <c r="B2094" t="str">
        <f>HYPERLINK("https://www.dasschnelle.at/dödlinger-erdbau-gmbh-fieberbrunn-am-berg","Website")</f>
        <v>Website</v>
      </c>
      <c r="C2094" t="str">
        <f>HYPERLINK("http://www.doedlinger-erdbau.at","Website")</f>
        <v>Website</v>
      </c>
      <c r="D2094" t="str">
        <f>HYPERLINK("http://www.google.com/maps/place/47.4865326,12.5307371","Location")</f>
        <v>Location</v>
      </c>
      <c r="E2094" t="s">
        <v>18505</v>
      </c>
      <c r="F2094" t="s">
        <v>18506</v>
      </c>
      <c r="G2094" t="s">
        <v>16577</v>
      </c>
      <c r="H2094" t="s">
        <v>16578</v>
      </c>
      <c r="I2094" t="s">
        <v>21</v>
      </c>
      <c r="J2094" t="s">
        <v>22</v>
      </c>
      <c r="K2094" t="s">
        <v>18507</v>
      </c>
      <c r="L2094" t="s">
        <v>18510</v>
      </c>
      <c r="M2094" t="s">
        <v>25</v>
      </c>
      <c r="N2094" t="s">
        <v>18511</v>
      </c>
      <c r="O2094" t="s">
        <v>25</v>
      </c>
      <c r="P2094" t="s">
        <v>18512</v>
      </c>
      <c r="Q2094" t="s">
        <v>29</v>
      </c>
      <c r="R2094" t="s">
        <v>18508</v>
      </c>
      <c r="S2094" t="s">
        <v>18509</v>
      </c>
    </row>
    <row r="2095" spans="1:19" x14ac:dyDescent="0.25">
      <c r="A2095" s="1">
        <v>2093</v>
      </c>
      <c r="B2095" t="str">
        <f>HYPERLINK("https://www.dasschnelle.at/unterrainer-dieter-fieberbrunn-dorfstraße","Website")</f>
        <v>Website</v>
      </c>
      <c r="C2095" t="str">
        <f>HYPERLINK("https://www.dasschnelle.at/unterrainer-dieter-fieberbrunn-dorfstra%C3%9Fe","Website")</f>
        <v>Website</v>
      </c>
      <c r="D2095" t="str">
        <f>HYPERLINK("http://www.google.com/maps/place/47.47623,12.54384","Location")</f>
        <v>Location</v>
      </c>
      <c r="E2095" t="s">
        <v>18513</v>
      </c>
      <c r="F2095" t="s">
        <v>18514</v>
      </c>
      <c r="G2095" t="s">
        <v>16577</v>
      </c>
      <c r="H2095" t="s">
        <v>16578</v>
      </c>
      <c r="I2095" t="s">
        <v>21</v>
      </c>
      <c r="J2095" t="s">
        <v>22</v>
      </c>
      <c r="K2095" t="s">
        <v>18515</v>
      </c>
      <c r="L2095" t="s">
        <v>18518</v>
      </c>
      <c r="M2095" t="s">
        <v>25</v>
      </c>
      <c r="N2095" t="s">
        <v>18519</v>
      </c>
      <c r="O2095" t="s">
        <v>25</v>
      </c>
      <c r="P2095" t="s">
        <v>18520</v>
      </c>
      <c r="Q2095" t="s">
        <v>29</v>
      </c>
      <c r="R2095" t="s">
        <v>18516</v>
      </c>
      <c r="S2095" t="s">
        <v>18517</v>
      </c>
    </row>
    <row r="2096" spans="1:19" x14ac:dyDescent="0.25">
      <c r="A2096" s="1">
        <v>2094</v>
      </c>
      <c r="B2096" t="str">
        <f>HYPERLINK("https://www.dasschnelle.at/siorpaes-erich-fieberbrunn-dandlerau","Website")</f>
        <v>Website</v>
      </c>
      <c r="C2096" t="str">
        <f>HYPERLINK("https://www.dasschnelle.at/siorpaes-erich-fieberbrunn-dandlerau","Website")</f>
        <v>Website</v>
      </c>
      <c r="D2096" t="str">
        <f>HYPERLINK("http://www.google.com/maps/place/47.46623,12.57133","Location")</f>
        <v>Location</v>
      </c>
      <c r="E2096" t="s">
        <v>18521</v>
      </c>
      <c r="F2096" t="s">
        <v>18522</v>
      </c>
      <c r="G2096" t="s">
        <v>16577</v>
      </c>
      <c r="H2096" t="s">
        <v>16578</v>
      </c>
      <c r="I2096" t="s">
        <v>21</v>
      </c>
      <c r="J2096" t="s">
        <v>22</v>
      </c>
      <c r="K2096" t="s">
        <v>18523</v>
      </c>
      <c r="L2096" t="s">
        <v>18526</v>
      </c>
      <c r="M2096" t="s">
        <v>18527</v>
      </c>
      <c r="N2096" t="s">
        <v>18528</v>
      </c>
      <c r="O2096" t="s">
        <v>25</v>
      </c>
      <c r="P2096" t="s">
        <v>18529</v>
      </c>
      <c r="Q2096" t="s">
        <v>29</v>
      </c>
      <c r="R2096" t="s">
        <v>18524</v>
      </c>
      <c r="S2096" t="s">
        <v>18525</v>
      </c>
    </row>
    <row r="2097" spans="1:19" x14ac:dyDescent="0.25">
      <c r="A2097" s="1">
        <v>2095</v>
      </c>
      <c r="B2097" t="str">
        <f>HYPERLINK("https://www.dasschnelle.at/bacher-nicole-dr-braunau-am-inn-stadtplatz","Website")</f>
        <v>Website</v>
      </c>
      <c r="C2097" t="str">
        <f>HYPERLINK("https://www.dasschnelle.at/bacher-nicole-dr-braunau-am-inn-stadtplatz","Website")</f>
        <v>Website</v>
      </c>
      <c r="D2097" t="str">
        <f>HYPERLINK("http://www.google.com/maps/place/48.2584151,13.0355810","Location")</f>
        <v>Location</v>
      </c>
      <c r="E2097" t="s">
        <v>18530</v>
      </c>
      <c r="F2097" t="s">
        <v>18531</v>
      </c>
      <c r="G2097" t="s">
        <v>1289</v>
      </c>
      <c r="H2097" t="s">
        <v>1310</v>
      </c>
      <c r="I2097" t="s">
        <v>85</v>
      </c>
      <c r="J2097" t="s">
        <v>22</v>
      </c>
      <c r="K2097" t="s">
        <v>18532</v>
      </c>
      <c r="L2097" t="s">
        <v>18535</v>
      </c>
      <c r="M2097" t="s">
        <v>25</v>
      </c>
      <c r="N2097" t="s">
        <v>18536</v>
      </c>
      <c r="O2097" t="s">
        <v>25</v>
      </c>
      <c r="P2097" t="s">
        <v>18537</v>
      </c>
      <c r="Q2097" t="s">
        <v>29</v>
      </c>
      <c r="R2097" t="s">
        <v>18533</v>
      </c>
      <c r="S2097" t="s">
        <v>18534</v>
      </c>
    </row>
    <row r="2098" spans="1:19" x14ac:dyDescent="0.25">
      <c r="A2098" s="1">
        <v>2096</v>
      </c>
      <c r="B2098" t="str">
        <f>HYPERLINK("https://www.dasschnelle.at/gangl-und-baischer-wirtschaftsteuhand-steuerberatungs-gmbh-und-co-kg-eggelsberg-marktplatz","Website")</f>
        <v>Website</v>
      </c>
      <c r="C2098" t="str">
        <f>HYPERLINK("http://www.gangl-baischer.at","Website")</f>
        <v>Website</v>
      </c>
      <c r="D2098" t="str">
        <f>HYPERLINK("http://www.google.com/maps/place/48.0980889,12.9862647","Location")</f>
        <v>Location</v>
      </c>
      <c r="E2098" t="s">
        <v>18538</v>
      </c>
      <c r="F2098" t="s">
        <v>18539</v>
      </c>
      <c r="G2098" t="s">
        <v>1385</v>
      </c>
      <c r="H2098" t="s">
        <v>1386</v>
      </c>
      <c r="I2098" t="s">
        <v>85</v>
      </c>
      <c r="J2098" t="s">
        <v>22</v>
      </c>
      <c r="K2098" t="s">
        <v>5885</v>
      </c>
      <c r="L2098" t="s">
        <v>18542</v>
      </c>
      <c r="M2098" t="s">
        <v>25</v>
      </c>
      <c r="N2098" t="s">
        <v>18543</v>
      </c>
      <c r="O2098" t="s">
        <v>18544</v>
      </c>
      <c r="P2098" t="s">
        <v>18545</v>
      </c>
      <c r="Q2098" t="s">
        <v>29</v>
      </c>
      <c r="R2098" t="s">
        <v>18540</v>
      </c>
      <c r="S2098" t="s">
        <v>18541</v>
      </c>
    </row>
    <row r="2099" spans="1:19" x14ac:dyDescent="0.25">
      <c r="A2099" s="1">
        <v>2097</v>
      </c>
      <c r="B2099" t="str">
        <f>HYPERLINK("https://www.dasschnelle.at/reiter-gmbh-kitzbühel-astberg","Website")</f>
        <v>Website</v>
      </c>
      <c r="C2099" t="str">
        <f>HYPERLINK("http://www.reiter-online.at","Website")</f>
        <v>Website</v>
      </c>
      <c r="D2099" t="str">
        <f>HYPERLINK("http://www.google.com/maps/place/47.49376,12.34371","Location")</f>
        <v>Location</v>
      </c>
      <c r="E2099" t="s">
        <v>18546</v>
      </c>
      <c r="F2099" t="s">
        <v>18547</v>
      </c>
      <c r="G2099" t="s">
        <v>833</v>
      </c>
      <c r="H2099" t="s">
        <v>834</v>
      </c>
      <c r="I2099" t="s">
        <v>21</v>
      </c>
      <c r="J2099" t="s">
        <v>22</v>
      </c>
      <c r="K2099" t="s">
        <v>18548</v>
      </c>
      <c r="L2099" t="s">
        <v>18551</v>
      </c>
      <c r="M2099" t="s">
        <v>25</v>
      </c>
      <c r="N2099" t="s">
        <v>18552</v>
      </c>
      <c r="O2099" t="s">
        <v>25</v>
      </c>
      <c r="P2099" t="s">
        <v>18553</v>
      </c>
      <c r="Q2099" t="s">
        <v>29</v>
      </c>
      <c r="R2099" t="s">
        <v>18549</v>
      </c>
      <c r="S2099" t="s">
        <v>18550</v>
      </c>
    </row>
    <row r="2100" spans="1:19" x14ac:dyDescent="0.25">
      <c r="A2100" s="1">
        <v>2098</v>
      </c>
      <c r="B2100" t="str">
        <f>HYPERLINK("https://www.dasschnelle.at/schlüsselstelle-kitzbühel-kitzbühel-josef-pirchl-straße","Website")</f>
        <v>Website</v>
      </c>
      <c r="C2100" t="str">
        <f>HYPERLINK("https://www.dasschnelle.at/schl%C3%BCsselstelle-kitzb%C3%BChel-kitzb%C3%BChel-josef-pirchl-stra%C3%9Fe","Website")</f>
        <v>Website</v>
      </c>
      <c r="D2100" t="str">
        <f>HYPERLINK("http://www.google.com/maps/place/47.4516300,12.3902200","Location")</f>
        <v>Location</v>
      </c>
      <c r="E2100" t="s">
        <v>18554</v>
      </c>
      <c r="F2100" t="s">
        <v>18555</v>
      </c>
      <c r="G2100" t="s">
        <v>833</v>
      </c>
      <c r="H2100" t="s">
        <v>834</v>
      </c>
      <c r="I2100" t="s">
        <v>21</v>
      </c>
      <c r="J2100" t="s">
        <v>22</v>
      </c>
      <c r="K2100" t="s">
        <v>18556</v>
      </c>
      <c r="L2100" t="s">
        <v>18559</v>
      </c>
      <c r="M2100" t="s">
        <v>25</v>
      </c>
      <c r="N2100" t="s">
        <v>18560</v>
      </c>
      <c r="O2100" t="s">
        <v>25</v>
      </c>
      <c r="P2100" t="s">
        <v>18561</v>
      </c>
      <c r="Q2100" t="s">
        <v>29</v>
      </c>
      <c r="R2100" t="s">
        <v>18557</v>
      </c>
      <c r="S2100" t="s">
        <v>18558</v>
      </c>
    </row>
    <row r="2101" spans="1:19" x14ac:dyDescent="0.25">
      <c r="A2101" s="1">
        <v>2099</v>
      </c>
      <c r="B2101" t="str">
        <f>HYPERLINK("https://www.dasschnelle.at/steiner-reischerwirt-going-innsbruckerstrasse","Website")</f>
        <v>Website</v>
      </c>
      <c r="C2101" t="str">
        <f>HYPERLINK("http://www.reischerwirt.at","Website")</f>
        <v>Website</v>
      </c>
      <c r="D2101" t="str">
        <f>HYPERLINK("http://www.google.com/maps/place/47.51836,12.35792","Location")</f>
        <v>Location</v>
      </c>
      <c r="E2101" t="s">
        <v>18562</v>
      </c>
      <c r="F2101" t="s">
        <v>18563</v>
      </c>
      <c r="G2101" t="s">
        <v>18565</v>
      </c>
      <c r="H2101" t="s">
        <v>18566</v>
      </c>
      <c r="I2101" t="s">
        <v>21</v>
      </c>
      <c r="J2101" t="s">
        <v>22</v>
      </c>
      <c r="K2101" t="s">
        <v>18564</v>
      </c>
      <c r="L2101" t="s">
        <v>18569</v>
      </c>
      <c r="M2101" t="s">
        <v>25</v>
      </c>
      <c r="N2101" t="s">
        <v>18570</v>
      </c>
      <c r="O2101" t="s">
        <v>25</v>
      </c>
      <c r="P2101" t="s">
        <v>18571</v>
      </c>
      <c r="Q2101" t="s">
        <v>29</v>
      </c>
      <c r="R2101" t="s">
        <v>18567</v>
      </c>
      <c r="S2101" t="s">
        <v>18568</v>
      </c>
    </row>
    <row r="2102" spans="1:19" x14ac:dyDescent="0.25">
      <c r="A2102" s="1">
        <v>2100</v>
      </c>
      <c r="B2102" t="str">
        <f>HYPERLINK("https://www.dasschnelle.at/egger-gmbh-kirchberg-in-tirol-seislboden","Website")</f>
        <v>Website</v>
      </c>
      <c r="C2102" t="str">
        <f>HYPERLINK("http://www.egger-estrich.at","Website")</f>
        <v>Website</v>
      </c>
      <c r="D2102" t="str">
        <f>HYPERLINK("http://www.google.com/maps/place/47.42914,12.31534","Location")</f>
        <v>Location</v>
      </c>
      <c r="E2102" t="s">
        <v>18572</v>
      </c>
      <c r="F2102" t="s">
        <v>18573</v>
      </c>
      <c r="G2102" t="s">
        <v>822</v>
      </c>
      <c r="H2102" t="s">
        <v>823</v>
      </c>
      <c r="I2102" t="s">
        <v>21</v>
      </c>
      <c r="J2102" t="s">
        <v>22</v>
      </c>
      <c r="K2102" t="s">
        <v>18574</v>
      </c>
      <c r="L2102" t="s">
        <v>18577</v>
      </c>
      <c r="M2102" t="s">
        <v>18578</v>
      </c>
      <c r="N2102" t="s">
        <v>18579</v>
      </c>
      <c r="O2102" t="s">
        <v>25</v>
      </c>
      <c r="P2102" t="s">
        <v>18580</v>
      </c>
      <c r="Q2102" t="s">
        <v>29</v>
      </c>
      <c r="R2102" t="s">
        <v>18575</v>
      </c>
      <c r="S2102" t="s">
        <v>18576</v>
      </c>
    </row>
    <row r="2103" spans="1:19" x14ac:dyDescent="0.25">
      <c r="A2103" s="1">
        <v>2101</v>
      </c>
      <c r="B2103" t="str">
        <f>HYPERLINK("https://www.dasschnelle.at/feldbacher-erdbewegung-köstendorf-spanswag","Website")</f>
        <v>Website</v>
      </c>
      <c r="C2103" t="str">
        <f>HYPERLINK("http://www.af-erdbewegung.at","Website")</f>
        <v>Website</v>
      </c>
      <c r="D2103" t="str">
        <f>HYPERLINK("http://www.google.com/maps/place/47.9588400,13.1761400","Location")</f>
        <v>Location</v>
      </c>
      <c r="E2103" t="s">
        <v>18581</v>
      </c>
      <c r="F2103" t="s">
        <v>18582</v>
      </c>
      <c r="G2103" t="s">
        <v>10618</v>
      </c>
      <c r="H2103" t="s">
        <v>10619</v>
      </c>
      <c r="I2103" t="s">
        <v>2239</v>
      </c>
      <c r="J2103" t="s">
        <v>22</v>
      </c>
      <c r="K2103" t="s">
        <v>18583</v>
      </c>
      <c r="L2103" t="s">
        <v>18586</v>
      </c>
      <c r="M2103" t="s">
        <v>25</v>
      </c>
      <c r="N2103" t="s">
        <v>18587</v>
      </c>
      <c r="O2103" t="s">
        <v>25</v>
      </c>
      <c r="P2103" t="s">
        <v>18588</v>
      </c>
      <c r="Q2103" t="s">
        <v>29</v>
      </c>
      <c r="R2103" t="s">
        <v>18584</v>
      </c>
      <c r="S2103" t="s">
        <v>18585</v>
      </c>
    </row>
    <row r="2104" spans="1:19" x14ac:dyDescent="0.25">
      <c r="A2104" s="1">
        <v>2102</v>
      </c>
      <c r="B2104" t="str">
        <f>HYPERLINK("https://www.dasschnelle.at/glaserei-neureiters-sohn-keg-oberalm-messinghammerweg","Website")</f>
        <v>Website</v>
      </c>
      <c r="C2104" t="str">
        <f>HYPERLINK("http://www.glas-neureiter.at","Website")</f>
        <v>Website</v>
      </c>
      <c r="D2104" t="str">
        <f>HYPERLINK("http://www.google.com/maps/place/47.70035,13.11059","Location")</f>
        <v>Location</v>
      </c>
      <c r="E2104" t="s">
        <v>18589</v>
      </c>
      <c r="F2104" t="s">
        <v>18590</v>
      </c>
      <c r="G2104" t="s">
        <v>7767</v>
      </c>
      <c r="H2104" t="s">
        <v>7768</v>
      </c>
      <c r="I2104" t="s">
        <v>2239</v>
      </c>
      <c r="J2104" t="s">
        <v>22</v>
      </c>
      <c r="K2104" t="s">
        <v>18591</v>
      </c>
      <c r="L2104" t="s">
        <v>18594</v>
      </c>
      <c r="M2104" t="s">
        <v>18595</v>
      </c>
      <c r="N2104" t="s">
        <v>18596</v>
      </c>
      <c r="O2104" t="s">
        <v>25</v>
      </c>
      <c r="P2104" t="s">
        <v>18597</v>
      </c>
      <c r="Q2104" t="s">
        <v>29</v>
      </c>
      <c r="R2104" t="s">
        <v>18592</v>
      </c>
      <c r="S2104" t="s">
        <v>18593</v>
      </c>
    </row>
    <row r="2105" spans="1:19" x14ac:dyDescent="0.25">
      <c r="A2105" s="1">
        <v>2103</v>
      </c>
      <c r="B2105" t="str">
        <f>HYPERLINK("https://www.dasschnelle.at/wiemers-manfred-malerei-gesmbh-köstendorf-segerwiesen","Website")</f>
        <v>Website</v>
      </c>
      <c r="C2105" t="str">
        <f>HYPERLINK("http://www.malerei-wiemers.at","Website")</f>
        <v>Website</v>
      </c>
      <c r="D2105" t="str">
        <f>HYPERLINK("http://www.google.com/maps/place/47.95405,13.20738","Location")</f>
        <v>Location</v>
      </c>
      <c r="E2105" t="s">
        <v>18598</v>
      </c>
      <c r="F2105" t="s">
        <v>18599</v>
      </c>
      <c r="G2105" t="s">
        <v>10618</v>
      </c>
      <c r="H2105" t="s">
        <v>10619</v>
      </c>
      <c r="I2105" t="s">
        <v>2239</v>
      </c>
      <c r="J2105" t="s">
        <v>22</v>
      </c>
      <c r="K2105" t="s">
        <v>18600</v>
      </c>
      <c r="L2105" t="s">
        <v>18603</v>
      </c>
      <c r="M2105" t="s">
        <v>25</v>
      </c>
      <c r="N2105" t="s">
        <v>18604</v>
      </c>
      <c r="O2105" t="s">
        <v>18605</v>
      </c>
      <c r="P2105" t="s">
        <v>18606</v>
      </c>
      <c r="Q2105" t="s">
        <v>29</v>
      </c>
      <c r="R2105" t="s">
        <v>18601</v>
      </c>
      <c r="S2105" t="s">
        <v>18602</v>
      </c>
    </row>
    <row r="2106" spans="1:19" x14ac:dyDescent="0.25">
      <c r="A2106" s="1">
        <v>2104</v>
      </c>
      <c r="B2106" t="str">
        <f>HYPERLINK("https://www.dasschnelle.at/leithner-alexander-puch-bei-hallein-gutratgasse","Website")</f>
        <v>Website</v>
      </c>
      <c r="C2106" t="str">
        <f>HYPERLINK("http://www.montagetischler-leithner.at","Website")</f>
        <v>Website</v>
      </c>
      <c r="D2106" t="str">
        <f>HYPERLINK("http://www.google.com/maps/place/47.70691,13.08612","Location")</f>
        <v>Location</v>
      </c>
      <c r="E2106" t="s">
        <v>18607</v>
      </c>
      <c r="F2106" t="s">
        <v>18608</v>
      </c>
      <c r="G2106" t="s">
        <v>7635</v>
      </c>
      <c r="H2106" t="s">
        <v>7636</v>
      </c>
      <c r="I2106" t="s">
        <v>2239</v>
      </c>
      <c r="J2106" t="s">
        <v>22</v>
      </c>
      <c r="K2106" t="s">
        <v>18609</v>
      </c>
      <c r="L2106" t="s">
        <v>18612</v>
      </c>
      <c r="M2106" t="s">
        <v>25</v>
      </c>
      <c r="N2106" t="s">
        <v>18613</v>
      </c>
      <c r="O2106" t="s">
        <v>25</v>
      </c>
      <c r="P2106" t="s">
        <v>18614</v>
      </c>
      <c r="Q2106" t="s">
        <v>29</v>
      </c>
      <c r="R2106" t="s">
        <v>18610</v>
      </c>
      <c r="S2106" t="s">
        <v>18611</v>
      </c>
    </row>
    <row r="2107" spans="1:19" x14ac:dyDescent="0.25">
      <c r="A2107" s="1">
        <v>2105</v>
      </c>
      <c r="B2107" t="str">
        <f>HYPERLINK("https://www.dasschnelle.at/josef-zika-gmbh-ansfelden-friedhofstraße","Website")</f>
        <v>Website</v>
      </c>
      <c r="C2107" t="str">
        <f>HYPERLINK("http://www.steinmetz-ansfelden.at","Website")</f>
        <v>Website</v>
      </c>
      <c r="D2107" t="str">
        <f>HYPERLINK("http://www.google.com/maps/place/48.21193,14.28847","Location")</f>
        <v>Location</v>
      </c>
      <c r="E2107" t="s">
        <v>18615</v>
      </c>
      <c r="F2107" t="s">
        <v>18616</v>
      </c>
      <c r="G2107" t="s">
        <v>10237</v>
      </c>
      <c r="H2107" t="s">
        <v>10238</v>
      </c>
      <c r="I2107" t="s">
        <v>85</v>
      </c>
      <c r="J2107" t="s">
        <v>22</v>
      </c>
      <c r="K2107" t="s">
        <v>10747</v>
      </c>
      <c r="L2107" t="s">
        <v>18619</v>
      </c>
      <c r="M2107" t="s">
        <v>25</v>
      </c>
      <c r="N2107" t="s">
        <v>18620</v>
      </c>
      <c r="O2107" t="s">
        <v>18621</v>
      </c>
      <c r="P2107" t="s">
        <v>18622</v>
      </c>
      <c r="Q2107" t="s">
        <v>29</v>
      </c>
      <c r="R2107" t="s">
        <v>18617</v>
      </c>
      <c r="S2107" t="s">
        <v>18618</v>
      </c>
    </row>
    <row r="2108" spans="1:19" x14ac:dyDescent="0.25">
      <c r="A2108" s="1">
        <v>2106</v>
      </c>
      <c r="B2108" t="str">
        <f>HYPERLINK("https://www.dasschnelle.at/klk-ortner-gmbh-ansfelden-haider-straße","Website")</f>
        <v>Website</v>
      </c>
      <c r="C2108" t="str">
        <f>HYPERLINK("http://www.klk-ortner.at","Website")</f>
        <v>Website</v>
      </c>
      <c r="D2108" t="str">
        <f>HYPERLINK("http://www.google.com/maps/place/48.21161,14.28037","Location")</f>
        <v>Location</v>
      </c>
      <c r="E2108" t="s">
        <v>18623</v>
      </c>
      <c r="F2108" t="s">
        <v>18624</v>
      </c>
      <c r="G2108" t="s">
        <v>10237</v>
      </c>
      <c r="H2108" t="s">
        <v>10238</v>
      </c>
      <c r="I2108" t="s">
        <v>85</v>
      </c>
      <c r="J2108" t="s">
        <v>22</v>
      </c>
      <c r="K2108" t="s">
        <v>18625</v>
      </c>
      <c r="L2108" t="s">
        <v>18628</v>
      </c>
      <c r="M2108" t="s">
        <v>25</v>
      </c>
      <c r="N2108" t="s">
        <v>18629</v>
      </c>
      <c r="O2108" t="s">
        <v>25</v>
      </c>
      <c r="P2108" t="s">
        <v>18630</v>
      </c>
      <c r="Q2108" t="s">
        <v>29</v>
      </c>
      <c r="R2108" t="s">
        <v>18626</v>
      </c>
      <c r="S2108" t="s">
        <v>18627</v>
      </c>
    </row>
    <row r="2109" spans="1:19" x14ac:dyDescent="0.25">
      <c r="A2109" s="1">
        <v>2107</v>
      </c>
      <c r="B2109" t="str">
        <f>HYPERLINK("https://www.dasschnelle.at/elektro-hochreiter-gmbh-traun-georg-grinninger-straße","Website")</f>
        <v>Website</v>
      </c>
      <c r="C2109" t="str">
        <f>HYPERLINK("http://www.elektro-hochreiter.at","Website")</f>
        <v>Website</v>
      </c>
      <c r="D2109" t="str">
        <f>HYPERLINK("http://www.google.com/maps/place/48.2213178,14.2356085","Location")</f>
        <v>Location</v>
      </c>
      <c r="E2109" t="s">
        <v>18631</v>
      </c>
      <c r="F2109" t="s">
        <v>18632</v>
      </c>
      <c r="G2109" t="s">
        <v>10227</v>
      </c>
      <c r="H2109" t="s">
        <v>10228</v>
      </c>
      <c r="I2109" t="s">
        <v>85</v>
      </c>
      <c r="J2109" t="s">
        <v>22</v>
      </c>
      <c r="K2109" t="s">
        <v>18633</v>
      </c>
      <c r="L2109" t="s">
        <v>18636</v>
      </c>
      <c r="M2109" t="s">
        <v>25</v>
      </c>
      <c r="N2109" t="s">
        <v>18637</v>
      </c>
      <c r="O2109" t="s">
        <v>25</v>
      </c>
      <c r="P2109" t="s">
        <v>18638</v>
      </c>
      <c r="Q2109" t="s">
        <v>29</v>
      </c>
      <c r="R2109" t="s">
        <v>18634</v>
      </c>
      <c r="S2109" t="s">
        <v>18635</v>
      </c>
    </row>
    <row r="2110" spans="1:19" x14ac:dyDescent="0.25">
      <c r="A2110" s="1">
        <v>2108</v>
      </c>
      <c r="B2110" t="str">
        <f>HYPERLINK("https://www.dasschnelle.at/petruska-antje-traun-georg-grinninger-straße","Website")</f>
        <v>Website</v>
      </c>
      <c r="C2110" t="str">
        <f>HYPERLINK("http://www.aktuell-reinigung.at","Website")</f>
        <v>Website</v>
      </c>
      <c r="D2110" t="str">
        <f>HYPERLINK("http://www.google.com/maps/place/48.22347,14.23412","Location")</f>
        <v>Location</v>
      </c>
      <c r="E2110" t="s">
        <v>18639</v>
      </c>
      <c r="F2110" t="s">
        <v>18640</v>
      </c>
      <c r="G2110" t="s">
        <v>10227</v>
      </c>
      <c r="H2110" t="s">
        <v>10228</v>
      </c>
      <c r="I2110" t="s">
        <v>85</v>
      </c>
      <c r="J2110" t="s">
        <v>22</v>
      </c>
      <c r="K2110" t="s">
        <v>18641</v>
      </c>
      <c r="L2110" t="s">
        <v>18644</v>
      </c>
      <c r="M2110" t="s">
        <v>25</v>
      </c>
      <c r="N2110" t="s">
        <v>18645</v>
      </c>
      <c r="O2110" t="s">
        <v>25</v>
      </c>
      <c r="P2110" t="s">
        <v>18646</v>
      </c>
      <c r="Q2110" t="s">
        <v>29</v>
      </c>
      <c r="R2110" t="s">
        <v>18642</v>
      </c>
      <c r="S2110" t="s">
        <v>18643</v>
      </c>
    </row>
    <row r="2111" spans="1:19" x14ac:dyDescent="0.25">
      <c r="A2111" s="1">
        <v>2109</v>
      </c>
      <c r="B2111" t="str">
        <f>HYPERLINK("https://www.dasschnelle.at/gartengestaltung-oberhuber-gmbh-linz-im-hühnersteig","Website")</f>
        <v>Website</v>
      </c>
      <c r="C2111" t="str">
        <f>HYPERLINK("http://www.gartengestaltung-oberhuber.at","Website")</f>
        <v>Website</v>
      </c>
      <c r="D2111" t="str">
        <f>HYPERLINK("http://www.google.com/maps/place/48.3086100,14.3074800","Location")</f>
        <v>Location</v>
      </c>
      <c r="E2111" t="s">
        <v>18647</v>
      </c>
      <c r="F2111" t="s">
        <v>18648</v>
      </c>
      <c r="G2111" t="s">
        <v>6495</v>
      </c>
      <c r="H2111" t="s">
        <v>6496</v>
      </c>
      <c r="I2111" t="s">
        <v>85</v>
      </c>
      <c r="J2111" t="s">
        <v>22</v>
      </c>
      <c r="K2111" t="s">
        <v>18649</v>
      </c>
      <c r="L2111" t="s">
        <v>18652</v>
      </c>
      <c r="M2111" t="s">
        <v>25</v>
      </c>
      <c r="N2111" t="s">
        <v>18653</v>
      </c>
      <c r="O2111" t="s">
        <v>25</v>
      </c>
      <c r="P2111" t="s">
        <v>18654</v>
      </c>
      <c r="Q2111" t="s">
        <v>29</v>
      </c>
      <c r="R2111" t="s">
        <v>18650</v>
      </c>
      <c r="S2111" t="s">
        <v>18651</v>
      </c>
    </row>
    <row r="2112" spans="1:19" x14ac:dyDescent="0.25">
      <c r="A2112" s="1">
        <v>2110</v>
      </c>
      <c r="B2112" t="str">
        <f>HYPERLINK("https://www.dasschnelle.at/handler-peter-mag-deutschlandsberg-hauptplatz","Website")</f>
        <v>Website</v>
      </c>
      <c r="C2112" t="str">
        <f>HYPERLINK("http://www.handler.at","Website")</f>
        <v>Website</v>
      </c>
      <c r="D2112" t="str">
        <f>HYPERLINK("http://www.google.com/maps/place/46.81419,15.21286","Location")</f>
        <v>Location</v>
      </c>
      <c r="E2112" t="s">
        <v>18655</v>
      </c>
      <c r="F2112" t="s">
        <v>18656</v>
      </c>
      <c r="G2112" t="s">
        <v>2921</v>
      </c>
      <c r="H2112" t="s">
        <v>2922</v>
      </c>
      <c r="I2112" t="s">
        <v>451</v>
      </c>
      <c r="J2112" t="s">
        <v>22</v>
      </c>
      <c r="K2112" t="s">
        <v>18657</v>
      </c>
      <c r="L2112" t="s">
        <v>18660</v>
      </c>
      <c r="M2112" t="s">
        <v>25</v>
      </c>
      <c r="N2112" t="s">
        <v>18661</v>
      </c>
      <c r="O2112" t="s">
        <v>25</v>
      </c>
      <c r="P2112" t="s">
        <v>18662</v>
      </c>
      <c r="Q2112" t="s">
        <v>29</v>
      </c>
      <c r="R2112" t="s">
        <v>18658</v>
      </c>
      <c r="S2112" t="s">
        <v>18659</v>
      </c>
    </row>
    <row r="2113" spans="1:19" x14ac:dyDescent="0.25">
      <c r="A2113" s="1">
        <v>2111</v>
      </c>
      <c r="B2113" t="str">
        <f>HYPERLINK("https://www.dasschnelle.at/holzbau-silan-gmbh-ruden-dobrowa-gewerbestraße","Website")</f>
        <v>Website</v>
      </c>
      <c r="C2113" t="str">
        <f>HYPERLINK("http://www.holzbau-silian.at","Website")</f>
        <v>Website</v>
      </c>
      <c r="D2113" t="str">
        <f>HYPERLINK("http://www.google.com/maps/place/46.64892,14.76976","Location")</f>
        <v>Location</v>
      </c>
      <c r="E2113" t="s">
        <v>18663</v>
      </c>
      <c r="F2113" t="s">
        <v>18664</v>
      </c>
      <c r="G2113" t="s">
        <v>16108</v>
      </c>
      <c r="H2113" t="s">
        <v>16109</v>
      </c>
      <c r="I2113" t="s">
        <v>4130</v>
      </c>
      <c r="J2113" t="s">
        <v>22</v>
      </c>
      <c r="K2113" t="s">
        <v>18665</v>
      </c>
      <c r="L2113" t="s">
        <v>18668</v>
      </c>
      <c r="M2113" t="s">
        <v>25</v>
      </c>
      <c r="N2113" t="s">
        <v>18669</v>
      </c>
      <c r="O2113" t="s">
        <v>18670</v>
      </c>
      <c r="P2113" t="s">
        <v>18671</v>
      </c>
      <c r="Q2113" t="s">
        <v>29</v>
      </c>
      <c r="R2113" t="s">
        <v>18666</v>
      </c>
      <c r="S2113" t="s">
        <v>18667</v>
      </c>
    </row>
    <row r="2114" spans="1:19" x14ac:dyDescent="0.25">
      <c r="A2114" s="1">
        <v>2112</v>
      </c>
      <c r="B2114" t="str">
        <f>HYPERLINK("https://www.dasschnelle.at/meschnark-maximilian-haimburg-haimburg","Website")</f>
        <v>Website</v>
      </c>
      <c r="C2114" t="str">
        <f>HYPERLINK("http://www.maxiglas.at","Website")</f>
        <v>Website</v>
      </c>
      <c r="D2114" t="str">
        <f>HYPERLINK("http://www.google.com/maps/place/46.6935100,14.6694791","Location")</f>
        <v>Location</v>
      </c>
      <c r="E2114" t="s">
        <v>18672</v>
      </c>
      <c r="F2114" t="s">
        <v>18673</v>
      </c>
      <c r="G2114" t="s">
        <v>18675</v>
      </c>
      <c r="H2114" t="s">
        <v>18676</v>
      </c>
      <c r="I2114" t="s">
        <v>4130</v>
      </c>
      <c r="J2114" t="s">
        <v>22</v>
      </c>
      <c r="K2114" t="s">
        <v>18674</v>
      </c>
      <c r="L2114" t="s">
        <v>18679</v>
      </c>
      <c r="M2114" t="s">
        <v>25</v>
      </c>
      <c r="N2114" t="s">
        <v>18680</v>
      </c>
      <c r="O2114" t="s">
        <v>25</v>
      </c>
      <c r="P2114" t="s">
        <v>18681</v>
      </c>
      <c r="Q2114" t="s">
        <v>29</v>
      </c>
      <c r="R2114" t="s">
        <v>18677</v>
      </c>
      <c r="S2114" t="s">
        <v>18678</v>
      </c>
    </row>
    <row r="2115" spans="1:19" x14ac:dyDescent="0.25">
      <c r="A2115" s="1">
        <v>2113</v>
      </c>
      <c r="B2115" t="str">
        <f>HYPERLINK("https://www.dasschnelle.at/bugari-adri-ansfelden-audorf-traunuferstraße","Website")</f>
        <v>Website</v>
      </c>
      <c r="C2115" t="str">
        <f>HYPERLINK("http://www.adri-bugari.at","Website")</f>
        <v>Website</v>
      </c>
      <c r="D2115" t="str">
        <f>HYPERLINK("http://www.google.com/maps/place/48.2152235,14.2782581","Location")</f>
        <v>Location</v>
      </c>
      <c r="E2115" t="s">
        <v>18682</v>
      </c>
      <c r="F2115" t="s">
        <v>18683</v>
      </c>
      <c r="G2115" t="s">
        <v>10237</v>
      </c>
      <c r="H2115" t="s">
        <v>10238</v>
      </c>
      <c r="I2115" t="s">
        <v>85</v>
      </c>
      <c r="J2115" t="s">
        <v>22</v>
      </c>
      <c r="K2115" t="s">
        <v>18684</v>
      </c>
      <c r="L2115" t="s">
        <v>18687</v>
      </c>
      <c r="M2115" t="s">
        <v>25</v>
      </c>
      <c r="N2115" t="s">
        <v>18688</v>
      </c>
      <c r="O2115" t="s">
        <v>25</v>
      </c>
      <c r="P2115" t="s">
        <v>18689</v>
      </c>
      <c r="Q2115" t="s">
        <v>29</v>
      </c>
      <c r="R2115" t="s">
        <v>18685</v>
      </c>
      <c r="S2115" t="s">
        <v>18686</v>
      </c>
    </row>
    <row r="2116" spans="1:19" x14ac:dyDescent="0.25">
      <c r="A2116" s="1">
        <v>2114</v>
      </c>
      <c r="B2116" t="str">
        <f>HYPERLINK("https://www.dasschnelle.at/siso-waffen-und-outdoor-reutte-untermarkt","Website")</f>
        <v>Website</v>
      </c>
      <c r="C2116" t="str">
        <f>HYPERLINK("http://www.waffen-siso.at","Website")</f>
        <v>Website</v>
      </c>
      <c r="D2116" t="str">
        <f>HYPERLINK("http://www.google.com/maps/place/47.4927,10.71769","Location")</f>
        <v>Location</v>
      </c>
      <c r="E2116" t="s">
        <v>18690</v>
      </c>
      <c r="F2116" t="s">
        <v>18691</v>
      </c>
      <c r="G2116" t="s">
        <v>6823</v>
      </c>
      <c r="H2116" t="s">
        <v>6824</v>
      </c>
      <c r="I2116" t="s">
        <v>21</v>
      </c>
      <c r="J2116" t="s">
        <v>22</v>
      </c>
      <c r="K2116" t="s">
        <v>18692</v>
      </c>
      <c r="L2116" t="s">
        <v>18695</v>
      </c>
      <c r="M2116" t="s">
        <v>25</v>
      </c>
      <c r="N2116" t="s">
        <v>18696</v>
      </c>
      <c r="O2116" t="s">
        <v>25</v>
      </c>
      <c r="P2116" t="s">
        <v>18697</v>
      </c>
      <c r="Q2116" t="s">
        <v>29</v>
      </c>
      <c r="R2116" t="s">
        <v>18693</v>
      </c>
      <c r="S2116" t="s">
        <v>18694</v>
      </c>
    </row>
    <row r="2117" spans="1:19" x14ac:dyDescent="0.25">
      <c r="A2117" s="1">
        <v>2115</v>
      </c>
      <c r="B2117" t="str">
        <f>HYPERLINK("https://www.dasschnelle.at/stiegenmeister-gmbh-goisern-weißenbachstraße","Website")</f>
        <v>Website</v>
      </c>
      <c r="C2117" t="str">
        <f>HYPERLINK("http://www.stiegenmeister.at","Website")</f>
        <v>Website</v>
      </c>
      <c r="D2117" t="str">
        <f>HYPERLINK("http://www.google.com/maps/place/47.6621702,13.6062739","Location")</f>
        <v>Location</v>
      </c>
      <c r="E2117" t="s">
        <v>18698</v>
      </c>
      <c r="F2117" t="s">
        <v>18699</v>
      </c>
      <c r="G2117" t="s">
        <v>2335</v>
      </c>
      <c r="H2117" t="s">
        <v>2347</v>
      </c>
      <c r="I2117" t="s">
        <v>85</v>
      </c>
      <c r="J2117" t="s">
        <v>22</v>
      </c>
      <c r="K2117" t="s">
        <v>18700</v>
      </c>
      <c r="L2117" t="s">
        <v>18703</v>
      </c>
      <c r="M2117" t="s">
        <v>25</v>
      </c>
      <c r="N2117" t="s">
        <v>18704</v>
      </c>
      <c r="O2117" t="s">
        <v>18705</v>
      </c>
      <c r="P2117" t="s">
        <v>18706</v>
      </c>
      <c r="Q2117" t="s">
        <v>29</v>
      </c>
      <c r="R2117" t="s">
        <v>18701</v>
      </c>
      <c r="S2117" t="s">
        <v>18702</v>
      </c>
    </row>
    <row r="2118" spans="1:19" x14ac:dyDescent="0.25">
      <c r="A2118" s="1">
        <v>2116</v>
      </c>
      <c r="B2118" t="str">
        <f>HYPERLINK("https://www.dasschnelle.at/nierlich-gmbh-st-wolfgang-im-salzkammergut-schwarzenbach","Website")</f>
        <v>Website</v>
      </c>
      <c r="C2118" t="str">
        <f>HYPERLINK("http://www.nierlich.net","Website")</f>
        <v>Website</v>
      </c>
      <c r="D2118" t="str">
        <f>HYPERLINK("http://www.google.com/maps/place/47.7270807,13.4897980","Location")</f>
        <v>Location</v>
      </c>
      <c r="E2118" t="s">
        <v>18707</v>
      </c>
      <c r="F2118" t="s">
        <v>18708</v>
      </c>
      <c r="G2118" t="s">
        <v>2290</v>
      </c>
      <c r="H2118" t="s">
        <v>2291</v>
      </c>
      <c r="I2118" t="s">
        <v>85</v>
      </c>
      <c r="J2118" t="s">
        <v>22</v>
      </c>
      <c r="K2118" t="s">
        <v>18709</v>
      </c>
      <c r="L2118" t="s">
        <v>18712</v>
      </c>
      <c r="M2118" t="s">
        <v>25</v>
      </c>
      <c r="N2118" t="s">
        <v>18713</v>
      </c>
      <c r="O2118" t="s">
        <v>18714</v>
      </c>
      <c r="P2118" t="s">
        <v>18715</v>
      </c>
      <c r="Q2118" t="s">
        <v>29</v>
      </c>
      <c r="R2118" t="s">
        <v>18710</v>
      </c>
      <c r="S2118" t="s">
        <v>18711</v>
      </c>
    </row>
    <row r="2119" spans="1:19" x14ac:dyDescent="0.25">
      <c r="A2119" s="1">
        <v>2117</v>
      </c>
      <c r="B2119" t="str">
        <f>HYPERLINK("https://www.dasschnelle.at/elektrotechnik-georg-eisl-gmbh-gschwendt","Website")</f>
        <v>Website</v>
      </c>
      <c r="C2119" t="str">
        <f>HYPERLINK("http://www.elektro-eisl.at","Website")</f>
        <v>Website</v>
      </c>
      <c r="D2119" t="str">
        <f>HYPERLINK("http://www.google.com/maps/place/47.7251885,13.4234594","Location")</f>
        <v>Location</v>
      </c>
      <c r="E2119" t="s">
        <v>18716</v>
      </c>
      <c r="F2119" t="s">
        <v>18717</v>
      </c>
      <c r="G2119" t="s">
        <v>18718</v>
      </c>
      <c r="H2119" t="s">
        <v>18719</v>
      </c>
      <c r="I2119" t="s">
        <v>2239</v>
      </c>
      <c r="J2119" t="s">
        <v>22</v>
      </c>
      <c r="K2119" t="s">
        <v>25</v>
      </c>
      <c r="L2119" t="s">
        <v>18722</v>
      </c>
      <c r="M2119" t="s">
        <v>18723</v>
      </c>
      <c r="N2119" t="s">
        <v>18724</v>
      </c>
      <c r="O2119" t="s">
        <v>18725</v>
      </c>
      <c r="P2119" t="s">
        <v>18726</v>
      </c>
      <c r="Q2119" t="s">
        <v>29</v>
      </c>
      <c r="R2119" t="s">
        <v>18720</v>
      </c>
      <c r="S2119" t="s">
        <v>18721</v>
      </c>
    </row>
    <row r="2120" spans="1:19" x14ac:dyDescent="0.25">
      <c r="A2120" s="1">
        <v>2118</v>
      </c>
      <c r="B2120" t="str">
        <f>HYPERLINK("https://www.dasschnelle.at/stimitzer-heimo-reitern","Website")</f>
        <v>Website</v>
      </c>
      <c r="C2120" t="str">
        <f>HYPERLINK("http://www.meisterdach-glas.at","Website")</f>
        <v>Website</v>
      </c>
      <c r="D2120" t="str">
        <f>HYPERLINK("http://www.google.com/maps/place/47.6213090,13.6409865","Location")</f>
        <v>Location</v>
      </c>
      <c r="E2120" t="s">
        <v>18727</v>
      </c>
      <c r="F2120" t="s">
        <v>18728</v>
      </c>
      <c r="G2120" t="s">
        <v>2335</v>
      </c>
      <c r="H2120" t="s">
        <v>18729</v>
      </c>
      <c r="I2120" t="s">
        <v>85</v>
      </c>
      <c r="J2120" t="s">
        <v>22</v>
      </c>
      <c r="K2120" t="s">
        <v>25</v>
      </c>
      <c r="L2120" t="s">
        <v>18732</v>
      </c>
      <c r="M2120" t="s">
        <v>25</v>
      </c>
      <c r="N2120" t="s">
        <v>18733</v>
      </c>
      <c r="O2120" t="s">
        <v>18734</v>
      </c>
      <c r="P2120" t="s">
        <v>18735</v>
      </c>
      <c r="Q2120" t="s">
        <v>29</v>
      </c>
      <c r="R2120" t="s">
        <v>18730</v>
      </c>
      <c r="S2120" t="s">
        <v>18731</v>
      </c>
    </row>
    <row r="2121" spans="1:19" x14ac:dyDescent="0.25">
      <c r="A2121" s="1">
        <v>2119</v>
      </c>
      <c r="B2121" t="str">
        <f>HYPERLINK("https://www.dasschnelle.at/jachs-küchen-gesmbh-bad-ischl-auweg","Website")</f>
        <v>Website</v>
      </c>
      <c r="C2121" t="str">
        <f>HYPERLINK("http://www.jachs-kuechen.at","Website")</f>
        <v>Website</v>
      </c>
      <c r="D2121" t="str">
        <f>HYPERLINK("http://www.google.com/maps/place/47.6917400,13.6204400","Location")</f>
        <v>Location</v>
      </c>
      <c r="E2121" t="s">
        <v>18736</v>
      </c>
      <c r="F2121" t="s">
        <v>18737</v>
      </c>
      <c r="G2121" t="s">
        <v>2377</v>
      </c>
      <c r="H2121" t="s">
        <v>2378</v>
      </c>
      <c r="I2121" t="s">
        <v>85</v>
      </c>
      <c r="J2121" t="s">
        <v>22</v>
      </c>
      <c r="K2121" t="s">
        <v>18738</v>
      </c>
      <c r="L2121" t="s">
        <v>18741</v>
      </c>
      <c r="M2121" t="s">
        <v>25</v>
      </c>
      <c r="N2121" t="s">
        <v>18742</v>
      </c>
      <c r="O2121" t="s">
        <v>18743</v>
      </c>
      <c r="P2121" t="s">
        <v>18744</v>
      </c>
      <c r="Q2121" t="s">
        <v>29</v>
      </c>
      <c r="R2121" t="s">
        <v>18739</v>
      </c>
      <c r="S2121" t="s">
        <v>18740</v>
      </c>
    </row>
    <row r="2122" spans="1:19" x14ac:dyDescent="0.25">
      <c r="A2122" s="1">
        <v>2120</v>
      </c>
      <c r="B2122" t="str">
        <f>HYPERLINK("https://www.dasschnelle.at/loidhammer-johann-tischlerei-u-einrichtungshaus-gesmbh-und-co-kg-kreutern-köhlerweg","Website")</f>
        <v>Website</v>
      </c>
      <c r="C2122" t="str">
        <f>HYPERLINK("http://www.loidhammer.at","Website")</f>
        <v>Website</v>
      </c>
      <c r="D2122" t="str">
        <f>HYPERLINK("http://www.google.com/maps/place/47.72461,13.59062","Location")</f>
        <v>Location</v>
      </c>
      <c r="E2122" t="s">
        <v>18745</v>
      </c>
      <c r="F2122" t="s">
        <v>18746</v>
      </c>
      <c r="G2122" t="s">
        <v>2377</v>
      </c>
      <c r="H2122" t="s">
        <v>18748</v>
      </c>
      <c r="I2122" t="s">
        <v>85</v>
      </c>
      <c r="J2122" t="s">
        <v>22</v>
      </c>
      <c r="K2122" t="s">
        <v>18747</v>
      </c>
      <c r="L2122" t="s">
        <v>18751</v>
      </c>
      <c r="M2122" t="s">
        <v>25</v>
      </c>
      <c r="N2122" t="s">
        <v>18752</v>
      </c>
      <c r="O2122" t="s">
        <v>18753</v>
      </c>
      <c r="P2122" t="s">
        <v>18754</v>
      </c>
      <c r="Q2122" t="s">
        <v>29</v>
      </c>
      <c r="R2122" t="s">
        <v>18749</v>
      </c>
      <c r="S2122" t="s">
        <v>18750</v>
      </c>
    </row>
    <row r="2123" spans="1:19" x14ac:dyDescent="0.25">
      <c r="A2123" s="1">
        <v>2121</v>
      </c>
      <c r="B2123" t="str">
        <f>HYPERLINK("https://www.dasschnelle.at/roither-hannes-bad-ischl-kreuterer-straße","Website")</f>
        <v>Website</v>
      </c>
      <c r="C2123" t="str">
        <f>HYPERLINK("http://www.tor-tuer-zaun.at","Website")</f>
        <v>Website</v>
      </c>
      <c r="D2123" t="str">
        <f>HYPERLINK("http://www.google.com/maps/place/47.72174,13.59265","Location")</f>
        <v>Location</v>
      </c>
      <c r="E2123" t="s">
        <v>18755</v>
      </c>
      <c r="F2123" t="s">
        <v>18756</v>
      </c>
      <c r="G2123" t="s">
        <v>2377</v>
      </c>
      <c r="H2123" t="s">
        <v>2378</v>
      </c>
      <c r="I2123" t="s">
        <v>85</v>
      </c>
      <c r="J2123" t="s">
        <v>22</v>
      </c>
      <c r="K2123" t="s">
        <v>18757</v>
      </c>
      <c r="L2123" t="s">
        <v>18759</v>
      </c>
      <c r="M2123" t="s">
        <v>25</v>
      </c>
      <c r="N2123" t="s">
        <v>18760</v>
      </c>
      <c r="O2123" t="s">
        <v>18761</v>
      </c>
      <c r="P2123" t="s">
        <v>18762</v>
      </c>
      <c r="Q2123" t="s">
        <v>29</v>
      </c>
      <c r="R2123" t="s">
        <v>17192</v>
      </c>
      <c r="S2123" t="s">
        <v>18758</v>
      </c>
    </row>
    <row r="2124" spans="1:19" x14ac:dyDescent="0.25">
      <c r="A2124" s="1">
        <v>2122</v>
      </c>
      <c r="B2124" t="str">
        <f>HYPERLINK("https://www.dasschnelle.at/kuchar-evelyn-eberndorf-kirchplatz","Website")</f>
        <v>Website</v>
      </c>
      <c r="C2124" t="str">
        <f>HYPERLINK("https://www.dasschnelle.at/kuchar-evelyn-eberndorf-kirchplatz","Website")</f>
        <v>Website</v>
      </c>
      <c r="D2124" t="str">
        <f>HYPERLINK("http://www.google.com/maps/place/46.59138,14.64183","Location")</f>
        <v>Location</v>
      </c>
      <c r="E2124" t="s">
        <v>18763</v>
      </c>
      <c r="F2124" t="s">
        <v>18764</v>
      </c>
      <c r="G2124" t="s">
        <v>15559</v>
      </c>
      <c r="H2124" t="s">
        <v>15560</v>
      </c>
      <c r="I2124" t="s">
        <v>4130</v>
      </c>
      <c r="J2124" t="s">
        <v>22</v>
      </c>
      <c r="K2124" t="s">
        <v>18765</v>
      </c>
      <c r="L2124" t="s">
        <v>18768</v>
      </c>
      <c r="M2124" t="s">
        <v>25</v>
      </c>
      <c r="N2124" t="s">
        <v>18769</v>
      </c>
      <c r="O2124" t="s">
        <v>25</v>
      </c>
      <c r="P2124" t="s">
        <v>18770</v>
      </c>
      <c r="Q2124" t="s">
        <v>29</v>
      </c>
      <c r="R2124" t="s">
        <v>18766</v>
      </c>
      <c r="S2124" t="s">
        <v>18767</v>
      </c>
    </row>
    <row r="2125" spans="1:19" x14ac:dyDescent="0.25">
      <c r="A2125" s="1">
        <v>2123</v>
      </c>
      <c r="B2125" t="str">
        <f>HYPERLINK("https://www.dasschnelle.at/inderst-martin-biberwier-im-tal","Website")</f>
        <v>Website</v>
      </c>
      <c r="C2125" t="str">
        <f>HYPERLINK("http://www.raumaustattung-inderst.at","Website")</f>
        <v>Website</v>
      </c>
      <c r="D2125" t="str">
        <f>HYPERLINK("http://www.google.com/maps/place/47.37731,10.8878","Location")</f>
        <v>Location</v>
      </c>
      <c r="E2125" t="s">
        <v>18771</v>
      </c>
      <c r="F2125" t="s">
        <v>18772</v>
      </c>
      <c r="G2125" t="s">
        <v>18774</v>
      </c>
      <c r="H2125" t="s">
        <v>18775</v>
      </c>
      <c r="I2125" t="s">
        <v>21</v>
      </c>
      <c r="J2125" t="s">
        <v>22</v>
      </c>
      <c r="K2125" t="s">
        <v>18773</v>
      </c>
      <c r="L2125" t="s">
        <v>18778</v>
      </c>
      <c r="M2125" t="s">
        <v>25</v>
      </c>
      <c r="N2125" t="s">
        <v>18779</v>
      </c>
      <c r="O2125" t="s">
        <v>25</v>
      </c>
      <c r="P2125" t="s">
        <v>18780</v>
      </c>
      <c r="Q2125" t="s">
        <v>29</v>
      </c>
      <c r="R2125" t="s">
        <v>18776</v>
      </c>
      <c r="S2125" t="s">
        <v>18777</v>
      </c>
    </row>
    <row r="2126" spans="1:19" x14ac:dyDescent="0.25">
      <c r="A2126" s="1">
        <v>2124</v>
      </c>
      <c r="B2126" t="str">
        <f>HYPERLINK("https://www.dasschnelle.at/putz-alexander-bad-goisern-bundesstraße","Website")</f>
        <v>Website</v>
      </c>
      <c r="C2126" t="str">
        <f>HYPERLINK("http://www.alexputz.at","Website")</f>
        <v>Website</v>
      </c>
      <c r="D2126" t="str">
        <f>HYPERLINK("http://www.google.com/maps/place/47.6565,13.60984","Location")</f>
        <v>Location</v>
      </c>
      <c r="E2126" t="s">
        <v>18781</v>
      </c>
      <c r="F2126" t="s">
        <v>18782</v>
      </c>
      <c r="G2126" t="s">
        <v>2335</v>
      </c>
      <c r="H2126" t="s">
        <v>2356</v>
      </c>
      <c r="I2126" t="s">
        <v>85</v>
      </c>
      <c r="J2126" t="s">
        <v>22</v>
      </c>
      <c r="K2126" t="s">
        <v>18783</v>
      </c>
      <c r="L2126" t="s">
        <v>18786</v>
      </c>
      <c r="M2126" t="s">
        <v>25</v>
      </c>
      <c r="N2126" t="s">
        <v>25</v>
      </c>
      <c r="O2126" t="s">
        <v>25</v>
      </c>
      <c r="P2126" t="s">
        <v>18787</v>
      </c>
      <c r="Q2126" t="s">
        <v>29</v>
      </c>
      <c r="R2126" t="s">
        <v>18784</v>
      </c>
      <c r="S2126" t="s">
        <v>18785</v>
      </c>
    </row>
    <row r="2127" spans="1:19" x14ac:dyDescent="0.25">
      <c r="A2127" s="1">
        <v>2125</v>
      </c>
      <c r="B2127" t="str">
        <f>HYPERLINK("https://www.dasschnelle.at/klisanin-igor-bad-ischl-kreutererstraße","Website")</f>
        <v>Website</v>
      </c>
      <c r="C2127" t="str">
        <f>HYPERLINK("http://www.igor-malermeister.at","Website")</f>
        <v>Website</v>
      </c>
      <c r="D2127" t="str">
        <f>HYPERLINK("http://www.google.com/maps/place/47.7216268,13.5919775","Location")</f>
        <v>Location</v>
      </c>
      <c r="E2127" t="s">
        <v>18788</v>
      </c>
      <c r="F2127" t="s">
        <v>18789</v>
      </c>
      <c r="G2127" t="s">
        <v>2377</v>
      </c>
      <c r="H2127" t="s">
        <v>2378</v>
      </c>
      <c r="I2127" t="s">
        <v>85</v>
      </c>
      <c r="J2127" t="s">
        <v>22</v>
      </c>
      <c r="K2127" t="s">
        <v>18790</v>
      </c>
      <c r="L2127" t="s">
        <v>18793</v>
      </c>
      <c r="M2127" t="s">
        <v>25</v>
      </c>
      <c r="N2127" t="s">
        <v>18794</v>
      </c>
      <c r="O2127" t="s">
        <v>18795</v>
      </c>
      <c r="P2127" t="s">
        <v>18796</v>
      </c>
      <c r="Q2127" t="s">
        <v>29</v>
      </c>
      <c r="R2127" t="s">
        <v>18791</v>
      </c>
      <c r="S2127" t="s">
        <v>18792</v>
      </c>
    </row>
    <row r="2128" spans="1:19" x14ac:dyDescent="0.25">
      <c r="A2128" s="1">
        <v>2126</v>
      </c>
      <c r="B2128" t="str">
        <f>HYPERLINK("https://www.dasschnelle.at/gneuss-nadine-bad-ischl-leharkai","Website")</f>
        <v>Website</v>
      </c>
      <c r="C2128" t="str">
        <f>HYPERLINK("http://www.loox.co.at","Website")</f>
        <v>Website</v>
      </c>
      <c r="D2128" t="str">
        <f>HYPERLINK("http://www.google.com/maps/place/47.6968188,13.6226653","Location")</f>
        <v>Location</v>
      </c>
      <c r="E2128" t="s">
        <v>18797</v>
      </c>
      <c r="F2128" t="s">
        <v>18798</v>
      </c>
      <c r="G2128" t="s">
        <v>2377</v>
      </c>
      <c r="H2128" t="s">
        <v>2378</v>
      </c>
      <c r="I2128" t="s">
        <v>85</v>
      </c>
      <c r="J2128" t="s">
        <v>22</v>
      </c>
      <c r="K2128" t="s">
        <v>18799</v>
      </c>
      <c r="L2128" t="s">
        <v>18802</v>
      </c>
      <c r="M2128" t="s">
        <v>25</v>
      </c>
      <c r="N2128" t="s">
        <v>18803</v>
      </c>
      <c r="O2128" t="s">
        <v>25</v>
      </c>
      <c r="P2128" t="s">
        <v>18804</v>
      </c>
      <c r="Q2128" t="s">
        <v>29</v>
      </c>
      <c r="R2128" t="s">
        <v>18800</v>
      </c>
      <c r="S2128" t="s">
        <v>18801</v>
      </c>
    </row>
    <row r="2129" spans="1:19" x14ac:dyDescent="0.25">
      <c r="A2129" s="1">
        <v>2127</v>
      </c>
      <c r="B2129" t="str">
        <f>HYPERLINK("https://www.dasschnelle.at/frisör-haarakiri-bad-ischl-lindaustraße","Website")</f>
        <v>Website</v>
      </c>
      <c r="C2129" t="str">
        <f>HYPERLINK("https://www.dasschnelle.at/fris%C3%B6r-haarakiri-bad-ischl-lindaustra%C3%9Fe","Website")</f>
        <v>Website</v>
      </c>
      <c r="D2129" t="str">
        <f>HYPERLINK("http://www.google.com/maps/place/47.71087,13.55847","Location")</f>
        <v>Location</v>
      </c>
      <c r="E2129" t="s">
        <v>18805</v>
      </c>
      <c r="F2129" t="s">
        <v>18806</v>
      </c>
      <c r="G2129" t="s">
        <v>2377</v>
      </c>
      <c r="H2129" t="s">
        <v>2378</v>
      </c>
      <c r="I2129" t="s">
        <v>85</v>
      </c>
      <c r="J2129" t="s">
        <v>22</v>
      </c>
      <c r="K2129" t="s">
        <v>18807</v>
      </c>
      <c r="L2129" t="s">
        <v>18810</v>
      </c>
      <c r="M2129" t="s">
        <v>25</v>
      </c>
      <c r="N2129" t="s">
        <v>25</v>
      </c>
      <c r="O2129" t="s">
        <v>25</v>
      </c>
      <c r="P2129" t="s">
        <v>18811</v>
      </c>
      <c r="Q2129" t="s">
        <v>29</v>
      </c>
      <c r="R2129" t="s">
        <v>18808</v>
      </c>
      <c r="S2129" t="s">
        <v>18809</v>
      </c>
    </row>
    <row r="2130" spans="1:19" x14ac:dyDescent="0.25">
      <c r="A2130" s="1">
        <v>2128</v>
      </c>
      <c r="B2130" t="str">
        <f>HYPERLINK("https://www.dasschnelle.at/soldan-salzmann-angelika-dr-eferding-welser-straße","Website")</f>
        <v>Website</v>
      </c>
      <c r="C2130" t="str">
        <f>HYPERLINK("http://www.dr-salzmann.at","Website")</f>
        <v>Website</v>
      </c>
      <c r="D2130" t="str">
        <f>HYPERLINK("http://www.google.com/maps/place/48.30633,14.02269","Location")</f>
        <v>Location</v>
      </c>
      <c r="E2130" t="s">
        <v>18812</v>
      </c>
      <c r="F2130" t="s">
        <v>18813</v>
      </c>
      <c r="G2130" t="s">
        <v>3101</v>
      </c>
      <c r="H2130" t="s">
        <v>3102</v>
      </c>
      <c r="I2130" t="s">
        <v>85</v>
      </c>
      <c r="J2130" t="s">
        <v>22</v>
      </c>
      <c r="K2130" t="s">
        <v>14956</v>
      </c>
      <c r="L2130" t="s">
        <v>18814</v>
      </c>
      <c r="M2130" t="s">
        <v>25</v>
      </c>
      <c r="N2130" t="s">
        <v>18815</v>
      </c>
      <c r="O2130" t="s">
        <v>18816</v>
      </c>
      <c r="P2130" t="s">
        <v>18817</v>
      </c>
      <c r="Q2130" t="s">
        <v>29</v>
      </c>
      <c r="R2130" t="s">
        <v>14957</v>
      </c>
      <c r="S2130" t="s">
        <v>14958</v>
      </c>
    </row>
    <row r="2131" spans="1:19" x14ac:dyDescent="0.25">
      <c r="A2131" s="1">
        <v>2129</v>
      </c>
      <c r="B2131" t="str">
        <f>HYPERLINK("https://www.dasschnelle.at/autohaus-scheichl-bad-ischl-linzer-straße","Website")</f>
        <v>Website</v>
      </c>
      <c r="C2131" t="str">
        <f>HYPERLINK("http://www.autohausscheichl.at","Website")</f>
        <v>Website</v>
      </c>
      <c r="D2131" t="str">
        <f>HYPERLINK("http://www.google.com/maps/place/47.71958,13.63711","Location")</f>
        <v>Location</v>
      </c>
      <c r="E2131" t="s">
        <v>18818</v>
      </c>
      <c r="F2131" t="s">
        <v>18819</v>
      </c>
      <c r="G2131" t="s">
        <v>2377</v>
      </c>
      <c r="H2131" t="s">
        <v>2378</v>
      </c>
      <c r="I2131" t="s">
        <v>85</v>
      </c>
      <c r="J2131" t="s">
        <v>22</v>
      </c>
      <c r="K2131" t="s">
        <v>4109</v>
      </c>
      <c r="L2131" t="s">
        <v>18822</v>
      </c>
      <c r="M2131" t="s">
        <v>25</v>
      </c>
      <c r="N2131" t="s">
        <v>18823</v>
      </c>
      <c r="O2131" t="s">
        <v>25</v>
      </c>
      <c r="P2131" t="s">
        <v>18824</v>
      </c>
      <c r="Q2131" t="s">
        <v>29</v>
      </c>
      <c r="R2131" t="s">
        <v>18820</v>
      </c>
      <c r="S2131" t="s">
        <v>18821</v>
      </c>
    </row>
    <row r="2132" spans="1:19" x14ac:dyDescent="0.25">
      <c r="A2132" s="1">
        <v>2130</v>
      </c>
      <c r="B2132" t="str">
        <f>HYPERLINK("https://www.dasschnelle.at/hans-würtl-hochfilzen-genussstraße","Website")</f>
        <v>Website</v>
      </c>
      <c r="C2132" t="str">
        <f>HYPERLINK("https://www.dasschnelle.at/hans-w%C3%BCrtl-hochfilzen-genussstra%C3%9Fe","Website")</f>
        <v>Website</v>
      </c>
      <c r="D2132" t="str">
        <f>HYPERLINK("http://www.google.com/maps/place/47.49445,12.52279","Location")</f>
        <v>Location</v>
      </c>
      <c r="E2132" t="s">
        <v>18825</v>
      </c>
      <c r="F2132" t="s">
        <v>18826</v>
      </c>
      <c r="G2132" t="s">
        <v>18828</v>
      </c>
      <c r="H2132" t="s">
        <v>18829</v>
      </c>
      <c r="I2132" t="s">
        <v>21</v>
      </c>
      <c r="J2132" t="s">
        <v>22</v>
      </c>
      <c r="K2132" t="s">
        <v>18827</v>
      </c>
      <c r="L2132" t="s">
        <v>18832</v>
      </c>
      <c r="M2132" t="s">
        <v>25</v>
      </c>
      <c r="N2132" t="s">
        <v>18833</v>
      </c>
      <c r="O2132" t="s">
        <v>25</v>
      </c>
      <c r="P2132" t="s">
        <v>18834</v>
      </c>
      <c r="Q2132" t="s">
        <v>29</v>
      </c>
      <c r="R2132" t="s">
        <v>18830</v>
      </c>
      <c r="S2132" t="s">
        <v>18831</v>
      </c>
    </row>
    <row r="2133" spans="1:19" x14ac:dyDescent="0.25">
      <c r="A2133" s="1">
        <v>2131</v>
      </c>
      <c r="B2133" t="str">
        <f>HYPERLINK("https://www.dasschnelle.at/schwarz-robert-bad-ischl-nestroyweg","Website")</f>
        <v>Website</v>
      </c>
      <c r="C2133" t="str">
        <f>HYPERLINK("http://www.allianz.at/beratung/schwarz","Website")</f>
        <v>Website</v>
      </c>
      <c r="D2133" t="str">
        <f>HYPERLINK("http://www.google.com/maps/place/47.71177,13.61688","Location")</f>
        <v>Location</v>
      </c>
      <c r="E2133" t="s">
        <v>18835</v>
      </c>
      <c r="F2133" t="s">
        <v>18836</v>
      </c>
      <c r="G2133" t="s">
        <v>2377</v>
      </c>
      <c r="H2133" t="s">
        <v>2378</v>
      </c>
      <c r="I2133" t="s">
        <v>85</v>
      </c>
      <c r="J2133" t="s">
        <v>22</v>
      </c>
      <c r="K2133" t="s">
        <v>18837</v>
      </c>
      <c r="L2133" t="s">
        <v>18840</v>
      </c>
      <c r="M2133" t="s">
        <v>18841</v>
      </c>
      <c r="N2133" t="s">
        <v>18842</v>
      </c>
      <c r="O2133" t="s">
        <v>25</v>
      </c>
      <c r="P2133" t="s">
        <v>18843</v>
      </c>
      <c r="Q2133" t="s">
        <v>29</v>
      </c>
      <c r="R2133" t="s">
        <v>18838</v>
      </c>
      <c r="S2133" t="s">
        <v>18839</v>
      </c>
    </row>
    <row r="2134" spans="1:19" x14ac:dyDescent="0.25">
      <c r="A2134" s="1">
        <v>2132</v>
      </c>
      <c r="B2134" t="str">
        <f>HYPERLINK("https://www.dasschnelle.at/aigner-ing-wasser-wärme-umwelt-gmbh-neuhofen-an-der-krems-kremstalstraße","Website")</f>
        <v>Website</v>
      </c>
      <c r="C2134" t="str">
        <f>HYPERLINK("http://www.ing-aigner.at","Website")</f>
        <v>Website</v>
      </c>
      <c r="D2134" t="str">
        <f>HYPERLINK("http://www.google.com/maps/place/48.13576,14.22661","Location")</f>
        <v>Location</v>
      </c>
      <c r="E2134" t="s">
        <v>18844</v>
      </c>
      <c r="F2134" t="s">
        <v>18845</v>
      </c>
      <c r="G2134" t="s">
        <v>12931</v>
      </c>
      <c r="H2134" t="s">
        <v>12932</v>
      </c>
      <c r="I2134" t="s">
        <v>85</v>
      </c>
      <c r="J2134" t="s">
        <v>22</v>
      </c>
      <c r="K2134" t="s">
        <v>18846</v>
      </c>
      <c r="L2134" t="s">
        <v>18849</v>
      </c>
      <c r="M2134" t="s">
        <v>25</v>
      </c>
      <c r="N2134" t="s">
        <v>18850</v>
      </c>
      <c r="O2134" t="s">
        <v>25</v>
      </c>
      <c r="P2134" t="s">
        <v>18851</v>
      </c>
      <c r="Q2134" t="s">
        <v>29</v>
      </c>
      <c r="R2134" t="s">
        <v>18847</v>
      </c>
      <c r="S2134" t="s">
        <v>18848</v>
      </c>
    </row>
    <row r="2135" spans="1:19" x14ac:dyDescent="0.25">
      <c r="A2135" s="1">
        <v>2133</v>
      </c>
      <c r="B2135" t="str">
        <f>HYPERLINK("https://www.dasschnelle.at/schanner-franz-puchberg-am-schneeberg-schneebergstraße","Website")</f>
        <v>Website</v>
      </c>
      <c r="C2135" t="str">
        <f>HYPERLINK("http://www.schanner-erdbau.at","Website")</f>
        <v>Website</v>
      </c>
      <c r="D2135" t="str">
        <f>HYPERLINK("http://www.google.com/maps/place/47.7794100,15.8707000","Location")</f>
        <v>Location</v>
      </c>
      <c r="E2135" t="s">
        <v>18852</v>
      </c>
      <c r="F2135" t="s">
        <v>18853</v>
      </c>
      <c r="G2135" t="s">
        <v>5783</v>
      </c>
      <c r="H2135" t="s">
        <v>5784</v>
      </c>
      <c r="I2135" t="s">
        <v>177</v>
      </c>
      <c r="J2135" t="s">
        <v>22</v>
      </c>
      <c r="K2135" t="s">
        <v>18854</v>
      </c>
      <c r="L2135" t="s">
        <v>18857</v>
      </c>
      <c r="M2135" t="s">
        <v>25</v>
      </c>
      <c r="N2135" t="s">
        <v>18858</v>
      </c>
      <c r="O2135" t="s">
        <v>25</v>
      </c>
      <c r="P2135" t="s">
        <v>18859</v>
      </c>
      <c r="Q2135" t="s">
        <v>29</v>
      </c>
      <c r="R2135" t="s">
        <v>18855</v>
      </c>
      <c r="S2135" t="s">
        <v>18856</v>
      </c>
    </row>
    <row r="2136" spans="1:19" x14ac:dyDescent="0.25">
      <c r="A2136" s="1">
        <v>2134</v>
      </c>
      <c r="B2136" t="str">
        <f>HYPERLINK("https://www.dasschnelle.at/lugstein-haustechnik-straßwalchen-holzfeld","Website")</f>
        <v>Website</v>
      </c>
      <c r="C2136" t="str">
        <f>HYPERLINK("http://www.lugstein-haustechnik.at","Website")</f>
        <v>Website</v>
      </c>
      <c r="D2136" t="str">
        <f>HYPERLINK("http://www.google.com/maps/place/47.9736557,13.2380198","Location")</f>
        <v>Location</v>
      </c>
      <c r="E2136" t="s">
        <v>18860</v>
      </c>
      <c r="F2136" t="s">
        <v>18861</v>
      </c>
      <c r="G2136" t="s">
        <v>10545</v>
      </c>
      <c r="H2136" t="s">
        <v>10546</v>
      </c>
      <c r="I2136" t="s">
        <v>2239</v>
      </c>
      <c r="J2136" t="s">
        <v>22</v>
      </c>
      <c r="K2136" t="s">
        <v>18862</v>
      </c>
      <c r="L2136" t="s">
        <v>18865</v>
      </c>
      <c r="M2136" t="s">
        <v>25</v>
      </c>
      <c r="N2136" t="s">
        <v>18866</v>
      </c>
      <c r="O2136" t="s">
        <v>25</v>
      </c>
      <c r="P2136" t="s">
        <v>18867</v>
      </c>
      <c r="Q2136" t="s">
        <v>29</v>
      </c>
      <c r="R2136" t="s">
        <v>18863</v>
      </c>
      <c r="S2136" t="s">
        <v>18864</v>
      </c>
    </row>
    <row r="2137" spans="1:19" x14ac:dyDescent="0.25">
      <c r="A2137" s="1">
        <v>2135</v>
      </c>
      <c r="B2137" t="str">
        <f>HYPERLINK("https://www.dasschnelle.at/reschenhofer-antonia-schwand-im-innkreis-johann-grömer-straße","Website")</f>
        <v>Website</v>
      </c>
      <c r="C2137" t="str">
        <f>HYPERLINK("http://www.kopfschmerzpraxis.at","Website")</f>
        <v>Website</v>
      </c>
      <c r="D2137" t="str">
        <f>HYPERLINK("http://www.google.com/maps/place/48.17879,12.97138","Location")</f>
        <v>Location</v>
      </c>
      <c r="E2137" t="s">
        <v>18868</v>
      </c>
      <c r="F2137" t="s">
        <v>18869</v>
      </c>
      <c r="G2137" t="s">
        <v>18871</v>
      </c>
      <c r="H2137" t="s">
        <v>18872</v>
      </c>
      <c r="I2137" t="s">
        <v>85</v>
      </c>
      <c r="J2137" t="s">
        <v>22</v>
      </c>
      <c r="K2137" t="s">
        <v>18870</v>
      </c>
      <c r="L2137" t="s">
        <v>18875</v>
      </c>
      <c r="M2137" t="s">
        <v>25</v>
      </c>
      <c r="N2137" t="s">
        <v>18876</v>
      </c>
      <c r="O2137" t="s">
        <v>18877</v>
      </c>
      <c r="P2137" t="s">
        <v>18878</v>
      </c>
      <c r="Q2137" t="s">
        <v>29</v>
      </c>
      <c r="R2137" t="s">
        <v>18873</v>
      </c>
      <c r="S2137" t="s">
        <v>18874</v>
      </c>
    </row>
    <row r="2138" spans="1:19" x14ac:dyDescent="0.25">
      <c r="A2138" s="1">
        <v>2136</v>
      </c>
      <c r="B2138" t="str">
        <f>HYPERLINK("https://www.dasschnelle.at/putz-erhard-bad-goisern-bundesstraße","Website")</f>
        <v>Website</v>
      </c>
      <c r="C2138" t="str">
        <f>HYPERLINK("http://www.immocon.at","Website")</f>
        <v>Website</v>
      </c>
      <c r="D2138" t="str">
        <f>HYPERLINK("http://www.google.com/maps/place/47.652,13.61203","Location")</f>
        <v>Location</v>
      </c>
      <c r="E2138" t="s">
        <v>18879</v>
      </c>
      <c r="F2138" t="s">
        <v>18880</v>
      </c>
      <c r="G2138" t="s">
        <v>2335</v>
      </c>
      <c r="H2138" t="s">
        <v>2356</v>
      </c>
      <c r="I2138" t="s">
        <v>85</v>
      </c>
      <c r="J2138" t="s">
        <v>22</v>
      </c>
      <c r="K2138" t="s">
        <v>18881</v>
      </c>
      <c r="L2138" t="s">
        <v>18884</v>
      </c>
      <c r="M2138" t="s">
        <v>25</v>
      </c>
      <c r="N2138" t="s">
        <v>18885</v>
      </c>
      <c r="O2138" t="s">
        <v>18886</v>
      </c>
      <c r="P2138" t="s">
        <v>18887</v>
      </c>
      <c r="Q2138" t="s">
        <v>29</v>
      </c>
      <c r="R2138" t="s">
        <v>18882</v>
      </c>
      <c r="S2138" t="s">
        <v>18883</v>
      </c>
    </row>
    <row r="2139" spans="1:19" x14ac:dyDescent="0.25">
      <c r="A2139" s="1">
        <v>2137</v>
      </c>
      <c r="B2139" t="str">
        <f>HYPERLINK("https://www.dasschnelle.at/fellner-brigitte-dr-braunau-am-inn-stadtplatz","Website")</f>
        <v>Website</v>
      </c>
      <c r="C2139" t="str">
        <f>HYPERLINK("http://www.gyn-trimmelkam.at","Website")</f>
        <v>Website</v>
      </c>
      <c r="D2139" t="str">
        <f>HYPERLINK("http://www.google.com/maps/place/48.2581768,13.0357619","Location")</f>
        <v>Location</v>
      </c>
      <c r="E2139" t="s">
        <v>18888</v>
      </c>
      <c r="F2139" t="s">
        <v>18889</v>
      </c>
      <c r="G2139" t="s">
        <v>1289</v>
      </c>
      <c r="H2139" t="s">
        <v>1310</v>
      </c>
      <c r="I2139" t="s">
        <v>85</v>
      </c>
      <c r="J2139" t="s">
        <v>22</v>
      </c>
      <c r="K2139" t="s">
        <v>18890</v>
      </c>
      <c r="L2139" t="s">
        <v>18893</v>
      </c>
      <c r="M2139" t="s">
        <v>25</v>
      </c>
      <c r="N2139" t="s">
        <v>18894</v>
      </c>
      <c r="O2139" t="s">
        <v>25</v>
      </c>
      <c r="P2139" t="s">
        <v>18895</v>
      </c>
      <c r="Q2139" t="s">
        <v>29</v>
      </c>
      <c r="R2139" t="s">
        <v>18891</v>
      </c>
      <c r="S2139" t="s">
        <v>18892</v>
      </c>
    </row>
    <row r="2140" spans="1:19" x14ac:dyDescent="0.25">
      <c r="A2140" s="1">
        <v>2138</v>
      </c>
      <c r="B2140" t="str">
        <f>HYPERLINK("https://www.dasschnelle.at/besendorfer-herwig-gmbh-bad-goisern-am-hallstättersee-edt","Website")</f>
        <v>Website</v>
      </c>
      <c r="C2140" t="str">
        <f>HYPERLINK("http://www.besendorfer.at","Website")</f>
        <v>Website</v>
      </c>
      <c r="D2140" t="str">
        <f>HYPERLINK("http://www.google.com/maps/place/47.6275697,13.6383949","Location")</f>
        <v>Location</v>
      </c>
      <c r="E2140" t="s">
        <v>18896</v>
      </c>
      <c r="F2140" t="s">
        <v>18897</v>
      </c>
      <c r="G2140" t="s">
        <v>2335</v>
      </c>
      <c r="H2140" t="s">
        <v>2436</v>
      </c>
      <c r="I2140" t="s">
        <v>85</v>
      </c>
      <c r="J2140" t="s">
        <v>22</v>
      </c>
      <c r="K2140" t="s">
        <v>18898</v>
      </c>
      <c r="L2140" t="s">
        <v>18901</v>
      </c>
      <c r="M2140" t="s">
        <v>25</v>
      </c>
      <c r="N2140" t="s">
        <v>18902</v>
      </c>
      <c r="O2140" t="s">
        <v>18903</v>
      </c>
      <c r="P2140" t="s">
        <v>18904</v>
      </c>
      <c r="Q2140" t="s">
        <v>29</v>
      </c>
      <c r="R2140" t="s">
        <v>18899</v>
      </c>
      <c r="S2140" t="s">
        <v>18900</v>
      </c>
    </row>
    <row r="2141" spans="1:19" x14ac:dyDescent="0.25">
      <c r="A2141" s="1">
        <v>2139</v>
      </c>
      <c r="B2141" t="str">
        <f>HYPERLINK("https://www.dasschnelle.at/johann-eder-gmbh-und-co-kg-st-ulrich-am-pillersee-schartental","Website")</f>
        <v>Website</v>
      </c>
      <c r="C2141" t="str">
        <f>HYPERLINK("https://www.dasschnelle.at/johann-eder-gmbh-und-co-kg-st-ulrich-am-pillersee-schartental","Website")</f>
        <v>Website</v>
      </c>
      <c r="D2141" t="str">
        <f>HYPERLINK("http://www.google.com/maps/place/47.5156,12.57649","Location")</f>
        <v>Location</v>
      </c>
      <c r="E2141" t="s">
        <v>18905</v>
      </c>
      <c r="F2141" t="s">
        <v>18906</v>
      </c>
      <c r="G2141" t="s">
        <v>919</v>
      </c>
      <c r="H2141" t="s">
        <v>920</v>
      </c>
      <c r="I2141" t="s">
        <v>21</v>
      </c>
      <c r="J2141" t="s">
        <v>22</v>
      </c>
      <c r="K2141" t="s">
        <v>18907</v>
      </c>
      <c r="L2141" t="s">
        <v>25</v>
      </c>
      <c r="M2141" t="s">
        <v>18910</v>
      </c>
      <c r="N2141" t="s">
        <v>18911</v>
      </c>
      <c r="O2141" t="s">
        <v>25</v>
      </c>
      <c r="P2141" t="s">
        <v>18912</v>
      </c>
      <c r="Q2141" t="s">
        <v>29</v>
      </c>
      <c r="R2141" t="s">
        <v>18908</v>
      </c>
      <c r="S2141" t="s">
        <v>18909</v>
      </c>
    </row>
    <row r="2142" spans="1:19" x14ac:dyDescent="0.25">
      <c r="A2142" s="1">
        <v>2140</v>
      </c>
      <c r="B2142" t="str">
        <f>HYPERLINK("https://www.dasschnelle.at/kefer-günter-bad-goisern-gschwandt","Website")</f>
        <v>Website</v>
      </c>
      <c r="C2142" t="str">
        <f>HYPERLINK("http://www.actual.at","Website")</f>
        <v>Website</v>
      </c>
      <c r="D2142" t="str">
        <f>HYPERLINK("http://www.google.com/maps/place/47.6225552,13.6177880","Location")</f>
        <v>Location</v>
      </c>
      <c r="E2142" t="s">
        <v>18913</v>
      </c>
      <c r="F2142" t="s">
        <v>18914</v>
      </c>
      <c r="G2142" t="s">
        <v>2335</v>
      </c>
      <c r="H2142" t="s">
        <v>2356</v>
      </c>
      <c r="I2142" t="s">
        <v>85</v>
      </c>
      <c r="J2142" t="s">
        <v>22</v>
      </c>
      <c r="K2142" t="s">
        <v>18915</v>
      </c>
      <c r="L2142" t="s">
        <v>18918</v>
      </c>
      <c r="M2142" t="s">
        <v>25</v>
      </c>
      <c r="N2142" t="s">
        <v>18919</v>
      </c>
      <c r="O2142" t="s">
        <v>18920</v>
      </c>
      <c r="P2142" t="s">
        <v>18921</v>
      </c>
      <c r="Q2142" t="s">
        <v>29</v>
      </c>
      <c r="R2142" t="s">
        <v>18916</v>
      </c>
      <c r="S2142" t="s">
        <v>18917</v>
      </c>
    </row>
    <row r="2143" spans="1:19" x14ac:dyDescent="0.25">
      <c r="A2143" s="1">
        <v>2141</v>
      </c>
      <c r="B2143" t="str">
        <f>HYPERLINK("https://www.dasschnelle.at/fuchs-franz-brixen-im-thale-dorfstraße","Website")</f>
        <v>Website</v>
      </c>
      <c r="C2143" t="str">
        <f>HYPERLINK("http://www.metallbau-fuchs.at","Website")</f>
        <v>Website</v>
      </c>
      <c r="D2143" t="str">
        <f>HYPERLINK("http://www.google.com/maps/place/47.44989,12.26585","Location")</f>
        <v>Location</v>
      </c>
      <c r="E2143" t="s">
        <v>18922</v>
      </c>
      <c r="F2143" t="s">
        <v>18923</v>
      </c>
      <c r="G2143" t="s">
        <v>17755</v>
      </c>
      <c r="H2143" t="s">
        <v>17756</v>
      </c>
      <c r="I2143" t="s">
        <v>21</v>
      </c>
      <c r="J2143" t="s">
        <v>22</v>
      </c>
      <c r="K2143" t="s">
        <v>18924</v>
      </c>
      <c r="L2143" t="s">
        <v>18927</v>
      </c>
      <c r="M2143" t="s">
        <v>18928</v>
      </c>
      <c r="N2143" t="s">
        <v>18929</v>
      </c>
      <c r="O2143" t="s">
        <v>25</v>
      </c>
      <c r="P2143" t="s">
        <v>18930</v>
      </c>
      <c r="Q2143" t="s">
        <v>29</v>
      </c>
      <c r="R2143" t="s">
        <v>18925</v>
      </c>
      <c r="S2143" t="s">
        <v>18926</v>
      </c>
    </row>
    <row r="2144" spans="1:19" x14ac:dyDescent="0.25">
      <c r="A2144" s="1">
        <v>2142</v>
      </c>
      <c r="B2144" t="str">
        <f>HYPERLINK("https://www.dasschnelle.at/gressenbauer-glas-und-innentüren-gmbh-windischgarsten-edlbach","Website")</f>
        <v>Website</v>
      </c>
      <c r="C2144" t="str">
        <f>HYPERLINK("http://www.glasbruch.at","Website")</f>
        <v>Website</v>
      </c>
      <c r="D2144" t="str">
        <f>HYPERLINK("http://www.google.com/maps/place/47.7116471,14.3379322","Location")</f>
        <v>Location</v>
      </c>
      <c r="E2144" t="s">
        <v>18931</v>
      </c>
      <c r="F2144" t="s">
        <v>18932</v>
      </c>
      <c r="G2144" t="s">
        <v>10646</v>
      </c>
      <c r="H2144" t="s">
        <v>10647</v>
      </c>
      <c r="I2144" t="s">
        <v>85</v>
      </c>
      <c r="J2144" t="s">
        <v>22</v>
      </c>
      <c r="K2144" t="s">
        <v>18933</v>
      </c>
      <c r="L2144" t="s">
        <v>18936</v>
      </c>
      <c r="M2144" t="s">
        <v>25</v>
      </c>
      <c r="N2144" t="s">
        <v>18937</v>
      </c>
      <c r="O2144" t="s">
        <v>18938</v>
      </c>
      <c r="P2144" t="s">
        <v>18939</v>
      </c>
      <c r="Q2144" t="s">
        <v>29</v>
      </c>
      <c r="R2144" t="s">
        <v>18934</v>
      </c>
      <c r="S2144" t="s">
        <v>18935</v>
      </c>
    </row>
    <row r="2145" spans="1:19" x14ac:dyDescent="0.25">
      <c r="A2145" s="1">
        <v>2143</v>
      </c>
      <c r="B2145" t="str">
        <f>HYPERLINK("https://www.dasschnelle.at/schörkmeier-michael-bad-goisern-am-hallstättersee-untere-marktstraße","Website")</f>
        <v>Website</v>
      </c>
      <c r="C2145" t="str">
        <f>HYPERLINK("http://www.ms-elektronik.at","Website")</f>
        <v>Website</v>
      </c>
      <c r="D2145" t="str">
        <f>HYPERLINK("http://www.google.com/maps/place/47.64405,13.61492","Location")</f>
        <v>Location</v>
      </c>
      <c r="E2145" t="s">
        <v>18940</v>
      </c>
      <c r="F2145" t="s">
        <v>18941</v>
      </c>
      <c r="G2145" t="s">
        <v>2335</v>
      </c>
      <c r="H2145" t="s">
        <v>2436</v>
      </c>
      <c r="I2145" t="s">
        <v>85</v>
      </c>
      <c r="J2145" t="s">
        <v>22</v>
      </c>
      <c r="K2145" t="s">
        <v>18942</v>
      </c>
      <c r="L2145" t="s">
        <v>18945</v>
      </c>
      <c r="M2145" t="s">
        <v>25</v>
      </c>
      <c r="N2145" t="s">
        <v>18946</v>
      </c>
      <c r="O2145" t="s">
        <v>18947</v>
      </c>
      <c r="P2145" t="s">
        <v>18948</v>
      </c>
      <c r="Q2145" t="s">
        <v>29</v>
      </c>
      <c r="R2145" t="s">
        <v>18943</v>
      </c>
      <c r="S2145" t="s">
        <v>18944</v>
      </c>
    </row>
    <row r="2146" spans="1:19" x14ac:dyDescent="0.25">
      <c r="A2146" s="1">
        <v>2144</v>
      </c>
      <c r="B2146" t="str">
        <f>HYPERLINK("https://www.dasschnelle.at/dr-schneider-und-partner-og-krems-bahnhofplatz","Website")</f>
        <v>Website</v>
      </c>
      <c r="C2146" t="str">
        <f>HYPERLINK("http://www.roentgen-krems.at","Website")</f>
        <v>Website</v>
      </c>
      <c r="D2146" t="str">
        <f>HYPERLINK("http://www.google.com/maps/place/48.4084283,15.6030619","Location")</f>
        <v>Location</v>
      </c>
      <c r="E2146" t="s">
        <v>18949</v>
      </c>
      <c r="F2146" t="s">
        <v>18950</v>
      </c>
      <c r="G2146" t="s">
        <v>281</v>
      </c>
      <c r="H2146" t="s">
        <v>291</v>
      </c>
      <c r="I2146" t="s">
        <v>177</v>
      </c>
      <c r="J2146" t="s">
        <v>22</v>
      </c>
      <c r="K2146" t="s">
        <v>15092</v>
      </c>
      <c r="L2146" t="s">
        <v>18953</v>
      </c>
      <c r="M2146" t="s">
        <v>25</v>
      </c>
      <c r="N2146" t="s">
        <v>18954</v>
      </c>
      <c r="O2146" t="s">
        <v>25</v>
      </c>
      <c r="P2146" t="s">
        <v>18955</v>
      </c>
      <c r="Q2146" t="s">
        <v>29</v>
      </c>
      <c r="R2146" t="s">
        <v>18951</v>
      </c>
      <c r="S2146" t="s">
        <v>18952</v>
      </c>
    </row>
    <row r="2147" spans="1:19" x14ac:dyDescent="0.25">
      <c r="A2147" s="1">
        <v>2145</v>
      </c>
      <c r="B2147" t="str">
        <f>HYPERLINK("https://www.dasschnelle.at/china-restaurant-san-shui-jia-juan-neumarkt-am-wallersee-hauptstraße","Website")</f>
        <v>Website</v>
      </c>
      <c r="C2147" t="str">
        <f>HYPERLINK("http://www.san-shui.stadtausstellung.at","Website")</f>
        <v>Website</v>
      </c>
      <c r="D2147" t="str">
        <f>HYPERLINK("http://www.google.com/maps/place/47.9471300,13.2247500","Location")</f>
        <v>Location</v>
      </c>
      <c r="E2147" t="s">
        <v>18956</v>
      </c>
      <c r="F2147" t="s">
        <v>18957</v>
      </c>
      <c r="G2147" t="s">
        <v>10564</v>
      </c>
      <c r="H2147" t="s">
        <v>10565</v>
      </c>
      <c r="I2147" t="s">
        <v>2239</v>
      </c>
      <c r="J2147" t="s">
        <v>22</v>
      </c>
      <c r="K2147" t="s">
        <v>18958</v>
      </c>
      <c r="L2147" t="s">
        <v>18961</v>
      </c>
      <c r="M2147" t="s">
        <v>25</v>
      </c>
      <c r="N2147" t="s">
        <v>18962</v>
      </c>
      <c r="O2147" t="s">
        <v>25</v>
      </c>
      <c r="P2147" t="s">
        <v>18963</v>
      </c>
      <c r="Q2147" t="s">
        <v>29</v>
      </c>
      <c r="R2147" t="s">
        <v>18959</v>
      </c>
      <c r="S2147" t="s">
        <v>18960</v>
      </c>
    </row>
    <row r="2148" spans="1:19" x14ac:dyDescent="0.25">
      <c r="A2148" s="1">
        <v>2146</v>
      </c>
      <c r="B2148" t="str">
        <f>HYPERLINK("https://www.dasschnelle.at/haslinger-stefan-bad-wimsbach-neydharting-haidermoos","Website")</f>
        <v>Website</v>
      </c>
      <c r="C2148" t="str">
        <f>HYPERLINK("http://www.taxibus.at","Website")</f>
        <v>Website</v>
      </c>
      <c r="D2148" t="str">
        <f>HYPERLINK("http://www.google.com/maps/place/48.0460534,13.8608839","Location")</f>
        <v>Location</v>
      </c>
      <c r="E2148" t="s">
        <v>18964</v>
      </c>
      <c r="F2148" t="s">
        <v>18965</v>
      </c>
      <c r="G2148" t="s">
        <v>18038</v>
      </c>
      <c r="H2148" t="s">
        <v>18039</v>
      </c>
      <c r="I2148" t="s">
        <v>85</v>
      </c>
      <c r="J2148" t="s">
        <v>22</v>
      </c>
      <c r="K2148" t="s">
        <v>18966</v>
      </c>
      <c r="L2148" t="s">
        <v>18969</v>
      </c>
      <c r="M2148" t="s">
        <v>25</v>
      </c>
      <c r="N2148" t="s">
        <v>18970</v>
      </c>
      <c r="O2148" t="s">
        <v>25</v>
      </c>
      <c r="P2148" t="s">
        <v>18971</v>
      </c>
      <c r="Q2148" t="s">
        <v>29</v>
      </c>
      <c r="R2148" t="s">
        <v>18967</v>
      </c>
      <c r="S2148" t="s">
        <v>18968</v>
      </c>
    </row>
    <row r="2149" spans="1:19" x14ac:dyDescent="0.25">
      <c r="A2149" s="1">
        <v>2147</v>
      </c>
      <c r="B2149" t="str">
        <f>HYPERLINK("https://www.dasschnelle.at/mahringer-augenoptik-und-hörgeräte-gmbh-traun-graumannplatz","Website")</f>
        <v>Website</v>
      </c>
      <c r="C2149" t="str">
        <f>HYPERLINK("http://www.mahringer.at","Website")</f>
        <v>Website</v>
      </c>
      <c r="D2149" t="str">
        <f>HYPERLINK("http://www.google.com/maps/place/48.21998,14.2396","Location")</f>
        <v>Location</v>
      </c>
      <c r="E2149" t="s">
        <v>18972</v>
      </c>
      <c r="F2149" t="s">
        <v>18973</v>
      </c>
      <c r="G2149" t="s">
        <v>10227</v>
      </c>
      <c r="H2149" t="s">
        <v>10228</v>
      </c>
      <c r="I2149" t="s">
        <v>85</v>
      </c>
      <c r="J2149" t="s">
        <v>22</v>
      </c>
      <c r="K2149" t="s">
        <v>10273</v>
      </c>
      <c r="L2149" t="s">
        <v>18976</v>
      </c>
      <c r="M2149" t="s">
        <v>25</v>
      </c>
      <c r="N2149" t="s">
        <v>18977</v>
      </c>
      <c r="O2149" t="s">
        <v>25</v>
      </c>
      <c r="P2149" t="s">
        <v>18978</v>
      </c>
      <c r="Q2149" t="s">
        <v>29</v>
      </c>
      <c r="R2149" t="s">
        <v>18974</v>
      </c>
      <c r="S2149" t="s">
        <v>18975</v>
      </c>
    </row>
    <row r="2150" spans="1:19" x14ac:dyDescent="0.25">
      <c r="A2150" s="1">
        <v>2148</v>
      </c>
      <c r="B2150" t="str">
        <f>HYPERLINK("https://www.dasschnelle.at/ederer-anton-loosdorf-alter-rathausplatz","Website")</f>
        <v>Website</v>
      </c>
      <c r="C2150" t="str">
        <f>HYPERLINK("http://www.tonis-wohntraeume.net/","Website")</f>
        <v>Website</v>
      </c>
      <c r="D2150" t="str">
        <f>HYPERLINK("http://www.google.com/maps/place/48.1989,15.4012","Location")</f>
        <v>Location</v>
      </c>
      <c r="E2150" t="s">
        <v>18979</v>
      </c>
      <c r="F2150" t="s">
        <v>18980</v>
      </c>
      <c r="G2150" t="s">
        <v>5915</v>
      </c>
      <c r="H2150" t="s">
        <v>5916</v>
      </c>
      <c r="I2150" t="s">
        <v>177</v>
      </c>
      <c r="J2150" t="s">
        <v>22</v>
      </c>
      <c r="K2150" t="s">
        <v>18981</v>
      </c>
      <c r="L2150" t="s">
        <v>18984</v>
      </c>
      <c r="M2150" t="s">
        <v>25</v>
      </c>
      <c r="N2150" t="s">
        <v>18985</v>
      </c>
      <c r="O2150" t="s">
        <v>18986</v>
      </c>
      <c r="P2150" t="s">
        <v>18987</v>
      </c>
      <c r="Q2150" t="s">
        <v>29</v>
      </c>
      <c r="R2150" t="s">
        <v>18982</v>
      </c>
      <c r="S2150" t="s">
        <v>18983</v>
      </c>
    </row>
    <row r="2151" spans="1:19" x14ac:dyDescent="0.25">
      <c r="A2151" s="1">
        <v>2149</v>
      </c>
      <c r="B2151" t="str">
        <f>HYPERLINK("https://www.dasschnelle.at/vorreiter-gerhard-dr-braunau-am-inn-ringstraße","Website")</f>
        <v>Website</v>
      </c>
      <c r="C2151" t="str">
        <f>HYPERLINK("http://www.dr-vorreiter.at","Website")</f>
        <v>Website</v>
      </c>
      <c r="D2151" t="str">
        <f>HYPERLINK("http://www.google.com/maps/place/48.2557956,13.0373850","Location")</f>
        <v>Location</v>
      </c>
      <c r="E2151" t="s">
        <v>18988</v>
      </c>
      <c r="F2151" t="s">
        <v>18989</v>
      </c>
      <c r="G2151" t="s">
        <v>1289</v>
      </c>
      <c r="H2151" t="s">
        <v>1310</v>
      </c>
      <c r="I2151" t="s">
        <v>85</v>
      </c>
      <c r="J2151" t="s">
        <v>22</v>
      </c>
      <c r="K2151" t="s">
        <v>18990</v>
      </c>
      <c r="L2151" t="s">
        <v>18993</v>
      </c>
      <c r="M2151" t="s">
        <v>25</v>
      </c>
      <c r="N2151" t="s">
        <v>18994</v>
      </c>
      <c r="O2151" t="s">
        <v>25</v>
      </c>
      <c r="P2151" t="s">
        <v>18995</v>
      </c>
      <c r="Q2151" t="s">
        <v>29</v>
      </c>
      <c r="R2151" t="s">
        <v>18991</v>
      </c>
      <c r="S2151" t="s">
        <v>18992</v>
      </c>
    </row>
    <row r="2152" spans="1:19" x14ac:dyDescent="0.25">
      <c r="A2152" s="1">
        <v>2150</v>
      </c>
      <c r="B2152" t="str">
        <f>HYPERLINK("https://www.dasschnelle.at/etzelsdorfer-sonja-micheldorf-hinterburg","Website")</f>
        <v>Website</v>
      </c>
      <c r="C2152" t="str">
        <f>HYPERLINK("http://www.etzelsdorfer-bilanzbuchhaltung.at","Website")</f>
        <v>Website</v>
      </c>
      <c r="D2152" t="str">
        <f>HYPERLINK("http://www.google.com/maps/place/47.8718300,14.1451000","Location")</f>
        <v>Location</v>
      </c>
      <c r="E2152" t="s">
        <v>18996</v>
      </c>
      <c r="F2152" t="s">
        <v>18997</v>
      </c>
      <c r="G2152" t="s">
        <v>12399</v>
      </c>
      <c r="H2152" t="s">
        <v>12400</v>
      </c>
      <c r="I2152" t="s">
        <v>85</v>
      </c>
      <c r="J2152" t="s">
        <v>22</v>
      </c>
      <c r="K2152" t="s">
        <v>18998</v>
      </c>
      <c r="L2152" t="s">
        <v>19001</v>
      </c>
      <c r="M2152" t="s">
        <v>25</v>
      </c>
      <c r="N2152" t="s">
        <v>19002</v>
      </c>
      <c r="O2152" t="s">
        <v>19003</v>
      </c>
      <c r="P2152" t="s">
        <v>19004</v>
      </c>
      <c r="Q2152" t="s">
        <v>29</v>
      </c>
      <c r="R2152" t="s">
        <v>18999</v>
      </c>
      <c r="S2152" t="s">
        <v>19000</v>
      </c>
    </row>
    <row r="2153" spans="1:19" x14ac:dyDescent="0.25">
      <c r="A2153" s="1">
        <v>2151</v>
      </c>
      <c r="B2153" t="str">
        <f>HYPERLINK("https://www.dasschnelle.at/lutz-paul-lechaschau-lechtaler-straße","Website")</f>
        <v>Website</v>
      </c>
      <c r="C2153" t="str">
        <f>HYPERLINK("http://www.steinmetz-tirol.at","Website")</f>
        <v>Website</v>
      </c>
      <c r="D2153" t="str">
        <f>HYPERLINK("http://www.google.com/maps/place/47.48445,10.70521","Location")</f>
        <v>Location</v>
      </c>
      <c r="E2153" t="s">
        <v>19005</v>
      </c>
      <c r="F2153" t="s">
        <v>19006</v>
      </c>
      <c r="G2153" t="s">
        <v>6823</v>
      </c>
      <c r="H2153" t="s">
        <v>19008</v>
      </c>
      <c r="I2153" t="s">
        <v>21</v>
      </c>
      <c r="J2153" t="s">
        <v>22</v>
      </c>
      <c r="K2153" t="s">
        <v>19007</v>
      </c>
      <c r="L2153" t="s">
        <v>19011</v>
      </c>
      <c r="M2153" t="s">
        <v>25</v>
      </c>
      <c r="N2153" t="s">
        <v>19012</v>
      </c>
      <c r="O2153" t="s">
        <v>25</v>
      </c>
      <c r="P2153" t="s">
        <v>19013</v>
      </c>
      <c r="Q2153" t="s">
        <v>29</v>
      </c>
      <c r="R2153" t="s">
        <v>19009</v>
      </c>
      <c r="S2153" t="s">
        <v>19010</v>
      </c>
    </row>
    <row r="2154" spans="1:19" x14ac:dyDescent="0.25">
      <c r="A2154" s="1">
        <v>2152</v>
      </c>
      <c r="B2154" t="str">
        <f>HYPERLINK("https://www.dasschnelle.at/uniqa-ga-mittendorfer-thomas-bad-goisern-rudolf-von-alt-weg","Website")</f>
        <v>Website</v>
      </c>
      <c r="C2154" t="str">
        <f>HYPERLINK("http://www.uniqa.at","Website")</f>
        <v>Website</v>
      </c>
      <c r="D2154" t="str">
        <f>HYPERLINK("http://www.google.com/maps/place/47.63999,13.62005","Location")</f>
        <v>Location</v>
      </c>
      <c r="E2154" t="s">
        <v>19014</v>
      </c>
      <c r="F2154" t="s">
        <v>19015</v>
      </c>
      <c r="G2154" t="s">
        <v>2335</v>
      </c>
      <c r="H2154" t="s">
        <v>2356</v>
      </c>
      <c r="I2154" t="s">
        <v>85</v>
      </c>
      <c r="J2154" t="s">
        <v>22</v>
      </c>
      <c r="K2154" t="s">
        <v>19016</v>
      </c>
      <c r="L2154" t="s">
        <v>19019</v>
      </c>
      <c r="M2154" t="s">
        <v>25</v>
      </c>
      <c r="N2154" t="s">
        <v>19020</v>
      </c>
      <c r="O2154" t="s">
        <v>25</v>
      </c>
      <c r="P2154" t="s">
        <v>19021</v>
      </c>
      <c r="Q2154" t="s">
        <v>29</v>
      </c>
      <c r="R2154" t="s">
        <v>19017</v>
      </c>
      <c r="S2154" t="s">
        <v>19018</v>
      </c>
    </row>
    <row r="2155" spans="1:19" x14ac:dyDescent="0.25">
      <c r="A2155" s="1">
        <v>2153</v>
      </c>
      <c r="B2155" t="str">
        <f>HYPERLINK("https://www.dasschnelle.at/co-cut-bad-goisern-am-hallstättersee-sportplatzweg","Website")</f>
        <v>Website</v>
      </c>
      <c r="C2155" t="str">
        <f>HYPERLINK("http://www.conny-mobil.at","Website")</f>
        <v>Website</v>
      </c>
      <c r="D2155" t="str">
        <f>HYPERLINK("http://www.google.com/maps/place/47.6468,13.61036","Location")</f>
        <v>Location</v>
      </c>
      <c r="E2155" t="s">
        <v>19022</v>
      </c>
      <c r="F2155" t="s">
        <v>19023</v>
      </c>
      <c r="G2155" t="s">
        <v>2335</v>
      </c>
      <c r="H2155" t="s">
        <v>2436</v>
      </c>
      <c r="I2155" t="s">
        <v>85</v>
      </c>
      <c r="J2155" t="s">
        <v>22</v>
      </c>
      <c r="K2155" t="s">
        <v>19024</v>
      </c>
      <c r="L2155" t="s">
        <v>19027</v>
      </c>
      <c r="M2155" t="s">
        <v>25</v>
      </c>
      <c r="N2155" t="s">
        <v>19028</v>
      </c>
      <c r="O2155" t="s">
        <v>25</v>
      </c>
      <c r="P2155" t="s">
        <v>19029</v>
      </c>
      <c r="Q2155" t="s">
        <v>29</v>
      </c>
      <c r="R2155" t="s">
        <v>19025</v>
      </c>
      <c r="S2155" t="s">
        <v>19026</v>
      </c>
    </row>
    <row r="2156" spans="1:19" x14ac:dyDescent="0.25">
      <c r="A2156" s="1">
        <v>2154</v>
      </c>
      <c r="B2156" t="str">
        <f>HYPERLINK("https://www.dasschnelle.at/riedl-meisteroptik-bad-goisern-am-hallstätt-untere-marktstraße","Website")</f>
        <v>Website</v>
      </c>
      <c r="C2156" t="str">
        <f>HYPERLINK("http://www.riedl-meisteroptik.at","Website")</f>
        <v>Website</v>
      </c>
      <c r="D2156" t="str">
        <f>HYPERLINK("http://www.google.com/maps/place/47.6426338,13.6158580","Location")</f>
        <v>Location</v>
      </c>
      <c r="E2156" t="s">
        <v>19030</v>
      </c>
      <c r="F2156" t="s">
        <v>19031</v>
      </c>
      <c r="G2156" t="s">
        <v>2335</v>
      </c>
      <c r="H2156" t="s">
        <v>19033</v>
      </c>
      <c r="I2156" t="s">
        <v>85</v>
      </c>
      <c r="J2156" t="s">
        <v>22</v>
      </c>
      <c r="K2156" t="s">
        <v>19032</v>
      </c>
      <c r="L2156" t="s">
        <v>19036</v>
      </c>
      <c r="M2156" t="s">
        <v>25</v>
      </c>
      <c r="N2156" t="s">
        <v>19037</v>
      </c>
      <c r="O2156" t="s">
        <v>25</v>
      </c>
      <c r="P2156" t="s">
        <v>19038</v>
      </c>
      <c r="Q2156" t="s">
        <v>29</v>
      </c>
      <c r="R2156" t="s">
        <v>19034</v>
      </c>
      <c r="S2156" t="s">
        <v>19035</v>
      </c>
    </row>
    <row r="2157" spans="1:19" x14ac:dyDescent="0.25">
      <c r="A2157" s="1">
        <v>2155</v>
      </c>
      <c r="B2157" t="str">
        <f>HYPERLINK("https://www.dasschnelle.at/lechner-erwin-bad-goisern-am-hallstättersee-weißenbach","Website")</f>
        <v>Website</v>
      </c>
      <c r="C2157" t="str">
        <f>HYPERLINK("https://www.dasschnelle.at/lechner-erwin-bad-goisern-am-hallst%C3%A4ttersee-wei%C3%9Fenbach","Website")</f>
        <v>Website</v>
      </c>
      <c r="D2157" t="str">
        <f>HYPERLINK("http://www.google.com/maps/place/47.6619542,13.6050198","Location")</f>
        <v>Location</v>
      </c>
      <c r="E2157" t="s">
        <v>19039</v>
      </c>
      <c r="F2157" t="s">
        <v>19040</v>
      </c>
      <c r="G2157" t="s">
        <v>2335</v>
      </c>
      <c r="H2157" t="s">
        <v>2436</v>
      </c>
      <c r="I2157" t="s">
        <v>85</v>
      </c>
      <c r="J2157" t="s">
        <v>22</v>
      </c>
      <c r="K2157" t="s">
        <v>19041</v>
      </c>
      <c r="L2157" t="s">
        <v>19044</v>
      </c>
      <c r="M2157" t="s">
        <v>25</v>
      </c>
      <c r="N2157" t="s">
        <v>25</v>
      </c>
      <c r="O2157" t="s">
        <v>25</v>
      </c>
      <c r="P2157" t="s">
        <v>19045</v>
      </c>
      <c r="Q2157" t="s">
        <v>29</v>
      </c>
      <c r="R2157" t="s">
        <v>19042</v>
      </c>
      <c r="S2157" t="s">
        <v>19043</v>
      </c>
    </row>
    <row r="2158" spans="1:19" x14ac:dyDescent="0.25">
      <c r="A2158" s="1">
        <v>2156</v>
      </c>
      <c r="B2158" t="str">
        <f>HYPERLINK("https://www.dasschnelle.at/putz-hermann-bad-goisern-am-hallstättersee-wildpfad","Website")</f>
        <v>Website</v>
      </c>
      <c r="C2158" t="str">
        <f>HYPERLINK("https://www.dasschnelle.at/putz-hermann-bad-goisern-am-hallst%C3%A4ttersee-wildpfad","Website")</f>
        <v>Website</v>
      </c>
      <c r="D2158" t="str">
        <f>HYPERLINK("http://www.google.com/maps/place/47.6551159,13.6035407","Location")</f>
        <v>Location</v>
      </c>
      <c r="E2158" t="s">
        <v>19046</v>
      </c>
      <c r="F2158" t="s">
        <v>19047</v>
      </c>
      <c r="G2158" t="s">
        <v>2335</v>
      </c>
      <c r="H2158" t="s">
        <v>2436</v>
      </c>
      <c r="I2158" t="s">
        <v>85</v>
      </c>
      <c r="J2158" t="s">
        <v>22</v>
      </c>
      <c r="K2158" t="s">
        <v>19048</v>
      </c>
      <c r="L2158" t="s">
        <v>19051</v>
      </c>
      <c r="M2158" t="s">
        <v>25</v>
      </c>
      <c r="N2158" t="s">
        <v>19052</v>
      </c>
      <c r="O2158" t="s">
        <v>25</v>
      </c>
      <c r="P2158" t="s">
        <v>19053</v>
      </c>
      <c r="Q2158" t="s">
        <v>29</v>
      </c>
      <c r="R2158" t="s">
        <v>19049</v>
      </c>
      <c r="S2158" t="s">
        <v>19050</v>
      </c>
    </row>
    <row r="2159" spans="1:19" x14ac:dyDescent="0.25">
      <c r="A2159" s="1">
        <v>2157</v>
      </c>
      <c r="B2159" t="str">
        <f>HYPERLINK("https://www.dasschnelle.at/goisern-optik-goisern-obere-marktstraße","Website")</f>
        <v>Website</v>
      </c>
      <c r="C2159" t="str">
        <f>HYPERLINK("http://www.goisern-optik.at","Website")</f>
        <v>Website</v>
      </c>
      <c r="D2159" t="str">
        <f>HYPERLINK("http://www.google.com/maps/place/47.6408100,13.6174400","Location")</f>
        <v>Location</v>
      </c>
      <c r="E2159" t="s">
        <v>19054</v>
      </c>
      <c r="F2159" t="s">
        <v>19055</v>
      </c>
      <c r="G2159" t="s">
        <v>2335</v>
      </c>
      <c r="H2159" t="s">
        <v>2347</v>
      </c>
      <c r="I2159" t="s">
        <v>85</v>
      </c>
      <c r="J2159" t="s">
        <v>22</v>
      </c>
      <c r="K2159" t="s">
        <v>19056</v>
      </c>
      <c r="L2159" t="s">
        <v>19059</v>
      </c>
      <c r="M2159" t="s">
        <v>25</v>
      </c>
      <c r="N2159" t="s">
        <v>19060</v>
      </c>
      <c r="O2159" t="s">
        <v>25</v>
      </c>
      <c r="P2159" t="s">
        <v>19061</v>
      </c>
      <c r="Q2159" t="s">
        <v>29</v>
      </c>
      <c r="R2159" t="s">
        <v>19057</v>
      </c>
      <c r="S2159" t="s">
        <v>19058</v>
      </c>
    </row>
    <row r="2160" spans="1:19" x14ac:dyDescent="0.25">
      <c r="A2160" s="1">
        <v>2158</v>
      </c>
      <c r="B2160" t="str">
        <f>HYPERLINK("https://www.dasschnelle.at/brunhuber-bestattung-pasching-thurnhartinger-straße","Website")</f>
        <v>Website</v>
      </c>
      <c r="C2160" t="str">
        <f>HYPERLINK("http://www.bestattung-brunhuber.at","Website")</f>
        <v>Website</v>
      </c>
      <c r="D2160" t="str">
        <f>HYPERLINK("http://www.google.com/maps/place/48.25799,14.19944","Location")</f>
        <v>Location</v>
      </c>
      <c r="E2160" t="s">
        <v>19062</v>
      </c>
      <c r="F2160" t="s">
        <v>19063</v>
      </c>
      <c r="G2160" t="s">
        <v>18463</v>
      </c>
      <c r="H2160" t="s">
        <v>18464</v>
      </c>
      <c r="I2160" t="s">
        <v>85</v>
      </c>
      <c r="J2160" t="s">
        <v>22</v>
      </c>
      <c r="K2160" t="s">
        <v>19064</v>
      </c>
      <c r="L2160" t="s">
        <v>19067</v>
      </c>
      <c r="M2160" t="s">
        <v>19068</v>
      </c>
      <c r="N2160" t="s">
        <v>19069</v>
      </c>
      <c r="O2160" t="s">
        <v>25</v>
      </c>
      <c r="P2160" t="s">
        <v>19070</v>
      </c>
      <c r="Q2160" t="s">
        <v>29</v>
      </c>
      <c r="R2160" t="s">
        <v>19065</v>
      </c>
      <c r="S2160" t="s">
        <v>19066</v>
      </c>
    </row>
    <row r="2161" spans="1:19" x14ac:dyDescent="0.25">
      <c r="A2161" s="1">
        <v>2159</v>
      </c>
      <c r="B2161" t="str">
        <f>HYPERLINK("https://www.dasschnelle.at/hotimitz-thomas-wolfgang-eberndorf-josef-friedrich-perkonig-straße","Website")</f>
        <v>Website</v>
      </c>
      <c r="C2161" t="str">
        <f>HYPERLINK("http://www.hotimitz.at","Website")</f>
        <v>Website</v>
      </c>
      <c r="D2161" t="str">
        <f>HYPERLINK("http://www.google.com/maps/place/46.58748,14.63148","Location")</f>
        <v>Location</v>
      </c>
      <c r="E2161" t="s">
        <v>19071</v>
      </c>
      <c r="F2161" t="s">
        <v>19072</v>
      </c>
      <c r="G2161" t="s">
        <v>15559</v>
      </c>
      <c r="H2161" t="s">
        <v>15560</v>
      </c>
      <c r="I2161" t="s">
        <v>4130</v>
      </c>
      <c r="J2161" t="s">
        <v>22</v>
      </c>
      <c r="K2161" t="s">
        <v>19073</v>
      </c>
      <c r="L2161" t="s">
        <v>19076</v>
      </c>
      <c r="M2161" t="s">
        <v>25</v>
      </c>
      <c r="N2161" t="s">
        <v>19077</v>
      </c>
      <c r="O2161" t="s">
        <v>25</v>
      </c>
      <c r="P2161" t="s">
        <v>19078</v>
      </c>
      <c r="Q2161" t="s">
        <v>29</v>
      </c>
      <c r="R2161" t="s">
        <v>19074</v>
      </c>
      <c r="S2161" t="s">
        <v>19075</v>
      </c>
    </row>
    <row r="2162" spans="1:19" x14ac:dyDescent="0.25">
      <c r="A2162" s="1">
        <v>2160</v>
      </c>
      <c r="B2162" t="str">
        <f>HYPERLINK("https://www.dasschnelle.at/tiede-ilse-dr-braunau-am-inn-palmstraße","Website")</f>
        <v>Website</v>
      </c>
      <c r="C2162" t="str">
        <f>HYPERLINK("http://www.tiede.at","Website")</f>
        <v>Website</v>
      </c>
      <c r="D2162" t="str">
        <f>HYPERLINK("http://www.google.com/maps/place/48.2583611,13.0369092","Location")</f>
        <v>Location</v>
      </c>
      <c r="E2162" t="s">
        <v>19079</v>
      </c>
      <c r="F2162" t="s">
        <v>19080</v>
      </c>
      <c r="G2162" t="s">
        <v>1289</v>
      </c>
      <c r="H2162" t="s">
        <v>1310</v>
      </c>
      <c r="I2162" t="s">
        <v>85</v>
      </c>
      <c r="J2162" t="s">
        <v>22</v>
      </c>
      <c r="K2162" t="s">
        <v>19081</v>
      </c>
      <c r="L2162" t="s">
        <v>19084</v>
      </c>
      <c r="M2162" t="s">
        <v>25</v>
      </c>
      <c r="N2162" t="s">
        <v>19085</v>
      </c>
      <c r="O2162" t="s">
        <v>25</v>
      </c>
      <c r="P2162" t="s">
        <v>19086</v>
      </c>
      <c r="Q2162" t="s">
        <v>29</v>
      </c>
      <c r="R2162" t="s">
        <v>19082</v>
      </c>
      <c r="S2162" t="s">
        <v>19083</v>
      </c>
    </row>
    <row r="2163" spans="1:19" x14ac:dyDescent="0.25">
      <c r="A2163" s="1">
        <v>2161</v>
      </c>
      <c r="B2163" t="str">
        <f>HYPERLINK("https://www.dasschnelle.at/mayr-wolfgang-neuhofen-an-der-krems-steyrer-straße","Website")</f>
        <v>Website</v>
      </c>
      <c r="C2163" t="str">
        <f>HYPERLINK("https://www.dasschnelle.at/mayr-wolfgang-neuhofen-an-der-krems-steyrer-stra%C3%9Fe","Website")</f>
        <v>Website</v>
      </c>
      <c r="D2163" t="str">
        <f>HYPERLINK("http://www.google.com/maps/place/48.13837,14.23154","Location")</f>
        <v>Location</v>
      </c>
      <c r="E2163" t="s">
        <v>19087</v>
      </c>
      <c r="F2163" t="s">
        <v>19088</v>
      </c>
      <c r="G2163" t="s">
        <v>12931</v>
      </c>
      <c r="H2163" t="s">
        <v>12932</v>
      </c>
      <c r="I2163" t="s">
        <v>85</v>
      </c>
      <c r="J2163" t="s">
        <v>22</v>
      </c>
      <c r="K2163" t="s">
        <v>19089</v>
      </c>
      <c r="L2163" t="s">
        <v>19092</v>
      </c>
      <c r="M2163" t="s">
        <v>25</v>
      </c>
      <c r="N2163" t="s">
        <v>19093</v>
      </c>
      <c r="O2163" t="s">
        <v>25</v>
      </c>
      <c r="P2163" t="s">
        <v>19094</v>
      </c>
      <c r="Q2163" t="s">
        <v>29</v>
      </c>
      <c r="R2163" t="s">
        <v>19090</v>
      </c>
      <c r="S2163" t="s">
        <v>19091</v>
      </c>
    </row>
    <row r="2164" spans="1:19" x14ac:dyDescent="0.25">
      <c r="A2164" s="1">
        <v>2162</v>
      </c>
      <c r="B2164" t="str">
        <f>HYPERLINK("https://www.dasschnelle.at/höllein-joachim-breitenwang-max-kerber-platz","Website")</f>
        <v>Website</v>
      </c>
      <c r="C2164" t="str">
        <f>HYPERLINK("https://www.dasschnelle.at/h%C3%B6llein-joachim-breitenwang-max-kerber-platz","Website")</f>
        <v>Website</v>
      </c>
      <c r="D2164" t="str">
        <f>HYPERLINK("http://www.google.com/maps/place/47.48781,10.73235","Location")</f>
        <v>Location</v>
      </c>
      <c r="E2164" t="s">
        <v>19095</v>
      </c>
      <c r="F2164" t="s">
        <v>19096</v>
      </c>
      <c r="G2164" t="s">
        <v>6823</v>
      </c>
      <c r="H2164" t="s">
        <v>19097</v>
      </c>
      <c r="I2164" t="s">
        <v>21</v>
      </c>
      <c r="J2164" t="s">
        <v>22</v>
      </c>
      <c r="K2164" t="s">
        <v>6845</v>
      </c>
      <c r="L2164" t="s">
        <v>19098</v>
      </c>
      <c r="M2164" t="s">
        <v>19099</v>
      </c>
      <c r="N2164" t="s">
        <v>19100</v>
      </c>
      <c r="O2164" t="s">
        <v>25</v>
      </c>
      <c r="P2164" t="s">
        <v>19101</v>
      </c>
      <c r="Q2164" t="s">
        <v>29</v>
      </c>
      <c r="R2164" t="s">
        <v>6846</v>
      </c>
      <c r="S2164" t="s">
        <v>6847</v>
      </c>
    </row>
    <row r="2165" spans="1:19" x14ac:dyDescent="0.25">
      <c r="A2165" s="1">
        <v>2163</v>
      </c>
      <c r="B2165" t="str">
        <f>HYPERLINK("https://www.dasschnelle.at/limberger-martin-martin-optik-kirchdorf-an-der-krems-hauptplatz","Website")</f>
        <v>Website</v>
      </c>
      <c r="C2165" t="str">
        <f>HYPERLINK("http://www.martinoptik.at","Website")</f>
        <v>Website</v>
      </c>
      <c r="D2165" t="str">
        <f>HYPERLINK("http://www.google.com/maps/place/47.90447,14.12338","Location")</f>
        <v>Location</v>
      </c>
      <c r="E2165" t="s">
        <v>19102</v>
      </c>
      <c r="F2165" t="s">
        <v>19103</v>
      </c>
      <c r="G2165" t="s">
        <v>12306</v>
      </c>
      <c r="H2165" t="s">
        <v>12307</v>
      </c>
      <c r="I2165" t="s">
        <v>85</v>
      </c>
      <c r="J2165" t="s">
        <v>22</v>
      </c>
      <c r="K2165" t="s">
        <v>1713</v>
      </c>
      <c r="L2165" t="s">
        <v>19106</v>
      </c>
      <c r="M2165" t="s">
        <v>25</v>
      </c>
      <c r="N2165" t="s">
        <v>19107</v>
      </c>
      <c r="O2165" t="s">
        <v>25</v>
      </c>
      <c r="P2165" t="s">
        <v>19108</v>
      </c>
      <c r="Q2165" t="s">
        <v>29</v>
      </c>
      <c r="R2165" t="s">
        <v>19104</v>
      </c>
      <c r="S2165" t="s">
        <v>19105</v>
      </c>
    </row>
    <row r="2166" spans="1:19" x14ac:dyDescent="0.25">
      <c r="A2166" s="1">
        <v>2164</v>
      </c>
      <c r="B2166" t="str">
        <f>HYPERLINK("https://www.dasschnelle.at/kapfenberger-thomas-ofenbach-ofenbach","Website")</f>
        <v>Website</v>
      </c>
      <c r="C2166" t="str">
        <f>HYPERLINK("http://www.kfz-kapfenberger.at","Website")</f>
        <v>Website</v>
      </c>
      <c r="D2166" t="str">
        <f>HYPERLINK("http://www.google.com/maps/place/47.6149238,15.9742416","Location")</f>
        <v>Location</v>
      </c>
      <c r="E2166" t="s">
        <v>19109</v>
      </c>
      <c r="F2166" t="s">
        <v>19110</v>
      </c>
      <c r="G2166" t="s">
        <v>19112</v>
      </c>
      <c r="H2166" t="s">
        <v>19113</v>
      </c>
      <c r="I2166" t="s">
        <v>177</v>
      </c>
      <c r="J2166" t="s">
        <v>22</v>
      </c>
      <c r="K2166" t="s">
        <v>19111</v>
      </c>
      <c r="L2166" t="s">
        <v>19116</v>
      </c>
      <c r="M2166" t="s">
        <v>25</v>
      </c>
      <c r="N2166" t="s">
        <v>19117</v>
      </c>
      <c r="O2166" t="s">
        <v>25</v>
      </c>
      <c r="P2166" t="s">
        <v>19118</v>
      </c>
      <c r="Q2166" t="s">
        <v>29</v>
      </c>
      <c r="R2166" t="s">
        <v>19114</v>
      </c>
      <c r="S2166" t="s">
        <v>19115</v>
      </c>
    </row>
    <row r="2167" spans="1:19" x14ac:dyDescent="0.25">
      <c r="A2167" s="1">
        <v>2165</v>
      </c>
      <c r="B2167" t="str">
        <f>HYPERLINK("https://www.dasschnelle.at/neuhofer-petra-pöndorf-bergham","Website")</f>
        <v>Website</v>
      </c>
      <c r="C2167" t="str">
        <f>HYPERLINK("https://www.dasschnelle.at/neuhofer-petra-p%C3%B6ndorf-bergham","Website")</f>
        <v>Website</v>
      </c>
      <c r="D2167" t="str">
        <f>HYPERLINK("http://www.google.com/maps/place/48.0020397,13.3690821","Location")</f>
        <v>Location</v>
      </c>
      <c r="E2167" t="s">
        <v>19119</v>
      </c>
      <c r="F2167" t="s">
        <v>19120</v>
      </c>
      <c r="G2167" t="s">
        <v>19122</v>
      </c>
      <c r="H2167" t="s">
        <v>19123</v>
      </c>
      <c r="I2167" t="s">
        <v>85</v>
      </c>
      <c r="J2167" t="s">
        <v>22</v>
      </c>
      <c r="K2167" t="s">
        <v>19121</v>
      </c>
      <c r="L2167" t="s">
        <v>19126</v>
      </c>
      <c r="M2167" t="s">
        <v>25</v>
      </c>
      <c r="N2167" t="s">
        <v>19127</v>
      </c>
      <c r="O2167" t="s">
        <v>25</v>
      </c>
      <c r="P2167" t="s">
        <v>19128</v>
      </c>
      <c r="Q2167" t="s">
        <v>29</v>
      </c>
      <c r="R2167" t="s">
        <v>19124</v>
      </c>
      <c r="S2167" t="s">
        <v>19125</v>
      </c>
    </row>
    <row r="2168" spans="1:19" x14ac:dyDescent="0.25">
      <c r="A2168" s="1">
        <v>2166</v>
      </c>
      <c r="B2168" t="str">
        <f>HYPERLINK("https://www.dasschnelle.at/bonstingl-gesmbh-stainz-grünbaumgarten","Website")</f>
        <v>Website</v>
      </c>
      <c r="C2168" t="str">
        <f>HYPERLINK("http://www.bonstingl-heizung.at","Website")</f>
        <v>Website</v>
      </c>
      <c r="D2168" t="str">
        <f>HYPERLINK("http://www.google.com/maps/place/46.91372,15.24493","Location")</f>
        <v>Location</v>
      </c>
      <c r="E2168" t="s">
        <v>19129</v>
      </c>
      <c r="F2168" t="s">
        <v>19130</v>
      </c>
      <c r="G2168" t="s">
        <v>2834</v>
      </c>
      <c r="H2168" t="s">
        <v>2835</v>
      </c>
      <c r="I2168" t="s">
        <v>451</v>
      </c>
      <c r="J2168" t="s">
        <v>22</v>
      </c>
      <c r="K2168" t="s">
        <v>19131</v>
      </c>
      <c r="L2168" t="s">
        <v>19134</v>
      </c>
      <c r="M2168" t="s">
        <v>19135</v>
      </c>
      <c r="N2168" t="s">
        <v>19136</v>
      </c>
      <c r="O2168" t="s">
        <v>25</v>
      </c>
      <c r="P2168" t="s">
        <v>19137</v>
      </c>
      <c r="Q2168" t="s">
        <v>29</v>
      </c>
      <c r="R2168" t="s">
        <v>19132</v>
      </c>
      <c r="S2168" t="s">
        <v>19133</v>
      </c>
    </row>
    <row r="2169" spans="1:19" x14ac:dyDescent="0.25">
      <c r="A2169" s="1">
        <v>2167</v>
      </c>
      <c r="B2169" t="str">
        <f>HYPERLINK("https://www.dasschnelle.at/bauhof-deutschlandsberg-gmbh-deutschlandsberg-hinterleitenstraße","Website")</f>
        <v>Website</v>
      </c>
      <c r="C2169" t="str">
        <f>HYPERLINK("http://www.bauhofdeutschlandsberg.at","Website")</f>
        <v>Website</v>
      </c>
      <c r="D2169" t="str">
        <f>HYPERLINK("http://www.google.com/maps/place/46.84406,15.21011","Location")</f>
        <v>Location</v>
      </c>
      <c r="E2169" t="s">
        <v>19138</v>
      </c>
      <c r="F2169" t="s">
        <v>19139</v>
      </c>
      <c r="G2169" t="s">
        <v>2921</v>
      </c>
      <c r="H2169" t="s">
        <v>2922</v>
      </c>
      <c r="I2169" t="s">
        <v>451</v>
      </c>
      <c r="J2169" t="s">
        <v>22</v>
      </c>
      <c r="K2169" t="s">
        <v>19140</v>
      </c>
      <c r="L2169" t="s">
        <v>19143</v>
      </c>
      <c r="M2169" t="s">
        <v>25</v>
      </c>
      <c r="N2169" t="s">
        <v>19144</v>
      </c>
      <c r="O2169" t="s">
        <v>25</v>
      </c>
      <c r="P2169" t="s">
        <v>19145</v>
      </c>
      <c r="Q2169" t="s">
        <v>29</v>
      </c>
      <c r="R2169" t="s">
        <v>19141</v>
      </c>
      <c r="S2169" t="s">
        <v>19142</v>
      </c>
    </row>
    <row r="2170" spans="1:19" x14ac:dyDescent="0.25">
      <c r="A2170" s="1">
        <v>2168</v>
      </c>
      <c r="B2170" t="str">
        <f>HYPERLINK("https://www.dasschnelle.at/me-e-u-mein-estrich-offenhausen-hochstraße","Website")</f>
        <v>Website</v>
      </c>
      <c r="C2170" t="str">
        <f>HYPERLINK("http://www.mein-estrich.at","Website")</f>
        <v>Website</v>
      </c>
      <c r="D2170" t="str">
        <f>HYPERLINK("http://www.google.com/maps/place/48.1587200,13.8319700","Location")</f>
        <v>Location</v>
      </c>
      <c r="E2170" t="s">
        <v>19146</v>
      </c>
      <c r="F2170" t="s">
        <v>19147</v>
      </c>
      <c r="G2170" t="s">
        <v>19149</v>
      </c>
      <c r="H2170" t="s">
        <v>19150</v>
      </c>
      <c r="I2170" t="s">
        <v>85</v>
      </c>
      <c r="J2170" t="s">
        <v>22</v>
      </c>
      <c r="K2170" t="s">
        <v>19148</v>
      </c>
      <c r="L2170" t="s">
        <v>19153</v>
      </c>
      <c r="M2170" t="s">
        <v>25</v>
      </c>
      <c r="N2170" t="s">
        <v>19154</v>
      </c>
      <c r="O2170" t="s">
        <v>25</v>
      </c>
      <c r="P2170" t="s">
        <v>19155</v>
      </c>
      <c r="Q2170" t="s">
        <v>29</v>
      </c>
      <c r="R2170" t="s">
        <v>19151</v>
      </c>
      <c r="S2170" t="s">
        <v>19152</v>
      </c>
    </row>
    <row r="2171" spans="1:19" x14ac:dyDescent="0.25">
      <c r="A2171" s="1">
        <v>2169</v>
      </c>
      <c r="B2171" t="str">
        <f>HYPERLINK("https://www.dasschnelle.at/reitner-franz-mag-kirchdorf-an-der-krems-garnisonstraße","Website")</f>
        <v>Website</v>
      </c>
      <c r="C2171" t="str">
        <f>HYPERLINK("http://www.notar-reitner.at","Website")</f>
        <v>Website</v>
      </c>
      <c r="D2171" t="str">
        <f>HYPERLINK("http://www.google.com/maps/place/47.9041,14.12096","Location")</f>
        <v>Location</v>
      </c>
      <c r="E2171" t="s">
        <v>19156</v>
      </c>
      <c r="F2171" t="s">
        <v>19157</v>
      </c>
      <c r="G2171" t="s">
        <v>12306</v>
      </c>
      <c r="H2171" t="s">
        <v>12307</v>
      </c>
      <c r="I2171" t="s">
        <v>85</v>
      </c>
      <c r="J2171" t="s">
        <v>22</v>
      </c>
      <c r="K2171" t="s">
        <v>19158</v>
      </c>
      <c r="L2171" t="s">
        <v>19161</v>
      </c>
      <c r="M2171" t="s">
        <v>25</v>
      </c>
      <c r="N2171" t="s">
        <v>19162</v>
      </c>
      <c r="O2171" t="s">
        <v>25</v>
      </c>
      <c r="P2171" t="s">
        <v>19163</v>
      </c>
      <c r="Q2171" t="s">
        <v>29</v>
      </c>
      <c r="R2171" t="s">
        <v>19159</v>
      </c>
      <c r="S2171" t="s">
        <v>19160</v>
      </c>
    </row>
    <row r="2172" spans="1:19" x14ac:dyDescent="0.25">
      <c r="A2172" s="1">
        <v>2170</v>
      </c>
      <c r="B2172" t="str">
        <f>HYPERLINK("https://www.dasschnelle.at/mountain-exclusive-sankt-johann-in-tirol-mitterndorferweg","Website")</f>
        <v>Website</v>
      </c>
      <c r="C2172" t="str">
        <f>HYPERLINK("https://www.dasschnelle.at/mountain-exclusive-sankt-johann-in-tirol-mitterndorferweg","Website")</f>
        <v>Website</v>
      </c>
      <c r="D2172" t="str">
        <f>HYPERLINK("http://www.google.com/maps/place/47.5266920,12.4341814","Location")</f>
        <v>Location</v>
      </c>
      <c r="E2172" t="s">
        <v>19164</v>
      </c>
      <c r="F2172" t="s">
        <v>19165</v>
      </c>
      <c r="G2172" t="s">
        <v>850</v>
      </c>
      <c r="H2172" t="s">
        <v>17604</v>
      </c>
      <c r="I2172" t="s">
        <v>21</v>
      </c>
      <c r="J2172" t="s">
        <v>22</v>
      </c>
      <c r="K2172" t="s">
        <v>19166</v>
      </c>
      <c r="L2172" t="s">
        <v>19169</v>
      </c>
      <c r="M2172" t="s">
        <v>25</v>
      </c>
      <c r="N2172" t="s">
        <v>19170</v>
      </c>
      <c r="O2172" t="s">
        <v>19171</v>
      </c>
      <c r="P2172" t="s">
        <v>697</v>
      </c>
      <c r="Q2172" t="s">
        <v>29</v>
      </c>
      <c r="R2172" t="s">
        <v>19167</v>
      </c>
      <c r="S2172" t="s">
        <v>19168</v>
      </c>
    </row>
    <row r="2173" spans="1:19" x14ac:dyDescent="0.25">
      <c r="A2173" s="1">
        <v>2171</v>
      </c>
      <c r="B2173" t="str">
        <f>HYPERLINK("https://www.dasschnelle.at/strasser-roland-westendorf-mühltal","Website")</f>
        <v>Website</v>
      </c>
      <c r="C2173" t="str">
        <f>HYPERLINK("http://www.strasser-moebel.at","Website")</f>
        <v>Website</v>
      </c>
      <c r="D2173" t="str">
        <f>HYPERLINK("http://www.google.com/maps/place/47.4361900,12.1938700","Location")</f>
        <v>Location</v>
      </c>
      <c r="E2173" t="s">
        <v>19172</v>
      </c>
      <c r="F2173" t="s">
        <v>19173</v>
      </c>
      <c r="G2173" t="s">
        <v>877</v>
      </c>
      <c r="H2173" t="s">
        <v>878</v>
      </c>
      <c r="I2173" t="s">
        <v>21</v>
      </c>
      <c r="J2173" t="s">
        <v>22</v>
      </c>
      <c r="K2173" t="s">
        <v>19174</v>
      </c>
      <c r="L2173" t="s">
        <v>19177</v>
      </c>
      <c r="M2173" t="s">
        <v>25</v>
      </c>
      <c r="N2173" t="s">
        <v>19178</v>
      </c>
      <c r="O2173" t="s">
        <v>19179</v>
      </c>
      <c r="P2173" t="s">
        <v>19180</v>
      </c>
      <c r="Q2173" t="s">
        <v>29</v>
      </c>
      <c r="R2173" t="s">
        <v>19175</v>
      </c>
      <c r="S2173" t="s">
        <v>19176</v>
      </c>
    </row>
    <row r="2174" spans="1:19" x14ac:dyDescent="0.25">
      <c r="A2174" s="1">
        <v>2172</v>
      </c>
      <c r="B2174" t="str">
        <f>HYPERLINK("https://www.dasschnelle.at/hutterer-bau-gmbh-straßwalchen-bahnhofstraße","Website")</f>
        <v>Website</v>
      </c>
      <c r="C2174" t="str">
        <f>HYPERLINK("http://www.hutterer-bau.at","Website")</f>
        <v>Website</v>
      </c>
      <c r="D2174" t="str">
        <f>HYPERLINK("http://www.google.com/maps/place/47.96302,13.23782","Location")</f>
        <v>Location</v>
      </c>
      <c r="E2174" t="s">
        <v>19181</v>
      </c>
      <c r="F2174" t="s">
        <v>19182</v>
      </c>
      <c r="G2174" t="s">
        <v>10545</v>
      </c>
      <c r="H2174" t="s">
        <v>10546</v>
      </c>
      <c r="I2174" t="s">
        <v>2239</v>
      </c>
      <c r="J2174" t="s">
        <v>22</v>
      </c>
      <c r="K2174" t="s">
        <v>19183</v>
      </c>
      <c r="L2174" t="s">
        <v>19186</v>
      </c>
      <c r="M2174" t="s">
        <v>25</v>
      </c>
      <c r="N2174" t="s">
        <v>19187</v>
      </c>
      <c r="O2174" t="s">
        <v>19188</v>
      </c>
      <c r="P2174" t="s">
        <v>19189</v>
      </c>
      <c r="Q2174" t="s">
        <v>29</v>
      </c>
      <c r="R2174" t="s">
        <v>19184</v>
      </c>
      <c r="S2174" t="s">
        <v>19185</v>
      </c>
    </row>
    <row r="2175" spans="1:19" x14ac:dyDescent="0.25">
      <c r="A2175" s="1">
        <v>2173</v>
      </c>
      <c r="B2175" t="str">
        <f>HYPERLINK("https://www.dasschnelle.at/taxi-kleiner-gmbh-pöndorf-forstern","Website")</f>
        <v>Website</v>
      </c>
      <c r="C2175" t="str">
        <f>HYPERLINK("http://www.taxi-kleiner.at","Website")</f>
        <v>Website</v>
      </c>
      <c r="D2175" t="str">
        <f>HYPERLINK("http://www.google.com/maps/place/47.94738,13.22122","Location")</f>
        <v>Location</v>
      </c>
      <c r="E2175" t="s">
        <v>19190</v>
      </c>
      <c r="F2175" t="s">
        <v>19191</v>
      </c>
      <c r="G2175" t="s">
        <v>19122</v>
      </c>
      <c r="H2175" t="s">
        <v>19123</v>
      </c>
      <c r="I2175" t="s">
        <v>2239</v>
      </c>
      <c r="J2175" t="s">
        <v>22</v>
      </c>
      <c r="K2175" t="s">
        <v>19192</v>
      </c>
      <c r="L2175" t="s">
        <v>19195</v>
      </c>
      <c r="M2175" t="s">
        <v>25</v>
      </c>
      <c r="N2175" t="s">
        <v>19196</v>
      </c>
      <c r="O2175" t="s">
        <v>25</v>
      </c>
      <c r="P2175" t="s">
        <v>19197</v>
      </c>
      <c r="Q2175" t="s">
        <v>29</v>
      </c>
      <c r="R2175" t="s">
        <v>19193</v>
      </c>
      <c r="S2175" t="s">
        <v>19194</v>
      </c>
    </row>
    <row r="2176" spans="1:19" x14ac:dyDescent="0.25">
      <c r="A2176" s="1">
        <v>2174</v>
      </c>
      <c r="B2176" t="str">
        <f>HYPERLINK("https://www.dasschnelle.at/physikoinstitut-gesundheitspark-deutschlandsberg-gmbh-deutschlandsberg-glashüttenstraße","Website")</f>
        <v>Website</v>
      </c>
      <c r="C2176" t="str">
        <f>HYPERLINK("http://www.physikoinstitut.at","Website")</f>
        <v>Website</v>
      </c>
      <c r="D2176" t="str">
        <f>HYPERLINK("http://www.google.com/maps/place/46.80984,15.20364","Location")</f>
        <v>Location</v>
      </c>
      <c r="E2176" t="s">
        <v>19198</v>
      </c>
      <c r="F2176" t="s">
        <v>19199</v>
      </c>
      <c r="G2176" t="s">
        <v>2921</v>
      </c>
      <c r="H2176" t="s">
        <v>2922</v>
      </c>
      <c r="I2176" t="s">
        <v>451</v>
      </c>
      <c r="J2176" t="s">
        <v>22</v>
      </c>
      <c r="K2176" t="s">
        <v>19200</v>
      </c>
      <c r="L2176" t="s">
        <v>19203</v>
      </c>
      <c r="M2176" t="s">
        <v>19204</v>
      </c>
      <c r="N2176" t="s">
        <v>19205</v>
      </c>
      <c r="O2176" t="s">
        <v>25</v>
      </c>
      <c r="P2176" t="s">
        <v>19206</v>
      </c>
      <c r="Q2176" t="s">
        <v>29</v>
      </c>
      <c r="R2176" t="s">
        <v>19201</v>
      </c>
      <c r="S2176" t="s">
        <v>19202</v>
      </c>
    </row>
    <row r="2177" spans="1:19" x14ac:dyDescent="0.25">
      <c r="A2177" s="1">
        <v>2175</v>
      </c>
      <c r="B2177" t="str">
        <f>HYPERLINK("https://www.dasschnelle.at/folk-walter-traun-neubaufeldstraße","Website")</f>
        <v>Website</v>
      </c>
      <c r="C2177" t="str">
        <f>HYPERLINK("http://www.friseur-folk.at","Website")</f>
        <v>Website</v>
      </c>
      <c r="D2177" t="str">
        <f>HYPERLINK("http://www.google.com/maps/place/48.21403,14.20397","Location")</f>
        <v>Location</v>
      </c>
      <c r="E2177" t="s">
        <v>19207</v>
      </c>
      <c r="F2177" t="s">
        <v>19208</v>
      </c>
      <c r="G2177" t="s">
        <v>10227</v>
      </c>
      <c r="H2177" t="s">
        <v>10228</v>
      </c>
      <c r="I2177" t="s">
        <v>85</v>
      </c>
      <c r="J2177" t="s">
        <v>22</v>
      </c>
      <c r="K2177" t="s">
        <v>19209</v>
      </c>
      <c r="L2177" t="s">
        <v>19212</v>
      </c>
      <c r="M2177" t="s">
        <v>25</v>
      </c>
      <c r="N2177" t="s">
        <v>19213</v>
      </c>
      <c r="O2177" t="s">
        <v>25</v>
      </c>
      <c r="P2177" t="s">
        <v>19214</v>
      </c>
      <c r="Q2177" t="s">
        <v>29</v>
      </c>
      <c r="R2177" t="s">
        <v>19210</v>
      </c>
      <c r="S2177" t="s">
        <v>19211</v>
      </c>
    </row>
    <row r="2178" spans="1:19" x14ac:dyDescent="0.25">
      <c r="A2178" s="1">
        <v>2176</v>
      </c>
      <c r="B2178" t="str">
        <f>HYPERLINK("https://www.dasschnelle.at/gas-tech-ma-traun-johann-roithner-strasse","Website")</f>
        <v>Website</v>
      </c>
      <c r="C2178" t="str">
        <f>HYPERLINK("http://www.gas-tech.at","Website")</f>
        <v>Website</v>
      </c>
      <c r="D2178" t="str">
        <f>HYPERLINK("http://www.google.com/maps/place/48.2231500,14.2418300","Location")</f>
        <v>Location</v>
      </c>
      <c r="E2178" t="s">
        <v>19215</v>
      </c>
      <c r="F2178" t="s">
        <v>19216</v>
      </c>
      <c r="G2178" t="s">
        <v>10227</v>
      </c>
      <c r="H2178" t="s">
        <v>10228</v>
      </c>
      <c r="I2178" t="s">
        <v>85</v>
      </c>
      <c r="J2178" t="s">
        <v>22</v>
      </c>
      <c r="K2178" t="s">
        <v>19217</v>
      </c>
      <c r="L2178" t="s">
        <v>19220</v>
      </c>
      <c r="M2178" t="s">
        <v>25</v>
      </c>
      <c r="N2178" t="s">
        <v>19221</v>
      </c>
      <c r="O2178" t="s">
        <v>25</v>
      </c>
      <c r="P2178" t="s">
        <v>19222</v>
      </c>
      <c r="Q2178" t="s">
        <v>29</v>
      </c>
      <c r="R2178" t="s">
        <v>19218</v>
      </c>
      <c r="S2178" t="s">
        <v>19219</v>
      </c>
    </row>
    <row r="2179" spans="1:19" x14ac:dyDescent="0.25">
      <c r="A2179" s="1">
        <v>2177</v>
      </c>
      <c r="B2179" t="str">
        <f>HYPERLINK("https://www.dasschnelle.at/caputo-gaststättenbetriebs-u-handelsgesmbh-völkermarkt-hans-wiegele-straße","Website")</f>
        <v>Website</v>
      </c>
      <c r="C2179" t="str">
        <f>HYPERLINK("http://www.pizzeria-caputo.at","Website")</f>
        <v>Website</v>
      </c>
      <c r="D2179" t="str">
        <f>HYPERLINK("http://www.google.com/maps/place/46.66228,14.63432","Location")</f>
        <v>Location</v>
      </c>
      <c r="E2179" t="s">
        <v>19223</v>
      </c>
      <c r="F2179" t="s">
        <v>19224</v>
      </c>
      <c r="G2179" t="s">
        <v>5079</v>
      </c>
      <c r="H2179" t="s">
        <v>5080</v>
      </c>
      <c r="I2179" t="s">
        <v>4130</v>
      </c>
      <c r="J2179" t="s">
        <v>22</v>
      </c>
      <c r="K2179" t="s">
        <v>19225</v>
      </c>
      <c r="L2179" t="s">
        <v>19228</v>
      </c>
      <c r="M2179" t="s">
        <v>25</v>
      </c>
      <c r="N2179" t="s">
        <v>19229</v>
      </c>
      <c r="O2179" t="s">
        <v>25</v>
      </c>
      <c r="P2179" t="s">
        <v>19230</v>
      </c>
      <c r="Q2179" t="s">
        <v>29</v>
      </c>
      <c r="R2179" t="s">
        <v>19226</v>
      </c>
      <c r="S2179" t="s">
        <v>19227</v>
      </c>
    </row>
    <row r="2180" spans="1:19" x14ac:dyDescent="0.25">
      <c r="A2180" s="1">
        <v>2178</v>
      </c>
      <c r="B2180" t="str">
        <f>HYPERLINK("https://www.dasschnelle.at/ablinger-anca-dr-braunau-am-berg","Website")</f>
        <v>Website</v>
      </c>
      <c r="C2180" t="str">
        <f>HYPERLINK("http://www.hno-braunau.at","Website")</f>
        <v>Website</v>
      </c>
      <c r="D2180" t="str">
        <f>HYPERLINK("http://www.google.com/maps/place/48.2571000,13.0366400","Location")</f>
        <v>Location</v>
      </c>
      <c r="E2180" t="s">
        <v>19231</v>
      </c>
      <c r="F2180" t="s">
        <v>19232</v>
      </c>
      <c r="G2180" t="s">
        <v>1289</v>
      </c>
      <c r="H2180" t="s">
        <v>1290</v>
      </c>
      <c r="I2180" t="s">
        <v>85</v>
      </c>
      <c r="J2180" t="s">
        <v>22</v>
      </c>
      <c r="K2180" t="s">
        <v>18507</v>
      </c>
      <c r="L2180" t="s">
        <v>19235</v>
      </c>
      <c r="M2180" t="s">
        <v>25</v>
      </c>
      <c r="N2180" t="s">
        <v>19236</v>
      </c>
      <c r="O2180" t="s">
        <v>25</v>
      </c>
      <c r="P2180" t="s">
        <v>19237</v>
      </c>
      <c r="Q2180" t="s">
        <v>29</v>
      </c>
      <c r="R2180" t="s">
        <v>19233</v>
      </c>
      <c r="S2180" t="s">
        <v>19234</v>
      </c>
    </row>
    <row r="2181" spans="1:19" x14ac:dyDescent="0.25">
      <c r="A2181" s="1">
        <v>2179</v>
      </c>
      <c r="B2181" t="str">
        <f>HYPERLINK("https://www.dasschnelle.at/laimer-ferdinand-strobl-lilienweg","Website")</f>
        <v>Website</v>
      </c>
      <c r="C2181" t="str">
        <f>HYPERLINK("http://www.physiotherapie-laimer.com","Website")</f>
        <v>Website</v>
      </c>
      <c r="D2181" t="str">
        <f>HYPERLINK("http://www.google.com/maps/place/47.71432,13.4868","Location")</f>
        <v>Location</v>
      </c>
      <c r="E2181" t="s">
        <v>19238</v>
      </c>
      <c r="F2181" t="s">
        <v>19239</v>
      </c>
      <c r="G2181" t="s">
        <v>2493</v>
      </c>
      <c r="H2181" t="s">
        <v>2494</v>
      </c>
      <c r="I2181" t="s">
        <v>2239</v>
      </c>
      <c r="J2181" t="s">
        <v>22</v>
      </c>
      <c r="K2181" t="s">
        <v>19240</v>
      </c>
      <c r="L2181" t="s">
        <v>19242</v>
      </c>
      <c r="M2181" t="s">
        <v>25</v>
      </c>
      <c r="N2181" t="s">
        <v>19243</v>
      </c>
      <c r="O2181" t="s">
        <v>19244</v>
      </c>
      <c r="P2181" t="s">
        <v>19245</v>
      </c>
      <c r="Q2181" t="s">
        <v>29</v>
      </c>
      <c r="R2181" t="s">
        <v>2422</v>
      </c>
      <c r="S2181" t="s">
        <v>19241</v>
      </c>
    </row>
    <row r="2182" spans="1:19" x14ac:dyDescent="0.25">
      <c r="A2182" s="1">
        <v>2180</v>
      </c>
      <c r="B2182" t="str">
        <f>HYPERLINK("https://www.dasschnelle.at/rettenwander-lois-gesmbh-und-co-kg-kirchberg-in-tirol-kitzbüheler-straße","Website")</f>
        <v>Website</v>
      </c>
      <c r="C2182" t="str">
        <f>HYPERLINK("http://www.rettenwander.at","Website")</f>
        <v>Website</v>
      </c>
      <c r="D2182" t="str">
        <f>HYPERLINK("http://www.google.com/maps/place/47.44852,12.32687","Location")</f>
        <v>Location</v>
      </c>
      <c r="E2182" t="s">
        <v>19246</v>
      </c>
      <c r="F2182" t="s">
        <v>19247</v>
      </c>
      <c r="G2182" t="s">
        <v>822</v>
      </c>
      <c r="H2182" t="s">
        <v>823</v>
      </c>
      <c r="I2182" t="s">
        <v>21</v>
      </c>
      <c r="J2182" t="s">
        <v>22</v>
      </c>
      <c r="K2182" t="s">
        <v>19248</v>
      </c>
      <c r="L2182" t="s">
        <v>19251</v>
      </c>
      <c r="M2182" t="s">
        <v>19252</v>
      </c>
      <c r="N2182" t="s">
        <v>19253</v>
      </c>
      <c r="O2182" t="s">
        <v>25</v>
      </c>
      <c r="P2182" t="s">
        <v>19254</v>
      </c>
      <c r="Q2182" t="s">
        <v>29</v>
      </c>
      <c r="R2182" t="s">
        <v>19249</v>
      </c>
      <c r="S2182" t="s">
        <v>19250</v>
      </c>
    </row>
    <row r="2183" spans="1:19" x14ac:dyDescent="0.25">
      <c r="A2183" s="1">
        <v>2181</v>
      </c>
      <c r="B2183" t="str">
        <f>HYPERLINK("https://www.dasschnelle.at/wurzrainer-josef-westendorf-mühltal","Website")</f>
        <v>Website</v>
      </c>
      <c r="C2183" t="str">
        <f>HYPERLINK("https://www.dasschnelle.at/wurzrainer-josef-westendorf-m%C3%BChltal","Website")</f>
        <v>Website</v>
      </c>
      <c r="D2183" t="str">
        <f>HYPERLINK("http://www.google.com/maps/place/47.43698,12.21435","Location")</f>
        <v>Location</v>
      </c>
      <c r="E2183" t="s">
        <v>19255</v>
      </c>
      <c r="F2183" t="s">
        <v>19256</v>
      </c>
      <c r="G2183" t="s">
        <v>877</v>
      </c>
      <c r="H2183" t="s">
        <v>878</v>
      </c>
      <c r="I2183" t="s">
        <v>21</v>
      </c>
      <c r="J2183" t="s">
        <v>22</v>
      </c>
      <c r="K2183" t="s">
        <v>19257</v>
      </c>
      <c r="L2183" t="s">
        <v>19260</v>
      </c>
      <c r="M2183" t="s">
        <v>25</v>
      </c>
      <c r="N2183" t="s">
        <v>19261</v>
      </c>
      <c r="O2183" t="s">
        <v>25</v>
      </c>
      <c r="P2183" t="s">
        <v>19262</v>
      </c>
      <c r="Q2183" t="s">
        <v>29</v>
      </c>
      <c r="R2183" t="s">
        <v>19258</v>
      </c>
      <c r="S2183" t="s">
        <v>19259</v>
      </c>
    </row>
    <row r="2184" spans="1:19" x14ac:dyDescent="0.25">
      <c r="A2184" s="1">
        <v>2182</v>
      </c>
      <c r="B2184" t="str">
        <f>HYPERLINK("https://www.dasschnelle.at/humer-maler-gmbh-pöchlarn-bahnhofplatz","Website")</f>
        <v>Website</v>
      </c>
      <c r="C2184" t="str">
        <f>HYPERLINK("http://www.humer.cc","Website")</f>
        <v>Website</v>
      </c>
      <c r="D2184" t="str">
        <f>HYPERLINK("http://www.google.com/maps/place/48.20852,15.21712","Location")</f>
        <v>Location</v>
      </c>
      <c r="E2184" t="s">
        <v>19263</v>
      </c>
      <c r="F2184" t="s">
        <v>19264</v>
      </c>
      <c r="G2184" t="s">
        <v>5982</v>
      </c>
      <c r="H2184" t="s">
        <v>5983</v>
      </c>
      <c r="I2184" t="s">
        <v>177</v>
      </c>
      <c r="J2184" t="s">
        <v>22</v>
      </c>
      <c r="K2184" t="s">
        <v>19265</v>
      </c>
      <c r="L2184" t="s">
        <v>19268</v>
      </c>
      <c r="M2184" t="s">
        <v>25</v>
      </c>
      <c r="N2184" t="s">
        <v>19269</v>
      </c>
      <c r="O2184" t="s">
        <v>25</v>
      </c>
      <c r="P2184" t="s">
        <v>19270</v>
      </c>
      <c r="Q2184" t="s">
        <v>29</v>
      </c>
      <c r="R2184" t="s">
        <v>19266</v>
      </c>
      <c r="S2184" t="s">
        <v>19267</v>
      </c>
    </row>
    <row r="2185" spans="1:19" x14ac:dyDescent="0.25">
      <c r="A2185" s="1">
        <v>2183</v>
      </c>
      <c r="B2185" t="str">
        <f>HYPERLINK("https://www.dasschnelle.at/minichberger-installationen-haid-am-damm","Website")</f>
        <v>Website</v>
      </c>
      <c r="C2185" t="str">
        <f>HYPERLINK("https://www.dasschnelle.at/minichberger-installationen-haid-am-damm","Website")</f>
        <v>Website</v>
      </c>
      <c r="D2185" t="str">
        <f>HYPERLINK("http://www.google.com/maps/place/48.21606,14.26155","Location")</f>
        <v>Location</v>
      </c>
      <c r="E2185" t="s">
        <v>19271</v>
      </c>
      <c r="F2185" t="s">
        <v>19272</v>
      </c>
      <c r="G2185" t="s">
        <v>19274</v>
      </c>
      <c r="H2185" t="s">
        <v>19275</v>
      </c>
      <c r="I2185" t="s">
        <v>85</v>
      </c>
      <c r="J2185" t="s">
        <v>22</v>
      </c>
      <c r="K2185" t="s">
        <v>19273</v>
      </c>
      <c r="L2185" t="s">
        <v>19278</v>
      </c>
      <c r="M2185" t="s">
        <v>25</v>
      </c>
      <c r="N2185" t="s">
        <v>19279</v>
      </c>
      <c r="O2185" t="s">
        <v>25</v>
      </c>
      <c r="P2185" t="s">
        <v>19280</v>
      </c>
      <c r="Q2185" t="s">
        <v>29</v>
      </c>
      <c r="R2185" t="s">
        <v>19276</v>
      </c>
      <c r="S2185" t="s">
        <v>19277</v>
      </c>
    </row>
    <row r="2186" spans="1:19" x14ac:dyDescent="0.25">
      <c r="A2186" s="1">
        <v>2184</v>
      </c>
      <c r="B2186" t="str">
        <f>HYPERLINK("https://www.dasschnelle.at/dr-josef-kehrer-versicherungsmakler-gmbh-traun-bahnhofstraße","Website")</f>
        <v>Website</v>
      </c>
      <c r="C2186" t="str">
        <f>HYPERLINK("http://www.kehrer.co.at","Website")</f>
        <v>Website</v>
      </c>
      <c r="D2186" t="str">
        <f>HYPERLINK("http://www.google.com/maps/place/48.2209800,14.2411000","Location")</f>
        <v>Location</v>
      </c>
      <c r="E2186" t="s">
        <v>19281</v>
      </c>
      <c r="F2186" t="s">
        <v>19282</v>
      </c>
      <c r="G2186" t="s">
        <v>10227</v>
      </c>
      <c r="H2186" t="s">
        <v>10228</v>
      </c>
      <c r="I2186" t="s">
        <v>85</v>
      </c>
      <c r="J2186" t="s">
        <v>22</v>
      </c>
      <c r="K2186" t="s">
        <v>19283</v>
      </c>
      <c r="L2186" t="s">
        <v>19286</v>
      </c>
      <c r="M2186" t="s">
        <v>25</v>
      </c>
      <c r="N2186" t="s">
        <v>19287</v>
      </c>
      <c r="O2186" t="s">
        <v>25</v>
      </c>
      <c r="P2186" t="s">
        <v>19288</v>
      </c>
      <c r="Q2186" t="s">
        <v>29</v>
      </c>
      <c r="R2186" t="s">
        <v>19284</v>
      </c>
      <c r="S2186" t="s">
        <v>19285</v>
      </c>
    </row>
    <row r="2187" spans="1:19" x14ac:dyDescent="0.25">
      <c r="A2187" s="1">
        <v>2185</v>
      </c>
      <c r="B2187" t="str">
        <f>HYPERLINK("https://www.dasschnelle.at/zentrum-für-angewandte-psychologie-gmbh-wr-neustadt-wiener-neustadt-engelbrechtgasse","Website")</f>
        <v>Website</v>
      </c>
      <c r="C2187" t="str">
        <f>HYPERLINK("http://www.aap.co.at","Website")</f>
        <v>Website</v>
      </c>
      <c r="D2187" t="str">
        <f>HYPERLINK("http://www.google.com/maps/place/47.80778,16.24021","Location")</f>
        <v>Location</v>
      </c>
      <c r="E2187" t="s">
        <v>19289</v>
      </c>
      <c r="F2187" t="s">
        <v>19290</v>
      </c>
      <c r="G2187" t="s">
        <v>3962</v>
      </c>
      <c r="H2187" t="s">
        <v>3982</v>
      </c>
      <c r="I2187" t="s">
        <v>177</v>
      </c>
      <c r="J2187" t="s">
        <v>22</v>
      </c>
      <c r="K2187" t="s">
        <v>19291</v>
      </c>
      <c r="L2187" t="s">
        <v>19294</v>
      </c>
      <c r="M2187" t="s">
        <v>19295</v>
      </c>
      <c r="N2187" t="s">
        <v>19296</v>
      </c>
      <c r="O2187" t="s">
        <v>25</v>
      </c>
      <c r="P2187" t="s">
        <v>19297</v>
      </c>
      <c r="Q2187" t="s">
        <v>29</v>
      </c>
      <c r="R2187" t="s">
        <v>19292</v>
      </c>
      <c r="S2187" t="s">
        <v>19293</v>
      </c>
    </row>
    <row r="2188" spans="1:19" x14ac:dyDescent="0.25">
      <c r="A2188" s="1">
        <v>2186</v>
      </c>
      <c r="B2188" t="str">
        <f>HYPERLINK("https://www.dasschnelle.at/stock-manfred-dr-traun-graumannplatz","Website")</f>
        <v>Website</v>
      </c>
      <c r="C2188" t="str">
        <f>HYPERLINK("https://www.dasschnelle.at/stock-manfred-dr-traun-graumannplatz","Website")</f>
        <v>Website</v>
      </c>
      <c r="D2188" t="str">
        <f>HYPERLINK("http://www.google.com/maps/place/48.21998,14.2396","Location")</f>
        <v>Location</v>
      </c>
      <c r="E2188" t="s">
        <v>19298</v>
      </c>
      <c r="F2188" t="s">
        <v>19299</v>
      </c>
      <c r="G2188" t="s">
        <v>10227</v>
      </c>
      <c r="H2188" t="s">
        <v>10228</v>
      </c>
      <c r="I2188" t="s">
        <v>85</v>
      </c>
      <c r="J2188" t="s">
        <v>22</v>
      </c>
      <c r="K2188" t="s">
        <v>10273</v>
      </c>
      <c r="L2188" t="s">
        <v>19300</v>
      </c>
      <c r="M2188" t="s">
        <v>25</v>
      </c>
      <c r="N2188" t="s">
        <v>25</v>
      </c>
      <c r="O2188" t="s">
        <v>25</v>
      </c>
      <c r="P2188" t="s">
        <v>19301</v>
      </c>
      <c r="Q2188" t="s">
        <v>29</v>
      </c>
      <c r="R2188" t="s">
        <v>18974</v>
      </c>
      <c r="S2188" t="s">
        <v>18975</v>
      </c>
    </row>
    <row r="2189" spans="1:19" x14ac:dyDescent="0.25">
      <c r="A2189" s="1">
        <v>2187</v>
      </c>
      <c r="B2189" t="str">
        <f>HYPERLINK("https://www.dasschnelle.at/griess-oskar-gmbh-deutschlandsberg-burgegger-straße","Website")</f>
        <v>Website</v>
      </c>
      <c r="C2189" t="str">
        <f>HYPERLINK("http://www.griessdach.at","Website")</f>
        <v>Website</v>
      </c>
      <c r="D2189" t="str">
        <f>HYPERLINK("http://www.google.com/maps/place/46.8118,15.21103","Location")</f>
        <v>Location</v>
      </c>
      <c r="E2189" t="s">
        <v>19302</v>
      </c>
      <c r="F2189" t="s">
        <v>19303</v>
      </c>
      <c r="G2189" t="s">
        <v>2921</v>
      </c>
      <c r="H2189" t="s">
        <v>2922</v>
      </c>
      <c r="I2189" t="s">
        <v>451</v>
      </c>
      <c r="J2189" t="s">
        <v>22</v>
      </c>
      <c r="K2189" t="s">
        <v>19304</v>
      </c>
      <c r="L2189" t="s">
        <v>19307</v>
      </c>
      <c r="M2189" t="s">
        <v>19308</v>
      </c>
      <c r="N2189" t="s">
        <v>19309</v>
      </c>
      <c r="O2189" t="s">
        <v>19310</v>
      </c>
      <c r="P2189" t="s">
        <v>19311</v>
      </c>
      <c r="Q2189" t="s">
        <v>29</v>
      </c>
      <c r="R2189" t="s">
        <v>19305</v>
      </c>
      <c r="S2189" t="s">
        <v>19306</v>
      </c>
    </row>
    <row r="2190" spans="1:19" x14ac:dyDescent="0.25">
      <c r="A2190" s="1">
        <v>2188</v>
      </c>
      <c r="B2190" t="str">
        <f>HYPERLINK("https://www.dasschnelle.at/hofer-victoria-micheldorf-hauptstraße","Website")</f>
        <v>Website</v>
      </c>
      <c r="C2190" t="str">
        <f>HYPERLINK("http://www.gasthaus-geigenbauer.at","Website")</f>
        <v>Website</v>
      </c>
      <c r="D2190" t="str">
        <f>HYPERLINK("http://www.google.com/maps/place/47.8777096,14.1341039","Location")</f>
        <v>Location</v>
      </c>
      <c r="E2190" t="s">
        <v>19312</v>
      </c>
      <c r="F2190" t="s">
        <v>19313</v>
      </c>
      <c r="G2190" t="s">
        <v>12399</v>
      </c>
      <c r="H2190" t="s">
        <v>12400</v>
      </c>
      <c r="I2190" t="s">
        <v>85</v>
      </c>
      <c r="J2190" t="s">
        <v>22</v>
      </c>
      <c r="K2190" t="s">
        <v>19314</v>
      </c>
      <c r="L2190" t="s">
        <v>19317</v>
      </c>
      <c r="M2190" t="s">
        <v>25</v>
      </c>
      <c r="N2190" t="s">
        <v>19318</v>
      </c>
      <c r="O2190" t="s">
        <v>25</v>
      </c>
      <c r="P2190" t="s">
        <v>697</v>
      </c>
      <c r="Q2190" t="s">
        <v>29</v>
      </c>
      <c r="R2190" t="s">
        <v>19315</v>
      </c>
      <c r="S2190" t="s">
        <v>19316</v>
      </c>
    </row>
    <row r="2191" spans="1:19" x14ac:dyDescent="0.25">
      <c r="A2191" s="1">
        <v>2189</v>
      </c>
      <c r="B2191" t="str">
        <f>HYPERLINK("https://www.dasschnelle.at/mödritzer-susanne-dr-med-micheldorf-gartenstraße","Website")</f>
        <v>Website</v>
      </c>
      <c r="C2191" t="str">
        <f>HYPERLINK("http://www.drmoedritzer.stadtausstellung.at","Website")</f>
        <v>Website</v>
      </c>
      <c r="D2191" t="str">
        <f>HYPERLINK("http://www.google.com/maps/place/47.8795800,14.1379168","Location")</f>
        <v>Location</v>
      </c>
      <c r="E2191" t="s">
        <v>19319</v>
      </c>
      <c r="F2191" t="s">
        <v>19320</v>
      </c>
      <c r="G2191" t="s">
        <v>12399</v>
      </c>
      <c r="H2191" t="s">
        <v>12400</v>
      </c>
      <c r="I2191" t="s">
        <v>85</v>
      </c>
      <c r="J2191" t="s">
        <v>22</v>
      </c>
      <c r="K2191" t="s">
        <v>19321</v>
      </c>
      <c r="L2191" t="s">
        <v>19324</v>
      </c>
      <c r="M2191" t="s">
        <v>25</v>
      </c>
      <c r="N2191" t="s">
        <v>19325</v>
      </c>
      <c r="O2191" t="s">
        <v>25</v>
      </c>
      <c r="P2191" t="s">
        <v>19326</v>
      </c>
      <c r="Q2191" t="s">
        <v>29</v>
      </c>
      <c r="R2191" t="s">
        <v>19322</v>
      </c>
      <c r="S2191" t="s">
        <v>19323</v>
      </c>
    </row>
    <row r="2192" spans="1:19" x14ac:dyDescent="0.25">
      <c r="A2192" s="1">
        <v>2190</v>
      </c>
      <c r="B2192" t="str">
        <f>HYPERLINK("https://www.dasschnelle.at/wimplinger-clemens-dr-med-univ-schlierbach-stiftsstraße","Website")</f>
        <v>Website</v>
      </c>
      <c r="C2192" t="str">
        <f>HYPERLINK("https://www.dasschnelle.at/wimplinger-clemens-dr-med-univ-schlierbach-stiftsstra%C3%9Fe","Website")</f>
        <v>Website</v>
      </c>
      <c r="D2192" t="str">
        <f>HYPERLINK("http://www.google.com/maps/place/47.94336,14.12515","Location")</f>
        <v>Location</v>
      </c>
      <c r="E2192" t="s">
        <v>19327</v>
      </c>
      <c r="F2192" t="s">
        <v>19328</v>
      </c>
      <c r="G2192" t="s">
        <v>12355</v>
      </c>
      <c r="H2192" t="s">
        <v>12356</v>
      </c>
      <c r="I2192" t="s">
        <v>85</v>
      </c>
      <c r="J2192" t="s">
        <v>22</v>
      </c>
      <c r="K2192" t="s">
        <v>19329</v>
      </c>
      <c r="L2192" t="s">
        <v>19332</v>
      </c>
      <c r="M2192" t="s">
        <v>25</v>
      </c>
      <c r="N2192" t="s">
        <v>19333</v>
      </c>
      <c r="O2192" t="s">
        <v>25</v>
      </c>
      <c r="P2192" t="s">
        <v>19334</v>
      </c>
      <c r="Q2192" t="s">
        <v>29</v>
      </c>
      <c r="R2192" t="s">
        <v>19330</v>
      </c>
      <c r="S2192" t="s">
        <v>19331</v>
      </c>
    </row>
    <row r="2193" spans="1:19" x14ac:dyDescent="0.25">
      <c r="A2193" s="1">
        <v>2191</v>
      </c>
      <c r="B2193" t="str">
        <f>HYPERLINK("https://www.dasschnelle.at/boss-immobilien-gmbh-traun-hauptplatz","Website")</f>
        <v>Website</v>
      </c>
      <c r="C2193" t="str">
        <f>HYPERLINK("http://www.bossimmobilien.at","Website")</f>
        <v>Website</v>
      </c>
      <c r="D2193" t="str">
        <f>HYPERLINK("http://www.google.com/maps/place/48.22002,14.23721","Location")</f>
        <v>Location</v>
      </c>
      <c r="E2193" t="s">
        <v>19335</v>
      </c>
      <c r="F2193" t="s">
        <v>19336</v>
      </c>
      <c r="G2193" t="s">
        <v>10227</v>
      </c>
      <c r="H2193" t="s">
        <v>10228</v>
      </c>
      <c r="I2193" t="s">
        <v>85</v>
      </c>
      <c r="J2193" t="s">
        <v>22</v>
      </c>
      <c r="K2193" t="s">
        <v>11223</v>
      </c>
      <c r="L2193" t="s">
        <v>19339</v>
      </c>
      <c r="M2193" t="s">
        <v>25</v>
      </c>
      <c r="N2193" t="s">
        <v>19340</v>
      </c>
      <c r="O2193" t="s">
        <v>25</v>
      </c>
      <c r="P2193" t="s">
        <v>19341</v>
      </c>
      <c r="Q2193" t="s">
        <v>29</v>
      </c>
      <c r="R2193" t="s">
        <v>19337</v>
      </c>
      <c r="S2193" t="s">
        <v>19338</v>
      </c>
    </row>
    <row r="2194" spans="1:19" x14ac:dyDescent="0.25">
      <c r="A2194" s="1">
        <v>2192</v>
      </c>
      <c r="B2194" t="str">
        <f>HYPERLINK("https://www.dasschnelle.at/trinkl-josef-sankt-marien-lärchenweg","Website")</f>
        <v>Website</v>
      </c>
      <c r="C2194" t="str">
        <f>HYPERLINK("http://www.tj-sonnenschutz.at","Website")</f>
        <v>Website</v>
      </c>
      <c r="D2194" t="str">
        <f>HYPERLINK("http://www.google.com/maps/place/48.14861,14.27267","Location")</f>
        <v>Location</v>
      </c>
      <c r="E2194" t="s">
        <v>19342</v>
      </c>
      <c r="F2194" t="s">
        <v>19343</v>
      </c>
      <c r="G2194" t="s">
        <v>19344</v>
      </c>
      <c r="H2194" t="s">
        <v>19345</v>
      </c>
      <c r="I2194" t="s">
        <v>85</v>
      </c>
      <c r="J2194" t="s">
        <v>22</v>
      </c>
      <c r="K2194" t="s">
        <v>17403</v>
      </c>
      <c r="L2194" t="s">
        <v>19348</v>
      </c>
      <c r="M2194" t="s">
        <v>25</v>
      </c>
      <c r="N2194" t="s">
        <v>19349</v>
      </c>
      <c r="O2194" t="s">
        <v>25</v>
      </c>
      <c r="P2194" t="s">
        <v>19350</v>
      </c>
      <c r="Q2194" t="s">
        <v>29</v>
      </c>
      <c r="R2194" t="s">
        <v>19346</v>
      </c>
      <c r="S2194" t="s">
        <v>19347</v>
      </c>
    </row>
    <row r="2195" spans="1:19" x14ac:dyDescent="0.25">
      <c r="A2195" s="1">
        <v>2193</v>
      </c>
      <c r="B2195" t="str">
        <f>HYPERLINK("https://www.dasschnelle.at/pletzer-matthäus-dr-kitzbühel-jochberger-straße","Website")</f>
        <v>Website</v>
      </c>
      <c r="C2195" t="str">
        <f>HYPERLINK("http://www.notariat-pletzer.at","Website")</f>
        <v>Website</v>
      </c>
      <c r="D2195" t="str">
        <f>HYPERLINK("http://www.google.com/maps/place/47.43689,12.40197","Location")</f>
        <v>Location</v>
      </c>
      <c r="E2195" t="s">
        <v>19351</v>
      </c>
      <c r="F2195" t="s">
        <v>19352</v>
      </c>
      <c r="G2195" t="s">
        <v>833</v>
      </c>
      <c r="H2195" t="s">
        <v>834</v>
      </c>
      <c r="I2195" t="s">
        <v>21</v>
      </c>
      <c r="J2195" t="s">
        <v>22</v>
      </c>
      <c r="K2195" t="s">
        <v>19353</v>
      </c>
      <c r="L2195" t="s">
        <v>19356</v>
      </c>
      <c r="M2195" t="s">
        <v>19357</v>
      </c>
      <c r="N2195" t="s">
        <v>19358</v>
      </c>
      <c r="O2195" t="s">
        <v>25</v>
      </c>
      <c r="P2195" t="s">
        <v>19359</v>
      </c>
      <c r="Q2195" t="s">
        <v>29</v>
      </c>
      <c r="R2195" t="s">
        <v>19354</v>
      </c>
      <c r="S2195" t="s">
        <v>19355</v>
      </c>
    </row>
    <row r="2196" spans="1:19" x14ac:dyDescent="0.25">
      <c r="A2196" s="1">
        <v>2194</v>
      </c>
      <c r="B2196" t="str">
        <f>HYPERLINK("https://www.dasschnelle.at/z-berg-cornelia-dr-kitzbühel-hammerschmiedstraße","Website")</f>
        <v>Website</v>
      </c>
      <c r="C2196" t="str">
        <f>HYPERLINK("http://www.tierarzt-zberg.at","Website")</f>
        <v>Website</v>
      </c>
      <c r="D2196" t="str">
        <f>HYPERLINK("http://www.google.com/maps/place/47.44501,12.3953","Location")</f>
        <v>Location</v>
      </c>
      <c r="E2196" t="s">
        <v>19360</v>
      </c>
      <c r="F2196" t="s">
        <v>19361</v>
      </c>
      <c r="G2196" t="s">
        <v>833</v>
      </c>
      <c r="H2196" t="s">
        <v>834</v>
      </c>
      <c r="I2196" t="s">
        <v>21</v>
      </c>
      <c r="J2196" t="s">
        <v>22</v>
      </c>
      <c r="K2196" t="s">
        <v>19362</v>
      </c>
      <c r="L2196" t="s">
        <v>19365</v>
      </c>
      <c r="M2196" t="s">
        <v>25</v>
      </c>
      <c r="N2196" t="s">
        <v>19366</v>
      </c>
      <c r="O2196" t="s">
        <v>25</v>
      </c>
      <c r="P2196" t="s">
        <v>19367</v>
      </c>
      <c r="Q2196" t="s">
        <v>29</v>
      </c>
      <c r="R2196" t="s">
        <v>19363</v>
      </c>
      <c r="S2196" t="s">
        <v>19364</v>
      </c>
    </row>
    <row r="2197" spans="1:19" x14ac:dyDescent="0.25">
      <c r="A2197" s="1">
        <v>2195</v>
      </c>
      <c r="B2197" t="str">
        <f>HYPERLINK("https://www.dasschnelle.at/kadletz-heinrich-dr-med-wiener-neustadt-baumkirchnerring","Website")</f>
        <v>Website</v>
      </c>
      <c r="C2197" t="str">
        <f>HYPERLINK("https://www.dasschnelle.at/kadletz-heinrich-dr-med-wiener-neustadt-baumkirchnerring","Website")</f>
        <v>Website</v>
      </c>
      <c r="D2197" t="str">
        <f>HYPERLINK("http://www.google.com/maps/place/47.81724,16.24109","Location")</f>
        <v>Location</v>
      </c>
      <c r="E2197" t="s">
        <v>19368</v>
      </c>
      <c r="F2197" t="s">
        <v>19369</v>
      </c>
      <c r="G2197" t="s">
        <v>3962</v>
      </c>
      <c r="H2197" t="s">
        <v>3982</v>
      </c>
      <c r="I2197" t="s">
        <v>177</v>
      </c>
      <c r="J2197" t="s">
        <v>22</v>
      </c>
      <c r="K2197" t="s">
        <v>19370</v>
      </c>
      <c r="L2197" t="s">
        <v>19373</v>
      </c>
      <c r="M2197" t="s">
        <v>25</v>
      </c>
      <c r="N2197" t="s">
        <v>25</v>
      </c>
      <c r="O2197" t="s">
        <v>25</v>
      </c>
      <c r="P2197" t="s">
        <v>19374</v>
      </c>
      <c r="Q2197" t="s">
        <v>29</v>
      </c>
      <c r="R2197" t="s">
        <v>19371</v>
      </c>
      <c r="S2197" t="s">
        <v>19372</v>
      </c>
    </row>
    <row r="2198" spans="1:19" x14ac:dyDescent="0.25">
      <c r="A2198" s="1">
        <v>2196</v>
      </c>
      <c r="B2198" t="str">
        <f>HYPERLINK("https://www.dasschnelle.at/dunds-design-und-schmiede-gmbh-waidring-unterwasser","Website")</f>
        <v>Website</v>
      </c>
      <c r="C2198" t="str">
        <f>HYPERLINK("http://www.edelschmiede.at","Website")</f>
        <v>Website</v>
      </c>
      <c r="D2198" t="str">
        <f>HYPERLINK("http://www.google.com/maps/place/47.58381,12.58945","Location")</f>
        <v>Location</v>
      </c>
      <c r="E2198" t="s">
        <v>19375</v>
      </c>
      <c r="F2198" t="s">
        <v>19376</v>
      </c>
      <c r="G2198" t="s">
        <v>955</v>
      </c>
      <c r="H2198" t="s">
        <v>956</v>
      </c>
      <c r="I2198" t="s">
        <v>21</v>
      </c>
      <c r="J2198" t="s">
        <v>22</v>
      </c>
      <c r="K2198" t="s">
        <v>19377</v>
      </c>
      <c r="L2198" t="s">
        <v>19380</v>
      </c>
      <c r="M2198" t="s">
        <v>25</v>
      </c>
      <c r="N2198" t="s">
        <v>19381</v>
      </c>
      <c r="O2198" t="s">
        <v>25</v>
      </c>
      <c r="P2198" t="s">
        <v>19382</v>
      </c>
      <c r="Q2198" t="s">
        <v>29</v>
      </c>
      <c r="R2198" t="s">
        <v>19378</v>
      </c>
      <c r="S2198" t="s">
        <v>19379</v>
      </c>
    </row>
    <row r="2199" spans="1:19" x14ac:dyDescent="0.25">
      <c r="A2199" s="1">
        <v>2197</v>
      </c>
      <c r="B2199" t="str">
        <f>HYPERLINK("https://www.dasschnelle.at/margreiter-martin-gmbh-kirchberg-in-tirol-stöcklfeld","Website")</f>
        <v>Website</v>
      </c>
      <c r="C2199" t="str">
        <f>HYPERLINK("http://www.derspengler.at","Website")</f>
        <v>Website</v>
      </c>
      <c r="D2199" t="str">
        <f>HYPERLINK("http://www.google.com/maps/place/47.4485079,12.3042601","Location")</f>
        <v>Location</v>
      </c>
      <c r="E2199" t="s">
        <v>19383</v>
      </c>
      <c r="F2199" t="s">
        <v>19384</v>
      </c>
      <c r="G2199" t="s">
        <v>822</v>
      </c>
      <c r="H2199" t="s">
        <v>823</v>
      </c>
      <c r="I2199" t="s">
        <v>21</v>
      </c>
      <c r="J2199" t="s">
        <v>22</v>
      </c>
      <c r="K2199" t="s">
        <v>19385</v>
      </c>
      <c r="L2199" t="s">
        <v>19388</v>
      </c>
      <c r="M2199" t="s">
        <v>25</v>
      </c>
      <c r="N2199" t="s">
        <v>19389</v>
      </c>
      <c r="O2199" t="s">
        <v>25</v>
      </c>
      <c r="P2199" t="s">
        <v>19390</v>
      </c>
      <c r="Q2199" t="s">
        <v>29</v>
      </c>
      <c r="R2199" t="s">
        <v>19386</v>
      </c>
      <c r="S2199" t="s">
        <v>19387</v>
      </c>
    </row>
    <row r="2200" spans="1:19" x14ac:dyDescent="0.25">
      <c r="A2200" s="1">
        <v>2198</v>
      </c>
      <c r="B2200" t="str">
        <f>HYPERLINK("https://www.dasschnelle.at/kaspar-e-u-natascha-kühnsdorf-fernando-colazzo-platz","Website")</f>
        <v>Website</v>
      </c>
      <c r="C2200" t="str">
        <f>HYPERLINK("http://www.styling-creative.at","Website")</f>
        <v>Website</v>
      </c>
      <c r="D2200" t="str">
        <f>HYPERLINK("http://www.google.com/maps/place/46.62185,14.63413","Location")</f>
        <v>Location</v>
      </c>
      <c r="E2200" t="s">
        <v>19391</v>
      </c>
      <c r="F2200" t="s">
        <v>19392</v>
      </c>
      <c r="G2200" t="s">
        <v>5206</v>
      </c>
      <c r="H2200" t="s">
        <v>5207</v>
      </c>
      <c r="I2200" t="s">
        <v>4130</v>
      </c>
      <c r="J2200" t="s">
        <v>22</v>
      </c>
      <c r="K2200" t="s">
        <v>19393</v>
      </c>
      <c r="L2200" t="s">
        <v>19396</v>
      </c>
      <c r="M2200" t="s">
        <v>25</v>
      </c>
      <c r="N2200" t="s">
        <v>19397</v>
      </c>
      <c r="O2200" t="s">
        <v>25</v>
      </c>
      <c r="P2200" t="s">
        <v>19398</v>
      </c>
      <c r="Q2200" t="s">
        <v>29</v>
      </c>
      <c r="R2200" t="s">
        <v>19394</v>
      </c>
      <c r="S2200" t="s">
        <v>19395</v>
      </c>
    </row>
    <row r="2201" spans="1:19" x14ac:dyDescent="0.25">
      <c r="A2201" s="1">
        <v>2199</v>
      </c>
      <c r="B2201" t="str">
        <f>HYPERLINK("https://www.dasschnelle.at/schroll-johannes-kirchberg-in-tirol-hauptstraße","Website")</f>
        <v>Website</v>
      </c>
      <c r="C2201" t="str">
        <f>HYPERLINK("http://www.schroll-restauro.at","Website")</f>
        <v>Website</v>
      </c>
      <c r="D2201" t="str">
        <f>HYPERLINK("http://www.google.com/maps/place/47.44845,12.31394","Location")</f>
        <v>Location</v>
      </c>
      <c r="E2201" t="s">
        <v>19399</v>
      </c>
      <c r="F2201" t="s">
        <v>19400</v>
      </c>
      <c r="G2201" t="s">
        <v>822</v>
      </c>
      <c r="H2201" t="s">
        <v>823</v>
      </c>
      <c r="I2201" t="s">
        <v>21</v>
      </c>
      <c r="J2201" t="s">
        <v>22</v>
      </c>
      <c r="K2201" t="s">
        <v>12380</v>
      </c>
      <c r="L2201" t="s">
        <v>19403</v>
      </c>
      <c r="M2201" t="s">
        <v>19404</v>
      </c>
      <c r="N2201" t="s">
        <v>19405</v>
      </c>
      <c r="O2201" t="s">
        <v>19406</v>
      </c>
      <c r="P2201" t="s">
        <v>19407</v>
      </c>
      <c r="Q2201" t="s">
        <v>29</v>
      </c>
      <c r="R2201" t="s">
        <v>19401</v>
      </c>
      <c r="S2201" t="s">
        <v>19402</v>
      </c>
    </row>
    <row r="2202" spans="1:19" x14ac:dyDescent="0.25">
      <c r="A2202" s="1">
        <v>2200</v>
      </c>
      <c r="B2202" t="str">
        <f>HYPERLINK("https://www.dasschnelle.at/adi-und-dori-og-neunkirchen-storchenweg","Website")</f>
        <v>Website</v>
      </c>
      <c r="C2202" t="str">
        <f>HYPERLINK("https://www.dasschnelle.at/adi-und-dori-og-neunkirchen-storchenweg","Website")</f>
        <v>Website</v>
      </c>
      <c r="D2202" t="str">
        <f>HYPERLINK("http://www.google.com/maps/place/47.71218,16.10256","Location")</f>
        <v>Location</v>
      </c>
      <c r="E2202" t="s">
        <v>19408</v>
      </c>
      <c r="F2202" t="s">
        <v>19409</v>
      </c>
      <c r="G2202" t="s">
        <v>5676</v>
      </c>
      <c r="H2202" t="s">
        <v>5677</v>
      </c>
      <c r="I2202" t="s">
        <v>177</v>
      </c>
      <c r="J2202" t="s">
        <v>22</v>
      </c>
      <c r="K2202" t="s">
        <v>19410</v>
      </c>
      <c r="L2202" t="s">
        <v>19413</v>
      </c>
      <c r="M2202" t="s">
        <v>25</v>
      </c>
      <c r="N2202" t="s">
        <v>19414</v>
      </c>
      <c r="O2202" t="s">
        <v>25</v>
      </c>
      <c r="P2202" t="s">
        <v>19415</v>
      </c>
      <c r="Q2202" t="s">
        <v>29</v>
      </c>
      <c r="R2202" t="s">
        <v>19411</v>
      </c>
      <c r="S2202" t="s">
        <v>19412</v>
      </c>
    </row>
    <row r="2203" spans="1:19" x14ac:dyDescent="0.25">
      <c r="A2203" s="1">
        <v>2201</v>
      </c>
      <c r="B2203" t="str">
        <f>HYPERLINK("https://www.dasschnelle.at/edv-und-service-gmbh-neumarkt-am-wallersee-gewerbestraße","Website")</f>
        <v>Website</v>
      </c>
      <c r="C2203" t="str">
        <f>HYPERLINK("http://www.edvservice.at","Website")</f>
        <v>Website</v>
      </c>
      <c r="D2203" t="str">
        <f>HYPERLINK("http://www.google.com/maps/place/47.9534400,13.2277500","Location")</f>
        <v>Location</v>
      </c>
      <c r="E2203" t="s">
        <v>19416</v>
      </c>
      <c r="F2203" t="s">
        <v>19417</v>
      </c>
      <c r="G2203" t="s">
        <v>10564</v>
      </c>
      <c r="H2203" t="s">
        <v>10565</v>
      </c>
      <c r="I2203" t="s">
        <v>2239</v>
      </c>
      <c r="J2203" t="s">
        <v>22</v>
      </c>
      <c r="K2203" t="s">
        <v>1978</v>
      </c>
      <c r="L2203" t="s">
        <v>19420</v>
      </c>
      <c r="M2203" t="s">
        <v>25</v>
      </c>
      <c r="N2203" t="s">
        <v>19421</v>
      </c>
      <c r="O2203" t="s">
        <v>25</v>
      </c>
      <c r="P2203" t="s">
        <v>19422</v>
      </c>
      <c r="Q2203" t="s">
        <v>29</v>
      </c>
      <c r="R2203" t="s">
        <v>19418</v>
      </c>
      <c r="S2203" t="s">
        <v>19419</v>
      </c>
    </row>
    <row r="2204" spans="1:19" x14ac:dyDescent="0.25">
      <c r="A2204" s="1">
        <v>2202</v>
      </c>
      <c r="B2204" t="str">
        <f>HYPERLINK("https://www.dasschnelle.at/kreiseder-christian-neumarkt-am-wallersee-sommerholz","Website")</f>
        <v>Website</v>
      </c>
      <c r="C2204" t="str">
        <f>HYPERLINK("https://www.dasschnelle.at/kreiseder-christian-neumarkt-am-wallersee-sommerholz","Website")</f>
        <v>Website</v>
      </c>
      <c r="D2204" t="str">
        <f>HYPERLINK("http://www.google.com/maps/place/47.9267974,13.2816033","Location")</f>
        <v>Location</v>
      </c>
      <c r="E2204" t="s">
        <v>19423</v>
      </c>
      <c r="F2204" t="s">
        <v>19424</v>
      </c>
      <c r="G2204" t="s">
        <v>10564</v>
      </c>
      <c r="H2204" t="s">
        <v>10565</v>
      </c>
      <c r="I2204" t="s">
        <v>2239</v>
      </c>
      <c r="J2204" t="s">
        <v>22</v>
      </c>
      <c r="K2204" t="s">
        <v>19425</v>
      </c>
      <c r="L2204" t="s">
        <v>19428</v>
      </c>
      <c r="M2204" t="s">
        <v>25</v>
      </c>
      <c r="N2204" t="s">
        <v>19429</v>
      </c>
      <c r="O2204" t="s">
        <v>25</v>
      </c>
      <c r="P2204" t="s">
        <v>19430</v>
      </c>
      <c r="Q2204" t="s">
        <v>29</v>
      </c>
      <c r="R2204" t="s">
        <v>19426</v>
      </c>
      <c r="S2204" t="s">
        <v>19427</v>
      </c>
    </row>
    <row r="2205" spans="1:19" x14ac:dyDescent="0.25">
      <c r="A2205" s="1">
        <v>2203</v>
      </c>
      <c r="B2205" t="str">
        <f>HYPERLINK("https://www.dasschnelle.at/bucher-gmbh-und-co-kg-brixen-im-thale-dorfstraße","Website")</f>
        <v>Website</v>
      </c>
      <c r="C2205" t="str">
        <f>HYPERLINK("http://www.bucher-gmbh.at","Website")</f>
        <v>Website</v>
      </c>
      <c r="D2205" t="str">
        <f>HYPERLINK("http://www.google.com/maps/place/47.45007,12.25168","Location")</f>
        <v>Location</v>
      </c>
      <c r="E2205" t="s">
        <v>19431</v>
      </c>
      <c r="F2205" t="s">
        <v>19432</v>
      </c>
      <c r="G2205" t="s">
        <v>17755</v>
      </c>
      <c r="H2205" t="s">
        <v>17756</v>
      </c>
      <c r="I2205" t="s">
        <v>21</v>
      </c>
      <c r="J2205" t="s">
        <v>22</v>
      </c>
      <c r="K2205" t="s">
        <v>19433</v>
      </c>
      <c r="L2205" t="s">
        <v>19436</v>
      </c>
      <c r="M2205" t="s">
        <v>19437</v>
      </c>
      <c r="N2205" t="s">
        <v>19438</v>
      </c>
      <c r="O2205" t="s">
        <v>25</v>
      </c>
      <c r="P2205" t="s">
        <v>19439</v>
      </c>
      <c r="Q2205" t="s">
        <v>29</v>
      </c>
      <c r="R2205" t="s">
        <v>19434</v>
      </c>
      <c r="S2205" t="s">
        <v>19435</v>
      </c>
    </row>
    <row r="2206" spans="1:19" x14ac:dyDescent="0.25">
      <c r="A2206" s="1">
        <v>2204</v>
      </c>
      <c r="B2206" t="str">
        <f>HYPERLINK("https://www.dasschnelle.at/bestattung-sankt-johann-nachfolger-helmut-treffer-st-johann-salzburger-straße","Website")</f>
        <v>Website</v>
      </c>
      <c r="C2206" t="str">
        <f>HYPERLINK("https://www.dasschnelle.at/bestattung-sankt-johann-nachfolger-helmut-treffer-st-johann-salzburger-stra%C3%9Fe","Website")</f>
        <v>Website</v>
      </c>
      <c r="D2206" t="str">
        <f>HYPERLINK("http://www.google.com/maps/place/47.5280222,12.4249016","Location")</f>
        <v>Location</v>
      </c>
      <c r="E2206" t="s">
        <v>19440</v>
      </c>
      <c r="F2206" t="s">
        <v>19441</v>
      </c>
      <c r="G2206" t="s">
        <v>850</v>
      </c>
      <c r="H2206" t="s">
        <v>910</v>
      </c>
      <c r="I2206" t="s">
        <v>21</v>
      </c>
      <c r="J2206" t="s">
        <v>22</v>
      </c>
      <c r="K2206" t="s">
        <v>19442</v>
      </c>
      <c r="L2206" t="s">
        <v>19445</v>
      </c>
      <c r="M2206" t="s">
        <v>25</v>
      </c>
      <c r="N2206" t="s">
        <v>19446</v>
      </c>
      <c r="O2206" t="s">
        <v>25</v>
      </c>
      <c r="P2206" t="s">
        <v>19447</v>
      </c>
      <c r="Q2206" t="s">
        <v>29</v>
      </c>
      <c r="R2206" t="s">
        <v>19443</v>
      </c>
      <c r="S2206" t="s">
        <v>19444</v>
      </c>
    </row>
    <row r="2207" spans="1:19" x14ac:dyDescent="0.25">
      <c r="A2207" s="1">
        <v>2205</v>
      </c>
      <c r="B2207" t="str">
        <f>HYPERLINK("https://www.dasschnelle.at/schutti-bau-gmbh-kremsmünster-greinerstraße","Website")</f>
        <v>Website</v>
      </c>
      <c r="C2207" t="str">
        <f>HYPERLINK("http://www.schutti-bau.at","Website")</f>
        <v>Website</v>
      </c>
      <c r="D2207" t="str">
        <f>HYPERLINK("http://www.google.com/maps/place/48.05108,14.13307","Location")</f>
        <v>Location</v>
      </c>
      <c r="E2207" t="s">
        <v>19448</v>
      </c>
      <c r="F2207" t="s">
        <v>19449</v>
      </c>
      <c r="G2207" t="s">
        <v>9173</v>
      </c>
      <c r="H2207" t="s">
        <v>9174</v>
      </c>
      <c r="I2207" t="s">
        <v>85</v>
      </c>
      <c r="J2207" t="s">
        <v>22</v>
      </c>
      <c r="K2207" t="s">
        <v>19450</v>
      </c>
      <c r="L2207" t="s">
        <v>19453</v>
      </c>
      <c r="M2207" t="s">
        <v>25</v>
      </c>
      <c r="N2207" t="s">
        <v>19454</v>
      </c>
      <c r="O2207" t="s">
        <v>19455</v>
      </c>
      <c r="P2207" t="s">
        <v>19456</v>
      </c>
      <c r="Q2207" t="s">
        <v>29</v>
      </c>
      <c r="R2207" t="s">
        <v>19451</v>
      </c>
      <c r="S2207" t="s">
        <v>19452</v>
      </c>
    </row>
    <row r="2208" spans="1:19" x14ac:dyDescent="0.25">
      <c r="A2208" s="1">
        <v>2206</v>
      </c>
      <c r="B2208" t="str">
        <f>HYPERLINK("https://www.dasschnelle.at/cujes-josef-bleiburg-brunngasse","Website")</f>
        <v>Website</v>
      </c>
      <c r="C2208" t="str">
        <f>HYPERLINK("http://www.cujes-maler.at","Website")</f>
        <v>Website</v>
      </c>
      <c r="D2208" t="str">
        <f>HYPERLINK("http://www.google.com/maps/place/46.58958,14.79691","Location")</f>
        <v>Location</v>
      </c>
      <c r="E2208" t="s">
        <v>19457</v>
      </c>
      <c r="F2208" t="s">
        <v>19458</v>
      </c>
      <c r="G2208" t="s">
        <v>5113</v>
      </c>
      <c r="H2208" t="s">
        <v>5114</v>
      </c>
      <c r="I2208" t="s">
        <v>4130</v>
      </c>
      <c r="J2208" t="s">
        <v>22</v>
      </c>
      <c r="K2208" t="s">
        <v>19459</v>
      </c>
      <c r="L2208" t="s">
        <v>19462</v>
      </c>
      <c r="M2208" t="s">
        <v>25</v>
      </c>
      <c r="N2208" t="s">
        <v>19463</v>
      </c>
      <c r="O2208" t="s">
        <v>25</v>
      </c>
      <c r="P2208" t="s">
        <v>19464</v>
      </c>
      <c r="Q2208" t="s">
        <v>29</v>
      </c>
      <c r="R2208" t="s">
        <v>19460</v>
      </c>
      <c r="S2208" t="s">
        <v>19461</v>
      </c>
    </row>
    <row r="2209" spans="1:19" x14ac:dyDescent="0.25">
      <c r="A2209" s="1">
        <v>2207</v>
      </c>
      <c r="B2209" t="str">
        <f>HYPERLINK("https://www.dasschnelle.at/versicherungsmaklerbüro-wanner-hartwig-reutte-ehrenbergstraße","Website")</f>
        <v>Website</v>
      </c>
      <c r="C2209" t="str">
        <f>HYPERLINK("http://www.wanner.co.at","Website")</f>
        <v>Website</v>
      </c>
      <c r="D2209" t="str">
        <f>HYPERLINK("http://www.google.com/maps/place/47.48391,10.72137","Location")</f>
        <v>Location</v>
      </c>
      <c r="E2209" t="s">
        <v>19465</v>
      </c>
      <c r="F2209" t="s">
        <v>19466</v>
      </c>
      <c r="G2209" t="s">
        <v>6823</v>
      </c>
      <c r="H2209" t="s">
        <v>6824</v>
      </c>
      <c r="I2209" t="s">
        <v>21</v>
      </c>
      <c r="J2209" t="s">
        <v>22</v>
      </c>
      <c r="K2209" t="s">
        <v>19467</v>
      </c>
      <c r="L2209" t="s">
        <v>19470</v>
      </c>
      <c r="M2209" t="s">
        <v>25</v>
      </c>
      <c r="N2209" t="s">
        <v>19471</v>
      </c>
      <c r="O2209" t="s">
        <v>25</v>
      </c>
      <c r="P2209" t="s">
        <v>19472</v>
      </c>
      <c r="Q2209" t="s">
        <v>29</v>
      </c>
      <c r="R2209" t="s">
        <v>19468</v>
      </c>
      <c r="S2209" t="s">
        <v>19469</v>
      </c>
    </row>
    <row r="2210" spans="1:19" x14ac:dyDescent="0.25">
      <c r="A2210" s="1">
        <v>2208</v>
      </c>
      <c r="B2210" t="str">
        <f>HYPERLINK("https://www.dasschnelle.at/nero-montage-traun-unterer-flötzerweg","Website")</f>
        <v>Website</v>
      </c>
      <c r="C2210" t="str">
        <f>HYPERLINK("https://www.dasschnelle.at/nero-montage-traun-unterer-fl%C3%B6tzerweg","Website")</f>
        <v>Website</v>
      </c>
      <c r="D2210" t="str">
        <f>HYPERLINK("http://www.google.com/maps/place/48.2425100,14.2545200","Location")</f>
        <v>Location</v>
      </c>
      <c r="E2210" t="s">
        <v>19473</v>
      </c>
      <c r="F2210" t="s">
        <v>19474</v>
      </c>
      <c r="G2210" t="s">
        <v>10227</v>
      </c>
      <c r="H2210" t="s">
        <v>10228</v>
      </c>
      <c r="I2210" t="s">
        <v>85</v>
      </c>
      <c r="J2210" t="s">
        <v>22</v>
      </c>
      <c r="K2210" t="s">
        <v>19475</v>
      </c>
      <c r="L2210" t="s">
        <v>19478</v>
      </c>
      <c r="M2210" t="s">
        <v>25</v>
      </c>
      <c r="N2210" t="s">
        <v>19479</v>
      </c>
      <c r="O2210" t="s">
        <v>25</v>
      </c>
      <c r="P2210" t="s">
        <v>19480</v>
      </c>
      <c r="Q2210" t="s">
        <v>29</v>
      </c>
      <c r="R2210" t="s">
        <v>19476</v>
      </c>
      <c r="S2210" t="s">
        <v>19477</v>
      </c>
    </row>
    <row r="2211" spans="1:19" x14ac:dyDescent="0.25">
      <c r="A2211" s="1">
        <v>2209</v>
      </c>
      <c r="B2211" t="str">
        <f>HYPERLINK("https://www.dasschnelle.at/hagenleither-metallbau-yspertal-schaffelschmiedstraße","Website")</f>
        <v>Website</v>
      </c>
      <c r="C2211" t="str">
        <f>HYPERLINK("http://www.hagenleithner.at","Website")</f>
        <v>Website</v>
      </c>
      <c r="D2211" t="str">
        <f>HYPERLINK("http://www.google.com/maps/place/48.2925900,15.0757400","Location")</f>
        <v>Location</v>
      </c>
      <c r="E2211" t="s">
        <v>19481</v>
      </c>
      <c r="F2211" t="s">
        <v>19482</v>
      </c>
      <c r="G2211" t="s">
        <v>19484</v>
      </c>
      <c r="H2211" t="s">
        <v>19485</v>
      </c>
      <c r="I2211" t="s">
        <v>177</v>
      </c>
      <c r="J2211" t="s">
        <v>22</v>
      </c>
      <c r="K2211" t="s">
        <v>19483</v>
      </c>
      <c r="L2211" t="s">
        <v>19488</v>
      </c>
      <c r="M2211" t="s">
        <v>25</v>
      </c>
      <c r="N2211" t="s">
        <v>19489</v>
      </c>
      <c r="O2211" t="s">
        <v>19490</v>
      </c>
      <c r="P2211" t="s">
        <v>19491</v>
      </c>
      <c r="Q2211" t="s">
        <v>29</v>
      </c>
      <c r="R2211" t="s">
        <v>19486</v>
      </c>
      <c r="S2211" t="s">
        <v>19487</v>
      </c>
    </row>
    <row r="2212" spans="1:19" x14ac:dyDescent="0.25">
      <c r="A2212" s="1">
        <v>2210</v>
      </c>
      <c r="B2212" t="str">
        <f>HYPERLINK("https://www.dasschnelle.at/malerbetrieb-reiterer-stainz-marhof","Website")</f>
        <v>Website</v>
      </c>
      <c r="C2212" t="str">
        <f>HYPERLINK("http://www.malerei-reiterer.at","Website")</f>
        <v>Website</v>
      </c>
      <c r="D2212" t="str">
        <f>HYPERLINK("http://www.google.com/maps/place/46.9797937,15.1634787","Location")</f>
        <v>Location</v>
      </c>
      <c r="E2212" t="s">
        <v>19492</v>
      </c>
      <c r="F2212" t="s">
        <v>19493</v>
      </c>
      <c r="G2212" t="s">
        <v>2834</v>
      </c>
      <c r="H2212" t="s">
        <v>2835</v>
      </c>
      <c r="I2212" t="s">
        <v>451</v>
      </c>
      <c r="J2212" t="s">
        <v>22</v>
      </c>
      <c r="K2212" t="s">
        <v>19494</v>
      </c>
      <c r="L2212" t="s">
        <v>19497</v>
      </c>
      <c r="M2212" t="s">
        <v>25</v>
      </c>
      <c r="N2212" t="s">
        <v>19498</v>
      </c>
      <c r="O2212" t="s">
        <v>19499</v>
      </c>
      <c r="P2212" t="s">
        <v>19500</v>
      </c>
      <c r="Q2212" t="s">
        <v>29</v>
      </c>
      <c r="R2212" t="s">
        <v>19495</v>
      </c>
      <c r="S2212" t="s">
        <v>19496</v>
      </c>
    </row>
    <row r="2213" spans="1:19" x14ac:dyDescent="0.25">
      <c r="A2213" s="1">
        <v>2211</v>
      </c>
      <c r="B2213" t="str">
        <f>HYPERLINK("https://www.dasschnelle.at/bestattung-reiterer-gernot-pölfing-brunn-hauptstraße","Website")</f>
        <v>Website</v>
      </c>
      <c r="C2213" t="str">
        <f>HYPERLINK("http://www.reiterer-kg.at","Website")</f>
        <v>Website</v>
      </c>
      <c r="D2213" t="str">
        <f>HYPERLINK("http://www.google.com/maps/place/46.72926,15.29436","Location")</f>
        <v>Location</v>
      </c>
      <c r="E2213" t="s">
        <v>19501</v>
      </c>
      <c r="F2213" t="s">
        <v>19502</v>
      </c>
      <c r="G2213" t="s">
        <v>19504</v>
      </c>
      <c r="H2213" t="s">
        <v>19505</v>
      </c>
      <c r="I2213" t="s">
        <v>451</v>
      </c>
      <c r="J2213" t="s">
        <v>22</v>
      </c>
      <c r="K2213" t="s">
        <v>19503</v>
      </c>
      <c r="L2213" t="s">
        <v>19508</v>
      </c>
      <c r="M2213" t="s">
        <v>25</v>
      </c>
      <c r="N2213" t="s">
        <v>19509</v>
      </c>
      <c r="O2213" t="s">
        <v>25</v>
      </c>
      <c r="P2213" t="s">
        <v>19510</v>
      </c>
      <c r="Q2213" t="s">
        <v>29</v>
      </c>
      <c r="R2213" t="s">
        <v>19506</v>
      </c>
      <c r="S2213" t="s">
        <v>19507</v>
      </c>
    </row>
    <row r="2214" spans="1:19" x14ac:dyDescent="0.25">
      <c r="A2214" s="1">
        <v>2212</v>
      </c>
      <c r="B2214" t="str">
        <f>HYPERLINK("https://www.dasschnelle.at/holzbau-eckhart-gmbh-klaus-an-der-pyhrnbahn-gewerbepark-klaus","Website")</f>
        <v>Website</v>
      </c>
      <c r="C2214" t="str">
        <f>HYPERLINK("http://www.holzbau-eckhart.at","Website")</f>
        <v>Website</v>
      </c>
      <c r="D2214" t="str">
        <f>HYPERLINK("http://www.google.com/maps/place/47.84354,14.1668","Location")</f>
        <v>Location</v>
      </c>
      <c r="E2214" t="s">
        <v>19511</v>
      </c>
      <c r="F2214" t="s">
        <v>19512</v>
      </c>
      <c r="G2214" t="s">
        <v>12417</v>
      </c>
      <c r="H2214" t="s">
        <v>12418</v>
      </c>
      <c r="I2214" t="s">
        <v>85</v>
      </c>
      <c r="J2214" t="s">
        <v>22</v>
      </c>
      <c r="K2214" t="s">
        <v>19513</v>
      </c>
      <c r="L2214" t="s">
        <v>19516</v>
      </c>
      <c r="M2214" t="s">
        <v>25</v>
      </c>
      <c r="N2214" t="s">
        <v>19517</v>
      </c>
      <c r="O2214" t="s">
        <v>19518</v>
      </c>
      <c r="P2214" t="s">
        <v>19519</v>
      </c>
      <c r="Q2214" t="s">
        <v>29</v>
      </c>
      <c r="R2214" t="s">
        <v>19514</v>
      </c>
      <c r="S2214" t="s">
        <v>19515</v>
      </c>
    </row>
    <row r="2215" spans="1:19" x14ac:dyDescent="0.25">
      <c r="A2215" s="1">
        <v>2213</v>
      </c>
      <c r="B2215" t="str">
        <f>HYPERLINK("https://www.dasschnelle.at/spenglerei-stückler-maximilian-neusiedl-am-steinfeld-johannesgasse","Website")</f>
        <v>Website</v>
      </c>
      <c r="C2215" t="str">
        <f>HYPERLINK("https://www.dasschnelle.at/spenglerei-st%C3%BCckler-maximilian-neusiedl-am-steinfeld-johannesgasse","Website")</f>
        <v>Website</v>
      </c>
      <c r="D2215" t="str">
        <f>HYPERLINK("http://www.google.com/maps/place/47.7818700,16.1025900","Location")</f>
        <v>Location</v>
      </c>
      <c r="E2215" t="s">
        <v>19520</v>
      </c>
      <c r="F2215" t="s">
        <v>19521</v>
      </c>
      <c r="G2215" t="s">
        <v>19523</v>
      </c>
      <c r="H2215" t="s">
        <v>19524</v>
      </c>
      <c r="I2215" t="s">
        <v>177</v>
      </c>
      <c r="J2215" t="s">
        <v>22</v>
      </c>
      <c r="K2215" t="s">
        <v>19522</v>
      </c>
      <c r="L2215" t="s">
        <v>19527</v>
      </c>
      <c r="M2215" t="s">
        <v>25</v>
      </c>
      <c r="N2215" t="s">
        <v>19528</v>
      </c>
      <c r="O2215" t="s">
        <v>25</v>
      </c>
      <c r="P2215" t="s">
        <v>19529</v>
      </c>
      <c r="Q2215" t="s">
        <v>29</v>
      </c>
      <c r="R2215" t="s">
        <v>19525</v>
      </c>
      <c r="S2215" t="s">
        <v>19526</v>
      </c>
    </row>
    <row r="2216" spans="1:19" x14ac:dyDescent="0.25">
      <c r="A2216" s="1">
        <v>2214</v>
      </c>
      <c r="B2216" t="str">
        <f>HYPERLINK("https://www.dasschnelle.at/kirchenwirt-traun-leondingerstraße","Website")</f>
        <v>Website</v>
      </c>
      <c r="C2216" t="str">
        <f>HYPERLINK("http://www.kirchenwirt-traun.at","Website")</f>
        <v>Website</v>
      </c>
      <c r="D2216" t="str">
        <f>HYPERLINK("http://www.google.com/maps/place/48.23833,14.26273","Location")</f>
        <v>Location</v>
      </c>
      <c r="E2216" t="s">
        <v>19530</v>
      </c>
      <c r="F2216" t="s">
        <v>19531</v>
      </c>
      <c r="G2216" t="s">
        <v>10227</v>
      </c>
      <c r="H2216" t="s">
        <v>10228</v>
      </c>
      <c r="I2216" t="s">
        <v>85</v>
      </c>
      <c r="J2216" t="s">
        <v>22</v>
      </c>
      <c r="K2216" t="s">
        <v>19532</v>
      </c>
      <c r="L2216" t="s">
        <v>19535</v>
      </c>
      <c r="M2216" t="s">
        <v>19536</v>
      </c>
      <c r="N2216" t="s">
        <v>19537</v>
      </c>
      <c r="O2216" t="s">
        <v>25</v>
      </c>
      <c r="P2216" t="s">
        <v>19538</v>
      </c>
      <c r="Q2216" t="s">
        <v>29</v>
      </c>
      <c r="R2216" t="s">
        <v>19533</v>
      </c>
      <c r="S2216" t="s">
        <v>19534</v>
      </c>
    </row>
    <row r="2217" spans="1:19" x14ac:dyDescent="0.25">
      <c r="A2217" s="1">
        <v>2215</v>
      </c>
      <c r="B2217" t="str">
        <f>HYPERLINK("https://www.dasschnelle.at/krawanja-helmut-wartberg-an-der-krems-hauptstraße","Website")</f>
        <v>Website</v>
      </c>
      <c r="C2217" t="str">
        <f>HYPERLINK("http://www.bike-master.at","Website")</f>
        <v>Website</v>
      </c>
      <c r="D2217" t="str">
        <f>HYPERLINK("http://www.google.com/maps/place/47.9894104,14.1168967","Location")</f>
        <v>Location</v>
      </c>
      <c r="E2217" t="s">
        <v>19539</v>
      </c>
      <c r="F2217" t="s">
        <v>19540</v>
      </c>
      <c r="G2217" t="s">
        <v>12381</v>
      </c>
      <c r="H2217" t="s">
        <v>12382</v>
      </c>
      <c r="I2217" t="s">
        <v>85</v>
      </c>
      <c r="J2217" t="s">
        <v>22</v>
      </c>
      <c r="K2217" t="s">
        <v>19541</v>
      </c>
      <c r="L2217" t="s">
        <v>19544</v>
      </c>
      <c r="M2217" t="s">
        <v>25</v>
      </c>
      <c r="N2217" t="s">
        <v>19545</v>
      </c>
      <c r="O2217" t="s">
        <v>25</v>
      </c>
      <c r="P2217" t="s">
        <v>19546</v>
      </c>
      <c r="Q2217" t="s">
        <v>29</v>
      </c>
      <c r="R2217" t="s">
        <v>19542</v>
      </c>
      <c r="S2217" t="s">
        <v>19543</v>
      </c>
    </row>
    <row r="2218" spans="1:19" x14ac:dyDescent="0.25">
      <c r="A2218" s="1">
        <v>2216</v>
      </c>
      <c r="B2218" t="str">
        <f>HYPERLINK("https://www.dasschnelle.at/krawanja-helmut-bike-master-wartberg-an-der-krems-hauptstraße","Website")</f>
        <v>Website</v>
      </c>
      <c r="C2218" t="str">
        <f>HYPERLINK("http://www.bike-master.at","Website")</f>
        <v>Website</v>
      </c>
      <c r="D2218" t="str">
        <f>HYPERLINK("http://www.google.com/maps/place/47.9894104,14.1168967","Location")</f>
        <v>Location</v>
      </c>
      <c r="E2218" t="s">
        <v>19547</v>
      </c>
      <c r="F2218" t="s">
        <v>19548</v>
      </c>
      <c r="G2218" t="s">
        <v>12381</v>
      </c>
      <c r="H2218" t="s">
        <v>12382</v>
      </c>
      <c r="I2218" t="s">
        <v>85</v>
      </c>
      <c r="J2218" t="s">
        <v>22</v>
      </c>
      <c r="K2218" t="s">
        <v>10385</v>
      </c>
      <c r="L2218" t="s">
        <v>19544</v>
      </c>
      <c r="M2218" t="s">
        <v>25</v>
      </c>
      <c r="N2218" t="s">
        <v>19545</v>
      </c>
      <c r="O2218" t="s">
        <v>25</v>
      </c>
      <c r="P2218" t="s">
        <v>19549</v>
      </c>
      <c r="Q2218" t="s">
        <v>29</v>
      </c>
      <c r="R2218" t="s">
        <v>19542</v>
      </c>
      <c r="S2218" t="s">
        <v>19543</v>
      </c>
    </row>
    <row r="2219" spans="1:19" x14ac:dyDescent="0.25">
      <c r="A2219" s="1">
        <v>2217</v>
      </c>
      <c r="B2219" t="str">
        <f>HYPERLINK("https://www.dasschnelle.at/zaunteam-schneebergland-gloggnitz-auestraße","Website")</f>
        <v>Website</v>
      </c>
      <c r="C2219" t="str">
        <f>HYPERLINK("http://www.zaunteam.at","Website")</f>
        <v>Website</v>
      </c>
      <c r="D2219" t="str">
        <f>HYPERLINK("http://www.google.com/maps/place/47.65877,15.88105","Location")</f>
        <v>Location</v>
      </c>
      <c r="E2219" t="s">
        <v>19550</v>
      </c>
      <c r="F2219" t="s">
        <v>19551</v>
      </c>
      <c r="G2219" t="s">
        <v>5703</v>
      </c>
      <c r="H2219" t="s">
        <v>5704</v>
      </c>
      <c r="I2219" t="s">
        <v>177</v>
      </c>
      <c r="J2219" t="s">
        <v>22</v>
      </c>
      <c r="K2219" t="s">
        <v>19552</v>
      </c>
      <c r="L2219" t="s">
        <v>19555</v>
      </c>
      <c r="M2219" t="s">
        <v>25</v>
      </c>
      <c r="N2219" t="s">
        <v>19556</v>
      </c>
      <c r="O2219" t="s">
        <v>19557</v>
      </c>
      <c r="P2219" t="s">
        <v>19558</v>
      </c>
      <c r="Q2219" t="s">
        <v>29</v>
      </c>
      <c r="R2219" t="s">
        <v>19553</v>
      </c>
      <c r="S2219" t="s">
        <v>19554</v>
      </c>
    </row>
    <row r="2220" spans="1:19" x14ac:dyDescent="0.25">
      <c r="A2220" s="1">
        <v>2218</v>
      </c>
      <c r="B2220" t="str">
        <f>HYPERLINK("https://www.dasschnelle.at/dobler-s-hausservice-pottschach-ginstergasse","Website")</f>
        <v>Website</v>
      </c>
      <c r="C2220" t="str">
        <f>HYPERLINK("http://www.doblers-hausservice.at","Website")</f>
        <v>Website</v>
      </c>
      <c r="D2220" t="str">
        <f>HYPERLINK("http://www.google.com/maps/place/47.6947628,16.0127385","Location")</f>
        <v>Location</v>
      </c>
      <c r="E2220" t="s">
        <v>19559</v>
      </c>
      <c r="F2220" t="s">
        <v>19560</v>
      </c>
      <c r="G2220" t="s">
        <v>5667</v>
      </c>
      <c r="H2220" t="s">
        <v>19562</v>
      </c>
      <c r="I2220" t="s">
        <v>177</v>
      </c>
      <c r="J2220" t="s">
        <v>22</v>
      </c>
      <c r="K2220" t="s">
        <v>19561</v>
      </c>
      <c r="L2220" t="s">
        <v>19565</v>
      </c>
      <c r="M2220" t="s">
        <v>25</v>
      </c>
      <c r="N2220" t="s">
        <v>19566</v>
      </c>
      <c r="O2220" t="s">
        <v>19567</v>
      </c>
      <c r="P2220" t="s">
        <v>19568</v>
      </c>
      <c r="Q2220" t="s">
        <v>29</v>
      </c>
      <c r="R2220" t="s">
        <v>19563</v>
      </c>
      <c r="S2220" t="s">
        <v>19564</v>
      </c>
    </row>
    <row r="2221" spans="1:19" x14ac:dyDescent="0.25">
      <c r="A2221" s="1">
        <v>2219</v>
      </c>
      <c r="B2221" t="str">
        <f>HYPERLINK("https://www.dasschnelle.at/pauschenwein-und-partner-gmbh-und-co-kg-premstätten-hauptstraße","Website")</f>
        <v>Website</v>
      </c>
      <c r="C2221" t="str">
        <f>HYPERLINK("http://www.pauschenwein-partner.at","Website")</f>
        <v>Website</v>
      </c>
      <c r="D2221" t="str">
        <f>HYPERLINK("http://www.google.com/maps/place/46.9317172,15.2075342","Location")</f>
        <v>Location</v>
      </c>
      <c r="E2221" t="s">
        <v>19569</v>
      </c>
      <c r="F2221" t="s">
        <v>19570</v>
      </c>
      <c r="G2221" t="s">
        <v>19572</v>
      </c>
      <c r="H2221" t="s">
        <v>19573</v>
      </c>
      <c r="I2221" t="s">
        <v>451</v>
      </c>
      <c r="J2221" t="s">
        <v>22</v>
      </c>
      <c r="K2221" t="s">
        <v>19571</v>
      </c>
      <c r="L2221" t="s">
        <v>19576</v>
      </c>
      <c r="M2221" t="s">
        <v>25</v>
      </c>
      <c r="N2221" t="s">
        <v>19577</v>
      </c>
      <c r="O2221" t="s">
        <v>19578</v>
      </c>
      <c r="P2221" t="s">
        <v>19579</v>
      </c>
      <c r="Q2221" t="s">
        <v>29</v>
      </c>
      <c r="R2221" t="s">
        <v>19574</v>
      </c>
      <c r="S2221" t="s">
        <v>19575</v>
      </c>
    </row>
    <row r="2222" spans="1:19" x14ac:dyDescent="0.25">
      <c r="A2222" s="1">
        <v>2220</v>
      </c>
      <c r="B2222" t="str">
        <f>HYPERLINK("https://www.dasschnelle.at/powoden-gmbh-frauental-an-der-laßnitz-hochfeldweg","Website")</f>
        <v>Website</v>
      </c>
      <c r="C2222" t="str">
        <f>HYPERLINK("http://www.powoden.at","Website")</f>
        <v>Website</v>
      </c>
      <c r="D2222" t="str">
        <f>HYPERLINK("http://www.google.com/maps/place/46.8348528,15.2710917","Location")</f>
        <v>Location</v>
      </c>
      <c r="E2222" t="s">
        <v>19580</v>
      </c>
      <c r="F2222" t="s">
        <v>19581</v>
      </c>
      <c r="G2222" t="s">
        <v>2873</v>
      </c>
      <c r="H2222" t="s">
        <v>19583</v>
      </c>
      <c r="I2222" t="s">
        <v>25</v>
      </c>
      <c r="J2222" t="s">
        <v>22</v>
      </c>
      <c r="K2222" t="s">
        <v>19582</v>
      </c>
      <c r="L2222" t="s">
        <v>19586</v>
      </c>
      <c r="M2222" t="s">
        <v>25</v>
      </c>
      <c r="N2222" t="s">
        <v>19587</v>
      </c>
      <c r="O2222" t="s">
        <v>25</v>
      </c>
      <c r="P2222" t="s">
        <v>19588</v>
      </c>
      <c r="Q2222" t="s">
        <v>29</v>
      </c>
      <c r="R2222" t="s">
        <v>19584</v>
      </c>
      <c r="S2222" t="s">
        <v>19585</v>
      </c>
    </row>
    <row r="2223" spans="1:19" x14ac:dyDescent="0.25">
      <c r="A2223" s="1">
        <v>2221</v>
      </c>
      <c r="B2223" t="str">
        <f>HYPERLINK("https://www.dasschnelle.at/niedermayer-astrid-dr-und-partner-fachärzte-f-radiologie-og-melk-josef-adlmanseder-straße","Website")</f>
        <v>Website</v>
      </c>
      <c r="C2223" t="str">
        <f>HYPERLINK("http://www.radiologie-melk.at","Website")</f>
        <v>Website</v>
      </c>
      <c r="D2223" t="str">
        <f>HYPERLINK("http://www.google.com/maps/place/48.22624,15.34869","Location")</f>
        <v>Location</v>
      </c>
      <c r="E2223" t="s">
        <v>19589</v>
      </c>
      <c r="F2223" t="s">
        <v>19590</v>
      </c>
      <c r="G2223" t="s">
        <v>5926</v>
      </c>
      <c r="H2223" t="s">
        <v>5927</v>
      </c>
      <c r="I2223" t="s">
        <v>177</v>
      </c>
      <c r="J2223" t="s">
        <v>22</v>
      </c>
      <c r="K2223" t="s">
        <v>19591</v>
      </c>
      <c r="L2223" t="s">
        <v>19592</v>
      </c>
      <c r="M2223" t="s">
        <v>25</v>
      </c>
      <c r="N2223" t="s">
        <v>19593</v>
      </c>
      <c r="O2223" t="s">
        <v>25</v>
      </c>
      <c r="P2223" t="s">
        <v>19594</v>
      </c>
      <c r="Q2223" t="s">
        <v>29</v>
      </c>
      <c r="R2223" t="s">
        <v>6048</v>
      </c>
      <c r="S2223" t="s">
        <v>6049</v>
      </c>
    </row>
    <row r="2224" spans="1:19" x14ac:dyDescent="0.25">
      <c r="A2224" s="1">
        <v>2222</v>
      </c>
      <c r="B2224" t="str">
        <f>HYPERLINK("https://www.dasschnelle.at/huber-michael-dr-kirchdorf-an-der-krems-garnisonstraße","Website")</f>
        <v>Website</v>
      </c>
      <c r="C2224" t="str">
        <f>HYPERLINK("http://www.drmichaelhuber.at","Website")</f>
        <v>Website</v>
      </c>
      <c r="D2224" t="str">
        <f>HYPERLINK("http://www.google.com/maps/place/47.9041,14.12096","Location")</f>
        <v>Location</v>
      </c>
      <c r="E2224" t="s">
        <v>19595</v>
      </c>
      <c r="F2224" t="s">
        <v>19596</v>
      </c>
      <c r="G2224" t="s">
        <v>12306</v>
      </c>
      <c r="H2224" t="s">
        <v>12307</v>
      </c>
      <c r="I2224" t="s">
        <v>85</v>
      </c>
      <c r="J2224" t="s">
        <v>22</v>
      </c>
      <c r="K2224" t="s">
        <v>19158</v>
      </c>
      <c r="L2224" t="s">
        <v>19597</v>
      </c>
      <c r="M2224" t="s">
        <v>25</v>
      </c>
      <c r="N2224" t="s">
        <v>19598</v>
      </c>
      <c r="O2224" t="s">
        <v>25</v>
      </c>
      <c r="P2224" t="s">
        <v>19599</v>
      </c>
      <c r="Q2224" t="s">
        <v>29</v>
      </c>
      <c r="R2224" t="s">
        <v>19159</v>
      </c>
      <c r="S2224" t="s">
        <v>19160</v>
      </c>
    </row>
    <row r="2225" spans="1:19" x14ac:dyDescent="0.25">
      <c r="A2225" s="1">
        <v>2223</v>
      </c>
      <c r="B2225" t="str">
        <f>HYPERLINK("https://www.dasschnelle.at/benni-s-reifenservice-lermoos-gries","Website")</f>
        <v>Website</v>
      </c>
      <c r="C2225" t="str">
        <f>HYPERLINK("https://www.dasschnelle.at/benni-s-reifenservice-lermoos-gries","Website")</f>
        <v>Website</v>
      </c>
      <c r="D2225" t="str">
        <f>HYPERLINK("http://www.google.com/maps/place/47.4062400,10.8688700","Location")</f>
        <v>Location</v>
      </c>
      <c r="E2225" t="s">
        <v>19600</v>
      </c>
      <c r="F2225" t="s">
        <v>19601</v>
      </c>
      <c r="G2225" t="s">
        <v>19603</v>
      </c>
      <c r="H2225" t="s">
        <v>19604</v>
      </c>
      <c r="I2225" t="s">
        <v>21</v>
      </c>
      <c r="J2225" t="s">
        <v>22</v>
      </c>
      <c r="K2225" t="s">
        <v>19602</v>
      </c>
      <c r="L2225" t="s">
        <v>19607</v>
      </c>
      <c r="M2225" t="s">
        <v>25</v>
      </c>
      <c r="N2225" t="s">
        <v>19608</v>
      </c>
      <c r="O2225" t="s">
        <v>25</v>
      </c>
      <c r="P2225" t="s">
        <v>19609</v>
      </c>
      <c r="Q2225" t="s">
        <v>29</v>
      </c>
      <c r="R2225" t="s">
        <v>19605</v>
      </c>
      <c r="S2225" t="s">
        <v>19606</v>
      </c>
    </row>
    <row r="2226" spans="1:19" x14ac:dyDescent="0.25">
      <c r="A2226" s="1">
        <v>2224</v>
      </c>
      <c r="B2226" t="str">
        <f>HYPERLINK("https://www.dasschnelle.at/gerhard-schapfl-kg-grünbach-am-schneeberg-amasedweg","Website")</f>
        <v>Website</v>
      </c>
      <c r="C2226" t="str">
        <f>HYPERLINK("http://www.schapfl.at","Website")</f>
        <v>Website</v>
      </c>
      <c r="D2226" t="str">
        <f>HYPERLINK("http://www.google.com/maps/place/47.8049009,16.0008721","Location")</f>
        <v>Location</v>
      </c>
      <c r="E2226" t="s">
        <v>19610</v>
      </c>
      <c r="F2226" t="s">
        <v>19611</v>
      </c>
      <c r="G2226" t="s">
        <v>19613</v>
      </c>
      <c r="H2226" t="s">
        <v>19614</v>
      </c>
      <c r="I2226" t="s">
        <v>177</v>
      </c>
      <c r="J2226" t="s">
        <v>22</v>
      </c>
      <c r="K2226" t="s">
        <v>19612</v>
      </c>
      <c r="L2226" t="s">
        <v>19617</v>
      </c>
      <c r="M2226" t="s">
        <v>25</v>
      </c>
      <c r="N2226" t="s">
        <v>19618</v>
      </c>
      <c r="O2226" t="s">
        <v>25</v>
      </c>
      <c r="P2226" t="s">
        <v>19619</v>
      </c>
      <c r="Q2226" t="s">
        <v>29</v>
      </c>
      <c r="R2226" t="s">
        <v>19615</v>
      </c>
      <c r="S2226" t="s">
        <v>19616</v>
      </c>
    </row>
    <row r="2227" spans="1:19" x14ac:dyDescent="0.25">
      <c r="A2227" s="1">
        <v>2225</v>
      </c>
      <c r="B2227" t="str">
        <f>HYPERLINK("https://www.dasschnelle.at/aspetzberger-mario-straßwalchen-friedrich-guggstraße","Website")</f>
        <v>Website</v>
      </c>
      <c r="C2227" t="str">
        <f>HYPERLINK("http://www.malerei-aspetzberger.at","Website")</f>
        <v>Website</v>
      </c>
      <c r="D2227" t="str">
        <f>HYPERLINK("http://www.google.com/maps/place/47.98111,13.2514","Location")</f>
        <v>Location</v>
      </c>
      <c r="E2227" t="s">
        <v>19620</v>
      </c>
      <c r="F2227" t="s">
        <v>19621</v>
      </c>
      <c r="G2227" t="s">
        <v>10545</v>
      </c>
      <c r="H2227" t="s">
        <v>10546</v>
      </c>
      <c r="I2227" t="s">
        <v>2239</v>
      </c>
      <c r="J2227" t="s">
        <v>22</v>
      </c>
      <c r="K2227" t="s">
        <v>19622</v>
      </c>
      <c r="L2227" t="s">
        <v>19625</v>
      </c>
      <c r="M2227" t="s">
        <v>25</v>
      </c>
      <c r="N2227" t="s">
        <v>19626</v>
      </c>
      <c r="O2227" t="s">
        <v>19627</v>
      </c>
      <c r="P2227" t="s">
        <v>19628</v>
      </c>
      <c r="Q2227" t="s">
        <v>29</v>
      </c>
      <c r="R2227" t="s">
        <v>19623</v>
      </c>
      <c r="S2227" t="s">
        <v>19624</v>
      </c>
    </row>
    <row r="2228" spans="1:19" x14ac:dyDescent="0.25">
      <c r="A2228" s="1">
        <v>2226</v>
      </c>
      <c r="B2228" t="str">
        <f>HYPERLINK("https://www.dasschnelle.at/krug-und-lipp-og-deutschlandsberg-hauptplatz","Website")</f>
        <v>Website</v>
      </c>
      <c r="C2228" t="str">
        <f>HYPERLINK("http://www.krug-lipp.at","Website")</f>
        <v>Website</v>
      </c>
      <c r="D2228" t="str">
        <f>HYPERLINK("http://www.google.com/maps/place/46.81522,15.21611","Location")</f>
        <v>Location</v>
      </c>
      <c r="E2228" t="s">
        <v>19629</v>
      </c>
      <c r="F2228" t="s">
        <v>19630</v>
      </c>
      <c r="G2228" t="s">
        <v>2921</v>
      </c>
      <c r="H2228" t="s">
        <v>2922</v>
      </c>
      <c r="I2228" t="s">
        <v>451</v>
      </c>
      <c r="J2228" t="s">
        <v>22</v>
      </c>
      <c r="K2228" t="s">
        <v>1778</v>
      </c>
      <c r="L2228" t="s">
        <v>19633</v>
      </c>
      <c r="M2228" t="s">
        <v>25</v>
      </c>
      <c r="N2228" t="s">
        <v>19634</v>
      </c>
      <c r="O2228" t="s">
        <v>25</v>
      </c>
      <c r="P2228" t="s">
        <v>19635</v>
      </c>
      <c r="Q2228" t="s">
        <v>29</v>
      </c>
      <c r="R2228" t="s">
        <v>19631</v>
      </c>
      <c r="S2228" t="s">
        <v>19632</v>
      </c>
    </row>
    <row r="2229" spans="1:19" x14ac:dyDescent="0.25">
      <c r="A2229" s="1">
        <v>2227</v>
      </c>
      <c r="B2229" t="str">
        <f>HYPERLINK("https://www.dasschnelle.at/paulitsch-robert-mitterlimberg-eichegg","Website")</f>
        <v>Website</v>
      </c>
      <c r="C2229" t="str">
        <f>HYPERLINK("http://www.paulitsch-dach.at","Website")</f>
        <v>Website</v>
      </c>
      <c r="D2229" t="str">
        <f>HYPERLINK("http://www.google.com/maps/place/46.74613,15.24531","Location")</f>
        <v>Location</v>
      </c>
      <c r="E2229" t="s">
        <v>19636</v>
      </c>
      <c r="F2229" t="s">
        <v>19637</v>
      </c>
      <c r="G2229" t="s">
        <v>19639</v>
      </c>
      <c r="H2229" t="s">
        <v>19640</v>
      </c>
      <c r="I2229" t="s">
        <v>451</v>
      </c>
      <c r="J2229" t="s">
        <v>22</v>
      </c>
      <c r="K2229" t="s">
        <v>19638</v>
      </c>
      <c r="L2229" t="s">
        <v>19643</v>
      </c>
      <c r="M2229" t="s">
        <v>25</v>
      </c>
      <c r="N2229" t="s">
        <v>19644</v>
      </c>
      <c r="O2229" t="s">
        <v>25</v>
      </c>
      <c r="P2229" t="s">
        <v>19645</v>
      </c>
      <c r="Q2229" t="s">
        <v>29</v>
      </c>
      <c r="R2229" t="s">
        <v>19641</v>
      </c>
      <c r="S2229" t="s">
        <v>19642</v>
      </c>
    </row>
    <row r="2230" spans="1:19" x14ac:dyDescent="0.25">
      <c r="A2230" s="1">
        <v>2228</v>
      </c>
      <c r="B2230" t="str">
        <f>HYPERLINK("https://www.dasschnelle.at/steffan-andrina-kg-deutschlandsberg-frauentaler-straße","Website")</f>
        <v>Website</v>
      </c>
      <c r="C2230" t="str">
        <f>HYPERLINK("http://www.steffan.at","Website")</f>
        <v>Website</v>
      </c>
      <c r="D2230" t="str">
        <f>HYPERLINK("http://www.google.com/maps/place/46.82056,15.23001","Location")</f>
        <v>Location</v>
      </c>
      <c r="E2230" t="s">
        <v>19646</v>
      </c>
      <c r="F2230" t="s">
        <v>19647</v>
      </c>
      <c r="G2230" t="s">
        <v>2921</v>
      </c>
      <c r="H2230" t="s">
        <v>2922</v>
      </c>
      <c r="I2230" t="s">
        <v>451</v>
      </c>
      <c r="J2230" t="s">
        <v>22</v>
      </c>
      <c r="K2230" t="s">
        <v>19648</v>
      </c>
      <c r="L2230" t="s">
        <v>19651</v>
      </c>
      <c r="M2230" t="s">
        <v>25</v>
      </c>
      <c r="N2230" t="s">
        <v>19652</v>
      </c>
      <c r="O2230" t="s">
        <v>25</v>
      </c>
      <c r="P2230" t="s">
        <v>19653</v>
      </c>
      <c r="Q2230" t="s">
        <v>29</v>
      </c>
      <c r="R2230" t="s">
        <v>19649</v>
      </c>
      <c r="S2230" t="s">
        <v>19650</v>
      </c>
    </row>
    <row r="2231" spans="1:19" x14ac:dyDescent="0.25">
      <c r="A2231" s="1">
        <v>2229</v>
      </c>
      <c r="B2231" t="str">
        <f>HYPERLINK("https://www.dasschnelle.at/ehmair-breitwieser-johann-gunskirchen-gärtnerstraße","Website")</f>
        <v>Website</v>
      </c>
      <c r="C2231" t="str">
        <f>HYPERLINK("http://www.taxi-ehmair.at","Website")</f>
        <v>Website</v>
      </c>
      <c r="D2231" t="str">
        <f>HYPERLINK("http://www.google.com/maps/place/48.12874,13.94574","Location")</f>
        <v>Location</v>
      </c>
      <c r="E2231" t="s">
        <v>19654</v>
      </c>
      <c r="F2231" t="s">
        <v>19655</v>
      </c>
      <c r="G2231" t="s">
        <v>4780</v>
      </c>
      <c r="H2231" t="s">
        <v>4781</v>
      </c>
      <c r="I2231" t="s">
        <v>85</v>
      </c>
      <c r="J2231" t="s">
        <v>22</v>
      </c>
      <c r="K2231" t="s">
        <v>19656</v>
      </c>
      <c r="L2231" t="s">
        <v>19659</v>
      </c>
      <c r="M2231" t="s">
        <v>25</v>
      </c>
      <c r="N2231" t="s">
        <v>19660</v>
      </c>
      <c r="O2231" t="s">
        <v>19661</v>
      </c>
      <c r="P2231" t="s">
        <v>19662</v>
      </c>
      <c r="Q2231" t="s">
        <v>29</v>
      </c>
      <c r="R2231" t="s">
        <v>19657</v>
      </c>
      <c r="S2231" t="s">
        <v>19658</v>
      </c>
    </row>
    <row r="2232" spans="1:19" x14ac:dyDescent="0.25">
      <c r="A2232" s="1">
        <v>2230</v>
      </c>
      <c r="B2232" t="str">
        <f>HYPERLINK("https://www.dasschnelle.at/klug-barbara-lannach-mooskirchner-straße","Website")</f>
        <v>Website</v>
      </c>
      <c r="C2232" t="str">
        <f>HYPERLINK("https://www.dasschnelle.at/klug-barbara-lannach-mooskirchner-stra%C3%9Fe","Website")</f>
        <v>Website</v>
      </c>
      <c r="D2232" t="str">
        <f>HYPERLINK("http://www.google.com/maps/place/46.94731,15.32965","Location")</f>
        <v>Location</v>
      </c>
      <c r="E2232" t="s">
        <v>19663</v>
      </c>
      <c r="F2232" t="s">
        <v>19664</v>
      </c>
      <c r="G2232" t="s">
        <v>2964</v>
      </c>
      <c r="H2232" t="s">
        <v>2965</v>
      </c>
      <c r="I2232" t="s">
        <v>451</v>
      </c>
      <c r="J2232" t="s">
        <v>22</v>
      </c>
      <c r="K2232" t="s">
        <v>19665</v>
      </c>
      <c r="L2232" t="s">
        <v>19668</v>
      </c>
      <c r="M2232" t="s">
        <v>25</v>
      </c>
      <c r="N2232" t="s">
        <v>19669</v>
      </c>
      <c r="O2232" t="s">
        <v>25</v>
      </c>
      <c r="P2232" t="s">
        <v>19670</v>
      </c>
      <c r="Q2232" t="s">
        <v>29</v>
      </c>
      <c r="R2232" t="s">
        <v>19666</v>
      </c>
      <c r="S2232" t="s">
        <v>19667</v>
      </c>
    </row>
    <row r="2233" spans="1:19" x14ac:dyDescent="0.25">
      <c r="A2233" s="1">
        <v>2231</v>
      </c>
      <c r="B2233" t="str">
        <f>HYPERLINK("https://www.dasschnelle.at/heim-gmbh-deutschlandsberg-schwanberger-straße","Website")</f>
        <v>Website</v>
      </c>
      <c r="C2233" t="str">
        <f>HYPERLINK("http://www.schlosserei-heim.at","Website")</f>
        <v>Website</v>
      </c>
      <c r="D2233" t="str">
        <f>HYPERLINK("http://www.google.com/maps/place/46.81087,15.22513","Location")</f>
        <v>Location</v>
      </c>
      <c r="E2233" t="s">
        <v>19671</v>
      </c>
      <c r="F2233" t="s">
        <v>19672</v>
      </c>
      <c r="G2233" t="s">
        <v>2921</v>
      </c>
      <c r="H2233" t="s">
        <v>2922</v>
      </c>
      <c r="I2233" t="s">
        <v>451</v>
      </c>
      <c r="J2233" t="s">
        <v>22</v>
      </c>
      <c r="K2233" t="s">
        <v>19673</v>
      </c>
      <c r="L2233" t="s">
        <v>19676</v>
      </c>
      <c r="M2233" t="s">
        <v>19677</v>
      </c>
      <c r="N2233" t="s">
        <v>19678</v>
      </c>
      <c r="O2233" t="s">
        <v>25</v>
      </c>
      <c r="P2233" t="s">
        <v>19679</v>
      </c>
      <c r="Q2233" t="s">
        <v>29</v>
      </c>
      <c r="R2233" t="s">
        <v>19674</v>
      </c>
      <c r="S2233" t="s">
        <v>19675</v>
      </c>
    </row>
    <row r="2234" spans="1:19" x14ac:dyDescent="0.25">
      <c r="A2234" s="1">
        <v>2232</v>
      </c>
      <c r="B2234" t="str">
        <f>HYPERLINK("https://www.dasschnelle.at/rsd-gschaider-gmbh-lengau-lastenstraße","Website")</f>
        <v>Website</v>
      </c>
      <c r="C2234" t="str">
        <f>HYPERLINK("http://www.rsd-gschaider.at","Website")</f>
        <v>Website</v>
      </c>
      <c r="D2234" t="str">
        <f>HYPERLINK("http://www.google.com/maps/place/48.00103,13.22637","Location")</f>
        <v>Location</v>
      </c>
      <c r="E2234" t="s">
        <v>19680</v>
      </c>
      <c r="F2234" t="s">
        <v>19681</v>
      </c>
      <c r="G2234" t="s">
        <v>10583</v>
      </c>
      <c r="H2234" t="s">
        <v>19683</v>
      </c>
      <c r="I2234" t="s">
        <v>85</v>
      </c>
      <c r="J2234" t="s">
        <v>22</v>
      </c>
      <c r="K2234" t="s">
        <v>19682</v>
      </c>
      <c r="L2234" t="s">
        <v>19686</v>
      </c>
      <c r="M2234" t="s">
        <v>25</v>
      </c>
      <c r="N2234" t="s">
        <v>19687</v>
      </c>
      <c r="O2234" t="s">
        <v>25</v>
      </c>
      <c r="P2234" t="s">
        <v>19688</v>
      </c>
      <c r="Q2234" t="s">
        <v>29</v>
      </c>
      <c r="R2234" t="s">
        <v>19684</v>
      </c>
      <c r="S2234" t="s">
        <v>19685</v>
      </c>
    </row>
    <row r="2235" spans="1:19" x14ac:dyDescent="0.25">
      <c r="A2235" s="1">
        <v>2233</v>
      </c>
      <c r="B2235" t="str">
        <f>HYPERLINK("https://www.dasschnelle.at/de-corti-gmbh-dietmannsdorf-im-sulmtal-dietmannsdorf","Website")</f>
        <v>Website</v>
      </c>
      <c r="C2235" t="str">
        <f>HYPERLINK("http://www.decorti.at","Website")</f>
        <v>Website</v>
      </c>
      <c r="D2235" t="str">
        <f>HYPERLINK("http://www.google.com/maps/place/46.75246,15.31662","Location")</f>
        <v>Location</v>
      </c>
      <c r="E2235" t="s">
        <v>19689</v>
      </c>
      <c r="F2235" t="s">
        <v>19690</v>
      </c>
      <c r="G2235" t="s">
        <v>13661</v>
      </c>
      <c r="H2235" t="s">
        <v>19692</v>
      </c>
      <c r="I2235" t="s">
        <v>451</v>
      </c>
      <c r="J2235" t="s">
        <v>22</v>
      </c>
      <c r="K2235" t="s">
        <v>19691</v>
      </c>
      <c r="L2235" t="s">
        <v>19695</v>
      </c>
      <c r="M2235" t="s">
        <v>25</v>
      </c>
      <c r="N2235" t="s">
        <v>19696</v>
      </c>
      <c r="O2235" t="s">
        <v>19697</v>
      </c>
      <c r="P2235" t="s">
        <v>19698</v>
      </c>
      <c r="Q2235" t="s">
        <v>29</v>
      </c>
      <c r="R2235" t="s">
        <v>19693</v>
      </c>
      <c r="S2235" t="s">
        <v>19694</v>
      </c>
    </row>
    <row r="2236" spans="1:19" x14ac:dyDescent="0.25">
      <c r="A2236" s="1">
        <v>2234</v>
      </c>
      <c r="B2236" t="str">
        <f>HYPERLINK("https://www.dasschnelle.at/ortho-schuhtechnik-matuschek-thomas-eferding-kirchenplatz","Website")</f>
        <v>Website</v>
      </c>
      <c r="C2236" t="str">
        <f>HYPERLINK("http://www.ortho-schuhtechnik.at","Website")</f>
        <v>Website</v>
      </c>
      <c r="D2236" t="str">
        <f>HYPERLINK("http://www.google.com/maps/place/48.3114057,14.0225670","Location")</f>
        <v>Location</v>
      </c>
      <c r="E2236" t="s">
        <v>19699</v>
      </c>
      <c r="F2236" t="s">
        <v>19700</v>
      </c>
      <c r="G2236" t="s">
        <v>3101</v>
      </c>
      <c r="H2236" t="s">
        <v>3102</v>
      </c>
      <c r="I2236" t="s">
        <v>85</v>
      </c>
      <c r="J2236" t="s">
        <v>22</v>
      </c>
      <c r="K2236" t="s">
        <v>19701</v>
      </c>
      <c r="L2236" t="s">
        <v>19704</v>
      </c>
      <c r="M2236" t="s">
        <v>25</v>
      </c>
      <c r="N2236" t="s">
        <v>19705</v>
      </c>
      <c r="O2236" t="s">
        <v>25</v>
      </c>
      <c r="P2236" t="s">
        <v>19706</v>
      </c>
      <c r="Q2236" t="s">
        <v>29</v>
      </c>
      <c r="R2236" t="s">
        <v>19702</v>
      </c>
      <c r="S2236" t="s">
        <v>19703</v>
      </c>
    </row>
    <row r="2237" spans="1:19" x14ac:dyDescent="0.25">
      <c r="A2237" s="1">
        <v>2235</v>
      </c>
      <c r="B2237" t="str">
        <f>HYPERLINK("https://www.dasschnelle.at/bhz-institut-dr-brigitte-kraus-wiener-neustadt-josef-feichtinger-gasse","Website")</f>
        <v>Website</v>
      </c>
      <c r="C2237" t="str">
        <f>HYPERLINK("http://www.dr-brigitte-kraus.at","Website")</f>
        <v>Website</v>
      </c>
      <c r="D2237" t="str">
        <f>HYPERLINK("http://www.google.com/maps/place/47.82204,16.21412","Location")</f>
        <v>Location</v>
      </c>
      <c r="E2237" t="s">
        <v>19707</v>
      </c>
      <c r="F2237" t="s">
        <v>19708</v>
      </c>
      <c r="G2237" t="s">
        <v>3962</v>
      </c>
      <c r="H2237" t="s">
        <v>3982</v>
      </c>
      <c r="I2237" t="s">
        <v>177</v>
      </c>
      <c r="J2237" t="s">
        <v>22</v>
      </c>
      <c r="K2237" t="s">
        <v>19709</v>
      </c>
      <c r="L2237" t="s">
        <v>19712</v>
      </c>
      <c r="M2237" t="s">
        <v>25</v>
      </c>
      <c r="N2237" t="s">
        <v>19713</v>
      </c>
      <c r="O2237" t="s">
        <v>19714</v>
      </c>
      <c r="P2237" t="s">
        <v>19715</v>
      </c>
      <c r="Q2237" t="s">
        <v>29</v>
      </c>
      <c r="R2237" t="s">
        <v>19710</v>
      </c>
      <c r="S2237" t="s">
        <v>19711</v>
      </c>
    </row>
    <row r="2238" spans="1:19" x14ac:dyDescent="0.25">
      <c r="A2238" s="1">
        <v>2236</v>
      </c>
      <c r="B2238" t="str">
        <f>HYPERLINK("https://www.dasschnelle.at/bialonczyk-jan-ddr-wiener-neustadt-domplatz","Website")</f>
        <v>Website</v>
      </c>
      <c r="C2238" t="str">
        <f>HYPERLINK("http://www.zahnarzt-wn.at","Website")</f>
        <v>Website</v>
      </c>
      <c r="D2238" t="str">
        <f>HYPERLINK("http://www.google.com/maps/place/47.81425,16.24238","Location")</f>
        <v>Location</v>
      </c>
      <c r="E2238" t="s">
        <v>19716</v>
      </c>
      <c r="F2238" t="s">
        <v>19717</v>
      </c>
      <c r="G2238" t="s">
        <v>3962</v>
      </c>
      <c r="H2238" t="s">
        <v>3982</v>
      </c>
      <c r="I2238" t="s">
        <v>177</v>
      </c>
      <c r="J2238" t="s">
        <v>22</v>
      </c>
      <c r="K2238" t="s">
        <v>19718</v>
      </c>
      <c r="L2238" t="s">
        <v>19721</v>
      </c>
      <c r="M2238" t="s">
        <v>25</v>
      </c>
      <c r="N2238" t="s">
        <v>19722</v>
      </c>
      <c r="O2238" t="s">
        <v>25</v>
      </c>
      <c r="P2238" t="s">
        <v>19723</v>
      </c>
      <c r="Q2238" t="s">
        <v>29</v>
      </c>
      <c r="R2238" t="s">
        <v>19719</v>
      </c>
      <c r="S2238" t="s">
        <v>19720</v>
      </c>
    </row>
    <row r="2239" spans="1:19" x14ac:dyDescent="0.25">
      <c r="A2239" s="1">
        <v>2237</v>
      </c>
      <c r="B2239" t="str">
        <f>HYPERLINK("https://www.dasschnelle.at/ganglbauer-franz-ing-baumeister-gesmbh-wartberg-strienzing","Website")</f>
        <v>Website</v>
      </c>
      <c r="C2239" t="str">
        <f>HYPERLINK("http://www.ganglbauer-bau.at","Website")</f>
        <v>Website</v>
      </c>
      <c r="D2239" t="str">
        <f>HYPERLINK("http://www.google.com/maps/place/47.9769548,14.0802481","Location")</f>
        <v>Location</v>
      </c>
      <c r="E2239" t="s">
        <v>19724</v>
      </c>
      <c r="F2239" t="s">
        <v>19725</v>
      </c>
      <c r="G2239" t="s">
        <v>12381</v>
      </c>
      <c r="H2239" t="s">
        <v>11974</v>
      </c>
      <c r="I2239" t="s">
        <v>85</v>
      </c>
      <c r="J2239" t="s">
        <v>22</v>
      </c>
      <c r="K2239" t="s">
        <v>19726</v>
      </c>
      <c r="L2239" t="s">
        <v>19729</v>
      </c>
      <c r="M2239" t="s">
        <v>19730</v>
      </c>
      <c r="N2239" t="s">
        <v>19731</v>
      </c>
      <c r="O2239" t="s">
        <v>19732</v>
      </c>
      <c r="P2239" t="s">
        <v>19733</v>
      </c>
      <c r="Q2239" t="s">
        <v>29</v>
      </c>
      <c r="R2239" t="s">
        <v>19727</v>
      </c>
      <c r="S2239" t="s">
        <v>19728</v>
      </c>
    </row>
    <row r="2240" spans="1:19" x14ac:dyDescent="0.25">
      <c r="A2240" s="1">
        <v>2238</v>
      </c>
      <c r="B2240" t="str">
        <f>HYPERLINK("https://www.dasschnelle.at/ahmet-yalcin-lochen-am-see-kerschham","Website")</f>
        <v>Website</v>
      </c>
      <c r="C2240" t="str">
        <f>HYPERLINK("http://www.geruestbau-yalcin.at","Website")</f>
        <v>Website</v>
      </c>
      <c r="D2240" t="str">
        <f>HYPERLINK("http://www.google.com/maps/place/48.0298016,13.1374169","Location")</f>
        <v>Location</v>
      </c>
      <c r="E2240" t="s">
        <v>19734</v>
      </c>
      <c r="F2240" t="s">
        <v>19735</v>
      </c>
      <c r="G2240" t="s">
        <v>17823</v>
      </c>
      <c r="H2240" t="s">
        <v>17824</v>
      </c>
      <c r="I2240" t="s">
        <v>85</v>
      </c>
      <c r="J2240" t="s">
        <v>22</v>
      </c>
      <c r="K2240" t="s">
        <v>19736</v>
      </c>
      <c r="L2240" t="s">
        <v>19739</v>
      </c>
      <c r="M2240" t="s">
        <v>25</v>
      </c>
      <c r="N2240" t="s">
        <v>19740</v>
      </c>
      <c r="O2240" t="s">
        <v>19741</v>
      </c>
      <c r="P2240" t="s">
        <v>697</v>
      </c>
      <c r="Q2240" t="s">
        <v>29</v>
      </c>
      <c r="R2240" t="s">
        <v>19737</v>
      </c>
      <c r="S2240" t="s">
        <v>19738</v>
      </c>
    </row>
    <row r="2241" spans="1:19" x14ac:dyDescent="0.25">
      <c r="A2241" s="1">
        <v>2239</v>
      </c>
      <c r="B2241" t="str">
        <f>HYPERLINK("https://www.dasschnelle.at/kimberger-dorninger-ursula-dipl-ta-kirchdorf-an-der-krems-weberstraße","Website")</f>
        <v>Website</v>
      </c>
      <c r="C2241" t="str">
        <f>HYPERLINK("http://www.tierarztpraxis-kimberger-dorninger.at","Website")</f>
        <v>Website</v>
      </c>
      <c r="D2241" t="str">
        <f>HYPERLINK("http://www.google.com/maps/place/47.89982,14.12373","Location")</f>
        <v>Location</v>
      </c>
      <c r="E2241" t="s">
        <v>19742</v>
      </c>
      <c r="F2241" t="s">
        <v>19743</v>
      </c>
      <c r="G2241" t="s">
        <v>12306</v>
      </c>
      <c r="H2241" t="s">
        <v>12307</v>
      </c>
      <c r="I2241" t="s">
        <v>85</v>
      </c>
      <c r="J2241" t="s">
        <v>22</v>
      </c>
      <c r="K2241" t="s">
        <v>19744</v>
      </c>
      <c r="L2241" t="s">
        <v>19747</v>
      </c>
      <c r="M2241" t="s">
        <v>25</v>
      </c>
      <c r="N2241" t="s">
        <v>19748</v>
      </c>
      <c r="O2241" t="s">
        <v>25</v>
      </c>
      <c r="P2241" t="s">
        <v>19749</v>
      </c>
      <c r="Q2241" t="s">
        <v>29</v>
      </c>
      <c r="R2241" t="s">
        <v>19745</v>
      </c>
      <c r="S2241" t="s">
        <v>19746</v>
      </c>
    </row>
    <row r="2242" spans="1:19" x14ac:dyDescent="0.25">
      <c r="A2242" s="1">
        <v>2240</v>
      </c>
      <c r="B2242" t="str">
        <f>HYPERLINK("https://www.dasschnelle.at/lukasser-franz-dr-hallein-kuffergasse","Website")</f>
        <v>Website</v>
      </c>
      <c r="C2242" t="str">
        <f>HYPERLINK("http://www.urologe-hallein.at","Website")</f>
        <v>Website</v>
      </c>
      <c r="D2242" t="str">
        <f>HYPERLINK("http://www.google.com/maps/place/47.68293,13.09413","Location")</f>
        <v>Location</v>
      </c>
      <c r="E2242" t="s">
        <v>19750</v>
      </c>
      <c r="F2242" t="s">
        <v>19751</v>
      </c>
      <c r="G2242" t="s">
        <v>7584</v>
      </c>
      <c r="H2242" t="s">
        <v>7585</v>
      </c>
      <c r="I2242" t="s">
        <v>2239</v>
      </c>
      <c r="J2242" t="s">
        <v>22</v>
      </c>
      <c r="K2242" t="s">
        <v>19752</v>
      </c>
      <c r="L2242" t="s">
        <v>19753</v>
      </c>
      <c r="M2242" t="s">
        <v>25</v>
      </c>
      <c r="N2242" t="s">
        <v>19754</v>
      </c>
      <c r="O2242" t="s">
        <v>19755</v>
      </c>
      <c r="P2242" t="s">
        <v>19756</v>
      </c>
      <c r="Q2242" t="s">
        <v>29</v>
      </c>
      <c r="R2242" t="s">
        <v>7673</v>
      </c>
      <c r="S2242" t="s">
        <v>7674</v>
      </c>
    </row>
    <row r="2243" spans="1:19" x14ac:dyDescent="0.25">
      <c r="A2243" s="1">
        <v>2241</v>
      </c>
      <c r="B2243" t="str">
        <f>HYPERLINK("https://www.dasschnelle.at/loidl-albert-wirtschaftsprüfung-golling-an-der-salzach-kiefernweg","Website")</f>
        <v>Website</v>
      </c>
      <c r="C2243" t="str">
        <f>HYPERLINK("https://www.dasschnelle.at/loidl-albert-wirtschaftspr%C3%BCfung-golling-an-der-salzach-kiefernweg","Website")</f>
        <v>Website</v>
      </c>
      <c r="D2243" t="str">
        <f>HYPERLINK("http://www.google.com/maps/place/47.59056,13.16554","Location")</f>
        <v>Location</v>
      </c>
      <c r="E2243" t="s">
        <v>19757</v>
      </c>
      <c r="F2243" t="s">
        <v>19758</v>
      </c>
      <c r="G2243" t="s">
        <v>7653</v>
      </c>
      <c r="H2243" t="s">
        <v>7654</v>
      </c>
      <c r="I2243" t="s">
        <v>2239</v>
      </c>
      <c r="J2243" t="s">
        <v>22</v>
      </c>
      <c r="K2243" t="s">
        <v>19759</v>
      </c>
      <c r="L2243" t="s">
        <v>19762</v>
      </c>
      <c r="M2243" t="s">
        <v>25</v>
      </c>
      <c r="N2243" t="s">
        <v>19763</v>
      </c>
      <c r="O2243" t="s">
        <v>25</v>
      </c>
      <c r="P2243" t="s">
        <v>19764</v>
      </c>
      <c r="Q2243" t="s">
        <v>29</v>
      </c>
      <c r="R2243" t="s">
        <v>19760</v>
      </c>
      <c r="S2243" t="s">
        <v>19761</v>
      </c>
    </row>
    <row r="2244" spans="1:19" x14ac:dyDescent="0.25">
      <c r="A2244" s="1">
        <v>2242</v>
      </c>
      <c r="B2244" t="str">
        <f>HYPERLINK("https://www.dasschnelle.at/lidauer-anneliese-eferding-ledererstraße","Website")</f>
        <v>Website</v>
      </c>
      <c r="C2244" t="str">
        <f>HYPERLINK("http://www.kosmetik-lidauer.at","Website")</f>
        <v>Website</v>
      </c>
      <c r="D2244" t="str">
        <f>HYPERLINK("http://www.google.com/maps/place/48.30915,14.01864","Location")</f>
        <v>Location</v>
      </c>
      <c r="E2244" t="s">
        <v>19765</v>
      </c>
      <c r="F2244" t="s">
        <v>19766</v>
      </c>
      <c r="G2244" t="s">
        <v>3101</v>
      </c>
      <c r="H2244" t="s">
        <v>3102</v>
      </c>
      <c r="I2244" t="s">
        <v>85</v>
      </c>
      <c r="J2244" t="s">
        <v>22</v>
      </c>
      <c r="K2244" t="s">
        <v>19767</v>
      </c>
      <c r="L2244" t="s">
        <v>19770</v>
      </c>
      <c r="M2244" t="s">
        <v>25</v>
      </c>
      <c r="N2244" t="s">
        <v>19771</v>
      </c>
      <c r="O2244" t="s">
        <v>25</v>
      </c>
      <c r="P2244" t="s">
        <v>19772</v>
      </c>
      <c r="Q2244" t="s">
        <v>29</v>
      </c>
      <c r="R2244" t="s">
        <v>19768</v>
      </c>
      <c r="S2244" t="s">
        <v>19769</v>
      </c>
    </row>
    <row r="2245" spans="1:19" x14ac:dyDescent="0.25">
      <c r="A2245" s="1">
        <v>2243</v>
      </c>
      <c r="B2245" t="str">
        <f>HYPERLINK("https://www.dasschnelle.at/bestattung-eterno-e-u-wiener-neustadt-ungargasse","Website")</f>
        <v>Website</v>
      </c>
      <c r="C2245" t="str">
        <f>HYPERLINK("http://www.bestattung-eterno.at","Website")</f>
        <v>Website</v>
      </c>
      <c r="D2245" t="str">
        <f>HYPERLINK("http://www.google.com/maps/place/47.81158,16.25313","Location")</f>
        <v>Location</v>
      </c>
      <c r="E2245" t="s">
        <v>19773</v>
      </c>
      <c r="F2245" t="s">
        <v>19774</v>
      </c>
      <c r="G2245" t="s">
        <v>3962</v>
      </c>
      <c r="H2245" t="s">
        <v>3982</v>
      </c>
      <c r="I2245" t="s">
        <v>177</v>
      </c>
      <c r="J2245" t="s">
        <v>22</v>
      </c>
      <c r="K2245" t="s">
        <v>19775</v>
      </c>
      <c r="L2245" t="s">
        <v>19778</v>
      </c>
      <c r="M2245" t="s">
        <v>25</v>
      </c>
      <c r="N2245" t="s">
        <v>19779</v>
      </c>
      <c r="O2245" t="s">
        <v>25</v>
      </c>
      <c r="P2245" t="s">
        <v>19780</v>
      </c>
      <c r="Q2245" t="s">
        <v>29</v>
      </c>
      <c r="R2245" t="s">
        <v>19776</v>
      </c>
      <c r="S2245" t="s">
        <v>19777</v>
      </c>
    </row>
    <row r="2246" spans="1:19" x14ac:dyDescent="0.25">
      <c r="A2246" s="1">
        <v>2244</v>
      </c>
      <c r="B2246" t="str">
        <f>HYPERLINK("https://www.dasschnelle.at/kracher-peter-dr-wiener-neustadt-pleyergasse","Website")</f>
        <v>Website</v>
      </c>
      <c r="C2246" t="str">
        <f>HYPERLINK("http://www.gyn-kracher.at","Website")</f>
        <v>Website</v>
      </c>
      <c r="D2246" t="str">
        <f>HYPERLINK("http://www.google.com/maps/place/47.8127,16.23178","Location")</f>
        <v>Location</v>
      </c>
      <c r="E2246" t="s">
        <v>19781</v>
      </c>
      <c r="F2246" t="s">
        <v>19782</v>
      </c>
      <c r="G2246" t="s">
        <v>3962</v>
      </c>
      <c r="H2246" t="s">
        <v>3982</v>
      </c>
      <c r="I2246" t="s">
        <v>177</v>
      </c>
      <c r="J2246" t="s">
        <v>22</v>
      </c>
      <c r="K2246" t="s">
        <v>19783</v>
      </c>
      <c r="L2246" t="s">
        <v>19786</v>
      </c>
      <c r="M2246" t="s">
        <v>19787</v>
      </c>
      <c r="N2246" t="s">
        <v>19788</v>
      </c>
      <c r="O2246" t="s">
        <v>25</v>
      </c>
      <c r="P2246" t="s">
        <v>19789</v>
      </c>
      <c r="Q2246" t="s">
        <v>29</v>
      </c>
      <c r="R2246" t="s">
        <v>19784</v>
      </c>
      <c r="S2246" t="s">
        <v>19785</v>
      </c>
    </row>
    <row r="2247" spans="1:19" x14ac:dyDescent="0.25">
      <c r="A2247" s="1">
        <v>2245</v>
      </c>
      <c r="B2247" t="str">
        <f>HYPERLINK("https://www.dasschnelle.at/inn-salzach-kanlzei-simbach-bahnhofplatz","Website")</f>
        <v>Website</v>
      </c>
      <c r="C2247" t="str">
        <f>HYPERLINK("http://www.inn-salzach-kanzlei.de","Website")</f>
        <v>Website</v>
      </c>
      <c r="D2247" t="str">
        <f>HYPERLINK("http://www.google.com/maps/place/48.2631155,13.0227262","Location")</f>
        <v>Location</v>
      </c>
      <c r="E2247" t="s">
        <v>19790</v>
      </c>
      <c r="F2247" t="s">
        <v>19791</v>
      </c>
      <c r="G2247" t="s">
        <v>17593</v>
      </c>
      <c r="H2247" t="s">
        <v>17594</v>
      </c>
      <c r="I2247" t="s">
        <v>25</v>
      </c>
      <c r="J2247" t="s">
        <v>10106</v>
      </c>
      <c r="K2247" t="s">
        <v>19792</v>
      </c>
      <c r="L2247" t="s">
        <v>19795</v>
      </c>
      <c r="M2247" t="s">
        <v>25</v>
      </c>
      <c r="N2247" t="s">
        <v>19796</v>
      </c>
      <c r="O2247" t="s">
        <v>19797</v>
      </c>
      <c r="P2247" t="s">
        <v>19798</v>
      </c>
      <c r="Q2247" t="s">
        <v>29</v>
      </c>
      <c r="R2247" t="s">
        <v>19793</v>
      </c>
      <c r="S2247" t="s">
        <v>19794</v>
      </c>
    </row>
    <row r="2248" spans="1:19" x14ac:dyDescent="0.25">
      <c r="A2248" s="1">
        <v>2246</v>
      </c>
      <c r="B2248" t="str">
        <f>HYPERLINK("https://www.dasschnelle.at/grobner-thomas-dr-med-wiener-neustadt-neuklostergasse","Website")</f>
        <v>Website</v>
      </c>
      <c r="C2248" t="str">
        <f>HYPERLINK("http://dr-thomas-grobner.stadtausstellung.at","Website")</f>
        <v>Website</v>
      </c>
      <c r="D2248" t="str">
        <f>HYPERLINK("http://www.google.com/maps/place/47.8122,16.24644","Location")</f>
        <v>Location</v>
      </c>
      <c r="E2248" t="s">
        <v>19799</v>
      </c>
      <c r="F2248" t="s">
        <v>19800</v>
      </c>
      <c r="G2248" t="s">
        <v>3962</v>
      </c>
      <c r="H2248" t="s">
        <v>3982</v>
      </c>
      <c r="I2248" t="s">
        <v>177</v>
      </c>
      <c r="J2248" t="s">
        <v>22</v>
      </c>
      <c r="K2248" t="s">
        <v>19801</v>
      </c>
      <c r="L2248" t="s">
        <v>19804</v>
      </c>
      <c r="M2248" t="s">
        <v>25</v>
      </c>
      <c r="N2248" t="s">
        <v>19805</v>
      </c>
      <c r="O2248" t="s">
        <v>25</v>
      </c>
      <c r="P2248" t="s">
        <v>19806</v>
      </c>
      <c r="Q2248" t="s">
        <v>29</v>
      </c>
      <c r="R2248" t="s">
        <v>19802</v>
      </c>
      <c r="S2248" t="s">
        <v>19803</v>
      </c>
    </row>
    <row r="2249" spans="1:19" x14ac:dyDescent="0.25">
      <c r="A2249" s="1">
        <v>2247</v>
      </c>
      <c r="B2249" t="str">
        <f>HYPERLINK("https://www.dasschnelle.at/gasthaus-neuhauser-wartberg-an-der-krems-hauptstraße","Website")</f>
        <v>Website</v>
      </c>
      <c r="C2249" t="str">
        <f>HYPERLINK("http://www.gasthaus-neuhauser.com","Website")</f>
        <v>Website</v>
      </c>
      <c r="D2249" t="str">
        <f>HYPERLINK("http://www.google.com/maps/place/47.9878600,14.1204600","Location")</f>
        <v>Location</v>
      </c>
      <c r="E2249" t="s">
        <v>19807</v>
      </c>
      <c r="F2249" t="s">
        <v>19808</v>
      </c>
      <c r="G2249" t="s">
        <v>12381</v>
      </c>
      <c r="H2249" t="s">
        <v>12382</v>
      </c>
      <c r="I2249" t="s">
        <v>85</v>
      </c>
      <c r="J2249" t="s">
        <v>22</v>
      </c>
      <c r="K2249" t="s">
        <v>1317</v>
      </c>
      <c r="L2249" t="s">
        <v>19811</v>
      </c>
      <c r="M2249" t="s">
        <v>25</v>
      </c>
      <c r="N2249" t="s">
        <v>19812</v>
      </c>
      <c r="O2249" t="s">
        <v>25</v>
      </c>
      <c r="P2249" t="s">
        <v>19813</v>
      </c>
      <c r="Q2249" t="s">
        <v>29</v>
      </c>
      <c r="R2249" t="s">
        <v>19809</v>
      </c>
      <c r="S2249" t="s">
        <v>19810</v>
      </c>
    </row>
    <row r="2250" spans="1:19" x14ac:dyDescent="0.25">
      <c r="A2250" s="1">
        <v>2248</v>
      </c>
      <c r="B2250" t="str">
        <f>HYPERLINK("https://www.dasschnelle.at/hofbauer-johann-schlierbach-fehringerweg","Website")</f>
        <v>Website</v>
      </c>
      <c r="C2250" t="str">
        <f>HYPERLINK("http://www.hofbauerfenster.at","Website")</f>
        <v>Website</v>
      </c>
      <c r="D2250" t="str">
        <f>HYPERLINK("http://www.google.com/maps/place/47.9548038,14.0856838","Location")</f>
        <v>Location</v>
      </c>
      <c r="E2250" t="s">
        <v>19814</v>
      </c>
      <c r="F2250" t="s">
        <v>19815</v>
      </c>
      <c r="G2250" t="s">
        <v>12355</v>
      </c>
      <c r="H2250" t="s">
        <v>12356</v>
      </c>
      <c r="I2250" t="s">
        <v>85</v>
      </c>
      <c r="J2250" t="s">
        <v>22</v>
      </c>
      <c r="K2250" t="s">
        <v>19816</v>
      </c>
      <c r="L2250" t="s">
        <v>19819</v>
      </c>
      <c r="M2250" t="s">
        <v>25</v>
      </c>
      <c r="N2250" t="s">
        <v>19820</v>
      </c>
      <c r="O2250" t="s">
        <v>19821</v>
      </c>
      <c r="P2250" t="s">
        <v>19822</v>
      </c>
      <c r="Q2250" t="s">
        <v>29</v>
      </c>
      <c r="R2250" t="s">
        <v>19817</v>
      </c>
      <c r="S2250" t="s">
        <v>19818</v>
      </c>
    </row>
    <row r="2251" spans="1:19" x14ac:dyDescent="0.25">
      <c r="A2251" s="1">
        <v>2249</v>
      </c>
      <c r="B2251" t="str">
        <f>HYPERLINK("https://www.dasschnelle.at/weiß-spiess-renate-dr-med-univ-abtenau-markt","Website")</f>
        <v>Website</v>
      </c>
      <c r="C2251" t="str">
        <f>HYPERLINK("https://www.dasschnelle.at/wei%C3%9F-spiess-renate-dr-med-univ-abtenau-markt","Website")</f>
        <v>Website</v>
      </c>
      <c r="D2251" t="str">
        <f>HYPERLINK("http://www.google.com/maps/place/47.56559,13.34749","Location")</f>
        <v>Location</v>
      </c>
      <c r="E2251" t="s">
        <v>19823</v>
      </c>
      <c r="F2251" t="s">
        <v>19824</v>
      </c>
      <c r="G2251" t="s">
        <v>7614</v>
      </c>
      <c r="H2251" t="s">
        <v>7615</v>
      </c>
      <c r="I2251" t="s">
        <v>2239</v>
      </c>
      <c r="J2251" t="s">
        <v>22</v>
      </c>
      <c r="K2251" t="s">
        <v>19825</v>
      </c>
      <c r="L2251" t="s">
        <v>19828</v>
      </c>
      <c r="M2251" t="s">
        <v>25</v>
      </c>
      <c r="N2251" t="s">
        <v>25</v>
      </c>
      <c r="O2251" t="s">
        <v>25</v>
      </c>
      <c r="P2251" t="s">
        <v>19829</v>
      </c>
      <c r="Q2251" t="s">
        <v>29</v>
      </c>
      <c r="R2251" t="s">
        <v>19826</v>
      </c>
      <c r="S2251" t="s">
        <v>19827</v>
      </c>
    </row>
    <row r="2252" spans="1:19" x14ac:dyDescent="0.25">
      <c r="A2252" s="1">
        <v>2250</v>
      </c>
      <c r="B2252" t="str">
        <f>HYPERLINK("https://www.dasschnelle.at/hair-vital-andrea-pinkafeld-alexander-putsch-platz","Website")</f>
        <v>Website</v>
      </c>
      <c r="C2252" t="str">
        <f>HYPERLINK("https://www.dasschnelle.at/hair-vital-andrea-pinkafeld-alexander-putsch-platz","Website")</f>
        <v>Website</v>
      </c>
      <c r="D2252" t="str">
        <f>HYPERLINK("http://www.google.com/maps/place/47.3705500,16.1212800","Location")</f>
        <v>Location</v>
      </c>
      <c r="E2252" t="s">
        <v>19830</v>
      </c>
      <c r="F2252" t="s">
        <v>19831</v>
      </c>
      <c r="G2252" t="s">
        <v>19833</v>
      </c>
      <c r="H2252" t="s">
        <v>19834</v>
      </c>
      <c r="I2252" t="s">
        <v>1834</v>
      </c>
      <c r="J2252" t="s">
        <v>22</v>
      </c>
      <c r="K2252" t="s">
        <v>19832</v>
      </c>
      <c r="L2252" t="s">
        <v>19837</v>
      </c>
      <c r="M2252" t="s">
        <v>25</v>
      </c>
      <c r="N2252" t="s">
        <v>19838</v>
      </c>
      <c r="O2252" t="s">
        <v>25</v>
      </c>
      <c r="P2252" t="s">
        <v>697</v>
      </c>
      <c r="Q2252" t="s">
        <v>29</v>
      </c>
      <c r="R2252" t="s">
        <v>19835</v>
      </c>
      <c r="S2252" t="s">
        <v>19836</v>
      </c>
    </row>
    <row r="2253" spans="1:19" x14ac:dyDescent="0.25">
      <c r="A2253" s="1">
        <v>2251</v>
      </c>
      <c r="B2253" t="str">
        <f>HYPERLINK("https://www.dasschnelle.at/autohaus-pointinger-e-u-eferding-pupping","Website")</f>
        <v>Website</v>
      </c>
      <c r="C2253" t="str">
        <f>HYPERLINK("http://www.kfz-pointinger.com","Website")</f>
        <v>Website</v>
      </c>
      <c r="D2253" t="str">
        <f>HYPERLINK("http://www.google.com/maps/place/48.3359020,14.0026050","Location")</f>
        <v>Location</v>
      </c>
      <c r="E2253" t="s">
        <v>19839</v>
      </c>
      <c r="F2253" t="s">
        <v>19840</v>
      </c>
      <c r="G2253" t="s">
        <v>3101</v>
      </c>
      <c r="H2253" t="s">
        <v>3102</v>
      </c>
      <c r="I2253" t="s">
        <v>85</v>
      </c>
      <c r="J2253" t="s">
        <v>22</v>
      </c>
      <c r="K2253" t="s">
        <v>19841</v>
      </c>
      <c r="L2253" t="s">
        <v>19844</v>
      </c>
      <c r="M2253" t="s">
        <v>19845</v>
      </c>
      <c r="N2253" t="s">
        <v>19846</v>
      </c>
      <c r="O2253" t="s">
        <v>19847</v>
      </c>
      <c r="P2253" t="s">
        <v>19848</v>
      </c>
      <c r="Q2253" t="s">
        <v>29</v>
      </c>
      <c r="R2253" t="s">
        <v>19842</v>
      </c>
      <c r="S2253" t="s">
        <v>19843</v>
      </c>
    </row>
    <row r="2254" spans="1:19" x14ac:dyDescent="0.25">
      <c r="A2254" s="1">
        <v>2252</v>
      </c>
      <c r="B2254" t="str">
        <f>HYPERLINK("https://www.dasschnelle.at/keplinger-ingrid-dr-eferding-schiferplatz","Website")</f>
        <v>Website</v>
      </c>
      <c r="C2254" t="str">
        <f>HYPERLINK("https://www.dasschnelle.at/keplinger-ingrid-dr-eferding-schiferplatz","Website")</f>
        <v>Website</v>
      </c>
      <c r="D2254" t="str">
        <f>HYPERLINK("http://www.google.com/maps/place/48.30823,14.02421","Location")</f>
        <v>Location</v>
      </c>
      <c r="E2254" t="s">
        <v>19849</v>
      </c>
      <c r="F2254" t="s">
        <v>19850</v>
      </c>
      <c r="G2254" t="s">
        <v>3101</v>
      </c>
      <c r="H2254" t="s">
        <v>3102</v>
      </c>
      <c r="I2254" t="s">
        <v>85</v>
      </c>
      <c r="J2254" t="s">
        <v>22</v>
      </c>
      <c r="K2254" t="s">
        <v>19851</v>
      </c>
      <c r="L2254" t="s">
        <v>19854</v>
      </c>
      <c r="M2254" t="s">
        <v>25</v>
      </c>
      <c r="N2254" t="s">
        <v>19855</v>
      </c>
      <c r="O2254" t="s">
        <v>25</v>
      </c>
      <c r="P2254" t="s">
        <v>19856</v>
      </c>
      <c r="Q2254" t="s">
        <v>29</v>
      </c>
      <c r="R2254" t="s">
        <v>19852</v>
      </c>
      <c r="S2254" t="s">
        <v>19853</v>
      </c>
    </row>
    <row r="2255" spans="1:19" x14ac:dyDescent="0.25">
      <c r="A2255" s="1">
        <v>2253</v>
      </c>
      <c r="B2255" t="str">
        <f>HYPERLINK("https://www.dasschnelle.at/sandbichler-markus-dr-st-johann-speckbacherstraße","Website")</f>
        <v>Website</v>
      </c>
      <c r="C2255" t="str">
        <f>HYPERLINK("http://www.urologie-sandbichler.at","Website")</f>
        <v>Website</v>
      </c>
      <c r="D2255" t="str">
        <f>HYPERLINK("http://www.google.com/maps/place/47.5204618,12.4256682","Location")</f>
        <v>Location</v>
      </c>
      <c r="E2255" t="s">
        <v>19857</v>
      </c>
      <c r="F2255" t="s">
        <v>19858</v>
      </c>
      <c r="G2255" t="s">
        <v>850</v>
      </c>
      <c r="H2255" t="s">
        <v>910</v>
      </c>
      <c r="I2255" t="s">
        <v>21</v>
      </c>
      <c r="J2255" t="s">
        <v>22</v>
      </c>
      <c r="K2255" t="s">
        <v>19859</v>
      </c>
      <c r="L2255" t="s">
        <v>19862</v>
      </c>
      <c r="M2255" t="s">
        <v>19863</v>
      </c>
      <c r="N2255" t="s">
        <v>19864</v>
      </c>
      <c r="O2255" t="s">
        <v>19865</v>
      </c>
      <c r="P2255" t="s">
        <v>19866</v>
      </c>
      <c r="Q2255" t="s">
        <v>29</v>
      </c>
      <c r="R2255" t="s">
        <v>19860</v>
      </c>
      <c r="S2255" t="s">
        <v>19861</v>
      </c>
    </row>
    <row r="2256" spans="1:19" x14ac:dyDescent="0.25">
      <c r="A2256" s="1">
        <v>2254</v>
      </c>
      <c r="B2256" t="str">
        <f>HYPERLINK("https://www.dasschnelle.at/schlapschi-friederike-dr-wiener-neustadt-allerheiligenplatz","Website")</f>
        <v>Website</v>
      </c>
      <c r="C2256" t="str">
        <f>HYPERLINK("https://www.dasschnelle.at/schlapschi-friederike-dr-wiener-neustadt-allerheiligenplatz","Website")</f>
        <v>Website</v>
      </c>
      <c r="D2256" t="str">
        <f>HYPERLINK("http://www.google.com/maps/place/47.81276,16.24261","Location")</f>
        <v>Location</v>
      </c>
      <c r="E2256" t="s">
        <v>19867</v>
      </c>
      <c r="F2256" t="s">
        <v>19868</v>
      </c>
      <c r="G2256" t="s">
        <v>3962</v>
      </c>
      <c r="H2256" t="s">
        <v>3982</v>
      </c>
      <c r="I2256" t="s">
        <v>177</v>
      </c>
      <c r="J2256" t="s">
        <v>22</v>
      </c>
      <c r="K2256" t="s">
        <v>19869</v>
      </c>
      <c r="L2256" t="s">
        <v>19872</v>
      </c>
      <c r="M2256" t="s">
        <v>25</v>
      </c>
      <c r="N2256" t="s">
        <v>25</v>
      </c>
      <c r="O2256" t="s">
        <v>25</v>
      </c>
      <c r="P2256" t="s">
        <v>19873</v>
      </c>
      <c r="Q2256" t="s">
        <v>29</v>
      </c>
      <c r="R2256" t="s">
        <v>19870</v>
      </c>
      <c r="S2256" t="s">
        <v>19871</v>
      </c>
    </row>
    <row r="2257" spans="1:19" x14ac:dyDescent="0.25">
      <c r="A2257" s="1">
        <v>2255</v>
      </c>
      <c r="B2257" t="str">
        <f>HYPERLINK("https://www.dasschnelle.at/ungersböck-alfred-dr-prim-wiener-neustadt-höfelgasse","Website")</f>
        <v>Website</v>
      </c>
      <c r="C2257" t="str">
        <f>HYPERLINK("http://www.ungersboeck.or.at","Website")</f>
        <v>Website</v>
      </c>
      <c r="D2257" t="str">
        <f>HYPERLINK("http://www.google.com/maps/place/47.81503,16.22274","Location")</f>
        <v>Location</v>
      </c>
      <c r="E2257" t="s">
        <v>19874</v>
      </c>
      <c r="F2257" t="s">
        <v>19875</v>
      </c>
      <c r="G2257" t="s">
        <v>3962</v>
      </c>
      <c r="H2257" t="s">
        <v>3982</v>
      </c>
      <c r="I2257" t="s">
        <v>177</v>
      </c>
      <c r="J2257" t="s">
        <v>22</v>
      </c>
      <c r="K2257" t="s">
        <v>19876</v>
      </c>
      <c r="L2257" t="s">
        <v>19879</v>
      </c>
      <c r="M2257" t="s">
        <v>25</v>
      </c>
      <c r="N2257" t="s">
        <v>5804</v>
      </c>
      <c r="O2257" t="s">
        <v>25</v>
      </c>
      <c r="P2257" t="s">
        <v>19880</v>
      </c>
      <c r="Q2257" t="s">
        <v>29</v>
      </c>
      <c r="R2257" t="s">
        <v>19877</v>
      </c>
      <c r="S2257" t="s">
        <v>19878</v>
      </c>
    </row>
    <row r="2258" spans="1:19" x14ac:dyDescent="0.25">
      <c r="A2258" s="1">
        <v>2256</v>
      </c>
      <c r="B2258" t="str">
        <f>HYPERLINK("https://www.dasschnelle.at/obermayr-elmar-mag-mauerkirchen-obermarkt","Website")</f>
        <v>Website</v>
      </c>
      <c r="C2258" t="str">
        <f>HYPERLINK("http://www.notar-obermayr.at","Website")</f>
        <v>Website</v>
      </c>
      <c r="D2258" t="str">
        <f>HYPERLINK("http://www.google.com/maps/place/48.19096,13.13551","Location")</f>
        <v>Location</v>
      </c>
      <c r="E2258" t="s">
        <v>19881</v>
      </c>
      <c r="F2258" t="s">
        <v>19882</v>
      </c>
      <c r="G2258" t="s">
        <v>1422</v>
      </c>
      <c r="H2258" t="s">
        <v>1423</v>
      </c>
      <c r="I2258" t="s">
        <v>85</v>
      </c>
      <c r="J2258" t="s">
        <v>22</v>
      </c>
      <c r="K2258" t="s">
        <v>19883</v>
      </c>
      <c r="L2258" t="s">
        <v>19886</v>
      </c>
      <c r="M2258" t="s">
        <v>25</v>
      </c>
      <c r="N2258" t="s">
        <v>19887</v>
      </c>
      <c r="O2258" t="s">
        <v>25</v>
      </c>
      <c r="P2258" t="s">
        <v>19888</v>
      </c>
      <c r="Q2258" t="s">
        <v>29</v>
      </c>
      <c r="R2258" t="s">
        <v>19884</v>
      </c>
      <c r="S2258" t="s">
        <v>19885</v>
      </c>
    </row>
    <row r="2259" spans="1:19" x14ac:dyDescent="0.25">
      <c r="A2259" s="1">
        <v>2257</v>
      </c>
      <c r="B2259" t="str">
        <f>HYPERLINK("https://www.dasschnelle.at/parger-michaela-und-christian-gmbh-kirchberg-in-tirol-stöcklfeld","Website")</f>
        <v>Website</v>
      </c>
      <c r="C2259" t="str">
        <f>HYPERLINK("http://www.die-glaserei-parger.at","Website")</f>
        <v>Website</v>
      </c>
      <c r="D2259" t="str">
        <f>HYPERLINK("http://www.google.com/maps/place/47.4486100,12.3052800","Location")</f>
        <v>Location</v>
      </c>
      <c r="E2259" t="s">
        <v>19889</v>
      </c>
      <c r="F2259" t="s">
        <v>19890</v>
      </c>
      <c r="G2259" t="s">
        <v>822</v>
      </c>
      <c r="H2259" t="s">
        <v>823</v>
      </c>
      <c r="I2259" t="s">
        <v>21</v>
      </c>
      <c r="J2259" t="s">
        <v>22</v>
      </c>
      <c r="K2259" t="s">
        <v>19891</v>
      </c>
      <c r="L2259" t="s">
        <v>19894</v>
      </c>
      <c r="M2259" t="s">
        <v>25</v>
      </c>
      <c r="N2259" t="s">
        <v>19895</v>
      </c>
      <c r="O2259" t="s">
        <v>19896</v>
      </c>
      <c r="P2259" t="s">
        <v>19897</v>
      </c>
      <c r="Q2259" t="s">
        <v>29</v>
      </c>
      <c r="R2259" t="s">
        <v>19892</v>
      </c>
      <c r="S2259" t="s">
        <v>19893</v>
      </c>
    </row>
    <row r="2260" spans="1:19" x14ac:dyDescent="0.25">
      <c r="A2260" s="1">
        <v>2258</v>
      </c>
      <c r="B2260" t="str">
        <f>HYPERLINK("https://www.dasschnelle.at/sigrid-s-haarschnitt-großpetersdorf-pfarrgasse","Website")</f>
        <v>Website</v>
      </c>
      <c r="C2260" t="str">
        <f>HYPERLINK("http://www.sigrids-haarschnitt.at","Website")</f>
        <v>Website</v>
      </c>
      <c r="D2260" t="str">
        <f>HYPERLINK("http://www.google.com/maps/place/47.2380000,16.3179600","Location")</f>
        <v>Location</v>
      </c>
      <c r="E2260" t="s">
        <v>19898</v>
      </c>
      <c r="F2260" t="s">
        <v>19899</v>
      </c>
      <c r="G2260" t="s">
        <v>19901</v>
      </c>
      <c r="H2260" t="s">
        <v>19902</v>
      </c>
      <c r="I2260" t="s">
        <v>1834</v>
      </c>
      <c r="J2260" t="s">
        <v>22</v>
      </c>
      <c r="K2260" t="s">
        <v>19900</v>
      </c>
      <c r="L2260" t="s">
        <v>19905</v>
      </c>
      <c r="M2260" t="s">
        <v>25</v>
      </c>
      <c r="N2260" t="s">
        <v>19906</v>
      </c>
      <c r="O2260" t="s">
        <v>19907</v>
      </c>
      <c r="P2260" t="s">
        <v>19908</v>
      </c>
      <c r="Q2260" t="s">
        <v>29</v>
      </c>
      <c r="R2260" t="s">
        <v>19903</v>
      </c>
      <c r="S2260" t="s">
        <v>19904</v>
      </c>
    </row>
    <row r="2261" spans="1:19" x14ac:dyDescent="0.25">
      <c r="A2261" s="1">
        <v>2259</v>
      </c>
      <c r="B2261" t="str">
        <f>HYPERLINK("https://www.dasschnelle.at/trs-wolfgang-reutte-untermarkt","Website")</f>
        <v>Website</v>
      </c>
      <c r="C2261" t="str">
        <f>HYPERLINK("http://www.trs.at","Website")</f>
        <v>Website</v>
      </c>
      <c r="D2261" t="str">
        <f>HYPERLINK("http://www.google.com/maps/place/47.49251,10.71764","Location")</f>
        <v>Location</v>
      </c>
      <c r="E2261" t="s">
        <v>19909</v>
      </c>
      <c r="F2261" t="s">
        <v>19910</v>
      </c>
      <c r="G2261" t="s">
        <v>6823</v>
      </c>
      <c r="H2261" t="s">
        <v>6824</v>
      </c>
      <c r="I2261" t="s">
        <v>21</v>
      </c>
      <c r="J2261" t="s">
        <v>22</v>
      </c>
      <c r="K2261" t="s">
        <v>19911</v>
      </c>
      <c r="L2261" t="s">
        <v>19914</v>
      </c>
      <c r="M2261" t="s">
        <v>25</v>
      </c>
      <c r="N2261" t="s">
        <v>19915</v>
      </c>
      <c r="O2261" t="s">
        <v>19916</v>
      </c>
      <c r="P2261" t="s">
        <v>19917</v>
      </c>
      <c r="Q2261" t="s">
        <v>29</v>
      </c>
      <c r="R2261" t="s">
        <v>19912</v>
      </c>
      <c r="S2261" t="s">
        <v>19913</v>
      </c>
    </row>
    <row r="2262" spans="1:19" x14ac:dyDescent="0.25">
      <c r="A2262" s="1">
        <v>2260</v>
      </c>
      <c r="B2262" t="str">
        <f>HYPERLINK("https://www.dasschnelle.at/spenglerei-reiter-gmbh-pinkafeld-grazerstraße","Website")</f>
        <v>Website</v>
      </c>
      <c r="C2262" t="str">
        <f>HYPERLINK("http://www.spenglerei-reiter.at","Website")</f>
        <v>Website</v>
      </c>
      <c r="D2262" t="str">
        <f>HYPERLINK("http://www.google.com/maps/place/47.3692810,16.1106767","Location")</f>
        <v>Location</v>
      </c>
      <c r="E2262" t="s">
        <v>19918</v>
      </c>
      <c r="F2262" t="s">
        <v>19919</v>
      </c>
      <c r="G2262" t="s">
        <v>19833</v>
      </c>
      <c r="H2262" t="s">
        <v>19834</v>
      </c>
      <c r="I2262" t="s">
        <v>1834</v>
      </c>
      <c r="J2262" t="s">
        <v>22</v>
      </c>
      <c r="K2262" t="s">
        <v>19920</v>
      </c>
      <c r="L2262" t="s">
        <v>19923</v>
      </c>
      <c r="M2262" t="s">
        <v>25</v>
      </c>
      <c r="N2262" t="s">
        <v>19924</v>
      </c>
      <c r="O2262" t="s">
        <v>19925</v>
      </c>
      <c r="P2262" t="s">
        <v>19926</v>
      </c>
      <c r="Q2262" t="s">
        <v>29</v>
      </c>
      <c r="R2262" t="s">
        <v>19921</v>
      </c>
      <c r="S2262" t="s">
        <v>19922</v>
      </c>
    </row>
    <row r="2263" spans="1:19" x14ac:dyDescent="0.25">
      <c r="A2263" s="1">
        <v>2261</v>
      </c>
      <c r="B2263" t="str">
        <f>HYPERLINK("https://www.dasschnelle.at/moser-bianca-deutschlandsberg-frauentaler-straße","Website")</f>
        <v>Website</v>
      </c>
      <c r="C2263" t="str">
        <f>HYPERLINK("http://www.oase-kosmetik.at","Website")</f>
        <v>Website</v>
      </c>
      <c r="D2263" t="str">
        <f>HYPERLINK("http://www.google.com/maps/place/46.81753,15.21923","Location")</f>
        <v>Location</v>
      </c>
      <c r="E2263" t="s">
        <v>19927</v>
      </c>
      <c r="F2263" t="s">
        <v>19928</v>
      </c>
      <c r="G2263" t="s">
        <v>2921</v>
      </c>
      <c r="H2263" t="s">
        <v>2922</v>
      </c>
      <c r="I2263" t="s">
        <v>451</v>
      </c>
      <c r="J2263" t="s">
        <v>22</v>
      </c>
      <c r="K2263" t="s">
        <v>19929</v>
      </c>
      <c r="L2263" t="s">
        <v>19932</v>
      </c>
      <c r="M2263" t="s">
        <v>25</v>
      </c>
      <c r="N2263" t="s">
        <v>19933</v>
      </c>
      <c r="O2263" t="s">
        <v>19934</v>
      </c>
      <c r="P2263" t="s">
        <v>19935</v>
      </c>
      <c r="Q2263" t="s">
        <v>29</v>
      </c>
      <c r="R2263" t="s">
        <v>19930</v>
      </c>
      <c r="S2263" t="s">
        <v>19931</v>
      </c>
    </row>
    <row r="2264" spans="1:19" x14ac:dyDescent="0.25">
      <c r="A2264" s="1">
        <v>2262</v>
      </c>
      <c r="B2264" t="str">
        <f>HYPERLINK("https://www.dasschnelle.at/moser-kurt-groß-sankt-florian-unterbergla","Website")</f>
        <v>Website</v>
      </c>
      <c r="C2264" t="str">
        <f>HYPERLINK("https://www.dasschnelle.at/moser-kurt-gro%C3%9F-sankt-florian-unterbergla","Website")</f>
        <v>Website</v>
      </c>
      <c r="D2264" t="str">
        <f>HYPERLINK("http://www.google.com/maps/place/46.8107696,15.3143867","Location")</f>
        <v>Location</v>
      </c>
      <c r="E2264" t="s">
        <v>19936</v>
      </c>
      <c r="F2264" t="s">
        <v>19937</v>
      </c>
      <c r="G2264" t="s">
        <v>2862</v>
      </c>
      <c r="H2264" t="s">
        <v>2863</v>
      </c>
      <c r="I2264" t="s">
        <v>451</v>
      </c>
      <c r="J2264" t="s">
        <v>22</v>
      </c>
      <c r="K2264" t="s">
        <v>19938</v>
      </c>
      <c r="L2264" t="s">
        <v>19941</v>
      </c>
      <c r="M2264" t="s">
        <v>25</v>
      </c>
      <c r="N2264" t="s">
        <v>19942</v>
      </c>
      <c r="O2264" t="s">
        <v>25</v>
      </c>
      <c r="P2264" t="s">
        <v>19943</v>
      </c>
      <c r="Q2264" t="s">
        <v>29</v>
      </c>
      <c r="R2264" t="s">
        <v>19939</v>
      </c>
      <c r="S2264" t="s">
        <v>19940</v>
      </c>
    </row>
    <row r="2265" spans="1:19" x14ac:dyDescent="0.25">
      <c r="A2265" s="1">
        <v>2263</v>
      </c>
      <c r="B2265" t="str">
        <f>HYPERLINK("https://www.dasschnelle.at/hansjürgen-strohmeier-gmbh-schönaich","Website")</f>
        <v>Website</v>
      </c>
      <c r="C2265" t="str">
        <f>HYPERLINK("http://www.strohmeier-dach.at","Website")</f>
        <v>Website</v>
      </c>
      <c r="D2265" t="str">
        <f>HYPERLINK("http://www.google.com/maps/place/46.8388290,15.3695766","Location")</f>
        <v>Location</v>
      </c>
      <c r="E2265" t="s">
        <v>19944</v>
      </c>
      <c r="F2265" t="s">
        <v>19945</v>
      </c>
      <c r="G2265" t="s">
        <v>3007</v>
      </c>
      <c r="H2265" t="s">
        <v>19946</v>
      </c>
      <c r="I2265" t="s">
        <v>451</v>
      </c>
      <c r="J2265" t="s">
        <v>22</v>
      </c>
      <c r="K2265" t="s">
        <v>25</v>
      </c>
      <c r="L2265" t="s">
        <v>19949</v>
      </c>
      <c r="M2265" t="s">
        <v>25</v>
      </c>
      <c r="N2265" t="s">
        <v>19950</v>
      </c>
      <c r="O2265" t="s">
        <v>25</v>
      </c>
      <c r="P2265" t="s">
        <v>19951</v>
      </c>
      <c r="Q2265" t="s">
        <v>29</v>
      </c>
      <c r="R2265" t="s">
        <v>19947</v>
      </c>
      <c r="S2265" t="s">
        <v>19948</v>
      </c>
    </row>
    <row r="2266" spans="1:19" x14ac:dyDescent="0.25">
      <c r="A2266" s="1">
        <v>2264</v>
      </c>
      <c r="B2266" t="str">
        <f>HYPERLINK("https://www.dasschnelle.at/zöhrer-peter-ing-wettmannstätten","Website")</f>
        <v>Website</v>
      </c>
      <c r="C2266" t="str">
        <f>HYPERLINK("http://www.heizung-zoehrer.com","Website")</f>
        <v>Website</v>
      </c>
      <c r="D2266" t="str">
        <f>HYPERLINK("http://www.google.com/maps/place/46.8329749,15.3835266","Location")</f>
        <v>Location</v>
      </c>
      <c r="E2266" t="s">
        <v>19952</v>
      </c>
      <c r="F2266" t="s">
        <v>19953</v>
      </c>
      <c r="G2266" t="s">
        <v>3007</v>
      </c>
      <c r="H2266" t="s">
        <v>3008</v>
      </c>
      <c r="I2266" t="s">
        <v>451</v>
      </c>
      <c r="J2266" t="s">
        <v>22</v>
      </c>
      <c r="K2266" t="s">
        <v>25</v>
      </c>
      <c r="L2266" t="s">
        <v>19956</v>
      </c>
      <c r="M2266" t="s">
        <v>19957</v>
      </c>
      <c r="N2266" t="s">
        <v>19958</v>
      </c>
      <c r="O2266" t="s">
        <v>25</v>
      </c>
      <c r="P2266" t="s">
        <v>19959</v>
      </c>
      <c r="Q2266" t="s">
        <v>29</v>
      </c>
      <c r="R2266" t="s">
        <v>19954</v>
      </c>
      <c r="S2266" t="s">
        <v>19955</v>
      </c>
    </row>
    <row r="2267" spans="1:19" x14ac:dyDescent="0.25">
      <c r="A2267" s="1">
        <v>2265</v>
      </c>
      <c r="B2267" t="str">
        <f>HYPERLINK("https://www.dasschnelle.at/baggerungen-alfred-haselgruber-pucking-pucking","Website")</f>
        <v>Website</v>
      </c>
      <c r="C2267" t="str">
        <f>HYPERLINK("http://www.baggerungen-haselgruber.at","Website")</f>
        <v>Website</v>
      </c>
      <c r="D2267" t="str">
        <f>HYPERLINK("http://www.google.com/maps/place/48.1892479,14.1888889","Location")</f>
        <v>Location</v>
      </c>
      <c r="E2267" t="s">
        <v>19960</v>
      </c>
      <c r="F2267" t="s">
        <v>19961</v>
      </c>
      <c r="G2267" t="s">
        <v>10256</v>
      </c>
      <c r="H2267" t="s">
        <v>10257</v>
      </c>
      <c r="I2267" t="s">
        <v>85</v>
      </c>
      <c r="J2267" t="s">
        <v>22</v>
      </c>
      <c r="K2267" t="s">
        <v>19962</v>
      </c>
      <c r="L2267" t="s">
        <v>19965</v>
      </c>
      <c r="M2267" t="s">
        <v>25</v>
      </c>
      <c r="N2267" t="s">
        <v>19966</v>
      </c>
      <c r="O2267" t="s">
        <v>25</v>
      </c>
      <c r="P2267" t="s">
        <v>19967</v>
      </c>
      <c r="Q2267" t="s">
        <v>29</v>
      </c>
      <c r="R2267" t="s">
        <v>19963</v>
      </c>
      <c r="S2267" t="s">
        <v>19964</v>
      </c>
    </row>
    <row r="2268" spans="1:19" x14ac:dyDescent="0.25">
      <c r="A2268" s="1">
        <v>2266</v>
      </c>
      <c r="B2268" t="str">
        <f>HYPERLINK("https://www.dasschnelle.at/riener-gmbh-leonstein-leonsteinerstraße","Website")</f>
        <v>Website</v>
      </c>
      <c r="C2268" t="str">
        <f>HYPERLINK("http://www.reisedienst-riener.at","Website")</f>
        <v>Website</v>
      </c>
      <c r="D2268" t="str">
        <f>HYPERLINK("http://www.google.com/maps/place/47.89761,14.2307","Location")</f>
        <v>Location</v>
      </c>
      <c r="E2268" t="s">
        <v>19968</v>
      </c>
      <c r="F2268" t="s">
        <v>19969</v>
      </c>
      <c r="G2268" t="s">
        <v>19971</v>
      </c>
      <c r="H2268" t="s">
        <v>19972</v>
      </c>
      <c r="I2268" t="s">
        <v>85</v>
      </c>
      <c r="J2268" t="s">
        <v>22</v>
      </c>
      <c r="K2268" t="s">
        <v>19970</v>
      </c>
      <c r="L2268" t="s">
        <v>19975</v>
      </c>
      <c r="M2268" t="s">
        <v>19976</v>
      </c>
      <c r="N2268" t="s">
        <v>19977</v>
      </c>
      <c r="O2268" t="s">
        <v>19978</v>
      </c>
      <c r="P2268" t="s">
        <v>19979</v>
      </c>
      <c r="Q2268" t="s">
        <v>29</v>
      </c>
      <c r="R2268" t="s">
        <v>19973</v>
      </c>
      <c r="S2268" t="s">
        <v>19974</v>
      </c>
    </row>
    <row r="2269" spans="1:19" x14ac:dyDescent="0.25">
      <c r="A2269" s="1">
        <v>2267</v>
      </c>
      <c r="B2269" t="str">
        <f>HYPERLINK("https://www.dasschnelle.at/reisebüro-dobler-gmbh-eferding-stephan-fadinger-straße","Website")</f>
        <v>Website</v>
      </c>
      <c r="C2269" t="str">
        <f>HYPERLINK("http://www.dobler-reisen.at","Website")</f>
        <v>Website</v>
      </c>
      <c r="D2269" t="str">
        <f>HYPERLINK("http://www.google.com/maps/place/48.31034,14.02562","Location")</f>
        <v>Location</v>
      </c>
      <c r="E2269" t="s">
        <v>19980</v>
      </c>
      <c r="F2269" t="s">
        <v>19981</v>
      </c>
      <c r="G2269" t="s">
        <v>3101</v>
      </c>
      <c r="H2269" t="s">
        <v>3102</v>
      </c>
      <c r="I2269" t="s">
        <v>85</v>
      </c>
      <c r="J2269" t="s">
        <v>22</v>
      </c>
      <c r="K2269" t="s">
        <v>19982</v>
      </c>
      <c r="L2269" t="s">
        <v>19985</v>
      </c>
      <c r="M2269" t="s">
        <v>25</v>
      </c>
      <c r="N2269" t="s">
        <v>19986</v>
      </c>
      <c r="O2269" t="s">
        <v>19987</v>
      </c>
      <c r="P2269" t="s">
        <v>19988</v>
      </c>
      <c r="Q2269" t="s">
        <v>29</v>
      </c>
      <c r="R2269" t="s">
        <v>19983</v>
      </c>
      <c r="S2269" t="s">
        <v>19984</v>
      </c>
    </row>
    <row r="2270" spans="1:19" x14ac:dyDescent="0.25">
      <c r="A2270" s="1">
        <v>2268</v>
      </c>
      <c r="B2270" t="str">
        <f>HYPERLINK("https://www.dasschnelle.at/reiterer-erwin-sankt-martin-otternitz","Website")</f>
        <v>Website</v>
      </c>
      <c r="C2270" t="str">
        <f>HYPERLINK("https://www.dasschnelle.at/reiterer-erwin-sankt-martin-otternitz","Website")</f>
        <v>Website</v>
      </c>
      <c r="D2270" t="str">
        <f>HYPERLINK("http://www.google.com/maps/place/46.7791947,15.3283117","Location")</f>
        <v>Location</v>
      </c>
      <c r="E2270" t="s">
        <v>19989</v>
      </c>
      <c r="F2270" t="s">
        <v>19990</v>
      </c>
      <c r="G2270" t="s">
        <v>13661</v>
      </c>
      <c r="H2270" t="s">
        <v>19992</v>
      </c>
      <c r="I2270" t="s">
        <v>177</v>
      </c>
      <c r="J2270" t="s">
        <v>22</v>
      </c>
      <c r="K2270" t="s">
        <v>19991</v>
      </c>
      <c r="L2270" t="s">
        <v>19995</v>
      </c>
      <c r="M2270" t="s">
        <v>25</v>
      </c>
      <c r="N2270" t="s">
        <v>19996</v>
      </c>
      <c r="O2270" t="s">
        <v>25</v>
      </c>
      <c r="P2270" t="s">
        <v>19997</v>
      </c>
      <c r="Q2270" t="s">
        <v>29</v>
      </c>
      <c r="R2270" t="s">
        <v>19993</v>
      </c>
      <c r="S2270" t="s">
        <v>19994</v>
      </c>
    </row>
    <row r="2271" spans="1:19" x14ac:dyDescent="0.25">
      <c r="A2271" s="1">
        <v>2269</v>
      </c>
      <c r="B2271" t="str">
        <f>HYPERLINK("https://www.dasschnelle.at/elektro-express-j-drosg-gesmbh-wettmannstätten-wettmannstätten","Website")</f>
        <v>Website</v>
      </c>
      <c r="C2271" t="str">
        <f>HYPERLINK("http://www.elektro-drosg.at","Website")</f>
        <v>Website</v>
      </c>
      <c r="D2271" t="str">
        <f>HYPERLINK("http://www.google.com/maps/place/46.8302747,15.3859726","Location")</f>
        <v>Location</v>
      </c>
      <c r="E2271" t="s">
        <v>19998</v>
      </c>
      <c r="F2271" t="s">
        <v>19999</v>
      </c>
      <c r="G2271" t="s">
        <v>3007</v>
      </c>
      <c r="H2271" t="s">
        <v>3008</v>
      </c>
      <c r="I2271" t="s">
        <v>451</v>
      </c>
      <c r="J2271" t="s">
        <v>22</v>
      </c>
      <c r="K2271" t="s">
        <v>20000</v>
      </c>
      <c r="L2271" t="s">
        <v>20003</v>
      </c>
      <c r="M2271" t="s">
        <v>25</v>
      </c>
      <c r="N2271" t="s">
        <v>20004</v>
      </c>
      <c r="O2271" t="s">
        <v>25</v>
      </c>
      <c r="P2271" t="s">
        <v>20005</v>
      </c>
      <c r="Q2271" t="s">
        <v>29</v>
      </c>
      <c r="R2271" t="s">
        <v>20001</v>
      </c>
      <c r="S2271" t="s">
        <v>20002</v>
      </c>
    </row>
    <row r="2272" spans="1:19" x14ac:dyDescent="0.25">
      <c r="A2272" s="1">
        <v>2270</v>
      </c>
      <c r="B2272" t="str">
        <f>HYPERLINK("https://www.dasschnelle.at/predota-gesmbh-schwanberg-hauptplatz","Website")</f>
        <v>Website</v>
      </c>
      <c r="C2272" t="str">
        <f>HYPERLINK("https://www.dasschnelle.at/predota-gesmbh-schwanberg-hauptplatz","Website")</f>
        <v>Website</v>
      </c>
      <c r="D2272" t="str">
        <f>HYPERLINK("http://www.google.com/maps/place/46.7576597,15.2016842","Location")</f>
        <v>Location</v>
      </c>
      <c r="E2272" t="s">
        <v>20006</v>
      </c>
      <c r="F2272" t="s">
        <v>20007</v>
      </c>
      <c r="G2272" t="s">
        <v>20009</v>
      </c>
      <c r="H2272" t="s">
        <v>20010</v>
      </c>
      <c r="I2272" t="s">
        <v>451</v>
      </c>
      <c r="J2272" t="s">
        <v>22</v>
      </c>
      <c r="K2272" t="s">
        <v>20008</v>
      </c>
      <c r="L2272" t="s">
        <v>20013</v>
      </c>
      <c r="M2272" t="s">
        <v>25</v>
      </c>
      <c r="N2272" t="s">
        <v>20014</v>
      </c>
      <c r="O2272" t="s">
        <v>25</v>
      </c>
      <c r="P2272" t="s">
        <v>20015</v>
      </c>
      <c r="Q2272" t="s">
        <v>29</v>
      </c>
      <c r="R2272" t="s">
        <v>20011</v>
      </c>
      <c r="S2272" t="s">
        <v>20012</v>
      </c>
    </row>
    <row r="2273" spans="1:19" x14ac:dyDescent="0.25">
      <c r="A2273" s="1">
        <v>2271</v>
      </c>
      <c r="B2273" t="str">
        <f>HYPERLINK("https://www.dasschnelle.at/scala-dr-optik-gmbh-stainz-hauptplatz","Website")</f>
        <v>Website</v>
      </c>
      <c r="C2273" t="str">
        <f>HYPERLINK("http://www.dr-scala-optik.at","Website")</f>
        <v>Website</v>
      </c>
      <c r="D2273" t="str">
        <f>HYPERLINK("http://www.google.com/maps/place/46.89394,15.26504","Location")</f>
        <v>Location</v>
      </c>
      <c r="E2273" t="s">
        <v>20016</v>
      </c>
      <c r="F2273" t="s">
        <v>20017</v>
      </c>
      <c r="G2273" t="s">
        <v>2834</v>
      </c>
      <c r="H2273" t="s">
        <v>2835</v>
      </c>
      <c r="I2273" t="s">
        <v>451</v>
      </c>
      <c r="J2273" t="s">
        <v>22</v>
      </c>
      <c r="K2273" t="s">
        <v>1594</v>
      </c>
      <c r="L2273" t="s">
        <v>20020</v>
      </c>
      <c r="M2273" t="s">
        <v>25</v>
      </c>
      <c r="N2273" t="s">
        <v>20021</v>
      </c>
      <c r="O2273" t="s">
        <v>25</v>
      </c>
      <c r="P2273" t="s">
        <v>20022</v>
      </c>
      <c r="Q2273" t="s">
        <v>29</v>
      </c>
      <c r="R2273" t="s">
        <v>20018</v>
      </c>
      <c r="S2273" t="s">
        <v>20019</v>
      </c>
    </row>
    <row r="2274" spans="1:19" x14ac:dyDescent="0.25">
      <c r="A2274" s="1">
        <v>2272</v>
      </c>
      <c r="B2274" t="str">
        <f>HYPERLINK("https://www.dasschnelle.at/krebs-monika-stainz-hauptplatz","Website")</f>
        <v>Website</v>
      </c>
      <c r="C2274" t="str">
        <f>HYPERLINK("http://www.wohlfuehloase.org","Website")</f>
        <v>Website</v>
      </c>
      <c r="D2274" t="str">
        <f>HYPERLINK("http://www.google.com/maps/place/46.89374,15.26357","Location")</f>
        <v>Location</v>
      </c>
      <c r="E2274" t="s">
        <v>20023</v>
      </c>
      <c r="F2274" t="s">
        <v>20024</v>
      </c>
      <c r="G2274" t="s">
        <v>2834</v>
      </c>
      <c r="H2274" t="s">
        <v>2835</v>
      </c>
      <c r="I2274" t="s">
        <v>451</v>
      </c>
      <c r="J2274" t="s">
        <v>22</v>
      </c>
      <c r="K2274" t="s">
        <v>20025</v>
      </c>
      <c r="L2274" t="s">
        <v>20028</v>
      </c>
      <c r="M2274" t="s">
        <v>25</v>
      </c>
      <c r="N2274" t="s">
        <v>25</v>
      </c>
      <c r="O2274" t="s">
        <v>25</v>
      </c>
      <c r="P2274" t="s">
        <v>20029</v>
      </c>
      <c r="Q2274" t="s">
        <v>29</v>
      </c>
      <c r="R2274" t="s">
        <v>20026</v>
      </c>
      <c r="S2274" t="s">
        <v>20027</v>
      </c>
    </row>
    <row r="2275" spans="1:19" x14ac:dyDescent="0.25">
      <c r="A2275" s="1">
        <v>2273</v>
      </c>
      <c r="B2275" t="str">
        <f>HYPERLINK("https://www.dasschnelle.at/h-m-bau-markus-hochfilzer-erpfendorf-salzburger-straße","Website")</f>
        <v>Website</v>
      </c>
      <c r="C2275" t="str">
        <f>HYPERLINK("http://www.hm-bau.org","Website")</f>
        <v>Website</v>
      </c>
      <c r="D2275" t="str">
        <f>HYPERLINK("http://www.google.com/maps/place/47.5664805,12.4676356","Location")</f>
        <v>Location</v>
      </c>
      <c r="E2275" t="s">
        <v>20030</v>
      </c>
      <c r="F2275" t="s">
        <v>20031</v>
      </c>
      <c r="G2275" t="s">
        <v>20033</v>
      </c>
      <c r="H2275" t="s">
        <v>20034</v>
      </c>
      <c r="I2275" t="s">
        <v>21</v>
      </c>
      <c r="J2275" t="s">
        <v>22</v>
      </c>
      <c r="K2275" t="s">
        <v>20032</v>
      </c>
      <c r="L2275" t="s">
        <v>20037</v>
      </c>
      <c r="M2275" t="s">
        <v>25</v>
      </c>
      <c r="N2275" t="s">
        <v>20038</v>
      </c>
      <c r="O2275" t="s">
        <v>25</v>
      </c>
      <c r="P2275" t="s">
        <v>20039</v>
      </c>
      <c r="Q2275" t="s">
        <v>29</v>
      </c>
      <c r="R2275" t="s">
        <v>20035</v>
      </c>
      <c r="S2275" t="s">
        <v>20036</v>
      </c>
    </row>
    <row r="2276" spans="1:19" x14ac:dyDescent="0.25">
      <c r="A2276" s="1">
        <v>2274</v>
      </c>
      <c r="B2276" t="str">
        <f>HYPERLINK("https://www.dasschnelle.at/staudinger-hubert-wartberg-florianiweg","Website")</f>
        <v>Website</v>
      </c>
      <c r="C2276" t="str">
        <f>HYPERLINK("http://www.elektro-staudinger.com","Website")</f>
        <v>Website</v>
      </c>
      <c r="D2276" t="str">
        <f>HYPERLINK("http://www.google.com/maps/place/47.9853052,14.1209194","Location")</f>
        <v>Location</v>
      </c>
      <c r="E2276" t="s">
        <v>20040</v>
      </c>
      <c r="F2276" t="s">
        <v>20041</v>
      </c>
      <c r="G2276" t="s">
        <v>12381</v>
      </c>
      <c r="H2276" t="s">
        <v>11974</v>
      </c>
      <c r="I2276" t="s">
        <v>85</v>
      </c>
      <c r="J2276" t="s">
        <v>22</v>
      </c>
      <c r="K2276" t="s">
        <v>20042</v>
      </c>
      <c r="L2276" t="s">
        <v>20045</v>
      </c>
      <c r="M2276" t="s">
        <v>25</v>
      </c>
      <c r="N2276" t="s">
        <v>20046</v>
      </c>
      <c r="O2276" t="s">
        <v>20047</v>
      </c>
      <c r="P2276" t="s">
        <v>20048</v>
      </c>
      <c r="Q2276" t="s">
        <v>29</v>
      </c>
      <c r="R2276" t="s">
        <v>20043</v>
      </c>
      <c r="S2276" t="s">
        <v>20044</v>
      </c>
    </row>
    <row r="2277" spans="1:19" x14ac:dyDescent="0.25">
      <c r="A2277" s="1">
        <v>2275</v>
      </c>
      <c r="B2277" t="str">
        <f>HYPERLINK("https://www.dasschnelle.at/hofmann-robert-dr-melk-abt-karl-straße","Website")</f>
        <v>Website</v>
      </c>
      <c r="C2277" t="str">
        <f>HYPERLINK("http://www.notar-hofmann.at","Website")</f>
        <v>Website</v>
      </c>
      <c r="D2277" t="str">
        <f>HYPERLINK("http://www.google.com/maps/place/48.31824,15.20164","Location")</f>
        <v>Location</v>
      </c>
      <c r="E2277" t="s">
        <v>20049</v>
      </c>
      <c r="F2277" t="s">
        <v>20050</v>
      </c>
      <c r="G2277" t="s">
        <v>5926</v>
      </c>
      <c r="H2277" t="s">
        <v>5927</v>
      </c>
      <c r="I2277" t="s">
        <v>177</v>
      </c>
      <c r="J2277" t="s">
        <v>22</v>
      </c>
      <c r="K2277" t="s">
        <v>20051</v>
      </c>
      <c r="L2277" t="s">
        <v>20054</v>
      </c>
      <c r="M2277" t="s">
        <v>20055</v>
      </c>
      <c r="N2277" t="s">
        <v>20056</v>
      </c>
      <c r="O2277" t="s">
        <v>25</v>
      </c>
      <c r="P2277" t="s">
        <v>20057</v>
      </c>
      <c r="Q2277" t="s">
        <v>29</v>
      </c>
      <c r="R2277" t="s">
        <v>20052</v>
      </c>
      <c r="S2277" t="s">
        <v>20053</v>
      </c>
    </row>
    <row r="2278" spans="1:19" x14ac:dyDescent="0.25">
      <c r="A2278" s="1">
        <v>2276</v>
      </c>
      <c r="B2278" t="str">
        <f>HYPERLINK("https://www.dasschnelle.at/hager-josef-dr-kirchdorf-an-der-krems-keplerstraße","Website")</f>
        <v>Website</v>
      </c>
      <c r="C2278" t="str">
        <f>HYPERLINK("http://www.docfinder.at","Website")</f>
        <v>Website</v>
      </c>
      <c r="D2278" t="str">
        <f>HYPERLINK("http://www.google.com/maps/place/47.89898,14.13004","Location")</f>
        <v>Location</v>
      </c>
      <c r="E2278" t="s">
        <v>20058</v>
      </c>
      <c r="F2278" t="s">
        <v>20059</v>
      </c>
      <c r="G2278" t="s">
        <v>12306</v>
      </c>
      <c r="H2278" t="s">
        <v>12307</v>
      </c>
      <c r="I2278" t="s">
        <v>85</v>
      </c>
      <c r="J2278" t="s">
        <v>22</v>
      </c>
      <c r="K2278" t="s">
        <v>20060</v>
      </c>
      <c r="L2278" t="s">
        <v>20063</v>
      </c>
      <c r="M2278" t="s">
        <v>25</v>
      </c>
      <c r="N2278" t="s">
        <v>25</v>
      </c>
      <c r="O2278" t="s">
        <v>25</v>
      </c>
      <c r="P2278" t="s">
        <v>20064</v>
      </c>
      <c r="Q2278" t="s">
        <v>29</v>
      </c>
      <c r="R2278" t="s">
        <v>20061</v>
      </c>
      <c r="S2278" t="s">
        <v>20062</v>
      </c>
    </row>
    <row r="2279" spans="1:19" x14ac:dyDescent="0.25">
      <c r="A2279" s="1">
        <v>2277</v>
      </c>
      <c r="B2279" t="str">
        <f>HYPERLINK("https://www.dasschnelle.at/haarmanufaktur-mank-mank-herrenstraße","Website")</f>
        <v>Website</v>
      </c>
      <c r="C2279" t="str">
        <f>HYPERLINK("http://www.haarmanufaktur-mank.at","Website")</f>
        <v>Website</v>
      </c>
      <c r="D2279" t="str">
        <f>HYPERLINK("http://www.google.com/maps/place/48.11224,15.33905","Location")</f>
        <v>Location</v>
      </c>
      <c r="E2279" t="s">
        <v>20065</v>
      </c>
      <c r="F2279" t="s">
        <v>20066</v>
      </c>
      <c r="G2279" t="s">
        <v>6136</v>
      </c>
      <c r="H2279" t="s">
        <v>6137</v>
      </c>
      <c r="I2279" t="s">
        <v>177</v>
      </c>
      <c r="J2279" t="s">
        <v>22</v>
      </c>
      <c r="K2279" t="s">
        <v>20067</v>
      </c>
      <c r="L2279" t="s">
        <v>20070</v>
      </c>
      <c r="M2279" t="s">
        <v>25</v>
      </c>
      <c r="N2279" t="s">
        <v>20071</v>
      </c>
      <c r="O2279" t="s">
        <v>20072</v>
      </c>
      <c r="P2279" t="s">
        <v>20073</v>
      </c>
      <c r="Q2279" t="s">
        <v>29</v>
      </c>
      <c r="R2279" t="s">
        <v>20068</v>
      </c>
      <c r="S2279" t="s">
        <v>20069</v>
      </c>
    </row>
    <row r="2280" spans="1:19" x14ac:dyDescent="0.25">
      <c r="A2280" s="1">
        <v>2278</v>
      </c>
      <c r="B2280" t="str">
        <f>HYPERLINK("https://www.dasschnelle.at/hundepension-pertl-kemeten-steinbrückl","Website")</f>
        <v>Website</v>
      </c>
      <c r="C2280" t="str">
        <f>HYPERLINK("http://www.schaeferhunde-pertl.at","Website")</f>
        <v>Website</v>
      </c>
      <c r="D2280" t="str">
        <f>HYPERLINK("http://www.google.com/maps/place/47.2693800,16.1529100","Location")</f>
        <v>Location</v>
      </c>
      <c r="E2280" t="s">
        <v>20074</v>
      </c>
      <c r="F2280" t="s">
        <v>20075</v>
      </c>
      <c r="G2280" t="s">
        <v>20077</v>
      </c>
      <c r="H2280" t="s">
        <v>20078</v>
      </c>
      <c r="I2280" t="s">
        <v>1834</v>
      </c>
      <c r="J2280" t="s">
        <v>22</v>
      </c>
      <c r="K2280" t="s">
        <v>20076</v>
      </c>
      <c r="L2280" t="s">
        <v>20081</v>
      </c>
      <c r="M2280" t="s">
        <v>25</v>
      </c>
      <c r="N2280" t="s">
        <v>20082</v>
      </c>
      <c r="O2280" t="s">
        <v>20083</v>
      </c>
      <c r="P2280" t="s">
        <v>20084</v>
      </c>
      <c r="Q2280" t="s">
        <v>29</v>
      </c>
      <c r="R2280" t="s">
        <v>20079</v>
      </c>
      <c r="S2280" t="s">
        <v>20080</v>
      </c>
    </row>
    <row r="2281" spans="1:19" x14ac:dyDescent="0.25">
      <c r="A2281" s="1">
        <v>2279</v>
      </c>
      <c r="B2281" t="str">
        <f>HYPERLINK("https://www.dasschnelle.at/reitergut-weißenhof-micheldorf-atzelsdorf","Website")</f>
        <v>Website</v>
      </c>
      <c r="C2281" t="str">
        <f>HYPERLINK("http://www.reitergut-weissenhof.at","Website")</f>
        <v>Website</v>
      </c>
      <c r="D2281" t="str">
        <f>HYPERLINK("http://www.google.com/maps/place/47.8879798,14.1423977","Location")</f>
        <v>Location</v>
      </c>
      <c r="E2281" t="s">
        <v>20085</v>
      </c>
      <c r="F2281" t="s">
        <v>20086</v>
      </c>
      <c r="G2281" t="s">
        <v>12399</v>
      </c>
      <c r="H2281" t="s">
        <v>12400</v>
      </c>
      <c r="I2281" t="s">
        <v>85</v>
      </c>
      <c r="J2281" t="s">
        <v>22</v>
      </c>
      <c r="K2281" t="s">
        <v>20087</v>
      </c>
      <c r="L2281" t="s">
        <v>20090</v>
      </c>
      <c r="M2281" t="s">
        <v>20091</v>
      </c>
      <c r="N2281" t="s">
        <v>20092</v>
      </c>
      <c r="O2281" t="s">
        <v>25</v>
      </c>
      <c r="P2281" t="s">
        <v>20093</v>
      </c>
      <c r="Q2281" t="s">
        <v>29</v>
      </c>
      <c r="R2281" t="s">
        <v>20088</v>
      </c>
      <c r="S2281" t="s">
        <v>20089</v>
      </c>
    </row>
    <row r="2282" spans="1:19" x14ac:dyDescent="0.25">
      <c r="A2282" s="1">
        <v>2280</v>
      </c>
      <c r="B2282" t="str">
        <f>HYPERLINK("https://www.dasschnelle.at/kssg-saly-gerhard-rechnitz-steinamangerstraße","Website")</f>
        <v>Website</v>
      </c>
      <c r="C2282" t="str">
        <f>HYPERLINK("http://www.kssg.go1a.at","Website")</f>
        <v>Website</v>
      </c>
      <c r="D2282" t="str">
        <f>HYPERLINK("http://www.google.com/maps/place/47.3013800,16.4521000","Location")</f>
        <v>Location</v>
      </c>
      <c r="E2282" t="s">
        <v>20094</v>
      </c>
      <c r="F2282" t="s">
        <v>20095</v>
      </c>
      <c r="G2282" t="s">
        <v>20097</v>
      </c>
      <c r="H2282" t="s">
        <v>20098</v>
      </c>
      <c r="I2282" t="s">
        <v>1834</v>
      </c>
      <c r="J2282" t="s">
        <v>22</v>
      </c>
      <c r="K2282" t="s">
        <v>20096</v>
      </c>
      <c r="L2282" t="s">
        <v>20101</v>
      </c>
      <c r="M2282" t="s">
        <v>25</v>
      </c>
      <c r="N2282" t="s">
        <v>20102</v>
      </c>
      <c r="O2282" t="s">
        <v>25</v>
      </c>
      <c r="P2282" t="s">
        <v>20103</v>
      </c>
      <c r="Q2282" t="s">
        <v>29</v>
      </c>
      <c r="R2282" t="s">
        <v>20099</v>
      </c>
      <c r="S2282" t="s">
        <v>20100</v>
      </c>
    </row>
    <row r="2283" spans="1:19" x14ac:dyDescent="0.25">
      <c r="A2283" s="1">
        <v>2281</v>
      </c>
      <c r="B2283" t="str">
        <f>HYPERLINK("https://www.dasschnelle.at/trachten-perlak-deutschlandsberg-schulgasse","Website")</f>
        <v>Website</v>
      </c>
      <c r="C2283" t="str">
        <f>HYPERLINK("http://www.steirerland-trachten.at","Website")</f>
        <v>Website</v>
      </c>
      <c r="D2283" t="str">
        <f>HYPERLINK("http://www.google.com/maps/place/46.81602,15.21501","Location")</f>
        <v>Location</v>
      </c>
      <c r="E2283" t="s">
        <v>20104</v>
      </c>
      <c r="F2283" t="s">
        <v>20105</v>
      </c>
      <c r="G2283" t="s">
        <v>2921</v>
      </c>
      <c r="H2283" t="s">
        <v>2922</v>
      </c>
      <c r="I2283" t="s">
        <v>451</v>
      </c>
      <c r="J2283" t="s">
        <v>22</v>
      </c>
      <c r="K2283" t="s">
        <v>20106</v>
      </c>
      <c r="L2283" t="s">
        <v>20109</v>
      </c>
      <c r="M2283" t="s">
        <v>25</v>
      </c>
      <c r="N2283" t="s">
        <v>20110</v>
      </c>
      <c r="O2283" t="s">
        <v>25</v>
      </c>
      <c r="P2283" t="s">
        <v>20111</v>
      </c>
      <c r="Q2283" t="s">
        <v>29</v>
      </c>
      <c r="R2283" t="s">
        <v>20107</v>
      </c>
      <c r="S2283" t="s">
        <v>20108</v>
      </c>
    </row>
    <row r="2284" spans="1:19" x14ac:dyDescent="0.25">
      <c r="A2284" s="1">
        <v>2282</v>
      </c>
      <c r="B2284" t="str">
        <f>HYPERLINK("https://www.dasschnelle.at/kremnitzer-gmbh-loipersdorf-kitzladen-hammerfeldstraße","Website")</f>
        <v>Website</v>
      </c>
      <c r="C2284" t="str">
        <f>HYPERLINK("http://www.kremnitzer.co.at","Website")</f>
        <v>Website</v>
      </c>
      <c r="D2284" t="str">
        <f>HYPERLINK("http://www.google.com/maps/place/47.3371838,16.0741938","Location")</f>
        <v>Location</v>
      </c>
      <c r="E2284" t="s">
        <v>20112</v>
      </c>
      <c r="F2284" t="s">
        <v>20113</v>
      </c>
      <c r="G2284" t="s">
        <v>20115</v>
      </c>
      <c r="H2284" t="s">
        <v>20116</v>
      </c>
      <c r="I2284" t="s">
        <v>1834</v>
      </c>
      <c r="J2284" t="s">
        <v>22</v>
      </c>
      <c r="K2284" t="s">
        <v>20114</v>
      </c>
      <c r="L2284" t="s">
        <v>20119</v>
      </c>
      <c r="M2284" t="s">
        <v>25</v>
      </c>
      <c r="N2284" t="s">
        <v>20120</v>
      </c>
      <c r="O2284" t="s">
        <v>20121</v>
      </c>
      <c r="P2284" t="s">
        <v>20122</v>
      </c>
      <c r="Q2284" t="s">
        <v>29</v>
      </c>
      <c r="R2284" t="s">
        <v>20117</v>
      </c>
      <c r="S2284" t="s">
        <v>20118</v>
      </c>
    </row>
    <row r="2285" spans="1:19" x14ac:dyDescent="0.25">
      <c r="A2285" s="1">
        <v>2283</v>
      </c>
      <c r="B2285" t="str">
        <f>HYPERLINK("https://www.dasschnelle.at/tschurlovich-dr-oberwart-röntgengasse","Website")</f>
        <v>Website</v>
      </c>
      <c r="C2285" t="str">
        <f>HYPERLINK("http://www.andropolis.at","Website")</f>
        <v>Website</v>
      </c>
      <c r="D2285" t="str">
        <f>HYPERLINK("http://www.google.com/maps/place/47.2804900,16.2016800","Location")</f>
        <v>Location</v>
      </c>
      <c r="E2285" t="s">
        <v>20123</v>
      </c>
      <c r="F2285" t="s">
        <v>20124</v>
      </c>
      <c r="G2285" t="s">
        <v>20126</v>
      </c>
      <c r="H2285" t="s">
        <v>20127</v>
      </c>
      <c r="I2285" t="s">
        <v>1834</v>
      </c>
      <c r="J2285" t="s">
        <v>22</v>
      </c>
      <c r="K2285" t="s">
        <v>20125</v>
      </c>
      <c r="L2285" t="s">
        <v>20130</v>
      </c>
      <c r="M2285" t="s">
        <v>25</v>
      </c>
      <c r="N2285" t="s">
        <v>20131</v>
      </c>
      <c r="O2285" t="s">
        <v>25</v>
      </c>
      <c r="P2285" t="s">
        <v>20132</v>
      </c>
      <c r="Q2285" t="s">
        <v>29</v>
      </c>
      <c r="R2285" t="s">
        <v>20128</v>
      </c>
      <c r="S2285" t="s">
        <v>20129</v>
      </c>
    </row>
    <row r="2286" spans="1:19" x14ac:dyDescent="0.25">
      <c r="A2286" s="1">
        <v>2284</v>
      </c>
      <c r="B2286" t="str">
        <f>HYPERLINK("https://www.dasschnelle.at/knogler-elfriede-hartkirchen-schmiedstraße","Website")</f>
        <v>Website</v>
      </c>
      <c r="C2286" t="str">
        <f>HYPERLINK("http://www.bestattungen-knogler.at","Website")</f>
        <v>Website</v>
      </c>
      <c r="D2286" t="str">
        <f>HYPERLINK("http://www.google.com/maps/place/48.36484,14.00439","Location")</f>
        <v>Location</v>
      </c>
      <c r="E2286" t="s">
        <v>20133</v>
      </c>
      <c r="F2286" t="s">
        <v>20134</v>
      </c>
      <c r="G2286" t="s">
        <v>3111</v>
      </c>
      <c r="H2286" t="s">
        <v>3112</v>
      </c>
      <c r="I2286" t="s">
        <v>85</v>
      </c>
      <c r="J2286" t="s">
        <v>22</v>
      </c>
      <c r="K2286" t="s">
        <v>20135</v>
      </c>
      <c r="L2286" t="s">
        <v>20138</v>
      </c>
      <c r="M2286" t="s">
        <v>20139</v>
      </c>
      <c r="N2286" t="s">
        <v>20140</v>
      </c>
      <c r="O2286" t="s">
        <v>20141</v>
      </c>
      <c r="P2286" t="s">
        <v>20142</v>
      </c>
      <c r="Q2286" t="s">
        <v>29</v>
      </c>
      <c r="R2286" t="s">
        <v>20136</v>
      </c>
      <c r="S2286" t="s">
        <v>20137</v>
      </c>
    </row>
    <row r="2287" spans="1:19" x14ac:dyDescent="0.25">
      <c r="A2287" s="1">
        <v>2285</v>
      </c>
      <c r="B2287" t="str">
        <f>HYPERLINK("https://www.dasschnelle.at/kräuterapotheke-wartberg-mag-pharm-waltraud-hackl-kg-wartberg-an-der-krems-kräutergasse","Website")</f>
        <v>Website</v>
      </c>
      <c r="C2287" t="str">
        <f>HYPERLINK("http://www.kraeuterapotheke.net","Website")</f>
        <v>Website</v>
      </c>
      <c r="D2287" t="str">
        <f>HYPERLINK("http://www.google.com/maps/place/47.9892000,14.1169100","Location")</f>
        <v>Location</v>
      </c>
      <c r="E2287" t="s">
        <v>20143</v>
      </c>
      <c r="F2287" t="s">
        <v>20144</v>
      </c>
      <c r="G2287" t="s">
        <v>12381</v>
      </c>
      <c r="H2287" t="s">
        <v>12382</v>
      </c>
      <c r="I2287" t="s">
        <v>85</v>
      </c>
      <c r="J2287" t="s">
        <v>22</v>
      </c>
      <c r="K2287" t="s">
        <v>20145</v>
      </c>
      <c r="L2287" t="s">
        <v>20148</v>
      </c>
      <c r="M2287" t="s">
        <v>25</v>
      </c>
      <c r="N2287" t="s">
        <v>20149</v>
      </c>
      <c r="O2287" t="s">
        <v>25</v>
      </c>
      <c r="P2287" t="s">
        <v>20150</v>
      </c>
      <c r="Q2287" t="s">
        <v>29</v>
      </c>
      <c r="R2287" t="s">
        <v>20146</v>
      </c>
      <c r="S2287" t="s">
        <v>20147</v>
      </c>
    </row>
    <row r="2288" spans="1:19" x14ac:dyDescent="0.25">
      <c r="A2288" s="1">
        <v>2286</v>
      </c>
      <c r="B2288" t="str">
        <f>HYPERLINK("https://www.dasschnelle.at/klokar-hermann-mag-kühnsdorf-fernando-colazzo-platz","Website")</f>
        <v>Website</v>
      </c>
      <c r="C2288" t="str">
        <f>HYPERLINK("http://www.klokar.at","Website")</f>
        <v>Website</v>
      </c>
      <c r="D2288" t="str">
        <f>HYPERLINK("http://www.google.com/maps/place/46.62129,14.63443","Location")</f>
        <v>Location</v>
      </c>
      <c r="E2288" t="s">
        <v>20151</v>
      </c>
      <c r="F2288" t="s">
        <v>20152</v>
      </c>
      <c r="G2288" t="s">
        <v>5206</v>
      </c>
      <c r="H2288" t="s">
        <v>5207</v>
      </c>
      <c r="I2288" t="s">
        <v>4130</v>
      </c>
      <c r="J2288" t="s">
        <v>22</v>
      </c>
      <c r="K2288" t="s">
        <v>20153</v>
      </c>
      <c r="L2288" t="s">
        <v>20156</v>
      </c>
      <c r="M2288" t="s">
        <v>20157</v>
      </c>
      <c r="N2288" t="s">
        <v>20158</v>
      </c>
      <c r="O2288" t="s">
        <v>25</v>
      </c>
      <c r="P2288" t="s">
        <v>20159</v>
      </c>
      <c r="Q2288" t="s">
        <v>29</v>
      </c>
      <c r="R2288" t="s">
        <v>20154</v>
      </c>
      <c r="S2288" t="s">
        <v>20155</v>
      </c>
    </row>
    <row r="2289" spans="1:19" x14ac:dyDescent="0.25">
      <c r="A2289" s="1">
        <v>2287</v>
      </c>
      <c r="B2289" t="str">
        <f>HYPERLINK("https://www.dasschnelle.at/kronik-gerhard-prim-univ-doz-krems-mitteraustraße","Website")</f>
        <v>Website</v>
      </c>
      <c r="C2289" t="str">
        <f>HYPERLINK("http://www.kardiologe-kronik.at","Website")</f>
        <v>Website</v>
      </c>
      <c r="D2289" t="str">
        <f>HYPERLINK("http://www.google.com/maps/place/48.4079752,15.6164820","Location")</f>
        <v>Location</v>
      </c>
      <c r="E2289" t="s">
        <v>20160</v>
      </c>
      <c r="F2289" t="s">
        <v>20161</v>
      </c>
      <c r="G2289" t="s">
        <v>281</v>
      </c>
      <c r="H2289" t="s">
        <v>291</v>
      </c>
      <c r="I2289" t="s">
        <v>177</v>
      </c>
      <c r="J2289" t="s">
        <v>22</v>
      </c>
      <c r="K2289" t="s">
        <v>20162</v>
      </c>
      <c r="L2289" t="s">
        <v>20165</v>
      </c>
      <c r="M2289" t="s">
        <v>25</v>
      </c>
      <c r="N2289" t="s">
        <v>20166</v>
      </c>
      <c r="O2289" t="s">
        <v>25</v>
      </c>
      <c r="P2289" t="s">
        <v>20167</v>
      </c>
      <c r="Q2289" t="s">
        <v>29</v>
      </c>
      <c r="R2289" t="s">
        <v>20163</v>
      </c>
      <c r="S2289" t="s">
        <v>20164</v>
      </c>
    </row>
    <row r="2290" spans="1:19" x14ac:dyDescent="0.25">
      <c r="A2290" s="1">
        <v>2288</v>
      </c>
      <c r="B2290" t="str">
        <f>HYPERLINK("https://www.dasschnelle.at/hundertpfund-manfred-biberwier-mösle","Website")</f>
        <v>Website</v>
      </c>
      <c r="C2290" t="str">
        <f>HYPERLINK("https://www.dasschnelle.at/hundertpfund-manfred-biberwier-m%C3%B6sle","Website")</f>
        <v>Website</v>
      </c>
      <c r="D2290" t="str">
        <f>HYPERLINK("http://www.google.com/maps/place/47.38041,10.89083","Location")</f>
        <v>Location</v>
      </c>
      <c r="E2290" t="s">
        <v>20168</v>
      </c>
      <c r="F2290" t="s">
        <v>20169</v>
      </c>
      <c r="G2290" t="s">
        <v>18774</v>
      </c>
      <c r="H2290" t="s">
        <v>18775</v>
      </c>
      <c r="I2290" t="s">
        <v>21</v>
      </c>
      <c r="J2290" t="s">
        <v>22</v>
      </c>
      <c r="K2290" t="s">
        <v>20170</v>
      </c>
      <c r="L2290" t="s">
        <v>20173</v>
      </c>
      <c r="M2290" t="s">
        <v>25</v>
      </c>
      <c r="N2290" t="s">
        <v>20174</v>
      </c>
      <c r="O2290" t="s">
        <v>25</v>
      </c>
      <c r="P2290" t="s">
        <v>20175</v>
      </c>
      <c r="Q2290" t="s">
        <v>29</v>
      </c>
      <c r="R2290" t="s">
        <v>20171</v>
      </c>
      <c r="S2290" t="s">
        <v>20172</v>
      </c>
    </row>
    <row r="2291" spans="1:19" x14ac:dyDescent="0.25">
      <c r="A2291" s="1">
        <v>2289</v>
      </c>
      <c r="B2291" t="str">
        <f>HYPERLINK("https://www.dasschnelle.at/cba-holz-bauten-gesmbh-traun-querstraße","Website")</f>
        <v>Website</v>
      </c>
      <c r="C2291" t="str">
        <f>HYPERLINK("http://www.holz-bauten.at","Website")</f>
        <v>Website</v>
      </c>
      <c r="D2291" t="str">
        <f>HYPERLINK("http://www.google.com/maps/place/48.2137,14.20482","Location")</f>
        <v>Location</v>
      </c>
      <c r="E2291" t="s">
        <v>20176</v>
      </c>
      <c r="F2291" t="s">
        <v>20177</v>
      </c>
      <c r="G2291" t="s">
        <v>10227</v>
      </c>
      <c r="H2291" t="s">
        <v>10228</v>
      </c>
      <c r="I2291" t="s">
        <v>85</v>
      </c>
      <c r="J2291" t="s">
        <v>22</v>
      </c>
      <c r="K2291" t="s">
        <v>20178</v>
      </c>
      <c r="L2291" t="s">
        <v>20181</v>
      </c>
      <c r="M2291" t="s">
        <v>25</v>
      </c>
      <c r="N2291" t="s">
        <v>20182</v>
      </c>
      <c r="O2291" t="s">
        <v>25</v>
      </c>
      <c r="P2291" t="s">
        <v>20183</v>
      </c>
      <c r="Q2291" t="s">
        <v>29</v>
      </c>
      <c r="R2291" t="s">
        <v>20179</v>
      </c>
      <c r="S2291" t="s">
        <v>20180</v>
      </c>
    </row>
    <row r="2292" spans="1:19" x14ac:dyDescent="0.25">
      <c r="A2292" s="1">
        <v>2290</v>
      </c>
      <c r="B2292" t="str">
        <f>HYPERLINK("https://www.dasschnelle.at/zinhobl-bettina-maria-alkoven-tulpenstraße","Website")</f>
        <v>Website</v>
      </c>
      <c r="C2292" t="str">
        <f>HYPERLINK("https://www.dasschnelle.at/zinhobl-bettina-maria-alkoven-tulpenstra%C3%9Fe","Website")</f>
        <v>Website</v>
      </c>
      <c r="D2292" t="str">
        <f>HYPERLINK("http://www.google.com/maps/place/48.28886,14.11937","Location")</f>
        <v>Location</v>
      </c>
      <c r="E2292" t="s">
        <v>20184</v>
      </c>
      <c r="F2292" t="s">
        <v>20185</v>
      </c>
      <c r="G2292" t="s">
        <v>3146</v>
      </c>
      <c r="H2292" t="s">
        <v>3147</v>
      </c>
      <c r="I2292" t="s">
        <v>85</v>
      </c>
      <c r="J2292" t="s">
        <v>22</v>
      </c>
      <c r="K2292" t="s">
        <v>20186</v>
      </c>
      <c r="L2292" t="s">
        <v>20189</v>
      </c>
      <c r="M2292" t="s">
        <v>25</v>
      </c>
      <c r="N2292" t="s">
        <v>20190</v>
      </c>
      <c r="O2292" t="s">
        <v>25</v>
      </c>
      <c r="P2292" t="s">
        <v>20191</v>
      </c>
      <c r="Q2292" t="s">
        <v>29</v>
      </c>
      <c r="R2292" t="s">
        <v>20187</v>
      </c>
      <c r="S2292" t="s">
        <v>20188</v>
      </c>
    </row>
    <row r="2293" spans="1:19" x14ac:dyDescent="0.25">
      <c r="A2293" s="1">
        <v>2291</v>
      </c>
      <c r="B2293" t="str">
        <f>HYPERLINK("https://www.dasschnelle.at/rahstorfer-birgit-inzersdorf-im-kremstal-in-der-wimm","Website")</f>
        <v>Website</v>
      </c>
      <c r="C2293" t="str">
        <f>HYPERLINK("http://www.bluemchen-floristik.at","Website")</f>
        <v>Website</v>
      </c>
      <c r="D2293" t="str">
        <f>HYPERLINK("http://www.google.com/maps/place/47.92757,14.08753","Location")</f>
        <v>Location</v>
      </c>
      <c r="E2293" t="s">
        <v>20192</v>
      </c>
      <c r="F2293" t="s">
        <v>20193</v>
      </c>
      <c r="G2293" t="s">
        <v>20195</v>
      </c>
      <c r="H2293" t="s">
        <v>20196</v>
      </c>
      <c r="I2293" t="s">
        <v>85</v>
      </c>
      <c r="J2293" t="s">
        <v>22</v>
      </c>
      <c r="K2293" t="s">
        <v>20194</v>
      </c>
      <c r="L2293" t="s">
        <v>20199</v>
      </c>
      <c r="M2293" t="s">
        <v>25</v>
      </c>
      <c r="N2293" t="s">
        <v>20200</v>
      </c>
      <c r="O2293" t="s">
        <v>25</v>
      </c>
      <c r="P2293" t="s">
        <v>20201</v>
      </c>
      <c r="Q2293" t="s">
        <v>29</v>
      </c>
      <c r="R2293" t="s">
        <v>20197</v>
      </c>
      <c r="S2293" t="s">
        <v>20198</v>
      </c>
    </row>
    <row r="2294" spans="1:19" x14ac:dyDescent="0.25">
      <c r="A2294" s="1">
        <v>2292</v>
      </c>
      <c r="B2294" t="str">
        <f>HYPERLINK("https://www.dasschnelle.at/isolde-strobl-riedlingsdorf-untere-hauptstrasse","Website")</f>
        <v>Website</v>
      </c>
      <c r="C2294" t="str">
        <f>HYPERLINK("https://www.dasschnelle.at/isolde-strobl-riedlingsdorf-untere-hauptstrasse","Website")</f>
        <v>Website</v>
      </c>
      <c r="D2294" t="str">
        <f>HYPERLINK("http://www.google.com/maps/place/47.3436000,16.1388900","Location")</f>
        <v>Location</v>
      </c>
      <c r="E2294" t="s">
        <v>20202</v>
      </c>
      <c r="F2294" t="s">
        <v>20203</v>
      </c>
      <c r="G2294" t="s">
        <v>20205</v>
      </c>
      <c r="H2294" t="s">
        <v>20206</v>
      </c>
      <c r="I2294" t="s">
        <v>1834</v>
      </c>
      <c r="J2294" t="s">
        <v>22</v>
      </c>
      <c r="K2294" t="s">
        <v>20204</v>
      </c>
      <c r="L2294" t="s">
        <v>20209</v>
      </c>
      <c r="M2294" t="s">
        <v>25</v>
      </c>
      <c r="N2294" t="s">
        <v>20210</v>
      </c>
      <c r="O2294" t="s">
        <v>25</v>
      </c>
      <c r="P2294" t="s">
        <v>20211</v>
      </c>
      <c r="Q2294" t="s">
        <v>29</v>
      </c>
      <c r="R2294" t="s">
        <v>20207</v>
      </c>
      <c r="S2294" t="s">
        <v>20208</v>
      </c>
    </row>
    <row r="2295" spans="1:19" x14ac:dyDescent="0.25">
      <c r="A2295" s="1">
        <v>2293</v>
      </c>
      <c r="B2295" t="str">
        <f>HYPERLINK("https://www.dasschnelle.at/zehetner-transport-erdbau-pettenbach-mühlweg","Website")</f>
        <v>Website</v>
      </c>
      <c r="C2295" t="str">
        <f>HYPERLINK("http://www.transporte-zehetner.at","Website")</f>
        <v>Website</v>
      </c>
      <c r="D2295" t="str">
        <f>HYPERLINK("http://www.google.com/maps/place/48.04327,13.9819","Location")</f>
        <v>Location</v>
      </c>
      <c r="E2295" t="s">
        <v>20212</v>
      </c>
      <c r="F2295" t="s">
        <v>20213</v>
      </c>
      <c r="G2295" t="s">
        <v>9198</v>
      </c>
      <c r="H2295" t="s">
        <v>9199</v>
      </c>
      <c r="I2295" t="s">
        <v>85</v>
      </c>
      <c r="J2295" t="s">
        <v>22</v>
      </c>
      <c r="K2295" t="s">
        <v>20214</v>
      </c>
      <c r="L2295" t="s">
        <v>20217</v>
      </c>
      <c r="M2295" t="s">
        <v>25</v>
      </c>
      <c r="N2295" t="s">
        <v>20218</v>
      </c>
      <c r="O2295" t="s">
        <v>20219</v>
      </c>
      <c r="P2295" t="s">
        <v>20220</v>
      </c>
      <c r="Q2295" t="s">
        <v>29</v>
      </c>
      <c r="R2295" t="s">
        <v>20215</v>
      </c>
      <c r="S2295" t="s">
        <v>20216</v>
      </c>
    </row>
    <row r="2296" spans="1:19" x14ac:dyDescent="0.25">
      <c r="A2296" s="1">
        <v>2294</v>
      </c>
      <c r="B2296" t="str">
        <f>HYPERLINK("https://www.dasschnelle.at/leitner-alexandra-pettenbach-sonnleithen","Website")</f>
        <v>Website</v>
      </c>
      <c r="C2296" t="str">
        <f>HYPERLINK("https://www.dasschnelle.at/leitner-alexandra-pettenbach-sonnleithen","Website")</f>
        <v>Website</v>
      </c>
      <c r="D2296" t="str">
        <f>HYPERLINK("http://www.google.com/maps/place/47.9723800,13.9859300","Location")</f>
        <v>Location</v>
      </c>
      <c r="E2296" t="s">
        <v>20221</v>
      </c>
      <c r="F2296" t="s">
        <v>20222</v>
      </c>
      <c r="G2296" t="s">
        <v>9198</v>
      </c>
      <c r="H2296" t="s">
        <v>9199</v>
      </c>
      <c r="I2296" t="s">
        <v>85</v>
      </c>
      <c r="J2296" t="s">
        <v>22</v>
      </c>
      <c r="K2296" t="s">
        <v>20223</v>
      </c>
      <c r="L2296" t="s">
        <v>20226</v>
      </c>
      <c r="M2296" t="s">
        <v>25</v>
      </c>
      <c r="N2296" t="s">
        <v>20227</v>
      </c>
      <c r="O2296" t="s">
        <v>25</v>
      </c>
      <c r="P2296" t="s">
        <v>20228</v>
      </c>
      <c r="Q2296" t="s">
        <v>29</v>
      </c>
      <c r="R2296" t="s">
        <v>20224</v>
      </c>
      <c r="S2296" t="s">
        <v>20225</v>
      </c>
    </row>
    <row r="2297" spans="1:19" x14ac:dyDescent="0.25">
      <c r="A2297" s="1">
        <v>2295</v>
      </c>
      <c r="B2297" t="str">
        <f>HYPERLINK("https://www.dasschnelle.at/grubmair-manfred-pettenbach-stapfenstraße","Website")</f>
        <v>Website</v>
      </c>
      <c r="C2297" t="str">
        <f>HYPERLINK("http://www.grubmair-werkstatt.at","Website")</f>
        <v>Website</v>
      </c>
      <c r="D2297" t="str">
        <f>HYPERLINK("http://www.google.com/maps/place/47.95461,14.00523","Location")</f>
        <v>Location</v>
      </c>
      <c r="E2297" t="s">
        <v>20229</v>
      </c>
      <c r="F2297" t="s">
        <v>20230</v>
      </c>
      <c r="G2297" t="s">
        <v>9198</v>
      </c>
      <c r="H2297" t="s">
        <v>9199</v>
      </c>
      <c r="I2297" t="s">
        <v>85</v>
      </c>
      <c r="J2297" t="s">
        <v>22</v>
      </c>
      <c r="K2297" t="s">
        <v>20231</v>
      </c>
      <c r="L2297" t="s">
        <v>20234</v>
      </c>
      <c r="M2297" t="s">
        <v>25</v>
      </c>
      <c r="N2297" t="s">
        <v>20235</v>
      </c>
      <c r="O2297" t="s">
        <v>25</v>
      </c>
      <c r="P2297" t="s">
        <v>20236</v>
      </c>
      <c r="Q2297" t="s">
        <v>29</v>
      </c>
      <c r="R2297" t="s">
        <v>20232</v>
      </c>
      <c r="S2297" t="s">
        <v>20233</v>
      </c>
    </row>
    <row r="2298" spans="1:19" x14ac:dyDescent="0.25">
      <c r="A2298" s="1">
        <v>2296</v>
      </c>
      <c r="B2298" t="str">
        <f>HYPERLINK("https://www.dasschnelle.at/bayer-elektrohandel-gmbh-pettenbach-vorchdorfer-straße","Website")</f>
        <v>Website</v>
      </c>
      <c r="C2298" t="str">
        <f>HYPERLINK("http://www.elektrobayer.com","Website")</f>
        <v>Website</v>
      </c>
      <c r="D2298" t="str">
        <f>HYPERLINK("http://www.google.com/maps/place/47.9629,14.01312","Location")</f>
        <v>Location</v>
      </c>
      <c r="E2298" t="s">
        <v>20237</v>
      </c>
      <c r="F2298" t="s">
        <v>20238</v>
      </c>
      <c r="G2298" t="s">
        <v>9198</v>
      </c>
      <c r="H2298" t="s">
        <v>9199</v>
      </c>
      <c r="I2298" t="s">
        <v>85</v>
      </c>
      <c r="J2298" t="s">
        <v>22</v>
      </c>
      <c r="K2298" t="s">
        <v>20239</v>
      </c>
      <c r="L2298" t="s">
        <v>20242</v>
      </c>
      <c r="M2298" t="s">
        <v>20243</v>
      </c>
      <c r="N2298" t="s">
        <v>20244</v>
      </c>
      <c r="O2298" t="s">
        <v>25</v>
      </c>
      <c r="P2298" t="s">
        <v>20245</v>
      </c>
      <c r="Q2298" t="s">
        <v>29</v>
      </c>
      <c r="R2298" t="s">
        <v>20240</v>
      </c>
      <c r="S2298" t="s">
        <v>20241</v>
      </c>
    </row>
    <row r="2299" spans="1:19" x14ac:dyDescent="0.25">
      <c r="A2299" s="1">
        <v>2297</v>
      </c>
      <c r="B2299" t="str">
        <f>HYPERLINK("https://www.dasschnelle.at/taverne-thann-scharnstein-in-der-thann","Website")</f>
        <v>Website</v>
      </c>
      <c r="C2299" t="str">
        <f>HYPERLINK("http://www.taverne-thann.at","Website")</f>
        <v>Website</v>
      </c>
      <c r="D2299" t="str">
        <f>HYPERLINK("http://www.google.com/maps/place/47.90518,13.93698","Location")</f>
        <v>Location</v>
      </c>
      <c r="E2299" t="s">
        <v>20246</v>
      </c>
      <c r="F2299" t="s">
        <v>20247</v>
      </c>
      <c r="G2299" t="s">
        <v>9248</v>
      </c>
      <c r="H2299" t="s">
        <v>9249</v>
      </c>
      <c r="I2299" t="s">
        <v>85</v>
      </c>
      <c r="J2299" t="s">
        <v>22</v>
      </c>
      <c r="K2299" t="s">
        <v>20248</v>
      </c>
      <c r="L2299" t="s">
        <v>25</v>
      </c>
      <c r="M2299" t="s">
        <v>20251</v>
      </c>
      <c r="N2299" t="s">
        <v>20252</v>
      </c>
      <c r="O2299" t="s">
        <v>25</v>
      </c>
      <c r="P2299" t="s">
        <v>20253</v>
      </c>
      <c r="Q2299" t="s">
        <v>29</v>
      </c>
      <c r="R2299" t="s">
        <v>20249</v>
      </c>
      <c r="S2299" t="s">
        <v>20250</v>
      </c>
    </row>
    <row r="2300" spans="1:19" x14ac:dyDescent="0.25">
      <c r="A2300" s="1">
        <v>2298</v>
      </c>
      <c r="B2300" t="str">
        <f>HYPERLINK("https://www.dasschnelle.at/stefan-anton-gesmbh-pöchlarn-legionstraße","Website")</f>
        <v>Website</v>
      </c>
      <c r="C2300" t="str">
        <f>HYPERLINK("http://metall-und-form.at","Website")</f>
        <v>Website</v>
      </c>
      <c r="D2300" t="str">
        <f>HYPERLINK("http://www.google.com/maps/place/48.20601,15.19931","Location")</f>
        <v>Location</v>
      </c>
      <c r="E2300" t="s">
        <v>20254</v>
      </c>
      <c r="F2300" t="s">
        <v>20255</v>
      </c>
      <c r="G2300" t="s">
        <v>5982</v>
      </c>
      <c r="H2300" t="s">
        <v>5983</v>
      </c>
      <c r="I2300" t="s">
        <v>177</v>
      </c>
      <c r="J2300" t="s">
        <v>22</v>
      </c>
      <c r="K2300" t="s">
        <v>20256</v>
      </c>
      <c r="L2300" t="s">
        <v>20259</v>
      </c>
      <c r="M2300" t="s">
        <v>20260</v>
      </c>
      <c r="N2300" t="s">
        <v>20261</v>
      </c>
      <c r="O2300" t="s">
        <v>25</v>
      </c>
      <c r="P2300" t="s">
        <v>20262</v>
      </c>
      <c r="Q2300" t="s">
        <v>29</v>
      </c>
      <c r="R2300" t="s">
        <v>20257</v>
      </c>
      <c r="S2300" t="s">
        <v>20258</v>
      </c>
    </row>
    <row r="2301" spans="1:19" x14ac:dyDescent="0.25">
      <c r="A2301" s="1">
        <v>2299</v>
      </c>
      <c r="B2301" t="str">
        <f>HYPERLINK("https://www.dasschnelle.at/kogseder-rupert-eferding-pupping","Website")</f>
        <v>Website</v>
      </c>
      <c r="C2301" t="str">
        <f>HYPERLINK("https://www.dasschnelle.at/kogseder-rupert-eferding-pupping","Website")</f>
        <v>Website</v>
      </c>
      <c r="D2301" t="str">
        <f>HYPERLINK("http://www.google.com/maps/place/48.3352650,14.0037044","Location")</f>
        <v>Location</v>
      </c>
      <c r="E2301" t="s">
        <v>20263</v>
      </c>
      <c r="F2301" t="s">
        <v>20264</v>
      </c>
      <c r="G2301" t="s">
        <v>3101</v>
      </c>
      <c r="H2301" t="s">
        <v>3102</v>
      </c>
      <c r="I2301" t="s">
        <v>85</v>
      </c>
      <c r="J2301" t="s">
        <v>22</v>
      </c>
      <c r="K2301" t="s">
        <v>20265</v>
      </c>
      <c r="L2301" t="s">
        <v>20268</v>
      </c>
      <c r="M2301" t="s">
        <v>20269</v>
      </c>
      <c r="N2301" t="s">
        <v>20270</v>
      </c>
      <c r="O2301" t="s">
        <v>25</v>
      </c>
      <c r="P2301" t="s">
        <v>20271</v>
      </c>
      <c r="Q2301" t="s">
        <v>29</v>
      </c>
      <c r="R2301" t="s">
        <v>20266</v>
      </c>
      <c r="S2301" t="s">
        <v>20267</v>
      </c>
    </row>
    <row r="2302" spans="1:19" x14ac:dyDescent="0.25">
      <c r="A2302" s="1">
        <v>2300</v>
      </c>
      <c r="B2302" t="str">
        <f>HYPERLINK("https://www.dasschnelle.at/saurer-alfred-kfz-technik-jabing-töpferweg","Website")</f>
        <v>Website</v>
      </c>
      <c r="C2302" t="str">
        <f>HYPERLINK("https://www.kfztechnik-burgenland.at","Website")</f>
        <v>Website</v>
      </c>
      <c r="D2302" t="str">
        <f>HYPERLINK("http://www.google.com/maps/place/47.2338400,16.2774500","Location")</f>
        <v>Location</v>
      </c>
      <c r="E2302" t="s">
        <v>20272</v>
      </c>
      <c r="F2302" t="s">
        <v>20273</v>
      </c>
      <c r="G2302" t="s">
        <v>19901</v>
      </c>
      <c r="H2302" t="s">
        <v>20275</v>
      </c>
      <c r="I2302" t="s">
        <v>1834</v>
      </c>
      <c r="J2302" t="s">
        <v>22</v>
      </c>
      <c r="K2302" t="s">
        <v>20274</v>
      </c>
      <c r="L2302" t="s">
        <v>20278</v>
      </c>
      <c r="M2302" t="s">
        <v>25</v>
      </c>
      <c r="N2302" t="s">
        <v>20279</v>
      </c>
      <c r="O2302" t="s">
        <v>20280</v>
      </c>
      <c r="P2302" t="s">
        <v>20281</v>
      </c>
      <c r="Q2302" t="s">
        <v>29</v>
      </c>
      <c r="R2302" t="s">
        <v>20276</v>
      </c>
      <c r="S2302" t="s">
        <v>20277</v>
      </c>
    </row>
    <row r="2303" spans="1:19" x14ac:dyDescent="0.25">
      <c r="A2303" s="1">
        <v>2301</v>
      </c>
      <c r="B2303" t="str">
        <f>HYPERLINK("https://www.dasschnelle.at/cura-san-bandagist-gmbh-graz-wagner-biro-straße","Website")</f>
        <v>Website</v>
      </c>
      <c r="C2303" t="str">
        <f>HYPERLINK("http://www.cura-san.at","Website")</f>
        <v>Website</v>
      </c>
      <c r="D2303" t="str">
        <f>HYPERLINK("http://www.google.com/maps/place/47.0711500,15.4144670","Location")</f>
        <v>Location</v>
      </c>
      <c r="E2303" t="s">
        <v>20282</v>
      </c>
      <c r="F2303" t="s">
        <v>20283</v>
      </c>
      <c r="G2303" t="s">
        <v>20285</v>
      </c>
      <c r="H2303" t="s">
        <v>13542</v>
      </c>
      <c r="I2303" t="s">
        <v>451</v>
      </c>
      <c r="J2303" t="s">
        <v>22</v>
      </c>
      <c r="K2303" t="s">
        <v>20284</v>
      </c>
      <c r="L2303" t="s">
        <v>20288</v>
      </c>
      <c r="M2303" t="s">
        <v>25</v>
      </c>
      <c r="N2303" t="s">
        <v>20289</v>
      </c>
      <c r="O2303" t="s">
        <v>20290</v>
      </c>
      <c r="P2303" t="s">
        <v>20291</v>
      </c>
      <c r="Q2303" t="s">
        <v>29</v>
      </c>
      <c r="R2303" t="s">
        <v>20286</v>
      </c>
      <c r="S2303" t="s">
        <v>20287</v>
      </c>
    </row>
    <row r="2304" spans="1:19" x14ac:dyDescent="0.25">
      <c r="A2304" s="1">
        <v>2302</v>
      </c>
      <c r="B2304" t="str">
        <f>HYPERLINK("https://www.dasschnelle.at/gruber-andrea-fahrzeuge-gruber-pettenbach-in-eggenstein","Website")</f>
        <v>Website</v>
      </c>
      <c r="C2304" t="str">
        <f>HYPERLINK("http://www.fahrzeuge-gruber.at","Website")</f>
        <v>Website</v>
      </c>
      <c r="D2304" t="str">
        <f>HYPERLINK("http://www.google.com/maps/place/47.97637,13.96311","Location")</f>
        <v>Location</v>
      </c>
      <c r="E2304" t="s">
        <v>20292</v>
      </c>
      <c r="F2304" t="s">
        <v>20293</v>
      </c>
      <c r="G2304" t="s">
        <v>9198</v>
      </c>
      <c r="H2304" t="s">
        <v>9199</v>
      </c>
      <c r="I2304" t="s">
        <v>85</v>
      </c>
      <c r="J2304" t="s">
        <v>22</v>
      </c>
      <c r="K2304" t="s">
        <v>20294</v>
      </c>
      <c r="L2304" t="s">
        <v>20297</v>
      </c>
      <c r="M2304" t="s">
        <v>25</v>
      </c>
      <c r="N2304" t="s">
        <v>20298</v>
      </c>
      <c r="O2304" t="s">
        <v>20299</v>
      </c>
      <c r="P2304" t="s">
        <v>20300</v>
      </c>
      <c r="Q2304" t="s">
        <v>29</v>
      </c>
      <c r="R2304" t="s">
        <v>20295</v>
      </c>
      <c r="S2304" t="s">
        <v>20296</v>
      </c>
    </row>
    <row r="2305" spans="1:19" x14ac:dyDescent="0.25">
      <c r="A2305" s="1">
        <v>2303</v>
      </c>
      <c r="B2305" t="str">
        <f>HYPERLINK("https://www.dasschnelle.at/plank-angelika-schwanberg-hauptplatz","Website")</f>
        <v>Website</v>
      </c>
      <c r="C2305" t="str">
        <f>HYPERLINK("https://www.dasschnelle.at/plank-angelika-schwanberg-hauptplatz","Website")</f>
        <v>Website</v>
      </c>
      <c r="D2305" t="str">
        <f>HYPERLINK("http://www.google.com/maps/place/46.7568175,15.2004845","Location")</f>
        <v>Location</v>
      </c>
      <c r="E2305" t="s">
        <v>20301</v>
      </c>
      <c r="F2305" t="s">
        <v>20302</v>
      </c>
      <c r="G2305" t="s">
        <v>20009</v>
      </c>
      <c r="H2305" t="s">
        <v>20010</v>
      </c>
      <c r="I2305" t="s">
        <v>451</v>
      </c>
      <c r="J2305" t="s">
        <v>22</v>
      </c>
      <c r="K2305" t="s">
        <v>6118</v>
      </c>
      <c r="L2305" t="s">
        <v>20305</v>
      </c>
      <c r="M2305" t="s">
        <v>25</v>
      </c>
      <c r="N2305" t="s">
        <v>20306</v>
      </c>
      <c r="O2305" t="s">
        <v>25</v>
      </c>
      <c r="P2305" t="s">
        <v>20307</v>
      </c>
      <c r="Q2305" t="s">
        <v>29</v>
      </c>
      <c r="R2305" t="s">
        <v>20303</v>
      </c>
      <c r="S2305" t="s">
        <v>20304</v>
      </c>
    </row>
    <row r="2306" spans="1:19" x14ac:dyDescent="0.25">
      <c r="A2306" s="1">
        <v>2304</v>
      </c>
      <c r="B2306" t="str">
        <f>HYPERLINK("https://www.dasschnelle.at/sabrina-s-haarschatz-inh-sabrina-großschädl-frauental-laßnitz-grazer-straße","Website")</f>
        <v>Website</v>
      </c>
      <c r="C2306" t="str">
        <f>HYPERLINK("https://www.dasschnelle.at/sabrina-s-haarschatz-inh-sabrina-gro%C3%9Fsch%C3%A4dl-frauental-la%C3%9Fnitz-grazer-stra%C3%9Fe","Website")</f>
        <v>Website</v>
      </c>
      <c r="D2306" t="str">
        <f>HYPERLINK("http://www.google.com/maps/place/46.8265962,15.2560200","Location")</f>
        <v>Location</v>
      </c>
      <c r="E2306" t="s">
        <v>20308</v>
      </c>
      <c r="F2306" t="s">
        <v>20309</v>
      </c>
      <c r="G2306" t="s">
        <v>2873</v>
      </c>
      <c r="H2306" t="s">
        <v>2874</v>
      </c>
      <c r="I2306" t="s">
        <v>451</v>
      </c>
      <c r="J2306" t="s">
        <v>22</v>
      </c>
      <c r="K2306" t="s">
        <v>20310</v>
      </c>
      <c r="L2306" t="s">
        <v>20313</v>
      </c>
      <c r="M2306" t="s">
        <v>25</v>
      </c>
      <c r="N2306" t="s">
        <v>20314</v>
      </c>
      <c r="O2306" t="s">
        <v>25</v>
      </c>
      <c r="P2306" t="s">
        <v>20315</v>
      </c>
      <c r="Q2306" t="s">
        <v>29</v>
      </c>
      <c r="R2306" t="s">
        <v>20311</v>
      </c>
      <c r="S2306" t="s">
        <v>20312</v>
      </c>
    </row>
    <row r="2307" spans="1:19" x14ac:dyDescent="0.25">
      <c r="A2307" s="1">
        <v>2305</v>
      </c>
      <c r="B2307" t="str">
        <f>HYPERLINK("https://www.dasschnelle.at/kendlbacher-rudolf-isolier-gmbh-abtenau-lindenthal","Website")</f>
        <v>Website</v>
      </c>
      <c r="C2307" t="str">
        <f>HYPERLINK("http://www.i-k.at","Website")</f>
        <v>Website</v>
      </c>
      <c r="D2307" t="str">
        <f>HYPERLINK("http://www.google.com/maps/place/47.5599657,13.3976328","Location")</f>
        <v>Location</v>
      </c>
      <c r="E2307" t="s">
        <v>20316</v>
      </c>
      <c r="F2307" t="s">
        <v>20317</v>
      </c>
      <c r="G2307" t="s">
        <v>7614</v>
      </c>
      <c r="H2307" t="s">
        <v>7615</v>
      </c>
      <c r="I2307" t="s">
        <v>2239</v>
      </c>
      <c r="J2307" t="s">
        <v>22</v>
      </c>
      <c r="K2307" t="s">
        <v>20318</v>
      </c>
      <c r="L2307" t="s">
        <v>20321</v>
      </c>
      <c r="M2307" t="s">
        <v>20322</v>
      </c>
      <c r="N2307" t="s">
        <v>20323</v>
      </c>
      <c r="O2307" t="s">
        <v>25</v>
      </c>
      <c r="P2307" t="s">
        <v>20324</v>
      </c>
      <c r="Q2307" t="s">
        <v>29</v>
      </c>
      <c r="R2307" t="s">
        <v>20319</v>
      </c>
      <c r="S2307" t="s">
        <v>20320</v>
      </c>
    </row>
    <row r="2308" spans="1:19" x14ac:dyDescent="0.25">
      <c r="A2308" s="1">
        <v>2306</v>
      </c>
      <c r="B2308" t="str">
        <f>HYPERLINK("https://www.dasschnelle.at/gorek-ges-m-b-h-kanal-und-grubendienst-ehrwald-bahnhofstraße","Website")</f>
        <v>Website</v>
      </c>
      <c r="C2308" t="str">
        <f>HYPERLINK("http://www.gorek.at","Website")</f>
        <v>Website</v>
      </c>
      <c r="D2308" t="str">
        <f>HYPERLINK("http://www.google.com/maps/place/47.4091616,10.9153386","Location")</f>
        <v>Location</v>
      </c>
      <c r="E2308" t="s">
        <v>20325</v>
      </c>
      <c r="F2308" t="s">
        <v>20326</v>
      </c>
      <c r="G2308" t="s">
        <v>14930</v>
      </c>
      <c r="H2308" t="s">
        <v>14931</v>
      </c>
      <c r="I2308" t="s">
        <v>21</v>
      </c>
      <c r="J2308" t="s">
        <v>22</v>
      </c>
      <c r="K2308" t="s">
        <v>12305</v>
      </c>
      <c r="L2308" t="s">
        <v>20329</v>
      </c>
      <c r="M2308" t="s">
        <v>25</v>
      </c>
      <c r="N2308" t="s">
        <v>20330</v>
      </c>
      <c r="O2308" t="s">
        <v>25</v>
      </c>
      <c r="P2308" t="s">
        <v>20331</v>
      </c>
      <c r="Q2308" t="s">
        <v>29</v>
      </c>
      <c r="R2308" t="s">
        <v>20327</v>
      </c>
      <c r="S2308" t="s">
        <v>20328</v>
      </c>
    </row>
    <row r="2309" spans="1:19" x14ac:dyDescent="0.25">
      <c r="A2309" s="1">
        <v>2307</v>
      </c>
      <c r="B2309" t="str">
        <f>HYPERLINK("https://www.dasschnelle.at/easyfit-reutte-reutte-bahnhofstraße","Website")</f>
        <v>Website</v>
      </c>
      <c r="C2309" t="str">
        <f>HYPERLINK("http://www.easyfit-reutte.at","Website")</f>
        <v>Website</v>
      </c>
      <c r="D2309" t="str">
        <f>HYPERLINK("http://www.google.com/maps/place/47.49209,10.72076","Location")</f>
        <v>Location</v>
      </c>
      <c r="E2309" t="s">
        <v>20332</v>
      </c>
      <c r="F2309" t="s">
        <v>20333</v>
      </c>
      <c r="G2309" t="s">
        <v>6823</v>
      </c>
      <c r="H2309" t="s">
        <v>6824</v>
      </c>
      <c r="I2309" t="s">
        <v>21</v>
      </c>
      <c r="J2309" t="s">
        <v>22</v>
      </c>
      <c r="K2309" t="s">
        <v>12740</v>
      </c>
      <c r="L2309" t="s">
        <v>20336</v>
      </c>
      <c r="M2309" t="s">
        <v>25</v>
      </c>
      <c r="N2309" t="s">
        <v>20337</v>
      </c>
      <c r="O2309" t="s">
        <v>25</v>
      </c>
      <c r="P2309" t="s">
        <v>20338</v>
      </c>
      <c r="Q2309" t="s">
        <v>29</v>
      </c>
      <c r="R2309" t="s">
        <v>20334</v>
      </c>
      <c r="S2309" t="s">
        <v>20335</v>
      </c>
    </row>
    <row r="2310" spans="1:19" x14ac:dyDescent="0.25">
      <c r="A2310" s="1">
        <v>2308</v>
      </c>
      <c r="B2310" t="str">
        <f>HYPERLINK("https://www.dasschnelle.at/km-holzbau-og-tannheim-unterhöfen","Website")</f>
        <v>Website</v>
      </c>
      <c r="C2310" t="str">
        <f>HYPERLINK("http://www.km-holzbau.at","Website")</f>
        <v>Website</v>
      </c>
      <c r="D2310" t="str">
        <f>HYPERLINK("http://www.google.com/maps/place/47.49916,10.51125","Location")</f>
        <v>Location</v>
      </c>
      <c r="E2310" t="s">
        <v>20339</v>
      </c>
      <c r="F2310" t="s">
        <v>20340</v>
      </c>
      <c r="G2310" t="s">
        <v>15275</v>
      </c>
      <c r="H2310" t="s">
        <v>15276</v>
      </c>
      <c r="I2310" t="s">
        <v>21</v>
      </c>
      <c r="J2310" t="s">
        <v>22</v>
      </c>
      <c r="K2310" t="s">
        <v>20341</v>
      </c>
      <c r="L2310" t="s">
        <v>20344</v>
      </c>
      <c r="M2310" t="s">
        <v>25</v>
      </c>
      <c r="N2310" t="s">
        <v>20345</v>
      </c>
      <c r="O2310" t="s">
        <v>25</v>
      </c>
      <c r="P2310" t="s">
        <v>20346</v>
      </c>
      <c r="Q2310" t="s">
        <v>29</v>
      </c>
      <c r="R2310" t="s">
        <v>20342</v>
      </c>
      <c r="S2310" t="s">
        <v>20343</v>
      </c>
    </row>
    <row r="2311" spans="1:19" x14ac:dyDescent="0.25">
      <c r="A2311" s="1">
        <v>2309</v>
      </c>
      <c r="B2311" t="str">
        <f>HYPERLINK("https://www.dasschnelle.at/expert-versicherungsagentur-bader-hosp-kleiner-wolf-og-reutte-lindenstraße","Website")</f>
        <v>Website</v>
      </c>
      <c r="C2311" t="str">
        <f>HYPERLINK("http://www.uniqa.at/expert","Website")</f>
        <v>Website</v>
      </c>
      <c r="D2311" t="str">
        <f>HYPERLINK("http://www.google.com/maps/place/47.48804,10.71188","Location")</f>
        <v>Location</v>
      </c>
      <c r="E2311" t="s">
        <v>20347</v>
      </c>
      <c r="F2311" t="s">
        <v>20348</v>
      </c>
      <c r="G2311" t="s">
        <v>6823</v>
      </c>
      <c r="H2311" t="s">
        <v>6824</v>
      </c>
      <c r="I2311" t="s">
        <v>21</v>
      </c>
      <c r="J2311" t="s">
        <v>22</v>
      </c>
      <c r="K2311" t="s">
        <v>20349</v>
      </c>
      <c r="L2311" t="s">
        <v>20352</v>
      </c>
      <c r="M2311" t="s">
        <v>25</v>
      </c>
      <c r="N2311" t="s">
        <v>20353</v>
      </c>
      <c r="O2311" t="s">
        <v>25</v>
      </c>
      <c r="P2311" t="s">
        <v>20354</v>
      </c>
      <c r="Q2311" t="s">
        <v>29</v>
      </c>
      <c r="R2311" t="s">
        <v>20350</v>
      </c>
      <c r="S2311" t="s">
        <v>20351</v>
      </c>
    </row>
    <row r="2312" spans="1:19" x14ac:dyDescent="0.25">
      <c r="A2312" s="1">
        <v>2310</v>
      </c>
      <c r="B2312" t="str">
        <f>HYPERLINK("https://www.dasschnelle.at/platzer-erwin-pettenbach-gundendorfstraße","Website")</f>
        <v>Website</v>
      </c>
      <c r="C2312" t="str">
        <f>HYPERLINK("http://www.fairsorgt.eu","Website")</f>
        <v>Website</v>
      </c>
      <c r="D2312" t="str">
        <f>HYPERLINK("http://www.google.com/maps/place/48.00852,14.04347","Location")</f>
        <v>Location</v>
      </c>
      <c r="E2312" t="s">
        <v>20355</v>
      </c>
      <c r="F2312" t="s">
        <v>20356</v>
      </c>
      <c r="G2312" t="s">
        <v>9198</v>
      </c>
      <c r="H2312" t="s">
        <v>9199</v>
      </c>
      <c r="I2312" t="s">
        <v>85</v>
      </c>
      <c r="J2312" t="s">
        <v>22</v>
      </c>
      <c r="K2312" t="s">
        <v>20357</v>
      </c>
      <c r="L2312" t="s">
        <v>20360</v>
      </c>
      <c r="M2312" t="s">
        <v>25</v>
      </c>
      <c r="N2312" t="s">
        <v>20361</v>
      </c>
      <c r="O2312" t="s">
        <v>25</v>
      </c>
      <c r="P2312" t="s">
        <v>20362</v>
      </c>
      <c r="Q2312" t="s">
        <v>29</v>
      </c>
      <c r="R2312" t="s">
        <v>20358</v>
      </c>
      <c r="S2312" t="s">
        <v>20359</v>
      </c>
    </row>
    <row r="2313" spans="1:19" x14ac:dyDescent="0.25">
      <c r="A2313" s="1">
        <v>2311</v>
      </c>
      <c r="B2313" t="str">
        <f>HYPERLINK("https://www.dasschnelle.at/feichtinger-norbert-st-konrad-mühlenweg","Website")</f>
        <v>Website</v>
      </c>
      <c r="C2313" t="str">
        <f>HYPERLINK("http://www.nfbestattung.at","Website")</f>
        <v>Website</v>
      </c>
      <c r="D2313" t="str">
        <f>HYPERLINK("http://www.google.com/maps/place/47.91624,13.88254","Location")</f>
        <v>Location</v>
      </c>
      <c r="E2313" t="s">
        <v>20363</v>
      </c>
      <c r="F2313" t="s">
        <v>20364</v>
      </c>
      <c r="G2313" t="s">
        <v>20366</v>
      </c>
      <c r="H2313" t="s">
        <v>20367</v>
      </c>
      <c r="I2313" t="s">
        <v>85</v>
      </c>
      <c r="J2313" t="s">
        <v>22</v>
      </c>
      <c r="K2313" t="s">
        <v>20365</v>
      </c>
      <c r="L2313" t="s">
        <v>20370</v>
      </c>
      <c r="M2313" t="s">
        <v>25</v>
      </c>
      <c r="N2313" t="s">
        <v>20371</v>
      </c>
      <c r="O2313" t="s">
        <v>25</v>
      </c>
      <c r="P2313" t="s">
        <v>20372</v>
      </c>
      <c r="Q2313" t="s">
        <v>29</v>
      </c>
      <c r="R2313" t="s">
        <v>20368</v>
      </c>
      <c r="S2313" t="s">
        <v>20369</v>
      </c>
    </row>
    <row r="2314" spans="1:19" x14ac:dyDescent="0.25">
      <c r="A2314" s="1">
        <v>2312</v>
      </c>
      <c r="B2314" t="str">
        <f>HYPERLINK("https://www.dasschnelle.at/vockenhuber-sepp-altmünster-marktstraße","Website")</f>
        <v>Website</v>
      </c>
      <c r="C2314" t="str">
        <f>HYPERLINK("http://www.vockenhuber-bestattung.at","Website")</f>
        <v>Website</v>
      </c>
      <c r="D2314" t="str">
        <f>HYPERLINK("http://www.google.com/maps/place/47.9009,13.7659","Location")</f>
        <v>Location</v>
      </c>
      <c r="E2314" t="s">
        <v>20373</v>
      </c>
      <c r="F2314" t="s">
        <v>20374</v>
      </c>
      <c r="G2314" t="s">
        <v>7000</v>
      </c>
      <c r="H2314" t="s">
        <v>7001</v>
      </c>
      <c r="I2314" t="s">
        <v>85</v>
      </c>
      <c r="J2314" t="s">
        <v>22</v>
      </c>
      <c r="K2314" t="s">
        <v>20375</v>
      </c>
      <c r="L2314" t="s">
        <v>20378</v>
      </c>
      <c r="M2314" t="s">
        <v>25</v>
      </c>
      <c r="N2314" t="s">
        <v>20379</v>
      </c>
      <c r="O2314" t="s">
        <v>20380</v>
      </c>
      <c r="P2314" t="s">
        <v>20381</v>
      </c>
      <c r="Q2314" t="s">
        <v>29</v>
      </c>
      <c r="R2314" t="s">
        <v>20376</v>
      </c>
      <c r="S2314" t="s">
        <v>20377</v>
      </c>
    </row>
    <row r="2315" spans="1:19" x14ac:dyDescent="0.25">
      <c r="A2315" s="1">
        <v>2313</v>
      </c>
      <c r="B2315" t="str">
        <f>HYPERLINK("https://www.dasschnelle.at/burgstaller-gmbh-und-co-kg-gschwandt-müllerbachstraße","Website")</f>
        <v>Website</v>
      </c>
      <c r="C2315" t="str">
        <f>HYPERLINK("http://www.burgstaller-team.at","Website")</f>
        <v>Website</v>
      </c>
      <c r="D2315" t="str">
        <f>HYPERLINK("http://www.google.com/maps/place/47.92723,13.8266","Location")</f>
        <v>Location</v>
      </c>
      <c r="E2315" t="s">
        <v>20382</v>
      </c>
      <c r="F2315" t="s">
        <v>20383</v>
      </c>
      <c r="G2315" t="s">
        <v>7144</v>
      </c>
      <c r="H2315" t="s">
        <v>7145</v>
      </c>
      <c r="I2315" t="s">
        <v>85</v>
      </c>
      <c r="J2315" t="s">
        <v>22</v>
      </c>
      <c r="K2315" t="s">
        <v>20384</v>
      </c>
      <c r="L2315" t="s">
        <v>20387</v>
      </c>
      <c r="M2315" t="s">
        <v>25</v>
      </c>
      <c r="N2315" t="s">
        <v>20388</v>
      </c>
      <c r="O2315" t="s">
        <v>25</v>
      </c>
      <c r="P2315" t="s">
        <v>20389</v>
      </c>
      <c r="Q2315" t="s">
        <v>29</v>
      </c>
      <c r="R2315" t="s">
        <v>20385</v>
      </c>
      <c r="S2315" t="s">
        <v>20386</v>
      </c>
    </row>
    <row r="2316" spans="1:19" x14ac:dyDescent="0.25">
      <c r="A2316" s="1">
        <v>2314</v>
      </c>
      <c r="B2316" t="str">
        <f>HYPERLINK("https://www.dasschnelle.at/rubenzucker-christa-gmunden-druckereistraße","Website")</f>
        <v>Website</v>
      </c>
      <c r="C2316" t="str">
        <f>HYPERLINK("http://www.blumen-christa.at","Website")</f>
        <v>Website</v>
      </c>
      <c r="D2316" t="str">
        <f>HYPERLINK("http://www.google.com/maps/place/47.9251900,13.7881200","Location")</f>
        <v>Location</v>
      </c>
      <c r="E2316" t="s">
        <v>20390</v>
      </c>
      <c r="F2316" t="s">
        <v>20391</v>
      </c>
      <c r="G2316" t="s">
        <v>6951</v>
      </c>
      <c r="H2316" t="s">
        <v>6952</v>
      </c>
      <c r="I2316" t="s">
        <v>85</v>
      </c>
      <c r="J2316" t="s">
        <v>22</v>
      </c>
      <c r="K2316" t="s">
        <v>20392</v>
      </c>
      <c r="L2316" t="s">
        <v>20395</v>
      </c>
      <c r="M2316" t="s">
        <v>25</v>
      </c>
      <c r="N2316" t="s">
        <v>20396</v>
      </c>
      <c r="O2316" t="s">
        <v>25</v>
      </c>
      <c r="P2316" t="s">
        <v>20397</v>
      </c>
      <c r="Q2316" t="s">
        <v>29</v>
      </c>
      <c r="R2316" t="s">
        <v>20393</v>
      </c>
      <c r="S2316" t="s">
        <v>20394</v>
      </c>
    </row>
    <row r="2317" spans="1:19" x14ac:dyDescent="0.25">
      <c r="A2317" s="1">
        <v>2315</v>
      </c>
      <c r="B2317" t="str">
        <f>HYPERLINK("https://www.dasschnelle.at/kreative-blumerei-laakirchen-oberweis","Website")</f>
        <v>Website</v>
      </c>
      <c r="C2317" t="str">
        <f>HYPERLINK("http://www.kreative-blumerei.at","Website")</f>
        <v>Website</v>
      </c>
      <c r="D2317" t="str">
        <f>HYPERLINK("http://www.google.com/maps/place/47.95411,13.81908","Location")</f>
        <v>Location</v>
      </c>
      <c r="E2317" t="s">
        <v>20398</v>
      </c>
      <c r="F2317" t="s">
        <v>20399</v>
      </c>
      <c r="G2317" t="s">
        <v>6990</v>
      </c>
      <c r="H2317" t="s">
        <v>6991</v>
      </c>
      <c r="I2317" t="s">
        <v>85</v>
      </c>
      <c r="J2317" t="s">
        <v>22</v>
      </c>
      <c r="K2317" t="s">
        <v>20400</v>
      </c>
      <c r="L2317" t="s">
        <v>20403</v>
      </c>
      <c r="M2317" t="s">
        <v>25</v>
      </c>
      <c r="N2317" t="s">
        <v>20404</v>
      </c>
      <c r="O2317" t="s">
        <v>25</v>
      </c>
      <c r="P2317" t="s">
        <v>20405</v>
      </c>
      <c r="Q2317" t="s">
        <v>29</v>
      </c>
      <c r="R2317" t="s">
        <v>20401</v>
      </c>
      <c r="S2317" t="s">
        <v>20402</v>
      </c>
    </row>
    <row r="2318" spans="1:19" x14ac:dyDescent="0.25">
      <c r="A2318" s="1">
        <v>2316</v>
      </c>
      <c r="B2318" t="str">
        <f>HYPERLINK("https://www.dasschnelle.at/fischer-peter-dr-med-markt-piesting-gutensteiner-straße","Website")</f>
        <v>Website</v>
      </c>
      <c r="C2318" t="str">
        <f>HYPERLINK("http://www.domherrenhaus.at","Website")</f>
        <v>Website</v>
      </c>
      <c r="D2318" t="str">
        <f>HYPERLINK("http://www.google.com/maps/place/47.8731864,16.1247433","Location")</f>
        <v>Location</v>
      </c>
      <c r="E2318" t="s">
        <v>20406</v>
      </c>
      <c r="F2318" t="s">
        <v>20407</v>
      </c>
      <c r="G2318" t="s">
        <v>20409</v>
      </c>
      <c r="H2318" t="s">
        <v>20410</v>
      </c>
      <c r="I2318" t="s">
        <v>177</v>
      </c>
      <c r="J2318" t="s">
        <v>22</v>
      </c>
      <c r="K2318" t="s">
        <v>20408</v>
      </c>
      <c r="L2318" t="s">
        <v>20413</v>
      </c>
      <c r="M2318" t="s">
        <v>25</v>
      </c>
      <c r="N2318" t="s">
        <v>20414</v>
      </c>
      <c r="O2318" t="s">
        <v>25</v>
      </c>
      <c r="P2318" t="s">
        <v>20415</v>
      </c>
      <c r="Q2318" t="s">
        <v>29</v>
      </c>
      <c r="R2318" t="s">
        <v>20411</v>
      </c>
      <c r="S2318" t="s">
        <v>20412</v>
      </c>
    </row>
    <row r="2319" spans="1:19" x14ac:dyDescent="0.25">
      <c r="A2319" s="1">
        <v>2317</v>
      </c>
      <c r="B2319" t="str">
        <f>HYPERLINK("https://www.dasschnelle.at/miks-christian-scharnstein-herrnberg","Website")</f>
        <v>Website</v>
      </c>
      <c r="C2319" t="str">
        <f>HYPERLINK("https://www.dasschnelle.at/miks-christian-scharnstein-herrnberg","Website")</f>
        <v>Website</v>
      </c>
      <c r="D2319" t="str">
        <f>HYPERLINK("http://www.google.com/maps/place/47.9393,13.98621","Location")</f>
        <v>Location</v>
      </c>
      <c r="E2319" t="s">
        <v>20416</v>
      </c>
      <c r="F2319" t="s">
        <v>20417</v>
      </c>
      <c r="G2319" t="s">
        <v>9248</v>
      </c>
      <c r="H2319" t="s">
        <v>9249</v>
      </c>
      <c r="I2319" t="s">
        <v>85</v>
      </c>
      <c r="J2319" t="s">
        <v>22</v>
      </c>
      <c r="K2319" t="s">
        <v>20418</v>
      </c>
      <c r="L2319" t="s">
        <v>20421</v>
      </c>
      <c r="M2319" t="s">
        <v>25</v>
      </c>
      <c r="N2319" t="s">
        <v>20422</v>
      </c>
      <c r="O2319" t="s">
        <v>25</v>
      </c>
      <c r="P2319" t="s">
        <v>20423</v>
      </c>
      <c r="Q2319" t="s">
        <v>29</v>
      </c>
      <c r="R2319" t="s">
        <v>20419</v>
      </c>
      <c r="S2319" t="s">
        <v>20420</v>
      </c>
    </row>
    <row r="2320" spans="1:19" x14ac:dyDescent="0.25">
      <c r="A2320" s="1">
        <v>2318</v>
      </c>
      <c r="B2320" t="str">
        <f>HYPERLINK("https://www.dasschnelle.at/kirchmair-isabella-dr-st-pantaleon-bergwerkstraße","Website")</f>
        <v>Website</v>
      </c>
      <c r="C2320" t="str">
        <f>HYPERLINK("http://www.gyn-kirchmair.at","Website")</f>
        <v>Website</v>
      </c>
      <c r="D2320" t="str">
        <f>HYPERLINK("http://www.google.com/maps/place/48.02716,12.86282","Location")</f>
        <v>Location</v>
      </c>
      <c r="E2320" t="s">
        <v>20424</v>
      </c>
      <c r="F2320" t="s">
        <v>20425</v>
      </c>
      <c r="G2320" t="s">
        <v>12797</v>
      </c>
      <c r="H2320" t="s">
        <v>10858</v>
      </c>
      <c r="I2320" t="s">
        <v>85</v>
      </c>
      <c r="J2320" t="s">
        <v>22</v>
      </c>
      <c r="K2320" t="s">
        <v>12796</v>
      </c>
      <c r="L2320" t="s">
        <v>20428</v>
      </c>
      <c r="M2320" t="s">
        <v>25</v>
      </c>
      <c r="N2320" t="s">
        <v>20429</v>
      </c>
      <c r="O2320" t="s">
        <v>25</v>
      </c>
      <c r="P2320" t="s">
        <v>20430</v>
      </c>
      <c r="Q2320" t="s">
        <v>29</v>
      </c>
      <c r="R2320" t="s">
        <v>20426</v>
      </c>
      <c r="S2320" t="s">
        <v>20427</v>
      </c>
    </row>
    <row r="2321" spans="1:19" x14ac:dyDescent="0.25">
      <c r="A2321" s="1">
        <v>2319</v>
      </c>
      <c r="B2321" t="str">
        <f>HYPERLINK("https://www.dasschnelle.at/feichtinger-gesmbh-scharnstein-mühldorf","Website")</f>
        <v>Website</v>
      </c>
      <c r="C2321" t="str">
        <f>HYPERLINK("http://www.feichtinger.at","Website")</f>
        <v>Website</v>
      </c>
      <c r="D2321" t="str">
        <f>HYPERLINK("http://www.google.com/maps/place/47.8989783,13.9548257","Location")</f>
        <v>Location</v>
      </c>
      <c r="E2321" t="s">
        <v>20431</v>
      </c>
      <c r="F2321" t="s">
        <v>20432</v>
      </c>
      <c r="G2321" t="s">
        <v>9248</v>
      </c>
      <c r="H2321" t="s">
        <v>9249</v>
      </c>
      <c r="I2321" t="s">
        <v>85</v>
      </c>
      <c r="J2321" t="s">
        <v>22</v>
      </c>
      <c r="K2321" t="s">
        <v>20433</v>
      </c>
      <c r="L2321" t="s">
        <v>20436</v>
      </c>
      <c r="M2321" t="s">
        <v>20437</v>
      </c>
      <c r="N2321" t="s">
        <v>20438</v>
      </c>
      <c r="O2321" t="s">
        <v>20439</v>
      </c>
      <c r="P2321" t="s">
        <v>20440</v>
      </c>
      <c r="Q2321" t="s">
        <v>29</v>
      </c>
      <c r="R2321" t="s">
        <v>20434</v>
      </c>
      <c r="S2321" t="s">
        <v>20435</v>
      </c>
    </row>
    <row r="2322" spans="1:19" x14ac:dyDescent="0.25">
      <c r="A2322" s="1">
        <v>2320</v>
      </c>
      <c r="B2322" t="str">
        <f>HYPERLINK("https://www.dasschnelle.at/aglassinger-johannes-mag-bad-ischl-michael-pacher-straße","Website")</f>
        <v>Website</v>
      </c>
      <c r="C2322" t="str">
        <f>HYPERLINK("http://www.psychoanalyse-salzkammergut.at","Website")</f>
        <v>Website</v>
      </c>
      <c r="D2322" t="str">
        <f>HYPERLINK("http://www.google.com/maps/place/47.71643,13.56652","Location")</f>
        <v>Location</v>
      </c>
      <c r="E2322" t="s">
        <v>20441</v>
      </c>
      <c r="F2322" t="s">
        <v>20442</v>
      </c>
      <c r="G2322" t="s">
        <v>2377</v>
      </c>
      <c r="H2322" t="s">
        <v>2378</v>
      </c>
      <c r="I2322" t="s">
        <v>85</v>
      </c>
      <c r="J2322" t="s">
        <v>22</v>
      </c>
      <c r="K2322" t="s">
        <v>20443</v>
      </c>
      <c r="L2322" t="s">
        <v>20446</v>
      </c>
      <c r="M2322" t="s">
        <v>25</v>
      </c>
      <c r="N2322" t="s">
        <v>20447</v>
      </c>
      <c r="O2322" t="s">
        <v>25</v>
      </c>
      <c r="P2322" t="s">
        <v>697</v>
      </c>
      <c r="Q2322" t="s">
        <v>29</v>
      </c>
      <c r="R2322" t="s">
        <v>20444</v>
      </c>
      <c r="S2322" t="s">
        <v>20445</v>
      </c>
    </row>
    <row r="2323" spans="1:19" x14ac:dyDescent="0.25">
      <c r="A2323" s="1">
        <v>2321</v>
      </c>
      <c r="B2323" t="str">
        <f>HYPERLINK("https://www.dasschnelle.at/wieselmühle-gmbh-grünau-im-almtal-landstraße","Website")</f>
        <v>Website</v>
      </c>
      <c r="C2323" t="str">
        <f>HYPERLINK("http://www.wieselmuehle.at","Website")</f>
        <v>Website</v>
      </c>
      <c r="D2323" t="str">
        <f>HYPERLINK("http://www.google.com/maps/place/47.87024,13.94495","Location")</f>
        <v>Location</v>
      </c>
      <c r="E2323" t="s">
        <v>20448</v>
      </c>
      <c r="F2323" t="s">
        <v>20449</v>
      </c>
      <c r="G2323" t="s">
        <v>7035</v>
      </c>
      <c r="H2323" t="s">
        <v>7036</v>
      </c>
      <c r="I2323" t="s">
        <v>85</v>
      </c>
      <c r="J2323" t="s">
        <v>22</v>
      </c>
      <c r="K2323" t="s">
        <v>20450</v>
      </c>
      <c r="L2323" t="s">
        <v>20453</v>
      </c>
      <c r="M2323" t="s">
        <v>25</v>
      </c>
      <c r="N2323" t="s">
        <v>20454</v>
      </c>
      <c r="O2323" t="s">
        <v>25</v>
      </c>
      <c r="P2323" t="s">
        <v>20455</v>
      </c>
      <c r="Q2323" t="s">
        <v>29</v>
      </c>
      <c r="R2323" t="s">
        <v>20451</v>
      </c>
      <c r="S2323" t="s">
        <v>20452</v>
      </c>
    </row>
    <row r="2324" spans="1:19" x14ac:dyDescent="0.25">
      <c r="A2324" s="1">
        <v>2322</v>
      </c>
      <c r="B2324" t="str">
        <f>HYPERLINK("https://www.dasschnelle.at/briem-feichtner-ruth-mag-med-vet-kitzbühel-ehrenbachgasse","Website")</f>
        <v>Website</v>
      </c>
      <c r="C2324" t="str">
        <f>HYPERLINK("https://www.dasschnelle.at/briem-feichtner-ruth-mag-med-vet-kitzb%C3%BChel-ehrenbachgasse","Website")</f>
        <v>Website</v>
      </c>
      <c r="D2324" t="str">
        <f>HYPERLINK("http://www.google.com/maps/place/47.4406,12.39693","Location")</f>
        <v>Location</v>
      </c>
      <c r="E2324" t="s">
        <v>20456</v>
      </c>
      <c r="F2324" t="s">
        <v>20457</v>
      </c>
      <c r="G2324" t="s">
        <v>833</v>
      </c>
      <c r="H2324" t="s">
        <v>834</v>
      </c>
      <c r="I2324" t="s">
        <v>21</v>
      </c>
      <c r="J2324" t="s">
        <v>22</v>
      </c>
      <c r="K2324" t="s">
        <v>20458</v>
      </c>
      <c r="L2324" t="s">
        <v>20461</v>
      </c>
      <c r="M2324" t="s">
        <v>25</v>
      </c>
      <c r="N2324" t="s">
        <v>20462</v>
      </c>
      <c r="O2324" t="s">
        <v>25</v>
      </c>
      <c r="P2324" t="s">
        <v>20463</v>
      </c>
      <c r="Q2324" t="s">
        <v>29</v>
      </c>
      <c r="R2324" t="s">
        <v>20459</v>
      </c>
      <c r="S2324" t="s">
        <v>20460</v>
      </c>
    </row>
    <row r="2325" spans="1:19" x14ac:dyDescent="0.25">
      <c r="A2325" s="1">
        <v>2323</v>
      </c>
      <c r="B2325" t="str">
        <f>HYPERLINK("https://www.dasschnelle.at/löberbauer-christoph-grünau-im-almtal-landstraße","Website")</f>
        <v>Website</v>
      </c>
      <c r="C2325" t="str">
        <f>HYPERLINK("http://www.loeberbauer.at","Website")</f>
        <v>Website</v>
      </c>
      <c r="D2325" t="str">
        <f>HYPERLINK("http://www.google.com/maps/place/47.86986,13.94319","Location")</f>
        <v>Location</v>
      </c>
      <c r="E2325" t="s">
        <v>20464</v>
      </c>
      <c r="F2325" t="s">
        <v>20465</v>
      </c>
      <c r="G2325" t="s">
        <v>7035</v>
      </c>
      <c r="H2325" t="s">
        <v>7036</v>
      </c>
      <c r="I2325" t="s">
        <v>85</v>
      </c>
      <c r="J2325" t="s">
        <v>22</v>
      </c>
      <c r="K2325" t="s">
        <v>20466</v>
      </c>
      <c r="L2325" t="s">
        <v>20469</v>
      </c>
      <c r="M2325" t="s">
        <v>25</v>
      </c>
      <c r="N2325" t="s">
        <v>20470</v>
      </c>
      <c r="O2325" t="s">
        <v>25</v>
      </c>
      <c r="P2325" t="s">
        <v>20471</v>
      </c>
      <c r="Q2325" t="s">
        <v>29</v>
      </c>
      <c r="R2325" t="s">
        <v>20467</v>
      </c>
      <c r="S2325" t="s">
        <v>20468</v>
      </c>
    </row>
    <row r="2326" spans="1:19" x14ac:dyDescent="0.25">
      <c r="A2326" s="1">
        <v>2324</v>
      </c>
      <c r="B2326" t="str">
        <f>HYPERLINK("https://www.dasschnelle.at/stöhr-christoph-mag-gmunden-franz-karl-fellinger-gasse","Website")</f>
        <v>Website</v>
      </c>
      <c r="C2326" t="str">
        <f>HYPERLINK("http://www.ra-stoehr.at","Website")</f>
        <v>Website</v>
      </c>
      <c r="D2326" t="str">
        <f>HYPERLINK("http://www.google.com/maps/place/47.91966,13.80031","Location")</f>
        <v>Location</v>
      </c>
      <c r="E2326" t="s">
        <v>20472</v>
      </c>
      <c r="F2326" t="s">
        <v>20473</v>
      </c>
      <c r="G2326" t="s">
        <v>6951</v>
      </c>
      <c r="H2326" t="s">
        <v>6952</v>
      </c>
      <c r="I2326" t="s">
        <v>85</v>
      </c>
      <c r="J2326" t="s">
        <v>22</v>
      </c>
      <c r="K2326" t="s">
        <v>20474</v>
      </c>
      <c r="L2326" t="s">
        <v>20477</v>
      </c>
      <c r="M2326" t="s">
        <v>25</v>
      </c>
      <c r="N2326" t="s">
        <v>20478</v>
      </c>
      <c r="O2326" t="s">
        <v>20479</v>
      </c>
      <c r="P2326" t="s">
        <v>20480</v>
      </c>
      <c r="Q2326" t="s">
        <v>29</v>
      </c>
      <c r="R2326" t="s">
        <v>20475</v>
      </c>
      <c r="S2326" t="s">
        <v>20476</v>
      </c>
    </row>
    <row r="2327" spans="1:19" x14ac:dyDescent="0.25">
      <c r="A2327" s="1">
        <v>2325</v>
      </c>
      <c r="B2327" t="str">
        <f>HYPERLINK("https://www.dasschnelle.at/rührlinger-gmbh-grünau-im-almtal-pfarrwiese","Website")</f>
        <v>Website</v>
      </c>
      <c r="C2327" t="str">
        <f>HYPERLINK("http://www.ruehrlinger-dach.at","Website")</f>
        <v>Website</v>
      </c>
      <c r="D2327" t="str">
        <f>HYPERLINK("http://www.google.com/maps/place/47.8560194,13.9587797","Location")</f>
        <v>Location</v>
      </c>
      <c r="E2327" t="s">
        <v>20481</v>
      </c>
      <c r="F2327" t="s">
        <v>20482</v>
      </c>
      <c r="G2327" t="s">
        <v>7035</v>
      </c>
      <c r="H2327" t="s">
        <v>7036</v>
      </c>
      <c r="I2327" t="s">
        <v>85</v>
      </c>
      <c r="J2327" t="s">
        <v>22</v>
      </c>
      <c r="K2327" t="s">
        <v>20483</v>
      </c>
      <c r="L2327" t="s">
        <v>20486</v>
      </c>
      <c r="M2327" t="s">
        <v>20486</v>
      </c>
      <c r="N2327" t="s">
        <v>20487</v>
      </c>
      <c r="O2327" t="s">
        <v>25</v>
      </c>
      <c r="P2327" t="s">
        <v>20488</v>
      </c>
      <c r="Q2327" t="s">
        <v>29</v>
      </c>
      <c r="R2327" t="s">
        <v>20484</v>
      </c>
      <c r="S2327" t="s">
        <v>20485</v>
      </c>
    </row>
    <row r="2328" spans="1:19" x14ac:dyDescent="0.25">
      <c r="A2328" s="1">
        <v>2326</v>
      </c>
      <c r="B2328" t="str">
        <f>HYPERLINK("https://www.dasschnelle.at/strasser-haustechnik-gmbh-braunau-salzburger-straße","Website")</f>
        <v>Website</v>
      </c>
      <c r="C2328" t="str">
        <f>HYPERLINK("http://www.haustechnik-strasser.at","Website")</f>
        <v>Website</v>
      </c>
      <c r="D2328" t="str">
        <f>HYPERLINK("http://www.google.com/maps/place/48.2541130,13.0356310","Location")</f>
        <v>Location</v>
      </c>
      <c r="E2328" t="s">
        <v>20489</v>
      </c>
      <c r="F2328" t="s">
        <v>20490</v>
      </c>
      <c r="G2328" t="s">
        <v>1289</v>
      </c>
      <c r="H2328" t="s">
        <v>1290</v>
      </c>
      <c r="I2328" t="s">
        <v>85</v>
      </c>
      <c r="J2328" t="s">
        <v>22</v>
      </c>
      <c r="K2328" t="s">
        <v>20491</v>
      </c>
      <c r="L2328" t="s">
        <v>20494</v>
      </c>
      <c r="M2328" t="s">
        <v>20495</v>
      </c>
      <c r="N2328" t="s">
        <v>20496</v>
      </c>
      <c r="O2328" t="s">
        <v>25</v>
      </c>
      <c r="P2328" t="s">
        <v>20497</v>
      </c>
      <c r="Q2328" t="s">
        <v>29</v>
      </c>
      <c r="R2328" t="s">
        <v>20492</v>
      </c>
      <c r="S2328" t="s">
        <v>20493</v>
      </c>
    </row>
    <row r="2329" spans="1:19" x14ac:dyDescent="0.25">
      <c r="A2329" s="1">
        <v>2327</v>
      </c>
      <c r="B2329" t="str">
        <f>HYPERLINK("https://www.dasschnelle.at/elektrotechnik-deicker-scharnstein-wieseneck","Website")</f>
        <v>Website</v>
      </c>
      <c r="C2329" t="str">
        <f>HYPERLINK("http://www.deicker.at","Website")</f>
        <v>Website</v>
      </c>
      <c r="D2329" t="str">
        <f>HYPERLINK("http://www.google.com/maps/place/47.8941105,13.9420210","Location")</f>
        <v>Location</v>
      </c>
      <c r="E2329" t="s">
        <v>20498</v>
      </c>
      <c r="F2329" t="s">
        <v>20499</v>
      </c>
      <c r="G2329" t="s">
        <v>9248</v>
      </c>
      <c r="H2329" t="s">
        <v>9249</v>
      </c>
      <c r="I2329" t="s">
        <v>85</v>
      </c>
      <c r="J2329" t="s">
        <v>22</v>
      </c>
      <c r="K2329" t="s">
        <v>20500</v>
      </c>
      <c r="L2329" t="s">
        <v>20503</v>
      </c>
      <c r="M2329" t="s">
        <v>25</v>
      </c>
      <c r="N2329" t="s">
        <v>20504</v>
      </c>
      <c r="O2329" t="s">
        <v>25</v>
      </c>
      <c r="P2329" t="s">
        <v>20505</v>
      </c>
      <c r="Q2329" t="s">
        <v>29</v>
      </c>
      <c r="R2329" t="s">
        <v>20501</v>
      </c>
      <c r="S2329" t="s">
        <v>20502</v>
      </c>
    </row>
    <row r="2330" spans="1:19" x14ac:dyDescent="0.25">
      <c r="A2330" s="1">
        <v>2328</v>
      </c>
      <c r="B2330" t="str">
        <f>HYPERLINK("https://www.dasschnelle.at/maschinenring-oö-service-egen-braunau-u-umgebung-mining-hofmark","Website")</f>
        <v>Website</v>
      </c>
      <c r="C2330" t="str">
        <f>HYPERLINK("http://www.maschinenring.at","Website")</f>
        <v>Website</v>
      </c>
      <c r="D2330" t="str">
        <f>HYPERLINK("http://www.google.com/maps/place/48.27629,13.16187","Location")</f>
        <v>Location</v>
      </c>
      <c r="E2330" t="s">
        <v>20506</v>
      </c>
      <c r="F2330" t="s">
        <v>20507</v>
      </c>
      <c r="G2330" t="s">
        <v>20509</v>
      </c>
      <c r="H2330" t="s">
        <v>20510</v>
      </c>
      <c r="I2330" t="s">
        <v>85</v>
      </c>
      <c r="J2330" t="s">
        <v>22</v>
      </c>
      <c r="K2330" t="s">
        <v>20508</v>
      </c>
      <c r="L2330" t="s">
        <v>20513</v>
      </c>
      <c r="M2330" t="s">
        <v>25</v>
      </c>
      <c r="N2330" t="s">
        <v>20514</v>
      </c>
      <c r="O2330" t="s">
        <v>25</v>
      </c>
      <c r="P2330" t="s">
        <v>20515</v>
      </c>
      <c r="Q2330" t="s">
        <v>29</v>
      </c>
      <c r="R2330" t="s">
        <v>20511</v>
      </c>
      <c r="S2330" t="s">
        <v>20512</v>
      </c>
    </row>
    <row r="2331" spans="1:19" x14ac:dyDescent="0.25">
      <c r="A2331" s="1">
        <v>2329</v>
      </c>
      <c r="B2331" t="str">
        <f>HYPERLINK("https://www.dasschnelle.at/aitzetmüller-säge-kg-vorchdorf-lederauer-straße","Website")</f>
        <v>Website</v>
      </c>
      <c r="C2331" t="str">
        <f>HYPERLINK("https://www.dasschnelle.at/aitzetm%C3%BCller-s%C3%A4ge-kg-vorchdorf-lederauer-stra%C3%9Fe","Website")</f>
        <v>Website</v>
      </c>
      <c r="D2331" t="str">
        <f>HYPERLINK("http://www.google.com/maps/place/47.9668,13.97885","Location")</f>
        <v>Location</v>
      </c>
      <c r="E2331" t="s">
        <v>20516</v>
      </c>
      <c r="F2331" t="s">
        <v>20517</v>
      </c>
      <c r="G2331" t="s">
        <v>6960</v>
      </c>
      <c r="H2331" t="s">
        <v>6961</v>
      </c>
      <c r="I2331" t="s">
        <v>85</v>
      </c>
      <c r="J2331" t="s">
        <v>22</v>
      </c>
      <c r="K2331" t="s">
        <v>20518</v>
      </c>
      <c r="L2331" t="s">
        <v>20521</v>
      </c>
      <c r="M2331" t="s">
        <v>25</v>
      </c>
      <c r="N2331" t="s">
        <v>20522</v>
      </c>
      <c r="O2331" t="s">
        <v>25</v>
      </c>
      <c r="P2331" t="s">
        <v>20523</v>
      </c>
      <c r="Q2331" t="s">
        <v>29</v>
      </c>
      <c r="R2331" t="s">
        <v>20519</v>
      </c>
      <c r="S2331" t="s">
        <v>20520</v>
      </c>
    </row>
    <row r="2332" spans="1:19" x14ac:dyDescent="0.25">
      <c r="A2332" s="1">
        <v>2330</v>
      </c>
      <c r="B2332" t="str">
        <f>HYPERLINK("https://www.dasschnelle.at/weiermeier-gmbh-nußbach-jageredtstraße","Website")</f>
        <v>Website</v>
      </c>
      <c r="C2332" t="str">
        <f>HYPERLINK("http://www.renault-weiermeier.at","Website")</f>
        <v>Website</v>
      </c>
      <c r="D2332" t="str">
        <f>HYPERLINK("http://www.google.com/maps/place/47.96144,14.1302","Location")</f>
        <v>Location</v>
      </c>
      <c r="E2332" t="s">
        <v>20524</v>
      </c>
      <c r="F2332" t="s">
        <v>20525</v>
      </c>
      <c r="G2332" t="s">
        <v>12316</v>
      </c>
      <c r="H2332" t="s">
        <v>12317</v>
      </c>
      <c r="I2332" t="s">
        <v>85</v>
      </c>
      <c r="J2332" t="s">
        <v>22</v>
      </c>
      <c r="K2332" t="s">
        <v>20526</v>
      </c>
      <c r="L2332" t="s">
        <v>20529</v>
      </c>
      <c r="M2332" t="s">
        <v>25</v>
      </c>
      <c r="N2332" t="s">
        <v>20530</v>
      </c>
      <c r="O2332" t="s">
        <v>25</v>
      </c>
      <c r="P2332" t="s">
        <v>20531</v>
      </c>
      <c r="Q2332" t="s">
        <v>29</v>
      </c>
      <c r="R2332" t="s">
        <v>20527</v>
      </c>
      <c r="S2332" t="s">
        <v>20528</v>
      </c>
    </row>
    <row r="2333" spans="1:19" x14ac:dyDescent="0.25">
      <c r="A2333" s="1">
        <v>2331</v>
      </c>
      <c r="B2333" t="str">
        <f>HYPERLINK("https://www.dasschnelle.at/optik-bauer-scharnstein-gmbh-braunau-am-inn-stadtplatz","Website")</f>
        <v>Website</v>
      </c>
      <c r="C2333" t="str">
        <f>HYPERLINK("http://www.optikbauer.com","Website")</f>
        <v>Website</v>
      </c>
      <c r="D2333" t="str">
        <f>HYPERLINK("http://www.google.com/maps/place/48.2594106,13.0352622","Location")</f>
        <v>Location</v>
      </c>
      <c r="E2333" t="s">
        <v>20532</v>
      </c>
      <c r="F2333" t="s">
        <v>20533</v>
      </c>
      <c r="G2333" t="s">
        <v>1289</v>
      </c>
      <c r="H2333" t="s">
        <v>1310</v>
      </c>
      <c r="I2333" t="s">
        <v>85</v>
      </c>
      <c r="J2333" t="s">
        <v>22</v>
      </c>
      <c r="K2333" t="s">
        <v>20534</v>
      </c>
      <c r="L2333" t="s">
        <v>20537</v>
      </c>
      <c r="M2333" t="s">
        <v>25</v>
      </c>
      <c r="N2333" t="s">
        <v>20538</v>
      </c>
      <c r="O2333" t="s">
        <v>25</v>
      </c>
      <c r="P2333" t="s">
        <v>20539</v>
      </c>
      <c r="Q2333" t="s">
        <v>29</v>
      </c>
      <c r="R2333" t="s">
        <v>20535</v>
      </c>
      <c r="S2333" t="s">
        <v>20536</v>
      </c>
    </row>
    <row r="2334" spans="1:19" x14ac:dyDescent="0.25">
      <c r="A2334" s="1">
        <v>2332</v>
      </c>
      <c r="B2334" t="str">
        <f>HYPERLINK("https://www.dasschnelle.at/schwarzenbrunner-stefan-scharnstein-dorfbühel","Website")</f>
        <v>Website</v>
      </c>
      <c r="C2334" t="str">
        <f>HYPERLINK("https://www.dasschnelle.at/schwarzenbrunner-stefan-scharnstein-dorfb%C3%BChel","Website")</f>
        <v>Website</v>
      </c>
      <c r="D2334" t="str">
        <f>HYPERLINK("http://www.google.com/maps/place/47.90282,13.94371","Location")</f>
        <v>Location</v>
      </c>
      <c r="E2334" t="s">
        <v>20540</v>
      </c>
      <c r="F2334" t="s">
        <v>20541</v>
      </c>
      <c r="G2334" t="s">
        <v>9248</v>
      </c>
      <c r="H2334" t="s">
        <v>9249</v>
      </c>
      <c r="I2334" t="s">
        <v>85</v>
      </c>
      <c r="J2334" t="s">
        <v>22</v>
      </c>
      <c r="K2334" t="s">
        <v>20542</v>
      </c>
      <c r="L2334" t="s">
        <v>20545</v>
      </c>
      <c r="M2334" t="s">
        <v>25</v>
      </c>
      <c r="N2334" t="s">
        <v>20546</v>
      </c>
      <c r="O2334" t="s">
        <v>25</v>
      </c>
      <c r="P2334" t="s">
        <v>20547</v>
      </c>
      <c r="Q2334" t="s">
        <v>29</v>
      </c>
      <c r="R2334" t="s">
        <v>20543</v>
      </c>
      <c r="S2334" t="s">
        <v>20544</v>
      </c>
    </row>
    <row r="2335" spans="1:19" x14ac:dyDescent="0.25">
      <c r="A2335" s="1">
        <v>2333</v>
      </c>
      <c r="B2335" t="str">
        <f>HYPERLINK("https://www.dasschnelle.at/hirtenlehner-erich-dr-eferding-schmiedstraße","Website")</f>
        <v>Website</v>
      </c>
      <c r="C2335" t="str">
        <f>HYPERLINK("http://www.drhirtenlehner.at","Website")</f>
        <v>Website</v>
      </c>
      <c r="D2335" t="str">
        <f>HYPERLINK("http://www.google.com/maps/place/48.30893,14.02149","Location")</f>
        <v>Location</v>
      </c>
      <c r="E2335" t="s">
        <v>20548</v>
      </c>
      <c r="F2335" t="s">
        <v>20549</v>
      </c>
      <c r="G2335" t="s">
        <v>3101</v>
      </c>
      <c r="H2335" t="s">
        <v>3102</v>
      </c>
      <c r="I2335" t="s">
        <v>85</v>
      </c>
      <c r="J2335" t="s">
        <v>22</v>
      </c>
      <c r="K2335" t="s">
        <v>20550</v>
      </c>
      <c r="L2335" t="s">
        <v>20553</v>
      </c>
      <c r="M2335" t="s">
        <v>25</v>
      </c>
      <c r="N2335" t="s">
        <v>20554</v>
      </c>
      <c r="O2335" t="s">
        <v>20555</v>
      </c>
      <c r="P2335" t="s">
        <v>20556</v>
      </c>
      <c r="Q2335" t="s">
        <v>29</v>
      </c>
      <c r="R2335" t="s">
        <v>20551</v>
      </c>
      <c r="S2335" t="s">
        <v>20552</v>
      </c>
    </row>
    <row r="2336" spans="1:19" x14ac:dyDescent="0.25">
      <c r="A2336" s="1">
        <v>2334</v>
      </c>
      <c r="B2336" t="str">
        <f>HYPERLINK("https://www.dasschnelle.at/wegscheider-max-scharnstein-hauptstraße","Website")</f>
        <v>Website</v>
      </c>
      <c r="C2336" t="str">
        <f>HYPERLINK("https://www.dasschnelle.at/wegscheider-max-scharnstein-hauptstra%C3%9Fe","Website")</f>
        <v>Website</v>
      </c>
      <c r="D2336" t="str">
        <f>HYPERLINK("http://www.google.com/maps/place/47.9028600,13.9568900","Location")</f>
        <v>Location</v>
      </c>
      <c r="E2336" t="s">
        <v>20557</v>
      </c>
      <c r="F2336" t="s">
        <v>20558</v>
      </c>
      <c r="G2336" t="s">
        <v>9248</v>
      </c>
      <c r="H2336" t="s">
        <v>9249</v>
      </c>
      <c r="I2336" t="s">
        <v>85</v>
      </c>
      <c r="J2336" t="s">
        <v>22</v>
      </c>
      <c r="K2336" t="s">
        <v>20559</v>
      </c>
      <c r="L2336" t="s">
        <v>20562</v>
      </c>
      <c r="M2336" t="s">
        <v>25</v>
      </c>
      <c r="N2336" t="s">
        <v>25</v>
      </c>
      <c r="O2336" t="s">
        <v>25</v>
      </c>
      <c r="P2336" t="s">
        <v>20563</v>
      </c>
      <c r="Q2336" t="s">
        <v>29</v>
      </c>
      <c r="R2336" t="s">
        <v>20560</v>
      </c>
      <c r="S2336" t="s">
        <v>20561</v>
      </c>
    </row>
    <row r="2337" spans="1:19" x14ac:dyDescent="0.25">
      <c r="A2337" s="1">
        <v>2335</v>
      </c>
      <c r="B2337" t="str">
        <f>HYPERLINK("https://www.dasschnelle.at/wimmer-kurt-gmbh-mauerkirchen-obermarkt","Website")</f>
        <v>Website</v>
      </c>
      <c r="C2337" t="str">
        <f>HYPERLINK("http://www.expert-wimmer.at","Website")</f>
        <v>Website</v>
      </c>
      <c r="D2337" t="str">
        <f>HYPERLINK("http://www.google.com/maps/place/48.19081,13.13512","Location")</f>
        <v>Location</v>
      </c>
      <c r="E2337" t="s">
        <v>20564</v>
      </c>
      <c r="F2337" t="s">
        <v>20565</v>
      </c>
      <c r="G2337" t="s">
        <v>1422</v>
      </c>
      <c r="H2337" t="s">
        <v>1423</v>
      </c>
      <c r="I2337" t="s">
        <v>85</v>
      </c>
      <c r="J2337" t="s">
        <v>22</v>
      </c>
      <c r="K2337" t="s">
        <v>20566</v>
      </c>
      <c r="L2337" t="s">
        <v>20569</v>
      </c>
      <c r="M2337" t="s">
        <v>20570</v>
      </c>
      <c r="N2337" t="s">
        <v>20571</v>
      </c>
      <c r="O2337" t="s">
        <v>25</v>
      </c>
      <c r="P2337" t="s">
        <v>20572</v>
      </c>
      <c r="Q2337" t="s">
        <v>29</v>
      </c>
      <c r="R2337" t="s">
        <v>20567</v>
      </c>
      <c r="S2337" t="s">
        <v>20568</v>
      </c>
    </row>
    <row r="2338" spans="1:19" x14ac:dyDescent="0.25">
      <c r="A2338" s="1">
        <v>2336</v>
      </c>
      <c r="B2338" t="str">
        <f>HYPERLINK("https://www.dasschnelle.at/altbauer-armin-braunau-am-inn-poststallgasse","Website")</f>
        <v>Website</v>
      </c>
      <c r="C2338" t="str">
        <f>HYPERLINK("http://www.optik-altbauer.at","Website")</f>
        <v>Website</v>
      </c>
      <c r="D2338" t="str">
        <f>HYPERLINK("http://www.google.com/maps/place/48.2587883,13.0337857","Location")</f>
        <v>Location</v>
      </c>
      <c r="E2338" t="s">
        <v>20573</v>
      </c>
      <c r="F2338" t="s">
        <v>20574</v>
      </c>
      <c r="G2338" t="s">
        <v>1289</v>
      </c>
      <c r="H2338" t="s">
        <v>1310</v>
      </c>
      <c r="I2338" t="s">
        <v>85</v>
      </c>
      <c r="J2338" t="s">
        <v>22</v>
      </c>
      <c r="K2338" t="s">
        <v>20575</v>
      </c>
      <c r="L2338" t="s">
        <v>20576</v>
      </c>
      <c r="M2338" t="s">
        <v>25</v>
      </c>
      <c r="N2338" t="s">
        <v>20577</v>
      </c>
      <c r="O2338" t="s">
        <v>25</v>
      </c>
      <c r="P2338" t="s">
        <v>20578</v>
      </c>
      <c r="Q2338" t="s">
        <v>29</v>
      </c>
      <c r="R2338" t="s">
        <v>1458</v>
      </c>
      <c r="S2338" t="s">
        <v>1459</v>
      </c>
    </row>
    <row r="2339" spans="1:19" x14ac:dyDescent="0.25">
      <c r="A2339" s="1">
        <v>2337</v>
      </c>
      <c r="B2339" t="str">
        <f>HYPERLINK("https://www.dasschnelle.at/spitzer-gerhard-maria-schmolln-winkelpoint","Website")</f>
        <v>Website</v>
      </c>
      <c r="C2339" t="str">
        <f>HYPERLINK("http://www.fahrzeugbauspitzer.at","Website")</f>
        <v>Website</v>
      </c>
      <c r="D2339" t="str">
        <f>HYPERLINK("http://www.google.com/maps/place/48.1443809,13.2064221","Location")</f>
        <v>Location</v>
      </c>
      <c r="E2339" t="s">
        <v>20579</v>
      </c>
      <c r="F2339" t="s">
        <v>20580</v>
      </c>
      <c r="G2339" t="s">
        <v>20582</v>
      </c>
      <c r="H2339" t="s">
        <v>20583</v>
      </c>
      <c r="I2339" t="s">
        <v>85</v>
      </c>
      <c r="J2339" t="s">
        <v>22</v>
      </c>
      <c r="K2339" t="s">
        <v>20581</v>
      </c>
      <c r="L2339" t="s">
        <v>20586</v>
      </c>
      <c r="M2339" t="s">
        <v>25</v>
      </c>
      <c r="N2339" t="s">
        <v>20587</v>
      </c>
      <c r="O2339" t="s">
        <v>25</v>
      </c>
      <c r="P2339" t="s">
        <v>20588</v>
      </c>
      <c r="Q2339" t="s">
        <v>29</v>
      </c>
      <c r="R2339" t="s">
        <v>20584</v>
      </c>
      <c r="S2339" t="s">
        <v>20585</v>
      </c>
    </row>
    <row r="2340" spans="1:19" x14ac:dyDescent="0.25">
      <c r="A2340" s="1">
        <v>2338</v>
      </c>
      <c r="B2340" t="str">
        <f>HYPERLINK("https://www.dasschnelle.at/schachner-gmbh-maria-schmolln-winkelpoint","Website")</f>
        <v>Website</v>
      </c>
      <c r="C2340" t="str">
        <f>HYPERLINK("http://www.schachner-holzbau.at","Website")</f>
        <v>Website</v>
      </c>
      <c r="D2340" t="str">
        <f>HYPERLINK("http://www.google.com/maps/place/48.1462005,13.2078076","Location")</f>
        <v>Location</v>
      </c>
      <c r="E2340" t="s">
        <v>20589</v>
      </c>
      <c r="F2340" t="s">
        <v>20590</v>
      </c>
      <c r="G2340" t="s">
        <v>20582</v>
      </c>
      <c r="H2340" t="s">
        <v>20583</v>
      </c>
      <c r="I2340" t="s">
        <v>85</v>
      </c>
      <c r="J2340" t="s">
        <v>22</v>
      </c>
      <c r="K2340" t="s">
        <v>20591</v>
      </c>
      <c r="L2340" t="s">
        <v>20594</v>
      </c>
      <c r="M2340" t="s">
        <v>20595</v>
      </c>
      <c r="N2340" t="s">
        <v>20596</v>
      </c>
      <c r="O2340" t="s">
        <v>20597</v>
      </c>
      <c r="P2340" t="s">
        <v>20598</v>
      </c>
      <c r="Q2340" t="s">
        <v>29</v>
      </c>
      <c r="R2340" t="s">
        <v>20592</v>
      </c>
      <c r="S2340" t="s">
        <v>20593</v>
      </c>
    </row>
    <row r="2341" spans="1:19" x14ac:dyDescent="0.25">
      <c r="A2341" s="1">
        <v>2339</v>
      </c>
      <c r="B2341" t="str">
        <f>HYPERLINK("https://www.dasschnelle.at/fusspuls-fußpflege-und-mehr-st-pantaleon-bergwerkstraße","Website")</f>
        <v>Website</v>
      </c>
      <c r="C2341" t="str">
        <f>HYPERLINK("http://www.fusspuls.at","Website")</f>
        <v>Website</v>
      </c>
      <c r="D2341" t="str">
        <f>HYPERLINK("http://www.google.com/maps/place/48.02716,12.86282","Location")</f>
        <v>Location</v>
      </c>
      <c r="E2341" t="s">
        <v>20599</v>
      </c>
      <c r="F2341" t="s">
        <v>20600</v>
      </c>
      <c r="G2341" t="s">
        <v>12797</v>
      </c>
      <c r="H2341" t="s">
        <v>10858</v>
      </c>
      <c r="I2341" t="s">
        <v>85</v>
      </c>
      <c r="J2341" t="s">
        <v>22</v>
      </c>
      <c r="K2341" t="s">
        <v>12796</v>
      </c>
      <c r="L2341" t="s">
        <v>20601</v>
      </c>
      <c r="M2341" t="s">
        <v>25</v>
      </c>
      <c r="N2341" t="s">
        <v>20602</v>
      </c>
      <c r="O2341" t="s">
        <v>25</v>
      </c>
      <c r="P2341" t="s">
        <v>20603</v>
      </c>
      <c r="Q2341" t="s">
        <v>29</v>
      </c>
      <c r="R2341" t="s">
        <v>20426</v>
      </c>
      <c r="S2341" t="s">
        <v>20427</v>
      </c>
    </row>
    <row r="2342" spans="1:19" x14ac:dyDescent="0.25">
      <c r="A2342" s="1">
        <v>2340</v>
      </c>
      <c r="B2342" t="str">
        <f>HYPERLINK("https://www.dasschnelle.at/lugstein-a-mr-dr-straßwalchen-mayburgerplatz","Website")</f>
        <v>Website</v>
      </c>
      <c r="C2342" t="str">
        <f>HYPERLINK("https://www.dasschnelle.at/lugstein-a-mr-dr-stra%C3%9Fwalchen-mayburgerplatz","Website")</f>
        <v>Website</v>
      </c>
      <c r="D2342" t="str">
        <f>HYPERLINK("http://www.google.com/maps/place/47.9803300,13.2552817","Location")</f>
        <v>Location</v>
      </c>
      <c r="E2342" t="s">
        <v>20604</v>
      </c>
      <c r="F2342" t="s">
        <v>20605</v>
      </c>
      <c r="G2342" t="s">
        <v>10545</v>
      </c>
      <c r="H2342" t="s">
        <v>10546</v>
      </c>
      <c r="I2342" t="s">
        <v>2239</v>
      </c>
      <c r="J2342" t="s">
        <v>22</v>
      </c>
      <c r="K2342" t="s">
        <v>20606</v>
      </c>
      <c r="L2342" t="s">
        <v>20609</v>
      </c>
      <c r="M2342" t="s">
        <v>25</v>
      </c>
      <c r="N2342" t="s">
        <v>20610</v>
      </c>
      <c r="O2342" t="s">
        <v>25</v>
      </c>
      <c r="P2342" t="s">
        <v>20611</v>
      </c>
      <c r="Q2342" t="s">
        <v>29</v>
      </c>
      <c r="R2342" t="s">
        <v>20607</v>
      </c>
      <c r="S2342" t="s">
        <v>20608</v>
      </c>
    </row>
    <row r="2343" spans="1:19" x14ac:dyDescent="0.25">
      <c r="A2343" s="1">
        <v>2341</v>
      </c>
      <c r="B2343" t="str">
        <f>HYPERLINK("https://www.dasschnelle.at/bahr-barbara-dr-seekirchen-bahnhofstraße","Website")</f>
        <v>Website</v>
      </c>
      <c r="C2343" t="str">
        <f>HYPERLINK("http://www.tierarzt-bahr.at","Website")</f>
        <v>Website</v>
      </c>
      <c r="D2343" t="str">
        <f>HYPERLINK("http://www.google.com/maps/place/47.8948504,13.1280388","Location")</f>
        <v>Location</v>
      </c>
      <c r="E2343" t="s">
        <v>20612</v>
      </c>
      <c r="F2343" t="s">
        <v>20613</v>
      </c>
      <c r="G2343" t="s">
        <v>1412</v>
      </c>
      <c r="H2343" t="s">
        <v>16372</v>
      </c>
      <c r="I2343" t="s">
        <v>2239</v>
      </c>
      <c r="J2343" t="s">
        <v>22</v>
      </c>
      <c r="K2343" t="s">
        <v>20614</v>
      </c>
      <c r="L2343" t="s">
        <v>20617</v>
      </c>
      <c r="M2343" t="s">
        <v>25</v>
      </c>
      <c r="N2343" t="s">
        <v>20618</v>
      </c>
      <c r="O2343" t="s">
        <v>25</v>
      </c>
      <c r="P2343" t="s">
        <v>20619</v>
      </c>
      <c r="Q2343" t="s">
        <v>29</v>
      </c>
      <c r="R2343" t="s">
        <v>20615</v>
      </c>
      <c r="S2343" t="s">
        <v>20616</v>
      </c>
    </row>
    <row r="2344" spans="1:19" x14ac:dyDescent="0.25">
      <c r="A2344" s="1">
        <v>2342</v>
      </c>
      <c r="B2344" t="str">
        <f>HYPERLINK("https://www.dasschnelle.at/strametz-bau-gmbh-sankt-peter-im-sulmtal-kerschbaum","Website")</f>
        <v>Website</v>
      </c>
      <c r="C2344" t="str">
        <f>HYPERLINK("http://www.strametz-bau.at","Website")</f>
        <v>Website</v>
      </c>
      <c r="D2344" t="str">
        <f>HYPERLINK("http://www.google.com/maps/place/46.7607103,15.2374593","Location")</f>
        <v>Location</v>
      </c>
      <c r="E2344" t="s">
        <v>20620</v>
      </c>
      <c r="F2344" t="s">
        <v>20621</v>
      </c>
      <c r="G2344" t="s">
        <v>19639</v>
      </c>
      <c r="H2344" t="s">
        <v>20623</v>
      </c>
      <c r="I2344" t="s">
        <v>451</v>
      </c>
      <c r="J2344" t="s">
        <v>22</v>
      </c>
      <c r="K2344" t="s">
        <v>20622</v>
      </c>
      <c r="L2344" t="s">
        <v>20626</v>
      </c>
      <c r="M2344" t="s">
        <v>25</v>
      </c>
      <c r="N2344" t="s">
        <v>20627</v>
      </c>
      <c r="O2344" t="s">
        <v>20628</v>
      </c>
      <c r="P2344" t="s">
        <v>20629</v>
      </c>
      <c r="Q2344" t="s">
        <v>29</v>
      </c>
      <c r="R2344" t="s">
        <v>20624</v>
      </c>
      <c r="S2344" t="s">
        <v>20625</v>
      </c>
    </row>
    <row r="2345" spans="1:19" x14ac:dyDescent="0.25">
      <c r="A2345" s="1">
        <v>2343</v>
      </c>
      <c r="B2345" t="str">
        <f>HYPERLINK("https://www.dasschnelle.at/perkitsch-erich-deutschlandsberg-hollenegger-straße","Website")</f>
        <v>Website</v>
      </c>
      <c r="C2345" t="str">
        <f>HYPERLINK("http://www.perkitsch.at","Website")</f>
        <v>Website</v>
      </c>
      <c r="D2345" t="str">
        <f>HYPERLINK("http://www.google.com/maps/place/46.81198,15.21603","Location")</f>
        <v>Location</v>
      </c>
      <c r="E2345" t="s">
        <v>20630</v>
      </c>
      <c r="F2345" t="s">
        <v>20631</v>
      </c>
      <c r="G2345" t="s">
        <v>2921</v>
      </c>
      <c r="H2345" t="s">
        <v>2922</v>
      </c>
      <c r="I2345" t="s">
        <v>451</v>
      </c>
      <c r="J2345" t="s">
        <v>22</v>
      </c>
      <c r="K2345" t="s">
        <v>20632</v>
      </c>
      <c r="L2345" t="s">
        <v>20635</v>
      </c>
      <c r="M2345" t="s">
        <v>20636</v>
      </c>
      <c r="N2345" t="s">
        <v>20637</v>
      </c>
      <c r="O2345" t="s">
        <v>25</v>
      </c>
      <c r="P2345" t="s">
        <v>20638</v>
      </c>
      <c r="Q2345" t="s">
        <v>29</v>
      </c>
      <c r="R2345" t="s">
        <v>20633</v>
      </c>
      <c r="S2345" t="s">
        <v>20634</v>
      </c>
    </row>
    <row r="2346" spans="1:19" x14ac:dyDescent="0.25">
      <c r="A2346" s="1">
        <v>2344</v>
      </c>
      <c r="B2346" t="str">
        <f>HYPERLINK("https://www.dasschnelle.at/metalltechnik-maria-kemmer-mettersdorf-mettersdorf","Website")</f>
        <v>Website</v>
      </c>
      <c r="C2346" t="str">
        <f>HYPERLINK("http://www.metalltechnik-kemmer.at","Website")</f>
        <v>Website</v>
      </c>
      <c r="D2346" t="str">
        <f>HYPERLINK("http://www.google.com/maps/place/46.8610018,15.3516982","Location")</f>
        <v>Location</v>
      </c>
      <c r="E2346" t="s">
        <v>20639</v>
      </c>
      <c r="F2346" t="s">
        <v>20640</v>
      </c>
      <c r="G2346" t="s">
        <v>2891</v>
      </c>
      <c r="H2346" t="s">
        <v>20642</v>
      </c>
      <c r="I2346" t="s">
        <v>451</v>
      </c>
      <c r="J2346" t="s">
        <v>22</v>
      </c>
      <c r="K2346" t="s">
        <v>20641</v>
      </c>
      <c r="L2346" t="s">
        <v>20645</v>
      </c>
      <c r="M2346" t="s">
        <v>20646</v>
      </c>
      <c r="N2346" t="s">
        <v>20647</v>
      </c>
      <c r="O2346" t="s">
        <v>20648</v>
      </c>
      <c r="P2346" t="s">
        <v>20649</v>
      </c>
      <c r="Q2346" t="s">
        <v>29</v>
      </c>
      <c r="R2346" t="s">
        <v>20643</v>
      </c>
      <c r="S2346" t="s">
        <v>20644</v>
      </c>
    </row>
    <row r="2347" spans="1:19" x14ac:dyDescent="0.25">
      <c r="A2347" s="1">
        <v>2345</v>
      </c>
      <c r="B2347" t="str">
        <f>HYPERLINK("https://www.dasschnelle.at/spenglerei-lechner-gmbh-fieberbrunn-dandlerau","Website")</f>
        <v>Website</v>
      </c>
      <c r="C2347" t="str">
        <f>HYPERLINK("https://www.dasschnelle.at/spenglerei-lechner-gmbh-fieberbrunn-dandlerau","Website")</f>
        <v>Website</v>
      </c>
      <c r="D2347" t="str">
        <f>HYPERLINK("http://www.google.com/maps/place/47.60203,12.46687","Location")</f>
        <v>Location</v>
      </c>
      <c r="E2347" t="s">
        <v>20650</v>
      </c>
      <c r="F2347" t="s">
        <v>20651</v>
      </c>
      <c r="G2347" t="s">
        <v>16577</v>
      </c>
      <c r="H2347" t="s">
        <v>16578</v>
      </c>
      <c r="I2347" t="s">
        <v>21</v>
      </c>
      <c r="J2347" t="s">
        <v>22</v>
      </c>
      <c r="K2347" t="s">
        <v>20652</v>
      </c>
      <c r="L2347" t="s">
        <v>20655</v>
      </c>
      <c r="M2347" t="s">
        <v>25</v>
      </c>
      <c r="N2347" t="s">
        <v>20656</v>
      </c>
      <c r="O2347" t="s">
        <v>25</v>
      </c>
      <c r="P2347" t="s">
        <v>20657</v>
      </c>
      <c r="Q2347" t="s">
        <v>29</v>
      </c>
      <c r="R2347" t="s">
        <v>20653</v>
      </c>
      <c r="S2347" t="s">
        <v>20654</v>
      </c>
    </row>
    <row r="2348" spans="1:19" x14ac:dyDescent="0.25">
      <c r="A2348" s="1">
        <v>2346</v>
      </c>
      <c r="B2348" t="str">
        <f>HYPERLINK("https://www.dasschnelle.at/bestattung-krug-bernstein-hauptstraße","Website")</f>
        <v>Website</v>
      </c>
      <c r="C2348" t="str">
        <f>HYPERLINK("http://www.bestattung-krug.at/","Website")</f>
        <v>Website</v>
      </c>
      <c r="D2348" t="str">
        <f>HYPERLINK("http://www.google.com/maps/place/47.4068300,16.2609100","Location")</f>
        <v>Location</v>
      </c>
      <c r="E2348" t="s">
        <v>20658</v>
      </c>
      <c r="F2348" t="s">
        <v>20659</v>
      </c>
      <c r="G2348" t="s">
        <v>20661</v>
      </c>
      <c r="H2348" t="s">
        <v>20662</v>
      </c>
      <c r="I2348" t="s">
        <v>1834</v>
      </c>
      <c r="J2348" t="s">
        <v>22</v>
      </c>
      <c r="K2348" t="s">
        <v>20660</v>
      </c>
      <c r="L2348" t="s">
        <v>20665</v>
      </c>
      <c r="M2348" t="s">
        <v>25</v>
      </c>
      <c r="N2348" t="s">
        <v>20666</v>
      </c>
      <c r="O2348" t="s">
        <v>20667</v>
      </c>
      <c r="P2348" t="s">
        <v>697</v>
      </c>
      <c r="Q2348" t="s">
        <v>29</v>
      </c>
      <c r="R2348" t="s">
        <v>20663</v>
      </c>
      <c r="S2348" t="s">
        <v>20664</v>
      </c>
    </row>
    <row r="2349" spans="1:19" x14ac:dyDescent="0.25">
      <c r="A2349" s="1">
        <v>2347</v>
      </c>
      <c r="B2349" t="str">
        <f>HYPERLINK("https://www.dasschnelle.at/reinstadler-citroen-gesmbh-autohandel-und-kfz-werkstätte-wiener-neustadt-badener-straße","Website")</f>
        <v>Website</v>
      </c>
      <c r="C2349" t="str">
        <f>HYPERLINK("http://www.reinstadler.at","Website")</f>
        <v>Website</v>
      </c>
      <c r="D2349" t="str">
        <f>HYPERLINK("http://www.google.com/maps/place/47.83426,16.23965","Location")</f>
        <v>Location</v>
      </c>
      <c r="E2349" t="s">
        <v>20668</v>
      </c>
      <c r="F2349" t="s">
        <v>20669</v>
      </c>
      <c r="G2349" t="s">
        <v>3962</v>
      </c>
      <c r="H2349" t="s">
        <v>3982</v>
      </c>
      <c r="I2349" t="s">
        <v>177</v>
      </c>
      <c r="J2349" t="s">
        <v>22</v>
      </c>
      <c r="K2349" t="s">
        <v>20670</v>
      </c>
      <c r="L2349" t="s">
        <v>20673</v>
      </c>
      <c r="M2349" t="s">
        <v>25</v>
      </c>
      <c r="N2349" t="s">
        <v>20674</v>
      </c>
      <c r="O2349" t="s">
        <v>25</v>
      </c>
      <c r="P2349" t="s">
        <v>20675</v>
      </c>
      <c r="Q2349" t="s">
        <v>29</v>
      </c>
      <c r="R2349" t="s">
        <v>20671</v>
      </c>
      <c r="S2349" t="s">
        <v>20672</v>
      </c>
    </row>
    <row r="2350" spans="1:19" x14ac:dyDescent="0.25">
      <c r="A2350" s="1">
        <v>2348</v>
      </c>
      <c r="B2350" t="str">
        <f>HYPERLINK("https://www.dasschnelle.at/agentur-ortbauer-e-u-neuhofen-dambach","Website")</f>
        <v>Website</v>
      </c>
      <c r="C2350" t="str">
        <f>HYPERLINK("http://www.versicherungszone.at","Website")</f>
        <v>Website</v>
      </c>
      <c r="D2350" t="str">
        <f>HYPERLINK("http://www.google.com/maps/place/48.1522100,14.2207600","Location")</f>
        <v>Location</v>
      </c>
      <c r="E2350" t="s">
        <v>20676</v>
      </c>
      <c r="F2350" t="s">
        <v>20677</v>
      </c>
      <c r="G2350" t="s">
        <v>12931</v>
      </c>
      <c r="H2350" t="s">
        <v>20679</v>
      </c>
      <c r="I2350" t="s">
        <v>85</v>
      </c>
      <c r="J2350" t="s">
        <v>22</v>
      </c>
      <c r="K2350" t="s">
        <v>20678</v>
      </c>
      <c r="L2350" t="s">
        <v>20682</v>
      </c>
      <c r="M2350" t="s">
        <v>25</v>
      </c>
      <c r="N2350" t="s">
        <v>20683</v>
      </c>
      <c r="O2350" t="s">
        <v>25</v>
      </c>
      <c r="P2350" t="s">
        <v>697</v>
      </c>
      <c r="Q2350" t="s">
        <v>29</v>
      </c>
      <c r="R2350" t="s">
        <v>20680</v>
      </c>
      <c r="S2350" t="s">
        <v>20681</v>
      </c>
    </row>
    <row r="2351" spans="1:19" x14ac:dyDescent="0.25">
      <c r="A2351" s="1">
        <v>2349</v>
      </c>
      <c r="B2351" t="str">
        <f>HYPERLINK("https://www.dasschnelle.at/ofenstudio-fliegenschnee-oberwart-wienerstraße","Website")</f>
        <v>Website</v>
      </c>
      <c r="C2351" t="str">
        <f>HYPERLINK("https://www.fliegenschnee.at/","Website")</f>
        <v>Website</v>
      </c>
      <c r="D2351" t="str">
        <f>HYPERLINK("http://www.google.com/maps/place/47.2901000,16.2098500","Location")</f>
        <v>Location</v>
      </c>
      <c r="E2351" t="s">
        <v>20684</v>
      </c>
      <c r="F2351" t="s">
        <v>20685</v>
      </c>
      <c r="G2351" t="s">
        <v>20126</v>
      </c>
      <c r="H2351" t="s">
        <v>20127</v>
      </c>
      <c r="I2351" t="s">
        <v>1834</v>
      </c>
      <c r="J2351" t="s">
        <v>22</v>
      </c>
      <c r="K2351" t="s">
        <v>17504</v>
      </c>
      <c r="L2351" t="s">
        <v>20688</v>
      </c>
      <c r="M2351" t="s">
        <v>25</v>
      </c>
      <c r="N2351" t="s">
        <v>20689</v>
      </c>
      <c r="O2351" t="s">
        <v>20690</v>
      </c>
      <c r="P2351" t="s">
        <v>20691</v>
      </c>
      <c r="Q2351" t="s">
        <v>29</v>
      </c>
      <c r="R2351" t="s">
        <v>20686</v>
      </c>
      <c r="S2351" t="s">
        <v>20687</v>
      </c>
    </row>
    <row r="2352" spans="1:19" x14ac:dyDescent="0.25">
      <c r="A2352" s="1">
        <v>2350</v>
      </c>
      <c r="B2352" t="str">
        <f>HYPERLINK("https://www.dasschnelle.at/gebäudereinigung-dittmer-st-johann-t-wegscheidgasse","Website")</f>
        <v>Website</v>
      </c>
      <c r="C2352" t="str">
        <f>HYPERLINK("http://www.gebaeudereinigung-dittmer.at","Website")</f>
        <v>Website</v>
      </c>
      <c r="D2352" t="str">
        <f>HYPERLINK("http://www.google.com/maps/place/47.5224906,12.4230725","Location")</f>
        <v>Location</v>
      </c>
      <c r="E2352" t="s">
        <v>20692</v>
      </c>
      <c r="F2352" t="s">
        <v>20693</v>
      </c>
      <c r="G2352" t="s">
        <v>850</v>
      </c>
      <c r="H2352" t="s">
        <v>20695</v>
      </c>
      <c r="I2352" t="s">
        <v>21</v>
      </c>
      <c r="J2352" t="s">
        <v>22</v>
      </c>
      <c r="K2352" t="s">
        <v>20694</v>
      </c>
      <c r="L2352" t="s">
        <v>20698</v>
      </c>
      <c r="M2352" t="s">
        <v>25</v>
      </c>
      <c r="N2352" t="s">
        <v>20699</v>
      </c>
      <c r="O2352" t="s">
        <v>25</v>
      </c>
      <c r="P2352" t="s">
        <v>20700</v>
      </c>
      <c r="Q2352" t="s">
        <v>29</v>
      </c>
      <c r="R2352" t="s">
        <v>20696</v>
      </c>
      <c r="S2352" t="s">
        <v>20697</v>
      </c>
    </row>
    <row r="2353" spans="1:19" x14ac:dyDescent="0.25">
      <c r="A2353" s="1">
        <v>2351</v>
      </c>
      <c r="B2353" t="str">
        <f>HYPERLINK("https://www.dasschnelle.at/frühwirth-dr-ilse-oberwart-röntgengasse","Website")</f>
        <v>Website</v>
      </c>
      <c r="C2353" t="str">
        <f>HYPERLINK("https://www.docfinder.at/praktischer-arzt/7400-obe","Website")</f>
        <v>Website</v>
      </c>
      <c r="D2353" t="str">
        <f>HYPERLINK("http://www.google.com/maps/place/47.2804900,16.2016800","Location")</f>
        <v>Location</v>
      </c>
      <c r="E2353" t="s">
        <v>20701</v>
      </c>
      <c r="F2353" t="s">
        <v>20702</v>
      </c>
      <c r="G2353" t="s">
        <v>20126</v>
      </c>
      <c r="H2353" t="s">
        <v>20127</v>
      </c>
      <c r="I2353" t="s">
        <v>1834</v>
      </c>
      <c r="J2353" t="s">
        <v>22</v>
      </c>
      <c r="K2353" t="s">
        <v>20703</v>
      </c>
      <c r="L2353" t="s">
        <v>20704</v>
      </c>
      <c r="M2353" t="s">
        <v>25</v>
      </c>
      <c r="N2353" t="s">
        <v>20705</v>
      </c>
      <c r="O2353" t="s">
        <v>25</v>
      </c>
      <c r="P2353" t="s">
        <v>20706</v>
      </c>
      <c r="Q2353" t="s">
        <v>29</v>
      </c>
      <c r="R2353" t="s">
        <v>20128</v>
      </c>
      <c r="S2353" t="s">
        <v>20129</v>
      </c>
    </row>
    <row r="2354" spans="1:19" x14ac:dyDescent="0.25">
      <c r="A2354" s="1">
        <v>2352</v>
      </c>
      <c r="B2354" t="str">
        <f>HYPERLINK("https://www.dasschnelle.at/nußbaumer-baustoff-gmbh-pinsdorf-mitterweg","Website")</f>
        <v>Website</v>
      </c>
      <c r="C2354" t="str">
        <f>HYPERLINK("http://www.baustoffe-nussbaumer.at","Website")</f>
        <v>Website</v>
      </c>
      <c r="D2354" t="str">
        <f>HYPERLINK("http://www.google.com/maps/place/47.93329,13.77375","Location")</f>
        <v>Location</v>
      </c>
      <c r="E2354" t="s">
        <v>20707</v>
      </c>
      <c r="F2354" t="s">
        <v>20708</v>
      </c>
      <c r="G2354" t="s">
        <v>6981</v>
      </c>
      <c r="H2354" t="s">
        <v>6982</v>
      </c>
      <c r="I2354" t="s">
        <v>85</v>
      </c>
      <c r="J2354" t="s">
        <v>22</v>
      </c>
      <c r="K2354" t="s">
        <v>20709</v>
      </c>
      <c r="L2354" t="s">
        <v>20712</v>
      </c>
      <c r="M2354" t="s">
        <v>25</v>
      </c>
      <c r="N2354" t="s">
        <v>20713</v>
      </c>
      <c r="O2354" t="s">
        <v>20714</v>
      </c>
      <c r="P2354" t="s">
        <v>20715</v>
      </c>
      <c r="Q2354" t="s">
        <v>29</v>
      </c>
      <c r="R2354" t="s">
        <v>20710</v>
      </c>
      <c r="S2354" t="s">
        <v>20711</v>
      </c>
    </row>
    <row r="2355" spans="1:19" x14ac:dyDescent="0.25">
      <c r="A2355" s="1">
        <v>2353</v>
      </c>
      <c r="B2355" t="str">
        <f>HYPERLINK("https://www.dasschnelle.at/hrastnik-und-serenyi-oberwart-hauptplatz","Website")</f>
        <v>Website</v>
      </c>
      <c r="C2355" t="str">
        <f>HYPERLINK("http://www.hs-rechtsanwaelte.at/","Website")</f>
        <v>Website</v>
      </c>
      <c r="D2355" t="str">
        <f>HYPERLINK("http://www.google.com/maps/place/47.2876100,16.2140100","Location")</f>
        <v>Location</v>
      </c>
      <c r="E2355" t="s">
        <v>20716</v>
      </c>
      <c r="F2355" t="s">
        <v>20717</v>
      </c>
      <c r="G2355" t="s">
        <v>20126</v>
      </c>
      <c r="H2355" t="s">
        <v>20127</v>
      </c>
      <c r="I2355" t="s">
        <v>1834</v>
      </c>
      <c r="J2355" t="s">
        <v>22</v>
      </c>
      <c r="K2355" t="s">
        <v>15441</v>
      </c>
      <c r="L2355" t="s">
        <v>20720</v>
      </c>
      <c r="M2355" t="s">
        <v>25</v>
      </c>
      <c r="N2355" t="s">
        <v>20721</v>
      </c>
      <c r="O2355" t="s">
        <v>20722</v>
      </c>
      <c r="P2355" t="s">
        <v>20723</v>
      </c>
      <c r="Q2355" t="s">
        <v>29</v>
      </c>
      <c r="R2355" t="s">
        <v>20718</v>
      </c>
      <c r="S2355" t="s">
        <v>20719</v>
      </c>
    </row>
    <row r="2356" spans="1:19" x14ac:dyDescent="0.25">
      <c r="A2356" s="1">
        <v>2354</v>
      </c>
      <c r="B2356" t="str">
        <f>HYPERLINK("https://www.dasschnelle.at/viechtbauer-susanne-dr-altmünster-ebenzweierstraße","Website")</f>
        <v>Website</v>
      </c>
      <c r="C2356" t="str">
        <f>HYPERLINK("https://www.dasschnelle.at/viechtbauer-susanne-dr-altm%C3%BCnster-ebenzweierstra%C3%9Fe","Website")</f>
        <v>Website</v>
      </c>
      <c r="D2356" t="str">
        <f>HYPERLINK("http://www.google.com/maps/place/47.90026,13.76356","Location")</f>
        <v>Location</v>
      </c>
      <c r="E2356" t="s">
        <v>20724</v>
      </c>
      <c r="F2356" t="s">
        <v>20725</v>
      </c>
      <c r="G2356" t="s">
        <v>7000</v>
      </c>
      <c r="H2356" t="s">
        <v>7001</v>
      </c>
      <c r="I2356" t="s">
        <v>85</v>
      </c>
      <c r="J2356" t="s">
        <v>22</v>
      </c>
      <c r="K2356" t="s">
        <v>20726</v>
      </c>
      <c r="L2356" t="s">
        <v>20729</v>
      </c>
      <c r="M2356" t="s">
        <v>25</v>
      </c>
      <c r="N2356" t="s">
        <v>20730</v>
      </c>
      <c r="O2356" t="s">
        <v>25</v>
      </c>
      <c r="P2356" t="s">
        <v>20731</v>
      </c>
      <c r="Q2356" t="s">
        <v>29</v>
      </c>
      <c r="R2356" t="s">
        <v>20727</v>
      </c>
      <c r="S2356" t="s">
        <v>20728</v>
      </c>
    </row>
    <row r="2357" spans="1:19" x14ac:dyDescent="0.25">
      <c r="A2357" s="1">
        <v>2355</v>
      </c>
      <c r="B2357" t="str">
        <f>HYPERLINK("https://www.dasschnelle.at/facelook-leibnitz-exerzierfeldgasse","Website")</f>
        <v>Website</v>
      </c>
      <c r="C2357" t="str">
        <f>HYPERLINK("http://www.facelook.at","Website")</f>
        <v>Website</v>
      </c>
      <c r="D2357" t="str">
        <f>HYPERLINK("http://www.google.com/maps/place/46.79773,15.56659","Location")</f>
        <v>Location</v>
      </c>
      <c r="E2357" t="s">
        <v>20732</v>
      </c>
      <c r="F2357" t="s">
        <v>20733</v>
      </c>
      <c r="G2357" t="s">
        <v>1013</v>
      </c>
      <c r="H2357" t="s">
        <v>1023</v>
      </c>
      <c r="I2357" t="s">
        <v>451</v>
      </c>
      <c r="J2357" t="s">
        <v>22</v>
      </c>
      <c r="K2357" t="s">
        <v>20734</v>
      </c>
      <c r="L2357" t="s">
        <v>20737</v>
      </c>
      <c r="M2357" t="s">
        <v>25</v>
      </c>
      <c r="N2357" t="s">
        <v>20738</v>
      </c>
      <c r="O2357" t="s">
        <v>25</v>
      </c>
      <c r="P2357" t="s">
        <v>20739</v>
      </c>
      <c r="Q2357" t="s">
        <v>29</v>
      </c>
      <c r="R2357" t="s">
        <v>20735</v>
      </c>
      <c r="S2357" t="s">
        <v>20736</v>
      </c>
    </row>
    <row r="2358" spans="1:19" x14ac:dyDescent="0.25">
      <c r="A2358" s="1">
        <v>2356</v>
      </c>
      <c r="B2358" t="str">
        <f>HYPERLINK("https://www.dasschnelle.at/krankenpflegeverein-hl-martin-straßwalchen-mondseerstraße","Website")</f>
        <v>Website</v>
      </c>
      <c r="C2358" t="str">
        <f>HYPERLINK("http://www.pflegeverein.org","Website")</f>
        <v>Website</v>
      </c>
      <c r="D2358" t="str">
        <f>HYPERLINK("http://www.google.com/maps/place/47.9758999,13.2599517","Location")</f>
        <v>Location</v>
      </c>
      <c r="E2358" t="s">
        <v>20740</v>
      </c>
      <c r="F2358" t="s">
        <v>20741</v>
      </c>
      <c r="G2358" t="s">
        <v>10545</v>
      </c>
      <c r="H2358" t="s">
        <v>10546</v>
      </c>
      <c r="I2358" t="s">
        <v>2239</v>
      </c>
      <c r="J2358" t="s">
        <v>22</v>
      </c>
      <c r="K2358" t="s">
        <v>20742</v>
      </c>
      <c r="L2358" t="s">
        <v>20745</v>
      </c>
      <c r="M2358" t="s">
        <v>25</v>
      </c>
      <c r="N2358" t="s">
        <v>20746</v>
      </c>
      <c r="O2358" t="s">
        <v>20747</v>
      </c>
      <c r="P2358" t="s">
        <v>20748</v>
      </c>
      <c r="Q2358" t="s">
        <v>29</v>
      </c>
      <c r="R2358" t="s">
        <v>20743</v>
      </c>
      <c r="S2358" t="s">
        <v>20744</v>
      </c>
    </row>
    <row r="2359" spans="1:19" x14ac:dyDescent="0.25">
      <c r="A2359" s="1">
        <v>2357</v>
      </c>
      <c r="B2359" t="str">
        <f>HYPERLINK("https://www.dasschnelle.at/holzmeister-reith-bei-kitzbühel-schösserweg","Website")</f>
        <v>Website</v>
      </c>
      <c r="C2359" t="str">
        <f>HYPERLINK("http://www.holzmeister.tirol","Website")</f>
        <v>Website</v>
      </c>
      <c r="D2359" t="str">
        <f>HYPERLINK("http://www.google.com/maps/place/47.50291,12.35247","Location")</f>
        <v>Location</v>
      </c>
      <c r="E2359" t="s">
        <v>20749</v>
      </c>
      <c r="F2359" t="s">
        <v>20750</v>
      </c>
      <c r="G2359" t="s">
        <v>833</v>
      </c>
      <c r="H2359" t="s">
        <v>20752</v>
      </c>
      <c r="I2359" t="s">
        <v>21</v>
      </c>
      <c r="J2359" t="s">
        <v>22</v>
      </c>
      <c r="K2359" t="s">
        <v>20751</v>
      </c>
      <c r="L2359" t="s">
        <v>20755</v>
      </c>
      <c r="M2359" t="s">
        <v>25</v>
      </c>
      <c r="N2359" t="s">
        <v>20756</v>
      </c>
      <c r="O2359" t="s">
        <v>20757</v>
      </c>
      <c r="P2359" t="s">
        <v>697</v>
      </c>
      <c r="Q2359" t="s">
        <v>29</v>
      </c>
      <c r="R2359" t="s">
        <v>20753</v>
      </c>
      <c r="S2359" t="s">
        <v>20754</v>
      </c>
    </row>
    <row r="2360" spans="1:19" x14ac:dyDescent="0.25">
      <c r="A2360" s="1">
        <v>2358</v>
      </c>
      <c r="B2360" t="str">
        <f>HYPERLINK("https://www.dasschnelle.at/schönleitner-georg-gmbh-und-co-kg-kuchl-markt","Website")</f>
        <v>Website</v>
      </c>
      <c r="C2360" t="str">
        <f>HYPERLINK("http://www.tischlerei-schoenleitner.at","Website")</f>
        <v>Website</v>
      </c>
      <c r="D2360" t="str">
        <f>HYPERLINK("http://www.google.com/maps/place/47.62509,13.13973","Location")</f>
        <v>Location</v>
      </c>
      <c r="E2360" t="s">
        <v>20758</v>
      </c>
      <c r="F2360" t="s">
        <v>20759</v>
      </c>
      <c r="G2360" t="s">
        <v>7697</v>
      </c>
      <c r="H2360" t="s">
        <v>7698</v>
      </c>
      <c r="I2360" t="s">
        <v>2239</v>
      </c>
      <c r="J2360" t="s">
        <v>22</v>
      </c>
      <c r="K2360" t="s">
        <v>13078</v>
      </c>
      <c r="L2360" t="s">
        <v>20762</v>
      </c>
      <c r="M2360" t="s">
        <v>20763</v>
      </c>
      <c r="N2360" t="s">
        <v>20764</v>
      </c>
      <c r="O2360" t="s">
        <v>25</v>
      </c>
      <c r="P2360" t="s">
        <v>20765</v>
      </c>
      <c r="Q2360" t="s">
        <v>29</v>
      </c>
      <c r="R2360" t="s">
        <v>20760</v>
      </c>
      <c r="S2360" t="s">
        <v>20761</v>
      </c>
    </row>
    <row r="2361" spans="1:19" x14ac:dyDescent="0.25">
      <c r="A2361" s="1">
        <v>2359</v>
      </c>
      <c r="B2361" t="str">
        <f>HYPERLINK("https://www.dasschnelle.at/weixlbaumer-kfz-service-linz-salzburger-strasse","Website")</f>
        <v>Website</v>
      </c>
      <c r="C2361" t="str">
        <f>HYPERLINK("https://www.dasschnelle.at/weixlbaumer-kfz-service-linz-salzburger-strasse","Website")</f>
        <v>Website</v>
      </c>
      <c r="D2361" t="str">
        <f>HYPERLINK("http://www.google.com/maps/place/48.2548,14.28512","Location")</f>
        <v>Location</v>
      </c>
      <c r="E2361" t="s">
        <v>20766</v>
      </c>
      <c r="F2361" t="s">
        <v>20767</v>
      </c>
      <c r="G2361" t="s">
        <v>6495</v>
      </c>
      <c r="H2361" t="s">
        <v>6496</v>
      </c>
      <c r="I2361" t="s">
        <v>85</v>
      </c>
      <c r="J2361" t="s">
        <v>22</v>
      </c>
      <c r="K2361" t="s">
        <v>20768</v>
      </c>
      <c r="L2361" t="s">
        <v>20771</v>
      </c>
      <c r="M2361" t="s">
        <v>25</v>
      </c>
      <c r="N2361" t="s">
        <v>20772</v>
      </c>
      <c r="O2361" t="s">
        <v>25</v>
      </c>
      <c r="P2361" t="s">
        <v>20773</v>
      </c>
      <c r="Q2361" t="s">
        <v>29</v>
      </c>
      <c r="R2361" t="s">
        <v>20769</v>
      </c>
      <c r="S2361" t="s">
        <v>20770</v>
      </c>
    </row>
    <row r="2362" spans="1:19" x14ac:dyDescent="0.25">
      <c r="A2362" s="1">
        <v>2360</v>
      </c>
      <c r="B2362" t="str">
        <f>HYPERLINK("https://www.dasschnelle.at/bubestinger-fritz-uttendorf-sonnleiten","Website")</f>
        <v>Website</v>
      </c>
      <c r="C2362" t="str">
        <f>HYPERLINK("http://www.bubestinger.at","Website")</f>
        <v>Website</v>
      </c>
      <c r="D2362" t="str">
        <f>HYPERLINK("http://www.google.com/maps/place/48.1652589,13.1628790","Location")</f>
        <v>Location</v>
      </c>
      <c r="E2362" t="s">
        <v>20774</v>
      </c>
      <c r="F2362" t="s">
        <v>20775</v>
      </c>
      <c r="G2362" t="s">
        <v>1328</v>
      </c>
      <c r="H2362" t="s">
        <v>1329</v>
      </c>
      <c r="I2362" t="s">
        <v>85</v>
      </c>
      <c r="J2362" t="s">
        <v>22</v>
      </c>
      <c r="K2362" t="s">
        <v>20776</v>
      </c>
      <c r="L2362" t="s">
        <v>20779</v>
      </c>
      <c r="M2362" t="s">
        <v>25</v>
      </c>
      <c r="N2362" t="s">
        <v>20780</v>
      </c>
      <c r="O2362" t="s">
        <v>25</v>
      </c>
      <c r="P2362" t="s">
        <v>20781</v>
      </c>
      <c r="Q2362" t="s">
        <v>29</v>
      </c>
      <c r="R2362" t="s">
        <v>20777</v>
      </c>
      <c r="S2362" t="s">
        <v>20778</v>
      </c>
    </row>
    <row r="2363" spans="1:19" x14ac:dyDescent="0.25">
      <c r="A2363" s="1">
        <v>2361</v>
      </c>
      <c r="B2363" t="str">
        <f>HYPERLINK("https://www.dasschnelle.at/kfz-höller-stainz-pichling","Website")</f>
        <v>Website</v>
      </c>
      <c r="C2363" t="str">
        <f>HYPERLINK("http://www.kfz-hoeller.com","Website")</f>
        <v>Website</v>
      </c>
      <c r="D2363" t="str">
        <f>HYPERLINK("http://www.google.com/maps/place/46.8998745,15.2677763","Location")</f>
        <v>Location</v>
      </c>
      <c r="E2363" t="s">
        <v>20782</v>
      </c>
      <c r="F2363" t="s">
        <v>20783</v>
      </c>
      <c r="G2363" t="s">
        <v>2834</v>
      </c>
      <c r="H2363" t="s">
        <v>2835</v>
      </c>
      <c r="I2363" t="s">
        <v>451</v>
      </c>
      <c r="J2363" t="s">
        <v>22</v>
      </c>
      <c r="K2363" t="s">
        <v>20784</v>
      </c>
      <c r="L2363" t="s">
        <v>20787</v>
      </c>
      <c r="M2363" t="s">
        <v>25</v>
      </c>
      <c r="N2363" t="s">
        <v>20788</v>
      </c>
      <c r="O2363" t="s">
        <v>25</v>
      </c>
      <c r="P2363" t="s">
        <v>20789</v>
      </c>
      <c r="Q2363" t="s">
        <v>29</v>
      </c>
      <c r="R2363" t="s">
        <v>20785</v>
      </c>
      <c r="S2363" t="s">
        <v>20786</v>
      </c>
    </row>
    <row r="2364" spans="1:19" x14ac:dyDescent="0.25">
      <c r="A2364" s="1">
        <v>2362</v>
      </c>
      <c r="B2364" t="str">
        <f>HYPERLINK("https://www.dasschnelle.at/göritzer-manfred-pichling-bei-stainz","Website")</f>
        <v>Website</v>
      </c>
      <c r="C2364" t="str">
        <f>HYPERLINK("http://www.goeritzer.at","Website")</f>
        <v>Website</v>
      </c>
      <c r="D2364" t="str">
        <f>HYPERLINK("http://www.google.com/maps/place/46.9001867,15.2678977","Location")</f>
        <v>Location</v>
      </c>
      <c r="E2364" t="s">
        <v>20790</v>
      </c>
      <c r="F2364" t="s">
        <v>20791</v>
      </c>
      <c r="G2364" t="s">
        <v>2834</v>
      </c>
      <c r="H2364" t="s">
        <v>20792</v>
      </c>
      <c r="I2364" t="s">
        <v>451</v>
      </c>
      <c r="J2364" t="s">
        <v>22</v>
      </c>
      <c r="K2364" t="s">
        <v>25</v>
      </c>
      <c r="L2364" t="s">
        <v>20795</v>
      </c>
      <c r="M2364" t="s">
        <v>20796</v>
      </c>
      <c r="N2364" t="s">
        <v>20797</v>
      </c>
      <c r="O2364" t="s">
        <v>20798</v>
      </c>
      <c r="P2364" t="s">
        <v>20799</v>
      </c>
      <c r="Q2364" t="s">
        <v>29</v>
      </c>
      <c r="R2364" t="s">
        <v>20793</v>
      </c>
      <c r="S2364" t="s">
        <v>20794</v>
      </c>
    </row>
    <row r="2365" spans="1:19" x14ac:dyDescent="0.25">
      <c r="A2365" s="1">
        <v>2363</v>
      </c>
      <c r="B2365" t="str">
        <f>HYPERLINK("https://www.dasschnelle.at/brne-m-gesmbh-und-co-kg-eibiswald-eibiswald","Website")</f>
        <v>Website</v>
      </c>
      <c r="C2365" t="str">
        <f>HYPERLINK("http://www.brne.at","Website")</f>
        <v>Website</v>
      </c>
      <c r="D2365" t="str">
        <f>HYPERLINK("http://www.google.com/maps/place/46.6912261,15.2558113","Location")</f>
        <v>Location</v>
      </c>
      <c r="E2365" t="s">
        <v>20800</v>
      </c>
      <c r="F2365" t="s">
        <v>20801</v>
      </c>
      <c r="G2365" t="s">
        <v>2901</v>
      </c>
      <c r="H2365" t="s">
        <v>2902</v>
      </c>
      <c r="I2365" t="s">
        <v>451</v>
      </c>
      <c r="J2365" t="s">
        <v>22</v>
      </c>
      <c r="K2365" t="s">
        <v>20802</v>
      </c>
      <c r="L2365" t="s">
        <v>20805</v>
      </c>
      <c r="M2365" t="s">
        <v>20806</v>
      </c>
      <c r="N2365" t="s">
        <v>20807</v>
      </c>
      <c r="O2365" t="s">
        <v>25</v>
      </c>
      <c r="P2365" t="s">
        <v>20808</v>
      </c>
      <c r="Q2365" t="s">
        <v>29</v>
      </c>
      <c r="R2365" t="s">
        <v>20803</v>
      </c>
      <c r="S2365" t="s">
        <v>20804</v>
      </c>
    </row>
    <row r="2366" spans="1:19" x14ac:dyDescent="0.25">
      <c r="A2366" s="1">
        <v>2364</v>
      </c>
      <c r="B2366" t="str">
        <f>HYPERLINK("https://www.dasschnelle.at/schuster-werner-dr-neunkirchen-schulgasse","Website")</f>
        <v>Website</v>
      </c>
      <c r="C2366" t="str">
        <f>HYPERLINK("http://www.diagnose-zentrum.at","Website")</f>
        <v>Website</v>
      </c>
      <c r="D2366" t="str">
        <f>HYPERLINK("http://www.google.com/maps/place/47.72131,16.08387","Location")</f>
        <v>Location</v>
      </c>
      <c r="E2366" t="s">
        <v>20809</v>
      </c>
      <c r="F2366" t="s">
        <v>20810</v>
      </c>
      <c r="G2366" t="s">
        <v>5676</v>
      </c>
      <c r="H2366" t="s">
        <v>5677</v>
      </c>
      <c r="I2366" t="s">
        <v>177</v>
      </c>
      <c r="J2366" t="s">
        <v>22</v>
      </c>
      <c r="K2366" t="s">
        <v>20811</v>
      </c>
      <c r="L2366" t="s">
        <v>20814</v>
      </c>
      <c r="M2366" t="s">
        <v>20815</v>
      </c>
      <c r="N2366" t="s">
        <v>20816</v>
      </c>
      <c r="O2366" t="s">
        <v>25</v>
      </c>
      <c r="P2366" t="s">
        <v>20817</v>
      </c>
      <c r="Q2366" t="s">
        <v>29</v>
      </c>
      <c r="R2366" t="s">
        <v>20812</v>
      </c>
      <c r="S2366" t="s">
        <v>20813</v>
      </c>
    </row>
    <row r="2367" spans="1:19" x14ac:dyDescent="0.25">
      <c r="A2367" s="1">
        <v>2365</v>
      </c>
      <c r="B2367" t="str">
        <f>HYPERLINK("https://www.dasschnelle.at/b-und-c-bruckbauer-kg-braunau-am-inn-industriezeile","Website")</f>
        <v>Website</v>
      </c>
      <c r="C2367" t="str">
        <f>HYPERLINK("http://www.steinmetzmeisterbruckbauer.gmxhome.de","Website")</f>
        <v>Website</v>
      </c>
      <c r="D2367" t="str">
        <f>HYPERLINK("http://www.google.com/maps/place/48.24845,13.06111","Location")</f>
        <v>Location</v>
      </c>
      <c r="E2367" t="s">
        <v>20818</v>
      </c>
      <c r="F2367" t="s">
        <v>20819</v>
      </c>
      <c r="G2367" t="s">
        <v>1289</v>
      </c>
      <c r="H2367" t="s">
        <v>1310</v>
      </c>
      <c r="I2367" t="s">
        <v>85</v>
      </c>
      <c r="J2367" t="s">
        <v>22</v>
      </c>
      <c r="K2367" t="s">
        <v>20820</v>
      </c>
      <c r="L2367" t="s">
        <v>20823</v>
      </c>
      <c r="M2367" t="s">
        <v>25</v>
      </c>
      <c r="N2367" t="s">
        <v>20824</v>
      </c>
      <c r="O2367" t="s">
        <v>25</v>
      </c>
      <c r="P2367" t="s">
        <v>20825</v>
      </c>
      <c r="Q2367" t="s">
        <v>29</v>
      </c>
      <c r="R2367" t="s">
        <v>20821</v>
      </c>
      <c r="S2367" t="s">
        <v>20822</v>
      </c>
    </row>
    <row r="2368" spans="1:19" x14ac:dyDescent="0.25">
      <c r="A2368" s="1">
        <v>2366</v>
      </c>
      <c r="B2368" t="str">
        <f>HYPERLINK("https://www.dasschnelle.at/siller-marcus-kuchl-georgenberg","Website")</f>
        <v>Website</v>
      </c>
      <c r="C2368" t="str">
        <f>HYPERLINK("http://www.holzbausiller.at","Website")</f>
        <v>Website</v>
      </c>
      <c r="D2368" t="str">
        <f>HYPERLINK("http://www.google.com/maps/place/47.6163297,13.1788378","Location")</f>
        <v>Location</v>
      </c>
      <c r="E2368" t="s">
        <v>20826</v>
      </c>
      <c r="F2368" t="s">
        <v>20827</v>
      </c>
      <c r="G2368" t="s">
        <v>7697</v>
      </c>
      <c r="H2368" t="s">
        <v>7698</v>
      </c>
      <c r="I2368" t="s">
        <v>2239</v>
      </c>
      <c r="J2368" t="s">
        <v>22</v>
      </c>
      <c r="K2368" t="s">
        <v>20828</v>
      </c>
      <c r="L2368" t="s">
        <v>20831</v>
      </c>
      <c r="M2368" t="s">
        <v>25</v>
      </c>
      <c r="N2368" t="s">
        <v>20832</v>
      </c>
      <c r="O2368" t="s">
        <v>25</v>
      </c>
      <c r="P2368" t="s">
        <v>20833</v>
      </c>
      <c r="Q2368" t="s">
        <v>29</v>
      </c>
      <c r="R2368" t="s">
        <v>20829</v>
      </c>
      <c r="S2368" t="s">
        <v>20830</v>
      </c>
    </row>
    <row r="2369" spans="1:19" x14ac:dyDescent="0.25">
      <c r="A2369" s="1">
        <v>2367</v>
      </c>
      <c r="B2369" t="str">
        <f>HYPERLINK("https://www.dasschnelle.at/zimmermann-klaus-dr-mattsee-münsterholzstraße","Website")</f>
        <v>Website</v>
      </c>
      <c r="C2369" t="str">
        <f>HYPERLINK("http://www.dr-zimmermann.at","Website")</f>
        <v>Website</v>
      </c>
      <c r="D2369" t="str">
        <f>HYPERLINK("http://www.google.com/maps/place/47.96774,13.10573","Location")</f>
        <v>Location</v>
      </c>
      <c r="E2369" t="s">
        <v>20834</v>
      </c>
      <c r="F2369" t="s">
        <v>20835</v>
      </c>
      <c r="G2369" t="s">
        <v>10394</v>
      </c>
      <c r="H2369" t="s">
        <v>10395</v>
      </c>
      <c r="I2369" t="s">
        <v>2239</v>
      </c>
      <c r="J2369" t="s">
        <v>22</v>
      </c>
      <c r="K2369" t="s">
        <v>20836</v>
      </c>
      <c r="L2369" t="s">
        <v>20839</v>
      </c>
      <c r="M2369" t="s">
        <v>25</v>
      </c>
      <c r="N2369" t="s">
        <v>25</v>
      </c>
      <c r="O2369" t="s">
        <v>25</v>
      </c>
      <c r="P2369" t="s">
        <v>20840</v>
      </c>
      <c r="Q2369" t="s">
        <v>29</v>
      </c>
      <c r="R2369" t="s">
        <v>20837</v>
      </c>
      <c r="S2369" t="s">
        <v>20838</v>
      </c>
    </row>
    <row r="2370" spans="1:19" x14ac:dyDescent="0.25">
      <c r="A2370" s="1">
        <v>2368</v>
      </c>
      <c r="B2370" t="str">
        <f>HYPERLINK("https://www.dasschnelle.at/skabraut-erich-weißenbach-am-lech-pfarrweg","Website")</f>
        <v>Website</v>
      </c>
      <c r="C2370" t="str">
        <f>HYPERLINK("https://www.dasschnelle.at/skabraut-erich-wei%C3%9Fenbach-am-lech-pfarrweg","Website")</f>
        <v>Website</v>
      </c>
      <c r="D2370" t="str">
        <f>HYPERLINK("http://www.google.com/maps/place/47.4374073,10.6273170","Location")</f>
        <v>Location</v>
      </c>
      <c r="E2370" t="s">
        <v>20841</v>
      </c>
      <c r="F2370" t="s">
        <v>20842</v>
      </c>
      <c r="G2370" t="s">
        <v>14685</v>
      </c>
      <c r="H2370" t="s">
        <v>14686</v>
      </c>
      <c r="I2370" t="s">
        <v>21</v>
      </c>
      <c r="J2370" t="s">
        <v>22</v>
      </c>
      <c r="K2370" t="s">
        <v>20843</v>
      </c>
      <c r="L2370" t="s">
        <v>20846</v>
      </c>
      <c r="M2370" t="s">
        <v>25</v>
      </c>
      <c r="N2370" t="s">
        <v>20847</v>
      </c>
      <c r="O2370" t="s">
        <v>25</v>
      </c>
      <c r="P2370" t="s">
        <v>20848</v>
      </c>
      <c r="Q2370" t="s">
        <v>29</v>
      </c>
      <c r="R2370" t="s">
        <v>20844</v>
      </c>
      <c r="S2370" t="s">
        <v>20845</v>
      </c>
    </row>
    <row r="2371" spans="1:19" x14ac:dyDescent="0.25">
      <c r="A2371" s="1">
        <v>2369</v>
      </c>
      <c r="B2371" t="str">
        <f>HYPERLINK("https://www.dasschnelle.at/astecker-tina-prim-dr-med-gmunden-cumberlandpark","Website")</f>
        <v>Website</v>
      </c>
      <c r="C2371" t="str">
        <f>HYPERLINK("http://www.augenarzt-gmunden.at","Website")</f>
        <v>Website</v>
      </c>
      <c r="D2371" t="str">
        <f>HYPERLINK("http://www.google.com/maps/place/47.9283547,13.8057469","Location")</f>
        <v>Location</v>
      </c>
      <c r="E2371" t="s">
        <v>20849</v>
      </c>
      <c r="F2371" t="s">
        <v>20850</v>
      </c>
      <c r="G2371" t="s">
        <v>6951</v>
      </c>
      <c r="H2371" t="s">
        <v>6952</v>
      </c>
      <c r="I2371" t="s">
        <v>85</v>
      </c>
      <c r="J2371" t="s">
        <v>22</v>
      </c>
      <c r="K2371" t="s">
        <v>20851</v>
      </c>
      <c r="L2371" t="s">
        <v>20854</v>
      </c>
      <c r="M2371" t="s">
        <v>25</v>
      </c>
      <c r="N2371" t="s">
        <v>20855</v>
      </c>
      <c r="O2371" t="s">
        <v>20856</v>
      </c>
      <c r="P2371" t="s">
        <v>20857</v>
      </c>
      <c r="Q2371" t="s">
        <v>29</v>
      </c>
      <c r="R2371" t="s">
        <v>20852</v>
      </c>
      <c r="S2371" t="s">
        <v>20853</v>
      </c>
    </row>
    <row r="2372" spans="1:19" x14ac:dyDescent="0.25">
      <c r="A2372" s="1">
        <v>2370</v>
      </c>
      <c r="B2372" t="str">
        <f>HYPERLINK("https://www.dasschnelle.at/enzinger-elke-dr-med-würflach-heuweg","Website")</f>
        <v>Website</v>
      </c>
      <c r="C2372" t="str">
        <f>HYPERLINK("https://www.dasschnelle.at/enzinger-elke-dr-med-w%C3%BCrflach-heuweg","Website")</f>
        <v>Website</v>
      </c>
      <c r="D2372" t="str">
        <f>HYPERLINK("http://www.google.com/maps/place/47.7709,16.05666","Location")</f>
        <v>Location</v>
      </c>
      <c r="E2372" t="s">
        <v>20858</v>
      </c>
      <c r="F2372" t="s">
        <v>20859</v>
      </c>
      <c r="G2372" t="s">
        <v>5729</v>
      </c>
      <c r="H2372" t="s">
        <v>20861</v>
      </c>
      <c r="I2372" t="s">
        <v>177</v>
      </c>
      <c r="J2372" t="s">
        <v>22</v>
      </c>
      <c r="K2372" t="s">
        <v>20860</v>
      </c>
      <c r="L2372" t="s">
        <v>20864</v>
      </c>
      <c r="M2372" t="s">
        <v>25</v>
      </c>
      <c r="N2372" t="s">
        <v>25</v>
      </c>
      <c r="O2372" t="s">
        <v>25</v>
      </c>
      <c r="P2372" t="s">
        <v>20865</v>
      </c>
      <c r="Q2372" t="s">
        <v>29</v>
      </c>
      <c r="R2372" t="s">
        <v>20862</v>
      </c>
      <c r="S2372" t="s">
        <v>20863</v>
      </c>
    </row>
    <row r="2373" spans="1:19" x14ac:dyDescent="0.25">
      <c r="A2373" s="1">
        <v>2371</v>
      </c>
      <c r="B2373" t="str">
        <f>HYPERLINK("https://www.dasschnelle.at/paul-oliver-dr-ternitz-rathausgasse","Website")</f>
        <v>Website</v>
      </c>
      <c r="C2373" t="str">
        <f>HYPERLINK("https://www.dasschnelle.at/paul-oliver-dr-ternitz-rathausgasse","Website")</f>
        <v>Website</v>
      </c>
      <c r="D2373" t="str">
        <f>HYPERLINK("http://www.google.com/maps/place/47.71569,16.03891","Location")</f>
        <v>Location</v>
      </c>
      <c r="E2373" t="s">
        <v>20866</v>
      </c>
      <c r="F2373" t="s">
        <v>20867</v>
      </c>
      <c r="G2373" t="s">
        <v>5667</v>
      </c>
      <c r="H2373" t="s">
        <v>5668</v>
      </c>
      <c r="I2373" t="s">
        <v>177</v>
      </c>
      <c r="J2373" t="s">
        <v>22</v>
      </c>
      <c r="K2373" t="s">
        <v>20868</v>
      </c>
      <c r="L2373" t="s">
        <v>20871</v>
      </c>
      <c r="M2373" t="s">
        <v>25</v>
      </c>
      <c r="N2373" t="s">
        <v>25</v>
      </c>
      <c r="O2373" t="s">
        <v>25</v>
      </c>
      <c r="P2373" t="s">
        <v>20872</v>
      </c>
      <c r="Q2373" t="s">
        <v>29</v>
      </c>
      <c r="R2373" t="s">
        <v>20869</v>
      </c>
      <c r="S2373" t="s">
        <v>20870</v>
      </c>
    </row>
    <row r="2374" spans="1:19" x14ac:dyDescent="0.25">
      <c r="A2374" s="1">
        <v>2372</v>
      </c>
      <c r="B2374" t="str">
        <f>HYPERLINK("https://www.dasschnelle.at/fasan-m-dr-neunkirchen-talgasse","Website")</f>
        <v>Website</v>
      </c>
      <c r="C2374" t="str">
        <f>HYPERLINK("https://www.dasschnelle.at/fasan-m-dr-neunkirchen-talgasse","Website")</f>
        <v>Website</v>
      </c>
      <c r="D2374" t="str">
        <f>HYPERLINK("http://www.google.com/maps/place/47.72225,16.07501","Location")</f>
        <v>Location</v>
      </c>
      <c r="E2374" t="s">
        <v>20873</v>
      </c>
      <c r="F2374" t="s">
        <v>20874</v>
      </c>
      <c r="G2374" t="s">
        <v>5676</v>
      </c>
      <c r="H2374" t="s">
        <v>5677</v>
      </c>
      <c r="I2374" t="s">
        <v>177</v>
      </c>
      <c r="J2374" t="s">
        <v>22</v>
      </c>
      <c r="K2374" t="s">
        <v>20875</v>
      </c>
      <c r="L2374" t="s">
        <v>20878</v>
      </c>
      <c r="M2374" t="s">
        <v>25</v>
      </c>
      <c r="N2374" t="s">
        <v>20879</v>
      </c>
      <c r="O2374" t="s">
        <v>25</v>
      </c>
      <c r="P2374" t="s">
        <v>20880</v>
      </c>
      <c r="Q2374" t="s">
        <v>29</v>
      </c>
      <c r="R2374" t="s">
        <v>20876</v>
      </c>
      <c r="S2374" t="s">
        <v>20877</v>
      </c>
    </row>
    <row r="2375" spans="1:19" x14ac:dyDescent="0.25">
      <c r="A2375" s="1">
        <v>2373</v>
      </c>
      <c r="B2375" t="str">
        <f>HYPERLINK("https://www.dasschnelle.at/dipplinger-gesmbh-altheim-schulgasse","Website")</f>
        <v>Website</v>
      </c>
      <c r="C2375" t="str">
        <f>HYPERLINK("https://www.dasschnelle.at/dipplinger-gesmbh-altheim-schulgasse","Website")</f>
        <v>Website</v>
      </c>
      <c r="D2375" t="str">
        <f>HYPERLINK("http://www.google.com/maps/place/48.24694,13.23385","Location")</f>
        <v>Location</v>
      </c>
      <c r="E2375" t="s">
        <v>20881</v>
      </c>
      <c r="F2375" t="s">
        <v>20882</v>
      </c>
      <c r="G2375" t="s">
        <v>1354</v>
      </c>
      <c r="H2375" t="s">
        <v>1355</v>
      </c>
      <c r="I2375" t="s">
        <v>85</v>
      </c>
      <c r="J2375" t="s">
        <v>22</v>
      </c>
      <c r="K2375" t="s">
        <v>20883</v>
      </c>
      <c r="L2375" t="s">
        <v>20886</v>
      </c>
      <c r="M2375" t="s">
        <v>25</v>
      </c>
      <c r="N2375" t="s">
        <v>20887</v>
      </c>
      <c r="O2375" t="s">
        <v>20888</v>
      </c>
      <c r="P2375" t="s">
        <v>20889</v>
      </c>
      <c r="Q2375" t="s">
        <v>29</v>
      </c>
      <c r="R2375" t="s">
        <v>20884</v>
      </c>
      <c r="S2375" t="s">
        <v>20885</v>
      </c>
    </row>
    <row r="2376" spans="1:19" x14ac:dyDescent="0.25">
      <c r="A2376" s="1">
        <v>2374</v>
      </c>
      <c r="B2376" t="str">
        <f>HYPERLINK("https://www.dasschnelle.at/steinerberger-daniela-altheim-stadtplatz","Website")</f>
        <v>Website</v>
      </c>
      <c r="C2376" t="str">
        <f>HYPERLINK("http://www.danielas-haarwelt.at","Website")</f>
        <v>Website</v>
      </c>
      <c r="D2376" t="str">
        <f>HYPERLINK("http://www.google.com/maps/place/48.25014,13.23178","Location")</f>
        <v>Location</v>
      </c>
      <c r="E2376" t="s">
        <v>20890</v>
      </c>
      <c r="F2376" t="s">
        <v>20891</v>
      </c>
      <c r="G2376" t="s">
        <v>1354</v>
      </c>
      <c r="H2376" t="s">
        <v>1355</v>
      </c>
      <c r="I2376" t="s">
        <v>85</v>
      </c>
      <c r="J2376" t="s">
        <v>22</v>
      </c>
      <c r="K2376" t="s">
        <v>20892</v>
      </c>
      <c r="L2376" t="s">
        <v>20895</v>
      </c>
      <c r="M2376" t="s">
        <v>25</v>
      </c>
      <c r="N2376" t="s">
        <v>20896</v>
      </c>
      <c r="O2376" t="s">
        <v>25</v>
      </c>
      <c r="P2376" t="s">
        <v>20897</v>
      </c>
      <c r="Q2376" t="s">
        <v>29</v>
      </c>
      <c r="R2376" t="s">
        <v>20893</v>
      </c>
      <c r="S2376" t="s">
        <v>20894</v>
      </c>
    </row>
    <row r="2377" spans="1:19" x14ac:dyDescent="0.25">
      <c r="A2377" s="1">
        <v>2375</v>
      </c>
      <c r="B2377" t="str">
        <f>HYPERLINK("https://www.dasschnelle.at/wodl-gerald-gloggnitz-august-blum-straße","Website")</f>
        <v>Website</v>
      </c>
      <c r="C2377" t="str">
        <f>HYPERLINK("http://www.wodl.at","Website")</f>
        <v>Website</v>
      </c>
      <c r="D2377" t="str">
        <f>HYPERLINK("http://www.google.com/maps/place/47.6621706,15.9203735","Location")</f>
        <v>Location</v>
      </c>
      <c r="E2377" t="s">
        <v>20898</v>
      </c>
      <c r="F2377" t="s">
        <v>20899</v>
      </c>
      <c r="G2377" t="s">
        <v>5703</v>
      </c>
      <c r="H2377" t="s">
        <v>5704</v>
      </c>
      <c r="I2377" t="s">
        <v>177</v>
      </c>
      <c r="J2377" t="s">
        <v>22</v>
      </c>
      <c r="K2377" t="s">
        <v>20900</v>
      </c>
      <c r="L2377" t="s">
        <v>20903</v>
      </c>
      <c r="M2377" t="s">
        <v>25</v>
      </c>
      <c r="N2377" t="s">
        <v>20904</v>
      </c>
      <c r="O2377" t="s">
        <v>25</v>
      </c>
      <c r="P2377" t="s">
        <v>20905</v>
      </c>
      <c r="Q2377" t="s">
        <v>29</v>
      </c>
      <c r="R2377" t="s">
        <v>20901</v>
      </c>
      <c r="S2377" t="s">
        <v>20902</v>
      </c>
    </row>
    <row r="2378" spans="1:19" x14ac:dyDescent="0.25">
      <c r="A2378" s="1">
        <v>2376</v>
      </c>
      <c r="B2378" t="str">
        <f>HYPERLINK("https://www.dasschnelle.at/ege-raumausstattung-gmbh-neunkirchen-wienerstraße","Website")</f>
        <v>Website</v>
      </c>
      <c r="C2378" t="str">
        <f>HYPERLINK("http://www.ege-raum.at","Website")</f>
        <v>Website</v>
      </c>
      <c r="D2378" t="str">
        <f>HYPERLINK("http://www.google.com/maps/place/47.7297300,16.0962165","Location")</f>
        <v>Location</v>
      </c>
      <c r="E2378" t="s">
        <v>20906</v>
      </c>
      <c r="F2378" t="s">
        <v>20907</v>
      </c>
      <c r="G2378" t="s">
        <v>5676</v>
      </c>
      <c r="H2378" t="s">
        <v>5677</v>
      </c>
      <c r="I2378" t="s">
        <v>177</v>
      </c>
      <c r="J2378" t="s">
        <v>22</v>
      </c>
      <c r="K2378" t="s">
        <v>20908</v>
      </c>
      <c r="L2378" t="s">
        <v>20911</v>
      </c>
      <c r="M2378" t="s">
        <v>25</v>
      </c>
      <c r="N2378" t="s">
        <v>20912</v>
      </c>
      <c r="O2378" t="s">
        <v>20913</v>
      </c>
      <c r="P2378" t="s">
        <v>20914</v>
      </c>
      <c r="Q2378" t="s">
        <v>29</v>
      </c>
      <c r="R2378" t="s">
        <v>20909</v>
      </c>
      <c r="S2378" t="s">
        <v>20910</v>
      </c>
    </row>
    <row r="2379" spans="1:19" x14ac:dyDescent="0.25">
      <c r="A2379" s="1">
        <v>2377</v>
      </c>
      <c r="B2379" t="str">
        <f>HYPERLINK("https://www.dasschnelle.at/hkls-service-leonding-wiener-bundesstraße","Website")</f>
        <v>Website</v>
      </c>
      <c r="C2379" t="str">
        <f>HYPERLINK("http://www.hkls-service.at","Website")</f>
        <v>Website</v>
      </c>
      <c r="D2379" t="str">
        <f>HYPERLINK("http://www.google.com/maps/place/48.2440400,14.2563200","Location")</f>
        <v>Location</v>
      </c>
      <c r="E2379" t="s">
        <v>20915</v>
      </c>
      <c r="F2379" t="s">
        <v>20916</v>
      </c>
      <c r="G2379" t="s">
        <v>20918</v>
      </c>
      <c r="H2379" t="s">
        <v>20919</v>
      </c>
      <c r="I2379" t="s">
        <v>85</v>
      </c>
      <c r="J2379" t="s">
        <v>22</v>
      </c>
      <c r="K2379" t="s">
        <v>20917</v>
      </c>
      <c r="L2379" t="s">
        <v>20922</v>
      </c>
      <c r="M2379" t="s">
        <v>25</v>
      </c>
      <c r="N2379" t="s">
        <v>20923</v>
      </c>
      <c r="O2379" t="s">
        <v>25</v>
      </c>
      <c r="P2379" t="s">
        <v>20924</v>
      </c>
      <c r="Q2379" t="s">
        <v>29</v>
      </c>
      <c r="R2379" t="s">
        <v>20920</v>
      </c>
      <c r="S2379" t="s">
        <v>20921</v>
      </c>
    </row>
    <row r="2380" spans="1:19" x14ac:dyDescent="0.25">
      <c r="A2380" s="1">
        <v>2378</v>
      </c>
      <c r="B2380" t="str">
        <f>HYPERLINK("https://www.dasschnelle.at/sabine-bad-erlach-dorfgasse","Website")</f>
        <v>Website</v>
      </c>
      <c r="C2380" t="str">
        <f>HYPERLINK("http://www.wirtin-sabine.at","Website")</f>
        <v>Website</v>
      </c>
      <c r="D2380" t="str">
        <f>HYPERLINK("http://www.google.com/maps/place/47.72569,16.21493","Location")</f>
        <v>Location</v>
      </c>
      <c r="E2380" t="s">
        <v>20925</v>
      </c>
      <c r="F2380" t="s">
        <v>20926</v>
      </c>
      <c r="G2380" t="s">
        <v>3998</v>
      </c>
      <c r="H2380" t="s">
        <v>3999</v>
      </c>
      <c r="I2380" t="s">
        <v>177</v>
      </c>
      <c r="J2380" t="s">
        <v>22</v>
      </c>
      <c r="K2380" t="s">
        <v>3997</v>
      </c>
      <c r="L2380" t="s">
        <v>4002</v>
      </c>
      <c r="M2380" t="s">
        <v>25</v>
      </c>
      <c r="N2380" t="s">
        <v>4003</v>
      </c>
      <c r="O2380" t="s">
        <v>25</v>
      </c>
      <c r="P2380" t="s">
        <v>20927</v>
      </c>
      <c r="Q2380" t="s">
        <v>29</v>
      </c>
      <c r="R2380" t="s">
        <v>4000</v>
      </c>
      <c r="S2380" t="s">
        <v>4001</v>
      </c>
    </row>
    <row r="2381" spans="1:19" x14ac:dyDescent="0.25">
      <c r="A2381" s="1">
        <v>2379</v>
      </c>
      <c r="B2381" t="str">
        <f>HYPERLINK("https://www.dasschnelle.at/behindertenintegration-ternitz-gemeinnützige-gmbh-ternitz-lobengasse","Website")</f>
        <v>Website</v>
      </c>
      <c r="C2381" t="str">
        <f>HYPERLINK("http://www.behinderten-integration.at","Website")</f>
        <v>Website</v>
      </c>
      <c r="D2381" t="str">
        <f>HYPERLINK("http://www.google.com/maps/place/47.71404,16.04405","Location")</f>
        <v>Location</v>
      </c>
      <c r="E2381" t="s">
        <v>20928</v>
      </c>
      <c r="F2381" t="s">
        <v>20929</v>
      </c>
      <c r="G2381" t="s">
        <v>5667</v>
      </c>
      <c r="H2381" t="s">
        <v>5668</v>
      </c>
      <c r="I2381" t="s">
        <v>177</v>
      </c>
      <c r="J2381" t="s">
        <v>22</v>
      </c>
      <c r="K2381" t="s">
        <v>20930</v>
      </c>
      <c r="L2381" t="s">
        <v>20933</v>
      </c>
      <c r="M2381" t="s">
        <v>20934</v>
      </c>
      <c r="N2381" t="s">
        <v>20935</v>
      </c>
      <c r="O2381" t="s">
        <v>25</v>
      </c>
      <c r="P2381" t="s">
        <v>20936</v>
      </c>
      <c r="Q2381" t="s">
        <v>29</v>
      </c>
      <c r="R2381" t="s">
        <v>20931</v>
      </c>
      <c r="S2381" t="s">
        <v>20932</v>
      </c>
    </row>
    <row r="2382" spans="1:19" x14ac:dyDescent="0.25">
      <c r="A2382" s="1">
        <v>2380</v>
      </c>
      <c r="B2382" t="str">
        <f>HYPERLINK("https://www.dasschnelle.at/kopeinigg-dr-und-dr-novak-og-gruppenpraxis-f-radiologie-neunkirchen-holzplatz","Website")</f>
        <v>Website</v>
      </c>
      <c r="C2382" t="str">
        <f>HYPERLINK("http://www.roentgenneunkirchen.at","Website")</f>
        <v>Website</v>
      </c>
      <c r="D2382" t="str">
        <f>HYPERLINK("http://www.google.com/maps/place/47.7213219,16.0789725","Location")</f>
        <v>Location</v>
      </c>
      <c r="E2382" t="s">
        <v>20937</v>
      </c>
      <c r="F2382" t="s">
        <v>20938</v>
      </c>
      <c r="G2382" t="s">
        <v>5676</v>
      </c>
      <c r="H2382" t="s">
        <v>5677</v>
      </c>
      <c r="I2382" t="s">
        <v>177</v>
      </c>
      <c r="J2382" t="s">
        <v>22</v>
      </c>
      <c r="K2382" t="s">
        <v>20939</v>
      </c>
      <c r="L2382" t="s">
        <v>20942</v>
      </c>
      <c r="M2382" t="s">
        <v>25</v>
      </c>
      <c r="N2382" t="s">
        <v>20943</v>
      </c>
      <c r="O2382" t="s">
        <v>25</v>
      </c>
      <c r="P2382" t="s">
        <v>20944</v>
      </c>
      <c r="Q2382" t="s">
        <v>29</v>
      </c>
      <c r="R2382" t="s">
        <v>20940</v>
      </c>
      <c r="S2382" t="s">
        <v>20941</v>
      </c>
    </row>
    <row r="2383" spans="1:19" x14ac:dyDescent="0.25">
      <c r="A2383" s="1">
        <v>2381</v>
      </c>
      <c r="B2383" t="str">
        <f>HYPERLINK("https://www.dasschnelle.at/schaller-günther-dr-gmunden-traungasse","Website")</f>
        <v>Website</v>
      </c>
      <c r="C2383" t="str">
        <f>HYPERLINK("https://www.dasschnelle.at/schaller-g%C3%BCnther-dr-gmunden-traungasse","Website")</f>
        <v>Website</v>
      </c>
      <c r="D2383" t="str">
        <f>HYPERLINK("http://www.google.com/maps/place/47.9193,13.80111","Location")</f>
        <v>Location</v>
      </c>
      <c r="E2383" t="s">
        <v>20945</v>
      </c>
      <c r="F2383" t="s">
        <v>20946</v>
      </c>
      <c r="G2383" t="s">
        <v>6951</v>
      </c>
      <c r="H2383" t="s">
        <v>6952</v>
      </c>
      <c r="I2383" t="s">
        <v>85</v>
      </c>
      <c r="J2383" t="s">
        <v>22</v>
      </c>
      <c r="K2383" t="s">
        <v>20947</v>
      </c>
      <c r="L2383" t="s">
        <v>20950</v>
      </c>
      <c r="M2383" t="s">
        <v>25</v>
      </c>
      <c r="N2383" t="s">
        <v>25</v>
      </c>
      <c r="O2383" t="s">
        <v>25</v>
      </c>
      <c r="P2383" t="s">
        <v>20951</v>
      </c>
      <c r="Q2383" t="s">
        <v>29</v>
      </c>
      <c r="R2383" t="s">
        <v>20948</v>
      </c>
      <c r="S2383" t="s">
        <v>20949</v>
      </c>
    </row>
    <row r="2384" spans="1:19" x14ac:dyDescent="0.25">
      <c r="A2384" s="1">
        <v>2382</v>
      </c>
      <c r="B2384" t="str">
        <f>HYPERLINK("https://www.dasschnelle.at/schweifer-e-u-inh-robert-schweifer-uttendorf-uttendorf","Website")</f>
        <v>Website</v>
      </c>
      <c r="C2384" t="str">
        <f>HYPERLINK("https://www.dasschnelle.at/schweifer-e-u-inh-robert-schweifer-uttendorf-uttendorf","Website")</f>
        <v>Website</v>
      </c>
      <c r="D2384" t="str">
        <f>HYPERLINK("http://www.google.com/maps/place/48.1543493,13.1186072","Location")</f>
        <v>Location</v>
      </c>
      <c r="E2384" t="s">
        <v>20952</v>
      </c>
      <c r="F2384" t="s">
        <v>20953</v>
      </c>
      <c r="G2384" t="s">
        <v>1328</v>
      </c>
      <c r="H2384" t="s">
        <v>1329</v>
      </c>
      <c r="I2384" t="s">
        <v>85</v>
      </c>
      <c r="J2384" t="s">
        <v>22</v>
      </c>
      <c r="K2384" t="s">
        <v>20954</v>
      </c>
      <c r="L2384" t="s">
        <v>20957</v>
      </c>
      <c r="M2384" t="s">
        <v>25</v>
      </c>
      <c r="N2384" t="s">
        <v>20958</v>
      </c>
      <c r="O2384" t="s">
        <v>25</v>
      </c>
      <c r="P2384" t="s">
        <v>20959</v>
      </c>
      <c r="Q2384" t="s">
        <v>29</v>
      </c>
      <c r="R2384" t="s">
        <v>20955</v>
      </c>
      <c r="S2384" t="s">
        <v>20956</v>
      </c>
    </row>
    <row r="2385" spans="1:19" x14ac:dyDescent="0.25">
      <c r="A2385" s="1">
        <v>2383</v>
      </c>
      <c r="B2385" t="str">
        <f>HYPERLINK("https://www.dasschnelle.at/robusta-muigg-bau-u-raum-handelsgmbh-uttendorf-marktplatz","Website")</f>
        <v>Website</v>
      </c>
      <c r="C2385" t="str">
        <f>HYPERLINK("http://www.robusta-muigg.at","Website")</f>
        <v>Website</v>
      </c>
      <c r="D2385" t="str">
        <f>HYPERLINK("http://www.google.com/maps/place/48.1551914,13.1179784","Location")</f>
        <v>Location</v>
      </c>
      <c r="E2385" t="s">
        <v>20960</v>
      </c>
      <c r="F2385" t="s">
        <v>20961</v>
      </c>
      <c r="G2385" t="s">
        <v>1328</v>
      </c>
      <c r="H2385" t="s">
        <v>1329</v>
      </c>
      <c r="I2385" t="s">
        <v>85</v>
      </c>
      <c r="J2385" t="s">
        <v>22</v>
      </c>
      <c r="K2385" t="s">
        <v>20962</v>
      </c>
      <c r="L2385" t="s">
        <v>20965</v>
      </c>
      <c r="M2385" t="s">
        <v>25</v>
      </c>
      <c r="N2385" t="s">
        <v>20966</v>
      </c>
      <c r="O2385" t="s">
        <v>25</v>
      </c>
      <c r="P2385" t="s">
        <v>20967</v>
      </c>
      <c r="Q2385" t="s">
        <v>29</v>
      </c>
      <c r="R2385" t="s">
        <v>20963</v>
      </c>
      <c r="S2385" t="s">
        <v>20964</v>
      </c>
    </row>
    <row r="2386" spans="1:19" x14ac:dyDescent="0.25">
      <c r="A2386" s="1">
        <v>2384</v>
      </c>
      <c r="B2386" t="str">
        <f>HYPERLINK("https://www.dasschnelle.at/konditorie-wallner-kg-st-wolfgang-im-salzkamm-markt","Website")</f>
        <v>Website</v>
      </c>
      <c r="C2386" t="str">
        <f>HYPERLINK("http://www.cafe-wallner.at","Website")</f>
        <v>Website</v>
      </c>
      <c r="D2386" t="str">
        <f>HYPERLINK("http://www.google.com/maps/place/47.7383600,13.4478400","Location")</f>
        <v>Location</v>
      </c>
      <c r="E2386" t="s">
        <v>20968</v>
      </c>
      <c r="F2386" t="s">
        <v>20969</v>
      </c>
      <c r="G2386" t="s">
        <v>2290</v>
      </c>
      <c r="H2386" t="s">
        <v>20971</v>
      </c>
      <c r="I2386" t="s">
        <v>85</v>
      </c>
      <c r="J2386" t="s">
        <v>22</v>
      </c>
      <c r="K2386" t="s">
        <v>20970</v>
      </c>
      <c r="L2386" t="s">
        <v>20974</v>
      </c>
      <c r="M2386" t="s">
        <v>25</v>
      </c>
      <c r="N2386" t="s">
        <v>20975</v>
      </c>
      <c r="O2386" t="s">
        <v>25</v>
      </c>
      <c r="P2386" t="s">
        <v>20976</v>
      </c>
      <c r="Q2386" t="s">
        <v>29</v>
      </c>
      <c r="R2386" t="s">
        <v>20972</v>
      </c>
      <c r="S2386" t="s">
        <v>20973</v>
      </c>
    </row>
    <row r="2387" spans="1:19" x14ac:dyDescent="0.25">
      <c r="A2387" s="1">
        <v>2385</v>
      </c>
      <c r="B2387" t="str">
        <f>HYPERLINK("https://www.dasschnelle.at/klinger-thomas-ing-groß-sankt-florian-marktstraße","Website")</f>
        <v>Website</v>
      </c>
      <c r="C2387" t="str">
        <f>HYPERLINK("http://www.fleischerei-klinger.at","Website")</f>
        <v>Website</v>
      </c>
      <c r="D2387" t="str">
        <f>HYPERLINK("http://www.google.com/maps/place/46.822,15.3172","Location")</f>
        <v>Location</v>
      </c>
      <c r="E2387" t="s">
        <v>20977</v>
      </c>
      <c r="F2387" t="s">
        <v>20978</v>
      </c>
      <c r="G2387" t="s">
        <v>2862</v>
      </c>
      <c r="H2387" t="s">
        <v>2863</v>
      </c>
      <c r="I2387" t="s">
        <v>451</v>
      </c>
      <c r="J2387" t="s">
        <v>22</v>
      </c>
      <c r="K2387" t="s">
        <v>8570</v>
      </c>
      <c r="L2387" t="s">
        <v>20981</v>
      </c>
      <c r="M2387" t="s">
        <v>20982</v>
      </c>
      <c r="N2387" t="s">
        <v>20983</v>
      </c>
      <c r="O2387" t="s">
        <v>20984</v>
      </c>
      <c r="P2387" t="s">
        <v>20985</v>
      </c>
      <c r="Q2387" t="s">
        <v>29</v>
      </c>
      <c r="R2387" t="s">
        <v>20979</v>
      </c>
      <c r="S2387" t="s">
        <v>20980</v>
      </c>
    </row>
    <row r="2388" spans="1:19" x14ac:dyDescent="0.25">
      <c r="A2388" s="1">
        <v>2386</v>
      </c>
      <c r="B2388" t="str">
        <f>HYPERLINK("https://www.dasschnelle.at/tischlerei-christian-klement-groß-sankt-florian-petzeldorf-petzelsdorfstraße","Website")</f>
        <v>Website</v>
      </c>
      <c r="C2388" t="str">
        <f>HYPERLINK("http://www.tischlerei-klement.at","Website")</f>
        <v>Website</v>
      </c>
      <c r="D2388" t="str">
        <f>HYPERLINK("http://www.google.com/maps/place/46.8300001,15.3213378","Location")</f>
        <v>Location</v>
      </c>
      <c r="E2388" t="s">
        <v>20986</v>
      </c>
      <c r="F2388" t="s">
        <v>20987</v>
      </c>
      <c r="G2388" t="s">
        <v>2862</v>
      </c>
      <c r="H2388" t="s">
        <v>2863</v>
      </c>
      <c r="I2388" t="s">
        <v>451</v>
      </c>
      <c r="J2388" t="s">
        <v>22</v>
      </c>
      <c r="K2388" t="s">
        <v>20988</v>
      </c>
      <c r="L2388" t="s">
        <v>20991</v>
      </c>
      <c r="M2388" t="s">
        <v>25</v>
      </c>
      <c r="N2388" t="s">
        <v>20992</v>
      </c>
      <c r="O2388" t="s">
        <v>25</v>
      </c>
      <c r="P2388" t="s">
        <v>20993</v>
      </c>
      <c r="Q2388" t="s">
        <v>29</v>
      </c>
      <c r="R2388" t="s">
        <v>20989</v>
      </c>
      <c r="S2388" t="s">
        <v>20990</v>
      </c>
    </row>
    <row r="2389" spans="1:19" x14ac:dyDescent="0.25">
      <c r="A2389" s="1">
        <v>2387</v>
      </c>
      <c r="B2389" t="str">
        <f>HYPERLINK("https://www.dasschnelle.at/haider-franz-brunn-gewerbepark","Website")</f>
        <v>Website</v>
      </c>
      <c r="C2389" t="str">
        <f>HYPERLINK("http://www.haiderfranz-transporte.at","Website")</f>
        <v>Website</v>
      </c>
      <c r="D2389" t="str">
        <f>HYPERLINK("http://www.google.com/maps/place/46.72482,15.29247","Location")</f>
        <v>Location</v>
      </c>
      <c r="E2389" t="s">
        <v>20994</v>
      </c>
      <c r="F2389" t="s">
        <v>20995</v>
      </c>
      <c r="G2389" t="s">
        <v>19504</v>
      </c>
      <c r="H2389" t="s">
        <v>20997</v>
      </c>
      <c r="I2389" t="s">
        <v>451</v>
      </c>
      <c r="J2389" t="s">
        <v>22</v>
      </c>
      <c r="K2389" t="s">
        <v>20996</v>
      </c>
      <c r="L2389" t="s">
        <v>21000</v>
      </c>
      <c r="M2389" t="s">
        <v>25</v>
      </c>
      <c r="N2389" t="s">
        <v>21001</v>
      </c>
      <c r="O2389" t="s">
        <v>25</v>
      </c>
      <c r="P2389" t="s">
        <v>21002</v>
      </c>
      <c r="Q2389" t="s">
        <v>29</v>
      </c>
      <c r="R2389" t="s">
        <v>20998</v>
      </c>
      <c r="S2389" t="s">
        <v>20999</v>
      </c>
    </row>
    <row r="2390" spans="1:19" x14ac:dyDescent="0.25">
      <c r="A2390" s="1">
        <v>2388</v>
      </c>
      <c r="B2390" t="str">
        <f>HYPERLINK("https://www.dasschnelle.at/beneda-traun-klopstockstraße","Website")</f>
        <v>Website</v>
      </c>
      <c r="C2390" t="str">
        <f>HYPERLINK("https://www.dasschnelle.at/beneda-traun-klopstockstra%C3%9Fe","Website")</f>
        <v>Website</v>
      </c>
      <c r="D2390" t="str">
        <f>HYPERLINK("http://www.google.com/maps/place/48.2433878,14.2580550","Location")</f>
        <v>Location</v>
      </c>
      <c r="E2390" t="s">
        <v>21003</v>
      </c>
      <c r="F2390" t="s">
        <v>21004</v>
      </c>
      <c r="G2390" t="s">
        <v>10227</v>
      </c>
      <c r="H2390" t="s">
        <v>10228</v>
      </c>
      <c r="I2390" t="s">
        <v>85</v>
      </c>
      <c r="J2390" t="s">
        <v>22</v>
      </c>
      <c r="K2390" t="s">
        <v>21005</v>
      </c>
      <c r="L2390" t="s">
        <v>21008</v>
      </c>
      <c r="M2390" t="s">
        <v>25</v>
      </c>
      <c r="N2390" t="s">
        <v>21009</v>
      </c>
      <c r="O2390" t="s">
        <v>25</v>
      </c>
      <c r="P2390" t="s">
        <v>21010</v>
      </c>
      <c r="Q2390" t="s">
        <v>29</v>
      </c>
      <c r="R2390" t="s">
        <v>21006</v>
      </c>
      <c r="S2390" t="s">
        <v>21007</v>
      </c>
    </row>
    <row r="2391" spans="1:19" x14ac:dyDescent="0.25">
      <c r="A2391" s="1">
        <v>2389</v>
      </c>
      <c r="B2391" t="str">
        <f>HYPERLINK("https://www.dasschnelle.at/salagean-installationen-og-leonding-im-bäckerfeld","Website")</f>
        <v>Website</v>
      </c>
      <c r="C2391" t="str">
        <f>HYPERLINK("https://www.dasschnelle.at/salagean-installationen-og-leonding-im-b%C3%A4ckerfeld","Website")</f>
        <v>Website</v>
      </c>
      <c r="D2391" t="str">
        <f>HYPERLINK("http://www.google.com/maps/place/48.2527600,14.3164200","Location")</f>
        <v>Location</v>
      </c>
      <c r="E2391" t="s">
        <v>21011</v>
      </c>
      <c r="F2391" t="s">
        <v>21012</v>
      </c>
      <c r="G2391" t="s">
        <v>20918</v>
      </c>
      <c r="H2391" t="s">
        <v>20919</v>
      </c>
      <c r="I2391" t="s">
        <v>85</v>
      </c>
      <c r="J2391" t="s">
        <v>22</v>
      </c>
      <c r="K2391" t="s">
        <v>21013</v>
      </c>
      <c r="L2391" t="s">
        <v>21016</v>
      </c>
      <c r="M2391" t="s">
        <v>25</v>
      </c>
      <c r="N2391" t="s">
        <v>21017</v>
      </c>
      <c r="O2391" t="s">
        <v>25</v>
      </c>
      <c r="P2391" t="s">
        <v>697</v>
      </c>
      <c r="Q2391" t="s">
        <v>29</v>
      </c>
      <c r="R2391" t="s">
        <v>21014</v>
      </c>
      <c r="S2391" t="s">
        <v>21015</v>
      </c>
    </row>
    <row r="2392" spans="1:19" x14ac:dyDescent="0.25">
      <c r="A2392" s="1">
        <v>2390</v>
      </c>
      <c r="B2392" t="str">
        <f>HYPERLINK("https://www.dasschnelle.at/eckbauer-wirtschaftstreuhandgesmbh-büro-gloggnitz-wiener-straße","Website")</f>
        <v>Website</v>
      </c>
      <c r="C2392" t="str">
        <f>HYPERLINK("http://www.eckbauer.at","Website")</f>
        <v>Website</v>
      </c>
      <c r="D2392" t="str">
        <f>HYPERLINK("http://www.google.com/maps/place/47.67381,15.94442","Location")</f>
        <v>Location</v>
      </c>
      <c r="E2392" t="s">
        <v>21018</v>
      </c>
      <c r="F2392" t="s">
        <v>21019</v>
      </c>
      <c r="G2392" t="s">
        <v>5703</v>
      </c>
      <c r="H2392" t="s">
        <v>5704</v>
      </c>
      <c r="I2392" t="s">
        <v>177</v>
      </c>
      <c r="J2392" t="s">
        <v>22</v>
      </c>
      <c r="K2392" t="s">
        <v>21020</v>
      </c>
      <c r="L2392" t="s">
        <v>21023</v>
      </c>
      <c r="M2392" t="s">
        <v>25</v>
      </c>
      <c r="N2392" t="s">
        <v>21024</v>
      </c>
      <c r="O2392" t="s">
        <v>25</v>
      </c>
      <c r="P2392" t="s">
        <v>21025</v>
      </c>
      <c r="Q2392" t="s">
        <v>29</v>
      </c>
      <c r="R2392" t="s">
        <v>21021</v>
      </c>
      <c r="S2392" t="s">
        <v>21022</v>
      </c>
    </row>
    <row r="2393" spans="1:19" x14ac:dyDescent="0.25">
      <c r="A2393" s="1">
        <v>2391</v>
      </c>
      <c r="B2393" t="str">
        <f>HYPERLINK("https://www.dasschnelle.at/zanzerl-eisenhandel-gesmbh-eferding-bahnhofstraße","Website")</f>
        <v>Website</v>
      </c>
      <c r="C2393" t="str">
        <f>HYPERLINK("http://www.zanzerl.at","Website")</f>
        <v>Website</v>
      </c>
      <c r="D2393" t="str">
        <f>HYPERLINK("http://www.google.com/maps/place/48.30578,14.01664","Location")</f>
        <v>Location</v>
      </c>
      <c r="E2393" t="s">
        <v>21026</v>
      </c>
      <c r="F2393" t="s">
        <v>21027</v>
      </c>
      <c r="G2393" t="s">
        <v>3101</v>
      </c>
      <c r="H2393" t="s">
        <v>3102</v>
      </c>
      <c r="I2393" t="s">
        <v>85</v>
      </c>
      <c r="J2393" t="s">
        <v>22</v>
      </c>
      <c r="K2393" t="s">
        <v>909</v>
      </c>
      <c r="L2393" t="s">
        <v>21030</v>
      </c>
      <c r="M2393" t="s">
        <v>25</v>
      </c>
      <c r="N2393" t="s">
        <v>21031</v>
      </c>
      <c r="O2393" t="s">
        <v>25</v>
      </c>
      <c r="P2393" t="s">
        <v>21032</v>
      </c>
      <c r="Q2393" t="s">
        <v>29</v>
      </c>
      <c r="R2393" t="s">
        <v>21028</v>
      </c>
      <c r="S2393" t="s">
        <v>21029</v>
      </c>
    </row>
    <row r="2394" spans="1:19" x14ac:dyDescent="0.25">
      <c r="A2394" s="1">
        <v>2392</v>
      </c>
      <c r="B2394" t="str">
        <f>HYPERLINK("https://www.dasschnelle.at/posch-bernd-dr-med-braunau-am-inn-stadtplatz","Website")</f>
        <v>Website</v>
      </c>
      <c r="C2394" t="str">
        <f>HYPERLINK("http://www.khbr.at","Website")</f>
        <v>Website</v>
      </c>
      <c r="D2394" t="str">
        <f>HYPERLINK("http://www.google.com/maps/place/48.2592629,13.0345698","Location")</f>
        <v>Location</v>
      </c>
      <c r="E2394" t="s">
        <v>21033</v>
      </c>
      <c r="F2394" t="s">
        <v>21034</v>
      </c>
      <c r="G2394" t="s">
        <v>1289</v>
      </c>
      <c r="H2394" t="s">
        <v>1310</v>
      </c>
      <c r="I2394" t="s">
        <v>85</v>
      </c>
      <c r="J2394" t="s">
        <v>22</v>
      </c>
      <c r="K2394" t="s">
        <v>1438</v>
      </c>
      <c r="L2394" t="s">
        <v>21035</v>
      </c>
      <c r="M2394" t="s">
        <v>25</v>
      </c>
      <c r="N2394" t="s">
        <v>21036</v>
      </c>
      <c r="O2394" t="s">
        <v>21037</v>
      </c>
      <c r="P2394" t="s">
        <v>21038</v>
      </c>
      <c r="Q2394" t="s">
        <v>29</v>
      </c>
      <c r="R2394" t="s">
        <v>16651</v>
      </c>
      <c r="S2394" t="s">
        <v>16652</v>
      </c>
    </row>
    <row r="2395" spans="1:19" x14ac:dyDescent="0.25">
      <c r="A2395" s="1">
        <v>2393</v>
      </c>
      <c r="B2395" t="str">
        <f>HYPERLINK("https://www.dasschnelle.at/artner-walter-eferding-ledererstraße","Website")</f>
        <v>Website</v>
      </c>
      <c r="C2395" t="str">
        <f>HYPERLINK("http://www.lederbekleidung-artner.at","Website")</f>
        <v>Website</v>
      </c>
      <c r="D2395" t="str">
        <f>HYPERLINK("http://www.google.com/maps/place/48.30914,14.01849","Location")</f>
        <v>Location</v>
      </c>
      <c r="E2395" t="s">
        <v>21039</v>
      </c>
      <c r="F2395" t="s">
        <v>21040</v>
      </c>
      <c r="G2395" t="s">
        <v>3101</v>
      </c>
      <c r="H2395" t="s">
        <v>3102</v>
      </c>
      <c r="I2395" t="s">
        <v>85</v>
      </c>
      <c r="J2395" t="s">
        <v>22</v>
      </c>
      <c r="K2395" t="s">
        <v>21041</v>
      </c>
      <c r="L2395" t="s">
        <v>21044</v>
      </c>
      <c r="M2395" t="s">
        <v>25</v>
      </c>
      <c r="N2395" t="s">
        <v>21045</v>
      </c>
      <c r="O2395" t="s">
        <v>21046</v>
      </c>
      <c r="P2395" t="s">
        <v>21047</v>
      </c>
      <c r="Q2395" t="s">
        <v>29</v>
      </c>
      <c r="R2395" t="s">
        <v>21042</v>
      </c>
      <c r="S2395" t="s">
        <v>21043</v>
      </c>
    </row>
    <row r="2396" spans="1:19" x14ac:dyDescent="0.25">
      <c r="A2396" s="1">
        <v>2394</v>
      </c>
      <c r="B2396" t="str">
        <f>HYPERLINK("https://www.dasschnelle.at/dr-arnold-und-kramer-og-braunau-stadtplatz","Website")</f>
        <v>Website</v>
      </c>
      <c r="C2396" t="str">
        <f>HYPERLINK("https://www.dasschnelle.at/dr-arnold-und-kramer-og-braunau-stadtplatz","Website")</f>
        <v>Website</v>
      </c>
      <c r="D2396" t="str">
        <f>HYPERLINK("http://www.google.com/maps/place/48.2581768,13.0357619","Location")</f>
        <v>Location</v>
      </c>
      <c r="E2396" t="s">
        <v>21048</v>
      </c>
      <c r="F2396" t="s">
        <v>21049</v>
      </c>
      <c r="G2396" t="s">
        <v>1289</v>
      </c>
      <c r="H2396" t="s">
        <v>1290</v>
      </c>
      <c r="I2396" t="s">
        <v>85</v>
      </c>
      <c r="J2396" t="s">
        <v>22</v>
      </c>
      <c r="K2396" t="s">
        <v>18890</v>
      </c>
      <c r="L2396" t="s">
        <v>21050</v>
      </c>
      <c r="M2396" t="s">
        <v>25</v>
      </c>
      <c r="N2396" t="s">
        <v>21051</v>
      </c>
      <c r="O2396" t="s">
        <v>25</v>
      </c>
      <c r="P2396" t="s">
        <v>697</v>
      </c>
      <c r="Q2396" t="s">
        <v>29</v>
      </c>
      <c r="R2396" t="s">
        <v>18891</v>
      </c>
      <c r="S2396" t="s">
        <v>18892</v>
      </c>
    </row>
    <row r="2397" spans="1:19" x14ac:dyDescent="0.25">
      <c r="A2397" s="1">
        <v>2395</v>
      </c>
      <c r="B2397" t="str">
        <f>HYPERLINK("https://www.dasschnelle.at/ddr-karl-robert-hiebl-mag-alexander-lirk-und-mag-florian-möstl-braunau-am-inn-stadtplatz","Website")</f>
        <v>Website</v>
      </c>
      <c r="C2397" t="str">
        <f>HYPERLINK("http://www.lirk-hiebl.at","Website")</f>
        <v>Website</v>
      </c>
      <c r="D2397" t="str">
        <f>HYPERLINK("http://www.google.com/maps/place/48.2590720,13.0355422","Location")</f>
        <v>Location</v>
      </c>
      <c r="E2397" t="s">
        <v>21052</v>
      </c>
      <c r="F2397" t="s">
        <v>21053</v>
      </c>
      <c r="G2397" t="s">
        <v>1289</v>
      </c>
      <c r="H2397" t="s">
        <v>1310</v>
      </c>
      <c r="I2397" t="s">
        <v>85</v>
      </c>
      <c r="J2397" t="s">
        <v>22</v>
      </c>
      <c r="K2397" t="s">
        <v>21054</v>
      </c>
      <c r="L2397" t="s">
        <v>21057</v>
      </c>
      <c r="M2397" t="s">
        <v>25</v>
      </c>
      <c r="N2397" t="s">
        <v>21058</v>
      </c>
      <c r="O2397" t="s">
        <v>25</v>
      </c>
      <c r="P2397" t="s">
        <v>21059</v>
      </c>
      <c r="Q2397" t="s">
        <v>29</v>
      </c>
      <c r="R2397" t="s">
        <v>21055</v>
      </c>
      <c r="S2397" t="s">
        <v>21056</v>
      </c>
    </row>
    <row r="2398" spans="1:19" x14ac:dyDescent="0.25">
      <c r="A2398" s="1">
        <v>2396</v>
      </c>
      <c r="B2398" t="str">
        <f>HYPERLINK("https://www.dasschnelle.at/top-fliesen-mauerkirchen-wollöster","Website")</f>
        <v>Website</v>
      </c>
      <c r="C2398" t="str">
        <f>HYPERLINK("http://www.topfliesen.eu","Website")</f>
        <v>Website</v>
      </c>
      <c r="D2398" t="str">
        <f>HYPERLINK("http://www.google.com/maps/place/48.1936118,13.1385616","Location")</f>
        <v>Location</v>
      </c>
      <c r="E2398" t="s">
        <v>21060</v>
      </c>
      <c r="F2398" t="s">
        <v>21061</v>
      </c>
      <c r="G2398" t="s">
        <v>1422</v>
      </c>
      <c r="H2398" t="s">
        <v>1423</v>
      </c>
      <c r="I2398" t="s">
        <v>85</v>
      </c>
      <c r="J2398" t="s">
        <v>22</v>
      </c>
      <c r="K2398" t="s">
        <v>21062</v>
      </c>
      <c r="L2398" t="s">
        <v>21065</v>
      </c>
      <c r="M2398" t="s">
        <v>25</v>
      </c>
      <c r="N2398" t="s">
        <v>21066</v>
      </c>
      <c r="O2398" t="s">
        <v>25</v>
      </c>
      <c r="P2398" t="s">
        <v>21067</v>
      </c>
      <c r="Q2398" t="s">
        <v>29</v>
      </c>
      <c r="R2398" t="s">
        <v>21063</v>
      </c>
      <c r="S2398" t="s">
        <v>21064</v>
      </c>
    </row>
    <row r="2399" spans="1:19" x14ac:dyDescent="0.25">
      <c r="A2399" s="1">
        <v>2397</v>
      </c>
      <c r="B2399" t="str">
        <f>HYPERLINK("https://www.dasschnelle.at/alpu-tischlerei-gmbh-uttendorf-gewerbestraße","Website")</f>
        <v>Website</v>
      </c>
      <c r="C2399" t="str">
        <f>HYPERLINK("http://www.alpu.at","Website")</f>
        <v>Website</v>
      </c>
      <c r="D2399" t="str">
        <f>HYPERLINK("http://www.google.com/maps/place/48.16768,13.11626","Location")</f>
        <v>Location</v>
      </c>
      <c r="E2399" t="s">
        <v>21068</v>
      </c>
      <c r="F2399" t="s">
        <v>21069</v>
      </c>
      <c r="G2399" t="s">
        <v>1328</v>
      </c>
      <c r="H2399" t="s">
        <v>1329</v>
      </c>
      <c r="I2399" t="s">
        <v>85</v>
      </c>
      <c r="J2399" t="s">
        <v>22</v>
      </c>
      <c r="K2399" t="s">
        <v>21070</v>
      </c>
      <c r="L2399" t="s">
        <v>21073</v>
      </c>
      <c r="M2399" t="s">
        <v>25</v>
      </c>
      <c r="N2399" t="s">
        <v>21074</v>
      </c>
      <c r="O2399" t="s">
        <v>21075</v>
      </c>
      <c r="P2399" t="s">
        <v>21076</v>
      </c>
      <c r="Q2399" t="s">
        <v>29</v>
      </c>
      <c r="R2399" t="s">
        <v>21071</v>
      </c>
      <c r="S2399" t="s">
        <v>21072</v>
      </c>
    </row>
    <row r="2400" spans="1:19" x14ac:dyDescent="0.25">
      <c r="A2400" s="1">
        <v>2398</v>
      </c>
      <c r="B2400" t="str">
        <f>HYPERLINK("https://www.dasschnelle.at/etl-gmbh-roßbach-edt","Website")</f>
        <v>Website</v>
      </c>
      <c r="C2400" t="str">
        <f>HYPERLINK("http://www.etl-elektrotechnik.at","Website")</f>
        <v>Website</v>
      </c>
      <c r="D2400" t="str">
        <f>HYPERLINK("http://www.google.com/maps/place/48.2054520,13.2525835","Location")</f>
        <v>Location</v>
      </c>
      <c r="E2400" t="s">
        <v>21077</v>
      </c>
      <c r="F2400" t="s">
        <v>21078</v>
      </c>
      <c r="G2400" t="s">
        <v>21080</v>
      </c>
      <c r="H2400" t="s">
        <v>21081</v>
      </c>
      <c r="I2400" t="s">
        <v>85</v>
      </c>
      <c r="J2400" t="s">
        <v>22</v>
      </c>
      <c r="K2400" t="s">
        <v>21079</v>
      </c>
      <c r="L2400" t="s">
        <v>25</v>
      </c>
      <c r="M2400" t="s">
        <v>21084</v>
      </c>
      <c r="N2400" t="s">
        <v>21085</v>
      </c>
      <c r="O2400" t="s">
        <v>21086</v>
      </c>
      <c r="P2400" t="s">
        <v>21087</v>
      </c>
      <c r="Q2400" t="s">
        <v>29</v>
      </c>
      <c r="R2400" t="s">
        <v>21082</v>
      </c>
      <c r="S2400" t="s">
        <v>21083</v>
      </c>
    </row>
    <row r="2401" spans="1:19" x14ac:dyDescent="0.25">
      <c r="A2401" s="1">
        <v>2399</v>
      </c>
      <c r="B2401" t="str">
        <f>HYPERLINK("https://www.dasschnelle.at/weinberger-gerhard-dr-gmunden-mühlwangstraße","Website")</f>
        <v>Website</v>
      </c>
      <c r="C2401" t="str">
        <f>HYPERLINK("http://www.notar-weinberger.at","Website")</f>
        <v>Website</v>
      </c>
      <c r="D2401" t="str">
        <f>HYPERLINK("http://www.google.com/maps/place/47.91975,13.80606","Location")</f>
        <v>Location</v>
      </c>
      <c r="E2401" t="s">
        <v>21088</v>
      </c>
      <c r="F2401" t="s">
        <v>21089</v>
      </c>
      <c r="G2401" t="s">
        <v>6951</v>
      </c>
      <c r="H2401" t="s">
        <v>6952</v>
      </c>
      <c r="I2401" t="s">
        <v>85</v>
      </c>
      <c r="J2401" t="s">
        <v>22</v>
      </c>
      <c r="K2401" t="s">
        <v>21090</v>
      </c>
      <c r="L2401" t="s">
        <v>21093</v>
      </c>
      <c r="M2401" t="s">
        <v>25</v>
      </c>
      <c r="N2401" t="s">
        <v>21094</v>
      </c>
      <c r="O2401" t="s">
        <v>21095</v>
      </c>
      <c r="P2401" t="s">
        <v>21096</v>
      </c>
      <c r="Q2401" t="s">
        <v>29</v>
      </c>
      <c r="R2401" t="s">
        <v>21091</v>
      </c>
      <c r="S2401" t="s">
        <v>21092</v>
      </c>
    </row>
    <row r="2402" spans="1:19" x14ac:dyDescent="0.25">
      <c r="A2402" s="1">
        <v>2400</v>
      </c>
      <c r="B2402" t="str">
        <f>HYPERLINK("https://www.dasschnelle.at/hohenegger-johann-ing-katzelsdorf-gewerbepark","Website")</f>
        <v>Website</v>
      </c>
      <c r="C2402" t="str">
        <f>HYPERLINK("http://www.ing-hohenegger.at","Website")</f>
        <v>Website</v>
      </c>
      <c r="D2402" t="str">
        <f>HYPERLINK("http://www.google.com/maps/place/47.78728,16.25436","Location")</f>
        <v>Location</v>
      </c>
      <c r="E2402" t="s">
        <v>21097</v>
      </c>
      <c r="F2402" t="s">
        <v>21098</v>
      </c>
      <c r="G2402" t="s">
        <v>3972</v>
      </c>
      <c r="H2402" t="s">
        <v>3973</v>
      </c>
      <c r="I2402" t="s">
        <v>177</v>
      </c>
      <c r="J2402" t="s">
        <v>22</v>
      </c>
      <c r="K2402" t="s">
        <v>21099</v>
      </c>
      <c r="L2402" t="s">
        <v>21102</v>
      </c>
      <c r="M2402" t="s">
        <v>25</v>
      </c>
      <c r="N2402" t="s">
        <v>21103</v>
      </c>
      <c r="O2402" t="s">
        <v>25</v>
      </c>
      <c r="P2402" t="s">
        <v>21104</v>
      </c>
      <c r="Q2402" t="s">
        <v>29</v>
      </c>
      <c r="R2402" t="s">
        <v>21100</v>
      </c>
      <c r="S2402" t="s">
        <v>21101</v>
      </c>
    </row>
    <row r="2403" spans="1:19" x14ac:dyDescent="0.25">
      <c r="A2403" s="1">
        <v>2401</v>
      </c>
      <c r="B2403" t="str">
        <f>HYPERLINK("https://www.dasschnelle.at/wallmann-roland-bad-vigaun-lengfeldweg","Website")</f>
        <v>Website</v>
      </c>
      <c r="C2403" t="str">
        <f>HYPERLINK("http://www.installateur-hallein.at","Website")</f>
        <v>Website</v>
      </c>
      <c r="D2403" t="str">
        <f>HYPERLINK("http://www.google.com/maps/place/47.67097,13.15923","Location")</f>
        <v>Location</v>
      </c>
      <c r="E2403" t="s">
        <v>21105</v>
      </c>
      <c r="F2403" t="s">
        <v>21106</v>
      </c>
      <c r="G2403" t="s">
        <v>7777</v>
      </c>
      <c r="H2403" t="s">
        <v>21108</v>
      </c>
      <c r="I2403" t="s">
        <v>2239</v>
      </c>
      <c r="J2403" t="s">
        <v>22</v>
      </c>
      <c r="K2403" t="s">
        <v>21107</v>
      </c>
      <c r="L2403" t="s">
        <v>21111</v>
      </c>
      <c r="M2403" t="s">
        <v>25</v>
      </c>
      <c r="N2403" t="s">
        <v>21112</v>
      </c>
      <c r="O2403" t="s">
        <v>25</v>
      </c>
      <c r="P2403" t="s">
        <v>21113</v>
      </c>
      <c r="Q2403" t="s">
        <v>29</v>
      </c>
      <c r="R2403" t="s">
        <v>21109</v>
      </c>
      <c r="S2403" t="s">
        <v>21110</v>
      </c>
    </row>
    <row r="2404" spans="1:19" x14ac:dyDescent="0.25">
      <c r="A2404" s="1">
        <v>2402</v>
      </c>
      <c r="B2404" t="str">
        <f>HYPERLINK("https://www.dasschnelle.at/brunmayr-und-grogger-handels-u-service-gmbh-gmunden-bahnhofstraße","Website")</f>
        <v>Website</v>
      </c>
      <c r="C2404" t="str">
        <f>HYPERLINK("http://www.brunmayr-grogger.at","Website")</f>
        <v>Website</v>
      </c>
      <c r="D2404" t="str">
        <f>HYPERLINK("http://www.google.com/maps/place/47.92055,13.79553","Location")</f>
        <v>Location</v>
      </c>
      <c r="E2404" t="s">
        <v>21114</v>
      </c>
      <c r="F2404" t="s">
        <v>21115</v>
      </c>
      <c r="G2404" t="s">
        <v>6951</v>
      </c>
      <c r="H2404" t="s">
        <v>6952</v>
      </c>
      <c r="I2404" t="s">
        <v>85</v>
      </c>
      <c r="J2404" t="s">
        <v>22</v>
      </c>
      <c r="K2404" t="s">
        <v>21116</v>
      </c>
      <c r="L2404" t="s">
        <v>21119</v>
      </c>
      <c r="M2404" t="s">
        <v>25</v>
      </c>
      <c r="N2404" t="s">
        <v>21120</v>
      </c>
      <c r="O2404" t="s">
        <v>25</v>
      </c>
      <c r="P2404" t="s">
        <v>21121</v>
      </c>
      <c r="Q2404" t="s">
        <v>29</v>
      </c>
      <c r="R2404" t="s">
        <v>21117</v>
      </c>
      <c r="S2404" t="s">
        <v>21118</v>
      </c>
    </row>
    <row r="2405" spans="1:19" x14ac:dyDescent="0.25">
      <c r="A2405" s="1">
        <v>2403</v>
      </c>
      <c r="B2405" t="str">
        <f>HYPERLINK("https://www.dasschnelle.at/bad-radkersburger-quellen-gmbh-büro-bad-radkersburg-hauptplatz","Website")</f>
        <v>Website</v>
      </c>
      <c r="C2405" t="str">
        <f>HYPERLINK("http://www.badradkersburg.at","Website")</f>
        <v>Website</v>
      </c>
      <c r="D2405" t="str">
        <f>HYPERLINK("http://www.google.com/maps/place/46.68694,15.98747","Location")</f>
        <v>Location</v>
      </c>
      <c r="E2405" t="s">
        <v>21122</v>
      </c>
      <c r="F2405" t="s">
        <v>21123</v>
      </c>
      <c r="G2405" t="s">
        <v>11773</v>
      </c>
      <c r="H2405" t="s">
        <v>11791</v>
      </c>
      <c r="I2405" t="s">
        <v>451</v>
      </c>
      <c r="J2405" t="s">
        <v>22</v>
      </c>
      <c r="K2405" t="s">
        <v>21124</v>
      </c>
      <c r="L2405" t="s">
        <v>21127</v>
      </c>
      <c r="M2405" t="s">
        <v>25</v>
      </c>
      <c r="N2405" t="s">
        <v>21128</v>
      </c>
      <c r="O2405" t="s">
        <v>25</v>
      </c>
      <c r="P2405" t="s">
        <v>21129</v>
      </c>
      <c r="Q2405" t="s">
        <v>29</v>
      </c>
      <c r="R2405" t="s">
        <v>21125</v>
      </c>
      <c r="S2405" t="s">
        <v>21126</v>
      </c>
    </row>
    <row r="2406" spans="1:19" x14ac:dyDescent="0.25">
      <c r="A2406" s="1">
        <v>2404</v>
      </c>
      <c r="B2406" t="str">
        <f>HYPERLINK("https://www.dasschnelle.at/malerei-tim-schöberl-großpetersdorf-siebensterngasse","Website")</f>
        <v>Website</v>
      </c>
      <c r="C2406" t="str">
        <f>HYPERLINK("http://www.timschoeberl.at","Website")</f>
        <v>Website</v>
      </c>
      <c r="D2406" t="str">
        <f>HYPERLINK("http://www.google.com/maps/place/47.2418900,16.3112100","Location")</f>
        <v>Location</v>
      </c>
      <c r="E2406" t="s">
        <v>21130</v>
      </c>
      <c r="F2406" t="s">
        <v>21131</v>
      </c>
      <c r="G2406" t="s">
        <v>19901</v>
      </c>
      <c r="H2406" t="s">
        <v>19902</v>
      </c>
      <c r="I2406" t="s">
        <v>1834</v>
      </c>
      <c r="J2406" t="s">
        <v>22</v>
      </c>
      <c r="K2406" t="s">
        <v>21132</v>
      </c>
      <c r="L2406" t="s">
        <v>21135</v>
      </c>
      <c r="M2406" t="s">
        <v>25</v>
      </c>
      <c r="N2406" t="s">
        <v>21136</v>
      </c>
      <c r="O2406" t="s">
        <v>25</v>
      </c>
      <c r="P2406" t="s">
        <v>21137</v>
      </c>
      <c r="Q2406" t="s">
        <v>29</v>
      </c>
      <c r="R2406" t="s">
        <v>21133</v>
      </c>
      <c r="S2406" t="s">
        <v>21134</v>
      </c>
    </row>
    <row r="2407" spans="1:19" x14ac:dyDescent="0.25">
      <c r="A2407" s="1">
        <v>2405</v>
      </c>
      <c r="B2407" t="str">
        <f>HYPERLINK("https://www.dasschnelle.at/hehenberger-ges-m-b-h-und-co-kg-stroheim-tross","Website")</f>
        <v>Website</v>
      </c>
      <c r="C2407" t="str">
        <f>HYPERLINK("http://www.hehenberger.co.at","Website")</f>
        <v>Website</v>
      </c>
      <c r="D2407" t="str">
        <f>HYPERLINK("http://www.google.com/maps/place/48.3563300,13.9176100","Location")</f>
        <v>Location</v>
      </c>
      <c r="E2407" t="s">
        <v>21138</v>
      </c>
      <c r="F2407" t="s">
        <v>21139</v>
      </c>
      <c r="G2407" t="s">
        <v>3263</v>
      </c>
      <c r="H2407" t="s">
        <v>3264</v>
      </c>
      <c r="I2407" t="s">
        <v>85</v>
      </c>
      <c r="J2407" t="s">
        <v>22</v>
      </c>
      <c r="K2407" t="s">
        <v>21140</v>
      </c>
      <c r="L2407" t="s">
        <v>21143</v>
      </c>
      <c r="M2407" t="s">
        <v>25</v>
      </c>
      <c r="N2407" t="s">
        <v>21144</v>
      </c>
      <c r="O2407" t="s">
        <v>25</v>
      </c>
      <c r="P2407" t="s">
        <v>21145</v>
      </c>
      <c r="Q2407" t="s">
        <v>29</v>
      </c>
      <c r="R2407" t="s">
        <v>21141</v>
      </c>
      <c r="S2407" t="s">
        <v>21142</v>
      </c>
    </row>
    <row r="2408" spans="1:19" x14ac:dyDescent="0.25">
      <c r="A2408" s="1">
        <v>2406</v>
      </c>
      <c r="B2408" t="str">
        <f>HYPERLINK("https://www.dasschnelle.at/fried-steuerberatung-gmbh-gmunden-esplanade","Website")</f>
        <v>Website</v>
      </c>
      <c r="C2408" t="str">
        <f>HYPERLINK("http://www.stb-fried.at","Website")</f>
        <v>Website</v>
      </c>
      <c r="D2408" t="str">
        <f>HYPERLINK("http://www.google.com/maps/place/47.91695,13.79611","Location")</f>
        <v>Location</v>
      </c>
      <c r="E2408" t="s">
        <v>21146</v>
      </c>
      <c r="F2408" t="s">
        <v>21147</v>
      </c>
      <c r="G2408" t="s">
        <v>6951</v>
      </c>
      <c r="H2408" t="s">
        <v>6952</v>
      </c>
      <c r="I2408" t="s">
        <v>85</v>
      </c>
      <c r="J2408" t="s">
        <v>22</v>
      </c>
      <c r="K2408" t="s">
        <v>21148</v>
      </c>
      <c r="L2408" t="s">
        <v>21151</v>
      </c>
      <c r="M2408" t="s">
        <v>25</v>
      </c>
      <c r="N2408" t="s">
        <v>21152</v>
      </c>
      <c r="O2408" t="s">
        <v>25</v>
      </c>
      <c r="P2408" t="s">
        <v>21153</v>
      </c>
      <c r="Q2408" t="s">
        <v>29</v>
      </c>
      <c r="R2408" t="s">
        <v>21149</v>
      </c>
      <c r="S2408" t="s">
        <v>21150</v>
      </c>
    </row>
    <row r="2409" spans="1:19" x14ac:dyDescent="0.25">
      <c r="A2409" s="1">
        <v>2407</v>
      </c>
      <c r="B2409" t="str">
        <f>HYPERLINK("https://www.dasschnelle.at/schwaiger-walter-dr-med-gmunden-franz-josef-platz","Website")</f>
        <v>Website</v>
      </c>
      <c r="C2409" t="str">
        <f>HYPERLINK("http://www.dr-walter-schwaiger.stadtaustellung.at","Website")</f>
        <v>Website</v>
      </c>
      <c r="D2409" t="str">
        <f>HYPERLINK("http://www.google.com/maps/place/47.9176400,13.7969600","Location")</f>
        <v>Location</v>
      </c>
      <c r="E2409" t="s">
        <v>21154</v>
      </c>
      <c r="F2409" t="s">
        <v>21155</v>
      </c>
      <c r="G2409" t="s">
        <v>6951</v>
      </c>
      <c r="H2409" t="s">
        <v>6952</v>
      </c>
      <c r="I2409" t="s">
        <v>85</v>
      </c>
      <c r="J2409" t="s">
        <v>22</v>
      </c>
      <c r="K2409" t="s">
        <v>21156</v>
      </c>
      <c r="L2409" t="s">
        <v>21159</v>
      </c>
      <c r="M2409" t="s">
        <v>25</v>
      </c>
      <c r="N2409" t="s">
        <v>25</v>
      </c>
      <c r="O2409" t="s">
        <v>21160</v>
      </c>
      <c r="P2409" t="s">
        <v>21161</v>
      </c>
      <c r="Q2409" t="s">
        <v>29</v>
      </c>
      <c r="R2409" t="s">
        <v>21157</v>
      </c>
      <c r="S2409" t="s">
        <v>21158</v>
      </c>
    </row>
    <row r="2410" spans="1:19" x14ac:dyDescent="0.25">
      <c r="A2410" s="1">
        <v>2408</v>
      </c>
      <c r="B2410" t="str">
        <f>HYPERLINK("https://www.dasschnelle.at/seit-h-dr-med-univ-gloggnitz-richtergasse","Website")</f>
        <v>Website</v>
      </c>
      <c r="C2410" t="str">
        <f>HYPERLINK("https://www.dasschnelle.at/seit-h-dr-med-univ-gloggnitz-richtergasse","Website")</f>
        <v>Website</v>
      </c>
      <c r="D2410" t="str">
        <f>HYPERLINK("http://www.google.com/maps/place/47.67505,15.93389","Location")</f>
        <v>Location</v>
      </c>
      <c r="E2410" t="s">
        <v>21162</v>
      </c>
      <c r="F2410" t="s">
        <v>21163</v>
      </c>
      <c r="G2410" t="s">
        <v>5703</v>
      </c>
      <c r="H2410" t="s">
        <v>5704</v>
      </c>
      <c r="I2410" t="s">
        <v>177</v>
      </c>
      <c r="J2410" t="s">
        <v>22</v>
      </c>
      <c r="K2410" t="s">
        <v>21164</v>
      </c>
      <c r="L2410" t="s">
        <v>21167</v>
      </c>
      <c r="M2410" t="s">
        <v>25</v>
      </c>
      <c r="N2410" t="s">
        <v>25</v>
      </c>
      <c r="O2410" t="s">
        <v>25</v>
      </c>
      <c r="P2410" t="s">
        <v>21168</v>
      </c>
      <c r="Q2410" t="s">
        <v>29</v>
      </c>
      <c r="R2410" t="s">
        <v>21165</v>
      </c>
      <c r="S2410" t="s">
        <v>21166</v>
      </c>
    </row>
    <row r="2411" spans="1:19" x14ac:dyDescent="0.25">
      <c r="A2411" s="1">
        <v>2409</v>
      </c>
      <c r="B2411" t="str">
        <f>HYPERLINK("https://www.dasschnelle.at/dachdeckerei-und-spenglerei-uttenthaler-gmbh-braunau-industriezeile","Website")</f>
        <v>Website</v>
      </c>
      <c r="C2411" t="str">
        <f>HYPERLINK("http://www.uttenthalerdach.at","Website")</f>
        <v>Website</v>
      </c>
      <c r="D2411" t="str">
        <f>HYPERLINK("http://www.google.com/maps/place/48.24942,13.06365","Location")</f>
        <v>Location</v>
      </c>
      <c r="E2411" t="s">
        <v>21169</v>
      </c>
      <c r="F2411" t="s">
        <v>21170</v>
      </c>
      <c r="G2411" t="s">
        <v>1289</v>
      </c>
      <c r="H2411" t="s">
        <v>1290</v>
      </c>
      <c r="I2411" t="s">
        <v>85</v>
      </c>
      <c r="J2411" t="s">
        <v>22</v>
      </c>
      <c r="K2411" t="s">
        <v>21171</v>
      </c>
      <c r="L2411" t="s">
        <v>21174</v>
      </c>
      <c r="M2411" t="s">
        <v>25</v>
      </c>
      <c r="N2411" t="s">
        <v>21175</v>
      </c>
      <c r="O2411" t="s">
        <v>21176</v>
      </c>
      <c r="P2411" t="s">
        <v>21177</v>
      </c>
      <c r="Q2411" t="s">
        <v>29</v>
      </c>
      <c r="R2411" t="s">
        <v>21172</v>
      </c>
      <c r="S2411" t="s">
        <v>21173</v>
      </c>
    </row>
    <row r="2412" spans="1:19" x14ac:dyDescent="0.25">
      <c r="A2412" s="1">
        <v>2410</v>
      </c>
      <c r="B2412" t="str">
        <f>HYPERLINK("https://www.dasschnelle.at/neuhauser-gesmbh-sankt-pantaleon-weilhartstraße","Website")</f>
        <v>Website</v>
      </c>
      <c r="C2412" t="str">
        <f>HYPERLINK("http://www.neuhauser-gmbh.at","Website")</f>
        <v>Website</v>
      </c>
      <c r="D2412" t="str">
        <f>HYPERLINK("http://www.google.com/maps/place/48.02642,12.84466","Location")</f>
        <v>Location</v>
      </c>
      <c r="E2412" t="s">
        <v>21178</v>
      </c>
      <c r="F2412" t="s">
        <v>21179</v>
      </c>
      <c r="G2412" t="s">
        <v>12797</v>
      </c>
      <c r="H2412" t="s">
        <v>21181</v>
      </c>
      <c r="I2412" t="s">
        <v>85</v>
      </c>
      <c r="J2412" t="s">
        <v>22</v>
      </c>
      <c r="K2412" t="s">
        <v>21180</v>
      </c>
      <c r="L2412" t="s">
        <v>21184</v>
      </c>
      <c r="M2412" t="s">
        <v>25</v>
      </c>
      <c r="N2412" t="s">
        <v>21185</v>
      </c>
      <c r="O2412" t="s">
        <v>25</v>
      </c>
      <c r="P2412" t="s">
        <v>21186</v>
      </c>
      <c r="Q2412" t="s">
        <v>29</v>
      </c>
      <c r="R2412" t="s">
        <v>21182</v>
      </c>
      <c r="S2412" t="s">
        <v>21183</v>
      </c>
    </row>
    <row r="2413" spans="1:19" x14ac:dyDescent="0.25">
      <c r="A2413" s="1">
        <v>2411</v>
      </c>
      <c r="B2413" t="str">
        <f>HYPERLINK("https://www.dasschnelle.at/1a-autoservice-thaller-e-u-schwand-im-innkreis-reuhub","Website")</f>
        <v>Website</v>
      </c>
      <c r="C2413" t="str">
        <f>HYPERLINK("http://www.kfz-thaller.go1a.at","Website")</f>
        <v>Website</v>
      </c>
      <c r="D2413" t="str">
        <f>HYPERLINK("http://www.google.com/maps/place/48.1770540,12.9901078","Location")</f>
        <v>Location</v>
      </c>
      <c r="E2413" t="s">
        <v>21187</v>
      </c>
      <c r="F2413" t="s">
        <v>21188</v>
      </c>
      <c r="G2413" t="s">
        <v>18871</v>
      </c>
      <c r="H2413" t="s">
        <v>18872</v>
      </c>
      <c r="I2413" t="s">
        <v>85</v>
      </c>
      <c r="J2413" t="s">
        <v>22</v>
      </c>
      <c r="K2413" t="s">
        <v>21189</v>
      </c>
      <c r="L2413" t="s">
        <v>21192</v>
      </c>
      <c r="M2413" t="s">
        <v>25</v>
      </c>
      <c r="N2413" t="s">
        <v>21193</v>
      </c>
      <c r="O2413" t="s">
        <v>25</v>
      </c>
      <c r="P2413" t="s">
        <v>21194</v>
      </c>
      <c r="Q2413" t="s">
        <v>29</v>
      </c>
      <c r="R2413" t="s">
        <v>21190</v>
      </c>
      <c r="S2413" t="s">
        <v>21191</v>
      </c>
    </row>
    <row r="2414" spans="1:19" x14ac:dyDescent="0.25">
      <c r="A2414" s="1">
        <v>2412</v>
      </c>
      <c r="B2414" t="str">
        <f>HYPERLINK("https://www.dasschnelle.at/spreitzer-peter-braunau-am-inn-salzburger-straße","Website")</f>
        <v>Website</v>
      </c>
      <c r="C2414" t="str">
        <f>HYPERLINK("http://www.spreitzer-elektronik.at","Website")</f>
        <v>Website</v>
      </c>
      <c r="D2414" t="str">
        <f>HYPERLINK("http://www.google.com/maps/place/48.2536015,13.0352738","Location")</f>
        <v>Location</v>
      </c>
      <c r="E2414" t="s">
        <v>21195</v>
      </c>
      <c r="F2414" t="s">
        <v>21196</v>
      </c>
      <c r="G2414" t="s">
        <v>1289</v>
      </c>
      <c r="H2414" t="s">
        <v>1310</v>
      </c>
      <c r="I2414" t="s">
        <v>85</v>
      </c>
      <c r="J2414" t="s">
        <v>22</v>
      </c>
      <c r="K2414" t="s">
        <v>21197</v>
      </c>
      <c r="L2414" t="s">
        <v>21200</v>
      </c>
      <c r="M2414" t="s">
        <v>21201</v>
      </c>
      <c r="N2414" t="s">
        <v>21202</v>
      </c>
      <c r="O2414" t="s">
        <v>25</v>
      </c>
      <c r="P2414" t="s">
        <v>21203</v>
      </c>
      <c r="Q2414" t="s">
        <v>29</v>
      </c>
      <c r="R2414" t="s">
        <v>21198</v>
      </c>
      <c r="S2414" t="s">
        <v>21199</v>
      </c>
    </row>
    <row r="2415" spans="1:19" x14ac:dyDescent="0.25">
      <c r="A2415" s="1">
        <v>2413</v>
      </c>
      <c r="B2415" t="str">
        <f>HYPERLINK("https://www.dasschnelle.at/bubestinger-josef-uttendorf-glasereistraße","Website")</f>
        <v>Website</v>
      </c>
      <c r="C2415" t="str">
        <f>HYPERLINK("http://www.glaserei-bubestinger.at","Website")</f>
        <v>Website</v>
      </c>
      <c r="D2415" t="str">
        <f>HYPERLINK("http://www.google.com/maps/place/48.15143,13.1191","Location")</f>
        <v>Location</v>
      </c>
      <c r="E2415" t="s">
        <v>21204</v>
      </c>
      <c r="F2415" t="s">
        <v>21205</v>
      </c>
      <c r="G2415" t="s">
        <v>1328</v>
      </c>
      <c r="H2415" t="s">
        <v>1329</v>
      </c>
      <c r="I2415" t="s">
        <v>85</v>
      </c>
      <c r="J2415" t="s">
        <v>22</v>
      </c>
      <c r="K2415" t="s">
        <v>21206</v>
      </c>
      <c r="L2415" t="s">
        <v>21209</v>
      </c>
      <c r="M2415" t="s">
        <v>21210</v>
      </c>
      <c r="N2415" t="s">
        <v>21211</v>
      </c>
      <c r="O2415" t="s">
        <v>25</v>
      </c>
      <c r="P2415" t="s">
        <v>21212</v>
      </c>
      <c r="Q2415" t="s">
        <v>29</v>
      </c>
      <c r="R2415" t="s">
        <v>21207</v>
      </c>
      <c r="S2415" t="s">
        <v>21208</v>
      </c>
    </row>
    <row r="2416" spans="1:19" x14ac:dyDescent="0.25">
      <c r="A2416" s="1">
        <v>2414</v>
      </c>
      <c r="B2416" t="str">
        <f>HYPERLINK("https://www.dasschnelle.at/malerei-ringbauer-gmbh-und-co-kg-markt-allhau-privatweg","Website")</f>
        <v>Website</v>
      </c>
      <c r="C2416" t="str">
        <f>HYPERLINK("http://www.malerei-creativ-ringbauer.at","Website")</f>
        <v>Website</v>
      </c>
      <c r="D2416" t="str">
        <f>HYPERLINK("http://www.google.com/maps/place/47.2852200,16.0838400","Location")</f>
        <v>Location</v>
      </c>
      <c r="E2416" t="s">
        <v>21213</v>
      </c>
      <c r="F2416" t="s">
        <v>21214</v>
      </c>
      <c r="G2416" t="s">
        <v>21216</v>
      </c>
      <c r="H2416" t="s">
        <v>21217</v>
      </c>
      <c r="I2416" t="s">
        <v>1834</v>
      </c>
      <c r="J2416" t="s">
        <v>22</v>
      </c>
      <c r="K2416" t="s">
        <v>21215</v>
      </c>
      <c r="L2416" t="s">
        <v>21220</v>
      </c>
      <c r="M2416" t="s">
        <v>25</v>
      </c>
      <c r="N2416" t="s">
        <v>21221</v>
      </c>
      <c r="O2416" t="s">
        <v>25</v>
      </c>
      <c r="P2416" t="s">
        <v>21222</v>
      </c>
      <c r="Q2416" t="s">
        <v>29</v>
      </c>
      <c r="R2416" t="s">
        <v>21218</v>
      </c>
      <c r="S2416" t="s">
        <v>21219</v>
      </c>
    </row>
    <row r="2417" spans="1:19" x14ac:dyDescent="0.25">
      <c r="A2417" s="1">
        <v>2415</v>
      </c>
      <c r="B2417" t="str">
        <f>HYPERLINK("https://www.dasschnelle.at/pataki-tanja-wimpassing-im-schwarzatale-sankt-valentiner-straße","Website")</f>
        <v>Website</v>
      </c>
      <c r="C2417" t="str">
        <f>HYPERLINK("http://www.fellbox.at","Website")</f>
        <v>Website</v>
      </c>
      <c r="D2417" t="str">
        <f>HYPERLINK("http://www.google.com/maps/place/47.69739,16.02425","Location")</f>
        <v>Location</v>
      </c>
      <c r="E2417" t="s">
        <v>21223</v>
      </c>
      <c r="F2417" t="s">
        <v>21224</v>
      </c>
      <c r="G2417" t="s">
        <v>5820</v>
      </c>
      <c r="H2417" t="s">
        <v>5821</v>
      </c>
      <c r="I2417" t="s">
        <v>177</v>
      </c>
      <c r="J2417" t="s">
        <v>22</v>
      </c>
      <c r="K2417" t="s">
        <v>21225</v>
      </c>
      <c r="L2417" t="s">
        <v>21228</v>
      </c>
      <c r="M2417" t="s">
        <v>25</v>
      </c>
      <c r="N2417" t="s">
        <v>21229</v>
      </c>
      <c r="O2417" t="s">
        <v>25</v>
      </c>
      <c r="P2417" t="s">
        <v>21230</v>
      </c>
      <c r="Q2417" t="s">
        <v>29</v>
      </c>
      <c r="R2417" t="s">
        <v>21226</v>
      </c>
      <c r="S2417" t="s">
        <v>21227</v>
      </c>
    </row>
    <row r="2418" spans="1:19" x14ac:dyDescent="0.25">
      <c r="A2418" s="1">
        <v>2416</v>
      </c>
      <c r="B2418" t="str">
        <f>HYPERLINK("https://www.dasschnelle.at/neubauer-daniela-dr-med-vet-wimpassing-im-schwarzatale-sankt-valentiner-straße","Website")</f>
        <v>Website</v>
      </c>
      <c r="C2418" t="str">
        <f>HYPERLINK("http://www.tmzw.at","Website")</f>
        <v>Website</v>
      </c>
      <c r="D2418" t="str">
        <f>HYPERLINK("http://www.google.com/maps/place/47.69739,16.02425","Location")</f>
        <v>Location</v>
      </c>
      <c r="E2418" t="s">
        <v>21231</v>
      </c>
      <c r="F2418" t="s">
        <v>21232</v>
      </c>
      <c r="G2418" t="s">
        <v>5820</v>
      </c>
      <c r="H2418" t="s">
        <v>5821</v>
      </c>
      <c r="I2418" t="s">
        <v>177</v>
      </c>
      <c r="J2418" t="s">
        <v>22</v>
      </c>
      <c r="K2418" t="s">
        <v>21225</v>
      </c>
      <c r="L2418" t="s">
        <v>21233</v>
      </c>
      <c r="M2418" t="s">
        <v>25</v>
      </c>
      <c r="N2418" t="s">
        <v>21234</v>
      </c>
      <c r="O2418" t="s">
        <v>25</v>
      </c>
      <c r="P2418" t="s">
        <v>21235</v>
      </c>
      <c r="Q2418" t="s">
        <v>29</v>
      </c>
      <c r="R2418" t="s">
        <v>21226</v>
      </c>
      <c r="S2418" t="s">
        <v>21227</v>
      </c>
    </row>
    <row r="2419" spans="1:19" x14ac:dyDescent="0.25">
      <c r="A2419" s="1">
        <v>2417</v>
      </c>
      <c r="B2419" t="str">
        <f>HYPERLINK("https://www.dasschnelle.at/laser-und-more-leonding-welser-strasse","Website")</f>
        <v>Website</v>
      </c>
      <c r="C2419" t="str">
        <f>HYPERLINK("http://www.laserandmore.net","Website")</f>
        <v>Website</v>
      </c>
      <c r="D2419" t="str">
        <f>HYPERLINK("http://www.google.com/maps/place/48.2680200,14.2656800","Location")</f>
        <v>Location</v>
      </c>
      <c r="E2419" t="s">
        <v>21236</v>
      </c>
      <c r="F2419" t="s">
        <v>21237</v>
      </c>
      <c r="G2419" t="s">
        <v>20918</v>
      </c>
      <c r="H2419" t="s">
        <v>20919</v>
      </c>
      <c r="I2419" t="s">
        <v>85</v>
      </c>
      <c r="J2419" t="s">
        <v>22</v>
      </c>
      <c r="K2419" t="s">
        <v>21238</v>
      </c>
      <c r="L2419" t="s">
        <v>21241</v>
      </c>
      <c r="M2419" t="s">
        <v>25</v>
      </c>
      <c r="N2419" t="s">
        <v>21242</v>
      </c>
      <c r="O2419" t="s">
        <v>21243</v>
      </c>
      <c r="P2419" t="s">
        <v>21244</v>
      </c>
      <c r="Q2419" t="s">
        <v>29</v>
      </c>
      <c r="R2419" t="s">
        <v>21239</v>
      </c>
      <c r="S2419" t="s">
        <v>21240</v>
      </c>
    </row>
    <row r="2420" spans="1:19" x14ac:dyDescent="0.25">
      <c r="A2420" s="1">
        <v>2418</v>
      </c>
      <c r="B2420" t="str">
        <f>HYPERLINK("https://www.dasschnelle.at/massage-und-gipskunst-linz-landwiedstrasse","Website")</f>
        <v>Website</v>
      </c>
      <c r="C2420" t="str">
        <f>HYPERLINK("http://www.massage-gipskunst.com","Website")</f>
        <v>Website</v>
      </c>
      <c r="D2420" t="str">
        <f>HYPERLINK("http://www.google.com/maps/place/48.25897,14.3188","Location")</f>
        <v>Location</v>
      </c>
      <c r="E2420" t="s">
        <v>21245</v>
      </c>
      <c r="F2420" t="s">
        <v>21246</v>
      </c>
      <c r="G2420" t="s">
        <v>6495</v>
      </c>
      <c r="H2420" t="s">
        <v>6496</v>
      </c>
      <c r="I2420" t="s">
        <v>85</v>
      </c>
      <c r="J2420" t="s">
        <v>22</v>
      </c>
      <c r="K2420" t="s">
        <v>21247</v>
      </c>
      <c r="L2420" t="s">
        <v>21250</v>
      </c>
      <c r="M2420" t="s">
        <v>25</v>
      </c>
      <c r="N2420" t="s">
        <v>21251</v>
      </c>
      <c r="O2420" t="s">
        <v>21252</v>
      </c>
      <c r="P2420" t="s">
        <v>21253</v>
      </c>
      <c r="Q2420" t="s">
        <v>29</v>
      </c>
      <c r="R2420" t="s">
        <v>21248</v>
      </c>
      <c r="S2420" t="s">
        <v>21249</v>
      </c>
    </row>
    <row r="2421" spans="1:19" x14ac:dyDescent="0.25">
      <c r="A2421" s="1">
        <v>2419</v>
      </c>
      <c r="B2421" t="str">
        <f>HYPERLINK("https://www.dasschnelle.at/tierklinik-wiener-neustadt-gmbh-und-co-kg-wiener-neustadt-rudolf-diesel-straße","Website")</f>
        <v>Website</v>
      </c>
      <c r="C2421" t="str">
        <f>HYPERLINK("http://www.tkwn.at","Website")</f>
        <v>Website</v>
      </c>
      <c r="D2421" t="str">
        <f>HYPERLINK("http://www.google.com/maps/place/47.8358519,16.2510974","Location")</f>
        <v>Location</v>
      </c>
      <c r="E2421" t="s">
        <v>21254</v>
      </c>
      <c r="F2421" t="s">
        <v>21255</v>
      </c>
      <c r="G2421" t="s">
        <v>3962</v>
      </c>
      <c r="H2421" t="s">
        <v>3982</v>
      </c>
      <c r="I2421" t="s">
        <v>177</v>
      </c>
      <c r="J2421" t="s">
        <v>22</v>
      </c>
      <c r="K2421" t="s">
        <v>21256</v>
      </c>
      <c r="L2421" t="s">
        <v>21259</v>
      </c>
      <c r="M2421" t="s">
        <v>25</v>
      </c>
      <c r="N2421" t="s">
        <v>21260</v>
      </c>
      <c r="O2421" t="s">
        <v>25</v>
      </c>
      <c r="P2421" t="s">
        <v>21261</v>
      </c>
      <c r="Q2421" t="s">
        <v>29</v>
      </c>
      <c r="R2421" t="s">
        <v>21257</v>
      </c>
      <c r="S2421" t="s">
        <v>21258</v>
      </c>
    </row>
    <row r="2422" spans="1:19" x14ac:dyDescent="0.25">
      <c r="A2422" s="1">
        <v>2420</v>
      </c>
      <c r="B2422" t="str">
        <f>HYPERLINK("https://www.dasschnelle.at/lehner-karniesenerzeugung-u-tischlerei-gesmbh-und-cokg-fraham-aumühle","Website")</f>
        <v>Website</v>
      </c>
      <c r="C2422" t="str">
        <f>HYPERLINK("http://www.lehnerwohnwerkstatt.at","Website")</f>
        <v>Website</v>
      </c>
      <c r="D2422" t="str">
        <f>HYPERLINK("http://www.google.com/maps/place/48.2730754,13.9890917","Location")</f>
        <v>Location</v>
      </c>
      <c r="E2422" t="s">
        <v>21262</v>
      </c>
      <c r="F2422" t="s">
        <v>21263</v>
      </c>
      <c r="G2422" t="s">
        <v>21265</v>
      </c>
      <c r="H2422" t="s">
        <v>21266</v>
      </c>
      <c r="I2422" t="s">
        <v>85</v>
      </c>
      <c r="J2422" t="s">
        <v>22</v>
      </c>
      <c r="K2422" t="s">
        <v>21264</v>
      </c>
      <c r="L2422" t="s">
        <v>21269</v>
      </c>
      <c r="M2422" t="s">
        <v>25</v>
      </c>
      <c r="N2422" t="s">
        <v>21270</v>
      </c>
      <c r="O2422" t="s">
        <v>21271</v>
      </c>
      <c r="P2422" t="s">
        <v>21272</v>
      </c>
      <c r="Q2422" t="s">
        <v>29</v>
      </c>
      <c r="R2422" t="s">
        <v>21267</v>
      </c>
      <c r="S2422" t="s">
        <v>21268</v>
      </c>
    </row>
    <row r="2423" spans="1:19" x14ac:dyDescent="0.25">
      <c r="A2423" s="1">
        <v>2421</v>
      </c>
      <c r="B2423" t="str">
        <f>HYPERLINK("https://www.dasschnelle.at/kraxenberger-hermann-uttendorf-uttendorf","Website")</f>
        <v>Website</v>
      </c>
      <c r="C2423" t="str">
        <f>HYPERLINK("http://baeckerei-kraxenberger.stadtausstellung.at","Website")</f>
        <v>Website</v>
      </c>
      <c r="D2423" t="str">
        <f>HYPERLINK("http://www.google.com/maps/place/48.1535470,13.1179386","Location")</f>
        <v>Location</v>
      </c>
      <c r="E2423" t="s">
        <v>21273</v>
      </c>
      <c r="F2423" t="s">
        <v>21274</v>
      </c>
      <c r="G2423" t="s">
        <v>1328</v>
      </c>
      <c r="H2423" t="s">
        <v>1329</v>
      </c>
      <c r="I2423" t="s">
        <v>85</v>
      </c>
      <c r="J2423" t="s">
        <v>22</v>
      </c>
      <c r="K2423" t="s">
        <v>21275</v>
      </c>
      <c r="L2423" t="s">
        <v>21278</v>
      </c>
      <c r="M2423" t="s">
        <v>25</v>
      </c>
      <c r="N2423" t="s">
        <v>25</v>
      </c>
      <c r="O2423" t="s">
        <v>25</v>
      </c>
      <c r="P2423" t="s">
        <v>21279</v>
      </c>
      <c r="Q2423" t="s">
        <v>29</v>
      </c>
      <c r="R2423" t="s">
        <v>21276</v>
      </c>
      <c r="S2423" t="s">
        <v>21277</v>
      </c>
    </row>
    <row r="2424" spans="1:19" x14ac:dyDescent="0.25">
      <c r="A2424" s="1">
        <v>2422</v>
      </c>
      <c r="B2424" t="str">
        <f>HYPERLINK("https://www.dasschnelle.at/gebäudetechnik-pichler-gmbh-mauerkirchen-albrechtsberg","Website")</f>
        <v>Website</v>
      </c>
      <c r="C2424" t="str">
        <f>HYPERLINK("http://www.gtp.co.at","Website")</f>
        <v>Website</v>
      </c>
      <c r="D2424" t="str">
        <f>HYPERLINK("http://www.google.com/maps/place/48.1834050,13.1098920","Location")</f>
        <v>Location</v>
      </c>
      <c r="E2424" t="s">
        <v>21280</v>
      </c>
      <c r="F2424" t="s">
        <v>21281</v>
      </c>
      <c r="G2424" t="s">
        <v>1422</v>
      </c>
      <c r="H2424" t="s">
        <v>1423</v>
      </c>
      <c r="I2424" t="s">
        <v>85</v>
      </c>
      <c r="J2424" t="s">
        <v>22</v>
      </c>
      <c r="K2424" t="s">
        <v>21282</v>
      </c>
      <c r="L2424" t="s">
        <v>21285</v>
      </c>
      <c r="M2424" t="s">
        <v>25</v>
      </c>
      <c r="N2424" t="s">
        <v>21286</v>
      </c>
      <c r="O2424" t="s">
        <v>21287</v>
      </c>
      <c r="P2424" t="s">
        <v>21288</v>
      </c>
      <c r="Q2424" t="s">
        <v>29</v>
      </c>
      <c r="R2424" t="s">
        <v>21283</v>
      </c>
      <c r="S2424" t="s">
        <v>21284</v>
      </c>
    </row>
    <row r="2425" spans="1:19" x14ac:dyDescent="0.25">
      <c r="A2425" s="1">
        <v>2423</v>
      </c>
      <c r="B2425" t="str">
        <f>HYPERLINK("https://www.dasschnelle.at/gasthof-kranerwirt-niggas-martin-lannach-hauptstraße","Website")</f>
        <v>Website</v>
      </c>
      <c r="C2425" t="str">
        <f>HYPERLINK("http://www.gasthof-niggas.at","Website")</f>
        <v>Website</v>
      </c>
      <c r="D2425" t="str">
        <f>HYPERLINK("http://www.google.com/maps/place/46.93839,15.31996","Location")</f>
        <v>Location</v>
      </c>
      <c r="E2425" t="s">
        <v>21289</v>
      </c>
      <c r="F2425" t="s">
        <v>21290</v>
      </c>
      <c r="G2425" t="s">
        <v>2964</v>
      </c>
      <c r="H2425" t="s">
        <v>2965</v>
      </c>
      <c r="I2425" t="s">
        <v>451</v>
      </c>
      <c r="J2425" t="s">
        <v>22</v>
      </c>
      <c r="K2425" t="s">
        <v>21291</v>
      </c>
      <c r="L2425" t="s">
        <v>21294</v>
      </c>
      <c r="M2425" t="s">
        <v>25</v>
      </c>
      <c r="N2425" t="s">
        <v>21295</v>
      </c>
      <c r="O2425" t="s">
        <v>25</v>
      </c>
      <c r="P2425" t="s">
        <v>21296</v>
      </c>
      <c r="Q2425" t="s">
        <v>29</v>
      </c>
      <c r="R2425" t="s">
        <v>21292</v>
      </c>
      <c r="S2425" t="s">
        <v>21293</v>
      </c>
    </row>
    <row r="2426" spans="1:19" x14ac:dyDescent="0.25">
      <c r="A2426" s="1">
        <v>2424</v>
      </c>
      <c r="B2426" t="str">
        <f>HYPERLINK("https://www.dasschnelle.at/koch-erwin-stallhof","Website")</f>
        <v>Website</v>
      </c>
      <c r="C2426" t="str">
        <f>HYPERLINK("https://www.dasschnelle.at/koch-erwin-stallhof","Website")</f>
        <v>Website</v>
      </c>
      <c r="D2426" t="str">
        <f>HYPERLINK("http://www.google.com/maps/place/46.8876313,15.2755099","Location")</f>
        <v>Location</v>
      </c>
      <c r="E2426" t="s">
        <v>21297</v>
      </c>
      <c r="F2426" t="s">
        <v>21298</v>
      </c>
      <c r="G2426" t="s">
        <v>2834</v>
      </c>
      <c r="H2426" t="s">
        <v>21300</v>
      </c>
      <c r="I2426" t="s">
        <v>451</v>
      </c>
      <c r="J2426" t="s">
        <v>22</v>
      </c>
      <c r="K2426" t="s">
        <v>21299</v>
      </c>
      <c r="L2426" t="s">
        <v>21303</v>
      </c>
      <c r="M2426" t="s">
        <v>25</v>
      </c>
      <c r="N2426" t="s">
        <v>21304</v>
      </c>
      <c r="O2426" t="s">
        <v>25</v>
      </c>
      <c r="P2426" t="s">
        <v>21305</v>
      </c>
      <c r="Q2426" t="s">
        <v>29</v>
      </c>
      <c r="R2426" t="s">
        <v>21301</v>
      </c>
      <c r="S2426" t="s">
        <v>21302</v>
      </c>
    </row>
    <row r="2427" spans="1:19" x14ac:dyDescent="0.25">
      <c r="A2427" s="1">
        <v>2425</v>
      </c>
      <c r="B2427" t="str">
        <f>HYPERLINK("https://www.dasschnelle.at/enzi-gregor-deutschlandsberg-kresbach","Website")</f>
        <v>Website</v>
      </c>
      <c r="C2427" t="str">
        <f>HYPERLINK("http://www.malermeisterenzi.at","Website")</f>
        <v>Website</v>
      </c>
      <c r="D2427" t="str">
        <f>HYPERLINK("http://www.google.com/maps/place/46.801,15.2085","Location")</f>
        <v>Location</v>
      </c>
      <c r="E2427" t="s">
        <v>21306</v>
      </c>
      <c r="F2427" t="s">
        <v>21307</v>
      </c>
      <c r="G2427" t="s">
        <v>2921</v>
      </c>
      <c r="H2427" t="s">
        <v>2922</v>
      </c>
      <c r="I2427" t="s">
        <v>451</v>
      </c>
      <c r="J2427" t="s">
        <v>22</v>
      </c>
      <c r="K2427" t="s">
        <v>21308</v>
      </c>
      <c r="L2427" t="s">
        <v>21311</v>
      </c>
      <c r="M2427" t="s">
        <v>25</v>
      </c>
      <c r="N2427" t="s">
        <v>21312</v>
      </c>
      <c r="O2427" t="s">
        <v>25</v>
      </c>
      <c r="P2427" t="s">
        <v>21313</v>
      </c>
      <c r="Q2427" t="s">
        <v>29</v>
      </c>
      <c r="R2427" t="s">
        <v>21309</v>
      </c>
      <c r="S2427" t="s">
        <v>21310</v>
      </c>
    </row>
    <row r="2428" spans="1:19" x14ac:dyDescent="0.25">
      <c r="A2428" s="1">
        <v>2426</v>
      </c>
      <c r="B2428" t="str">
        <f>HYPERLINK("https://www.dasschnelle.at/felder-reinhard-oberndorf-bei-salzburg-watzmannstraße","Website")</f>
        <v>Website</v>
      </c>
      <c r="C2428" t="str">
        <f>HYPERLINK("http://www.osteopath.at","Website")</f>
        <v>Website</v>
      </c>
      <c r="D2428" t="str">
        <f>HYPERLINK("http://www.google.com/maps/place/47.93846,12.94075","Location")</f>
        <v>Location</v>
      </c>
      <c r="E2428" t="s">
        <v>21314</v>
      </c>
      <c r="F2428" t="s">
        <v>21315</v>
      </c>
      <c r="G2428" t="s">
        <v>12780</v>
      </c>
      <c r="H2428" t="s">
        <v>12781</v>
      </c>
      <c r="I2428" t="s">
        <v>2239</v>
      </c>
      <c r="J2428" t="s">
        <v>22</v>
      </c>
      <c r="K2428" t="s">
        <v>21316</v>
      </c>
      <c r="L2428" t="s">
        <v>21319</v>
      </c>
      <c r="M2428" t="s">
        <v>25</v>
      </c>
      <c r="N2428" t="s">
        <v>21320</v>
      </c>
      <c r="O2428" t="s">
        <v>25</v>
      </c>
      <c r="P2428" t="s">
        <v>21321</v>
      </c>
      <c r="Q2428" t="s">
        <v>29</v>
      </c>
      <c r="R2428" t="s">
        <v>21317</v>
      </c>
      <c r="S2428" t="s">
        <v>21318</v>
      </c>
    </row>
    <row r="2429" spans="1:19" x14ac:dyDescent="0.25">
      <c r="A2429" s="1">
        <v>2427</v>
      </c>
      <c r="B2429" t="str">
        <f>HYPERLINK("https://www.dasschnelle.at/lindlbauer-profitechnik-roßbach-zechleiten","Website")</f>
        <v>Website</v>
      </c>
      <c r="C2429" t="str">
        <f>HYPERLINK("http://www.schmiertechnik.at","Website")</f>
        <v>Website</v>
      </c>
      <c r="D2429" t="str">
        <f>HYPERLINK("http://www.google.com/maps/place/48.2193398,13.2497323","Location")</f>
        <v>Location</v>
      </c>
      <c r="E2429" t="s">
        <v>21322</v>
      </c>
      <c r="F2429" t="s">
        <v>21323</v>
      </c>
      <c r="G2429" t="s">
        <v>21080</v>
      </c>
      <c r="H2429" t="s">
        <v>21081</v>
      </c>
      <c r="I2429" t="s">
        <v>85</v>
      </c>
      <c r="J2429" t="s">
        <v>22</v>
      </c>
      <c r="K2429" t="s">
        <v>21324</v>
      </c>
      <c r="L2429" t="s">
        <v>21327</v>
      </c>
      <c r="M2429" t="s">
        <v>25</v>
      </c>
      <c r="N2429" t="s">
        <v>21328</v>
      </c>
      <c r="O2429" t="s">
        <v>25</v>
      </c>
      <c r="P2429" t="s">
        <v>21329</v>
      </c>
      <c r="Q2429" t="s">
        <v>29</v>
      </c>
      <c r="R2429" t="s">
        <v>21325</v>
      </c>
      <c r="S2429" t="s">
        <v>21326</v>
      </c>
    </row>
    <row r="2430" spans="1:19" x14ac:dyDescent="0.25">
      <c r="A2430" s="1">
        <v>2428</v>
      </c>
      <c r="B2430" t="str">
        <f>HYPERLINK("https://www.dasschnelle.at/puttinger-andreas-neukirchen-an-der-enknach-wiesenweg","Website")</f>
        <v>Website</v>
      </c>
      <c r="C2430" t="str">
        <f>HYPERLINK("http://www.elektro-puttinger.at","Website")</f>
        <v>Website</v>
      </c>
      <c r="D2430" t="str">
        <f>HYPERLINK("http://www.google.com/maps/place/48.18218,13.03893","Location")</f>
        <v>Location</v>
      </c>
      <c r="E2430" t="s">
        <v>21330</v>
      </c>
      <c r="F2430" t="s">
        <v>21331</v>
      </c>
      <c r="G2430" t="s">
        <v>21333</v>
      </c>
      <c r="H2430" t="s">
        <v>21334</v>
      </c>
      <c r="I2430" t="s">
        <v>85</v>
      </c>
      <c r="J2430" t="s">
        <v>22</v>
      </c>
      <c r="K2430" t="s">
        <v>21332</v>
      </c>
      <c r="L2430" t="s">
        <v>21337</v>
      </c>
      <c r="M2430" t="s">
        <v>25</v>
      </c>
      <c r="N2430" t="s">
        <v>21338</v>
      </c>
      <c r="O2430" t="s">
        <v>21339</v>
      </c>
      <c r="P2430" t="s">
        <v>21340</v>
      </c>
      <c r="Q2430" t="s">
        <v>29</v>
      </c>
      <c r="R2430" t="s">
        <v>21335</v>
      </c>
      <c r="S2430" t="s">
        <v>21336</v>
      </c>
    </row>
    <row r="2431" spans="1:19" x14ac:dyDescent="0.25">
      <c r="A2431" s="1">
        <v>2429</v>
      </c>
      <c r="B2431" t="str">
        <f>HYPERLINK("https://www.dasschnelle.at/daxecker-helmut-braunau-am-inn-sparkassenstraße","Website")</f>
        <v>Website</v>
      </c>
      <c r="C2431" t="str">
        <f>HYPERLINK("http://www.heldax.at","Website")</f>
        <v>Website</v>
      </c>
      <c r="D2431" t="str">
        <f>HYPERLINK("http://www.google.com/maps/place/48.24382,13.03404","Location")</f>
        <v>Location</v>
      </c>
      <c r="E2431" t="s">
        <v>21341</v>
      </c>
      <c r="F2431" t="s">
        <v>21342</v>
      </c>
      <c r="G2431" t="s">
        <v>1289</v>
      </c>
      <c r="H2431" t="s">
        <v>1310</v>
      </c>
      <c r="I2431" t="s">
        <v>85</v>
      </c>
      <c r="J2431" t="s">
        <v>22</v>
      </c>
      <c r="K2431" t="s">
        <v>21343</v>
      </c>
      <c r="L2431" t="s">
        <v>21346</v>
      </c>
      <c r="M2431" t="s">
        <v>25</v>
      </c>
      <c r="N2431" t="s">
        <v>21347</v>
      </c>
      <c r="O2431" t="s">
        <v>25</v>
      </c>
      <c r="P2431" t="s">
        <v>21348</v>
      </c>
      <c r="Q2431" t="s">
        <v>29</v>
      </c>
      <c r="R2431" t="s">
        <v>21344</v>
      </c>
      <c r="S2431" t="s">
        <v>21345</v>
      </c>
    </row>
    <row r="2432" spans="1:19" x14ac:dyDescent="0.25">
      <c r="A2432" s="1">
        <v>2430</v>
      </c>
      <c r="B2432" t="str">
        <f>HYPERLINK("https://www.dasschnelle.at/weinberger-gmbh-losenstein-industriegebiet","Website")</f>
        <v>Website</v>
      </c>
      <c r="C2432" t="str">
        <f>HYPERLINK("https://www.dasschnelle.at/weinberger-gmbh-losenstein-industriegebiet","Website")</f>
        <v>Website</v>
      </c>
      <c r="D2432" t="str">
        <f>HYPERLINK("http://www.google.com/maps/place/47.9317500,14.4043600","Location")</f>
        <v>Location</v>
      </c>
      <c r="E2432" t="s">
        <v>21349</v>
      </c>
      <c r="F2432" t="s">
        <v>21350</v>
      </c>
      <c r="G2432" t="s">
        <v>105</v>
      </c>
      <c r="H2432" t="s">
        <v>106</v>
      </c>
      <c r="I2432" t="s">
        <v>85</v>
      </c>
      <c r="J2432" t="s">
        <v>22</v>
      </c>
      <c r="K2432" t="s">
        <v>21351</v>
      </c>
      <c r="L2432" t="s">
        <v>21354</v>
      </c>
      <c r="M2432" t="s">
        <v>25</v>
      </c>
      <c r="N2432" t="s">
        <v>21355</v>
      </c>
      <c r="O2432" t="s">
        <v>25</v>
      </c>
      <c r="P2432" t="s">
        <v>21356</v>
      </c>
      <c r="Q2432" t="s">
        <v>29</v>
      </c>
      <c r="R2432" t="s">
        <v>21352</v>
      </c>
      <c r="S2432" t="s">
        <v>21353</v>
      </c>
    </row>
    <row r="2433" spans="1:19" x14ac:dyDescent="0.25">
      <c r="A2433" s="1">
        <v>2431</v>
      </c>
      <c r="B2433" t="str">
        <f>HYPERLINK("https://www.dasschnelle.at/eschauer-karl-weyer-waidhofner-straße","Website")</f>
        <v>Website</v>
      </c>
      <c r="C2433" t="str">
        <f>HYPERLINK("http://www.eschauer.at","Website")</f>
        <v>Website</v>
      </c>
      <c r="D2433" t="str">
        <f>HYPERLINK("http://www.google.com/maps/place/47.86173,14.66985","Location")</f>
        <v>Location</v>
      </c>
      <c r="E2433" t="s">
        <v>21357</v>
      </c>
      <c r="F2433" t="s">
        <v>21358</v>
      </c>
      <c r="G2433" t="s">
        <v>156</v>
      </c>
      <c r="H2433" t="s">
        <v>157</v>
      </c>
      <c r="I2433" t="s">
        <v>85</v>
      </c>
      <c r="J2433" t="s">
        <v>22</v>
      </c>
      <c r="K2433" t="s">
        <v>21359</v>
      </c>
      <c r="L2433" t="s">
        <v>21362</v>
      </c>
      <c r="M2433" t="s">
        <v>25</v>
      </c>
      <c r="N2433" t="s">
        <v>21363</v>
      </c>
      <c r="O2433" t="s">
        <v>25</v>
      </c>
      <c r="P2433" t="s">
        <v>21364</v>
      </c>
      <c r="Q2433" t="s">
        <v>29</v>
      </c>
      <c r="R2433" t="s">
        <v>21360</v>
      </c>
      <c r="S2433" t="s">
        <v>21361</v>
      </c>
    </row>
    <row r="2434" spans="1:19" x14ac:dyDescent="0.25">
      <c r="A2434" s="1">
        <v>2432</v>
      </c>
      <c r="B2434" t="str">
        <f>HYPERLINK("https://www.dasschnelle.at/malerei-chamäleon-höfen-bergbahnstraße","Website")</f>
        <v>Website</v>
      </c>
      <c r="C2434" t="str">
        <f>HYPERLINK("http://www.malerei-chamaeleon.at","Website")</f>
        <v>Website</v>
      </c>
      <c r="D2434" t="str">
        <f>HYPERLINK("http://www.google.com/maps/place/47.47541,10.68749","Location")</f>
        <v>Location</v>
      </c>
      <c r="E2434" t="s">
        <v>21365</v>
      </c>
      <c r="F2434" t="s">
        <v>21366</v>
      </c>
      <c r="G2434" t="s">
        <v>6854</v>
      </c>
      <c r="H2434" t="s">
        <v>6855</v>
      </c>
      <c r="I2434" t="s">
        <v>21</v>
      </c>
      <c r="J2434" t="s">
        <v>22</v>
      </c>
      <c r="K2434" t="s">
        <v>21367</v>
      </c>
      <c r="L2434" t="s">
        <v>21370</v>
      </c>
      <c r="M2434" t="s">
        <v>25</v>
      </c>
      <c r="N2434" t="s">
        <v>21371</v>
      </c>
      <c r="O2434" t="s">
        <v>25</v>
      </c>
      <c r="P2434" t="s">
        <v>21372</v>
      </c>
      <c r="Q2434" t="s">
        <v>29</v>
      </c>
      <c r="R2434" t="s">
        <v>21368</v>
      </c>
      <c r="S2434" t="s">
        <v>21369</v>
      </c>
    </row>
    <row r="2435" spans="1:19" x14ac:dyDescent="0.25">
      <c r="A2435" s="1">
        <v>2433</v>
      </c>
      <c r="B2435" t="str">
        <f>HYPERLINK("https://www.dasschnelle.at/kropik-erdbau-pflach-hüttenmühle","Website")</f>
        <v>Website</v>
      </c>
      <c r="C2435" t="str">
        <f>HYPERLINK("https://www.dasschnelle.at/kropik-erdbau-pflach-h%C3%BCttenm%C3%BChle","Website")</f>
        <v>Website</v>
      </c>
      <c r="D2435" t="str">
        <f>HYPERLINK("http://www.google.com/maps/place/47.50886,10.72271","Location")</f>
        <v>Location</v>
      </c>
      <c r="E2435" t="s">
        <v>21373</v>
      </c>
      <c r="F2435" t="s">
        <v>21374</v>
      </c>
      <c r="G2435" t="s">
        <v>6823</v>
      </c>
      <c r="H2435" t="s">
        <v>21376</v>
      </c>
      <c r="I2435" t="s">
        <v>21</v>
      </c>
      <c r="J2435" t="s">
        <v>22</v>
      </c>
      <c r="K2435" t="s">
        <v>21375</v>
      </c>
      <c r="L2435" t="s">
        <v>21379</v>
      </c>
      <c r="M2435" t="s">
        <v>25</v>
      </c>
      <c r="N2435" t="s">
        <v>21380</v>
      </c>
      <c r="O2435" t="s">
        <v>25</v>
      </c>
      <c r="P2435" t="s">
        <v>21381</v>
      </c>
      <c r="Q2435" t="s">
        <v>29</v>
      </c>
      <c r="R2435" t="s">
        <v>21377</v>
      </c>
      <c r="S2435" t="s">
        <v>21378</v>
      </c>
    </row>
    <row r="2436" spans="1:19" x14ac:dyDescent="0.25">
      <c r="A2436" s="1">
        <v>2434</v>
      </c>
      <c r="B2436" t="str">
        <f>HYPERLINK("https://www.dasschnelle.at/beautiful-moments-by-nina-hörsching-humerstraße","Website")</f>
        <v>Website</v>
      </c>
      <c r="C2436" t="str">
        <f>HYPERLINK("http://www.beautiful-moments-by-peinbauer.at","Website")</f>
        <v>Website</v>
      </c>
      <c r="D2436" t="str">
        <f>HYPERLINK("http://www.google.com/maps/place/48.2224400,14.1793600","Location")</f>
        <v>Location</v>
      </c>
      <c r="E2436" t="s">
        <v>21382</v>
      </c>
      <c r="F2436" t="s">
        <v>21383</v>
      </c>
      <c r="G2436" t="s">
        <v>10217</v>
      </c>
      <c r="H2436" t="s">
        <v>10218</v>
      </c>
      <c r="I2436" t="s">
        <v>85</v>
      </c>
      <c r="J2436" t="s">
        <v>22</v>
      </c>
      <c r="K2436" t="s">
        <v>21384</v>
      </c>
      <c r="L2436" t="s">
        <v>21387</v>
      </c>
      <c r="M2436" t="s">
        <v>25</v>
      </c>
      <c r="N2436" t="s">
        <v>21388</v>
      </c>
      <c r="O2436" t="s">
        <v>21389</v>
      </c>
      <c r="P2436" t="s">
        <v>21390</v>
      </c>
      <c r="Q2436" t="s">
        <v>29</v>
      </c>
      <c r="R2436" t="s">
        <v>21385</v>
      </c>
      <c r="S2436" t="s">
        <v>21386</v>
      </c>
    </row>
    <row r="2437" spans="1:19" x14ac:dyDescent="0.25">
      <c r="A2437" s="1">
        <v>2435</v>
      </c>
      <c r="B2437" t="str">
        <f>HYPERLINK("https://www.dasschnelle.at/hollnbuchner-gmbh-ternberg-bäckengraben","Website")</f>
        <v>Website</v>
      </c>
      <c r="C2437" t="str">
        <f>HYPERLINK("http://www.hollnbucher.at","Website")</f>
        <v>Website</v>
      </c>
      <c r="D2437" t="str">
        <f>HYPERLINK("http://www.google.com/maps/place/47.94671,14.31874","Location")</f>
        <v>Location</v>
      </c>
      <c r="E2437" t="s">
        <v>21391</v>
      </c>
      <c r="F2437" t="s">
        <v>21392</v>
      </c>
      <c r="G2437" t="s">
        <v>9064</v>
      </c>
      <c r="H2437" t="s">
        <v>9065</v>
      </c>
      <c r="I2437" t="s">
        <v>85</v>
      </c>
      <c r="J2437" t="s">
        <v>22</v>
      </c>
      <c r="K2437" t="s">
        <v>21393</v>
      </c>
      <c r="L2437" t="s">
        <v>21396</v>
      </c>
      <c r="M2437" t="s">
        <v>25</v>
      </c>
      <c r="N2437" t="s">
        <v>21397</v>
      </c>
      <c r="O2437" t="s">
        <v>25</v>
      </c>
      <c r="P2437" t="s">
        <v>21398</v>
      </c>
      <c r="Q2437" t="s">
        <v>29</v>
      </c>
      <c r="R2437" t="s">
        <v>21394</v>
      </c>
      <c r="S2437" t="s">
        <v>21395</v>
      </c>
    </row>
    <row r="2438" spans="1:19" x14ac:dyDescent="0.25">
      <c r="A2438" s="1">
        <v>2436</v>
      </c>
      <c r="B2438" t="str">
        <f>HYPERLINK("https://www.dasschnelle.at/schneeweiss-manfred-gloggnitz-grenzgasse","Website")</f>
        <v>Website</v>
      </c>
      <c r="C2438" t="str">
        <f>HYPERLINK("http://www.allesausholz.at","Website")</f>
        <v>Website</v>
      </c>
      <c r="D2438" t="str">
        <f>HYPERLINK("http://www.google.com/maps/place/47.65904,15.90348","Location")</f>
        <v>Location</v>
      </c>
      <c r="E2438" t="s">
        <v>21399</v>
      </c>
      <c r="F2438" t="s">
        <v>21400</v>
      </c>
      <c r="G2438" t="s">
        <v>5703</v>
      </c>
      <c r="H2438" t="s">
        <v>5704</v>
      </c>
      <c r="I2438" t="s">
        <v>177</v>
      </c>
      <c r="J2438" t="s">
        <v>22</v>
      </c>
      <c r="K2438" t="s">
        <v>21401</v>
      </c>
      <c r="L2438" t="s">
        <v>21404</v>
      </c>
      <c r="M2438" t="s">
        <v>25</v>
      </c>
      <c r="N2438" t="s">
        <v>21405</v>
      </c>
      <c r="O2438" t="s">
        <v>25</v>
      </c>
      <c r="P2438" t="s">
        <v>21406</v>
      </c>
      <c r="Q2438" t="s">
        <v>29</v>
      </c>
      <c r="R2438" t="s">
        <v>21402</v>
      </c>
      <c r="S2438" t="s">
        <v>21403</v>
      </c>
    </row>
    <row r="2439" spans="1:19" x14ac:dyDescent="0.25">
      <c r="A2439" s="1">
        <v>2437</v>
      </c>
      <c r="B2439" t="str">
        <f>HYPERLINK("https://www.dasschnelle.at/gaigg-simon-e-u-linz-piringerhofstrasse","Website")</f>
        <v>Website</v>
      </c>
      <c r="C2439" t="str">
        <f>HYPERLINK("http://www.gartenpflege-gaigg.at","Website")</f>
        <v>Website</v>
      </c>
      <c r="D2439" t="str">
        <f>HYPERLINK("http://www.google.com/maps/place/48.29045,14.2719","Location")</f>
        <v>Location</v>
      </c>
      <c r="E2439" t="s">
        <v>21407</v>
      </c>
      <c r="F2439" t="s">
        <v>21408</v>
      </c>
      <c r="G2439" t="s">
        <v>6495</v>
      </c>
      <c r="H2439" t="s">
        <v>6496</v>
      </c>
      <c r="I2439" t="s">
        <v>85</v>
      </c>
      <c r="J2439" t="s">
        <v>22</v>
      </c>
      <c r="K2439" t="s">
        <v>21409</v>
      </c>
      <c r="L2439" t="s">
        <v>21412</v>
      </c>
      <c r="M2439" t="s">
        <v>25</v>
      </c>
      <c r="N2439" t="s">
        <v>21413</v>
      </c>
      <c r="O2439" t="s">
        <v>21414</v>
      </c>
      <c r="P2439" t="s">
        <v>21415</v>
      </c>
      <c r="Q2439" t="s">
        <v>29</v>
      </c>
      <c r="R2439" t="s">
        <v>21410</v>
      </c>
      <c r="S2439" t="s">
        <v>21411</v>
      </c>
    </row>
    <row r="2440" spans="1:19" x14ac:dyDescent="0.25">
      <c r="A2440" s="1">
        <v>2438</v>
      </c>
      <c r="B2440" t="str">
        <f>HYPERLINK("https://www.dasschnelle.at/mb-holzbau-gmbh-vils-stegen","Website")</f>
        <v>Website</v>
      </c>
      <c r="C2440" t="str">
        <f>HYPERLINK("http://www.mb-holzbau.at","Website")</f>
        <v>Website</v>
      </c>
      <c r="D2440" t="str">
        <f>HYPERLINK("http://www.google.com/maps/place/47.54893,10.65753","Location")</f>
        <v>Location</v>
      </c>
      <c r="E2440" t="s">
        <v>21416</v>
      </c>
      <c r="F2440" t="s">
        <v>21417</v>
      </c>
      <c r="G2440" t="s">
        <v>14753</v>
      </c>
      <c r="H2440" t="s">
        <v>14754</v>
      </c>
      <c r="I2440" t="s">
        <v>21</v>
      </c>
      <c r="J2440" t="s">
        <v>22</v>
      </c>
      <c r="K2440" t="s">
        <v>21418</v>
      </c>
      <c r="L2440" t="s">
        <v>21421</v>
      </c>
      <c r="M2440" t="s">
        <v>25</v>
      </c>
      <c r="N2440" t="s">
        <v>21422</v>
      </c>
      <c r="O2440" t="s">
        <v>25</v>
      </c>
      <c r="P2440" t="s">
        <v>21423</v>
      </c>
      <c r="Q2440" t="s">
        <v>29</v>
      </c>
      <c r="R2440" t="s">
        <v>21419</v>
      </c>
      <c r="S2440" t="s">
        <v>21420</v>
      </c>
    </row>
    <row r="2441" spans="1:19" x14ac:dyDescent="0.25">
      <c r="A2441" s="1">
        <v>2439</v>
      </c>
      <c r="B2441" t="str">
        <f>HYPERLINK("https://www.dasschnelle.at/steffner-johann-gesmbh-bad-goisern-am-hallstätt-wirerstubenstraße","Website")</f>
        <v>Website</v>
      </c>
      <c r="C2441" t="str">
        <f>HYPERLINK("http://www.steffnerdach.at","Website")</f>
        <v>Website</v>
      </c>
      <c r="D2441" t="str">
        <f>HYPERLINK("http://www.google.com/maps/place/47.65867,13.60821","Location")</f>
        <v>Location</v>
      </c>
      <c r="E2441" t="s">
        <v>21424</v>
      </c>
      <c r="F2441" t="s">
        <v>21425</v>
      </c>
      <c r="G2441" t="s">
        <v>2335</v>
      </c>
      <c r="H2441" t="s">
        <v>19033</v>
      </c>
      <c r="I2441" t="s">
        <v>85</v>
      </c>
      <c r="J2441" t="s">
        <v>22</v>
      </c>
      <c r="K2441" t="s">
        <v>21426</v>
      </c>
      <c r="L2441" t="s">
        <v>21429</v>
      </c>
      <c r="M2441" t="s">
        <v>21430</v>
      </c>
      <c r="N2441" t="s">
        <v>21431</v>
      </c>
      <c r="O2441" t="s">
        <v>21432</v>
      </c>
      <c r="P2441" t="s">
        <v>21433</v>
      </c>
      <c r="Q2441" t="s">
        <v>29</v>
      </c>
      <c r="R2441" t="s">
        <v>21427</v>
      </c>
      <c r="S2441" t="s">
        <v>21428</v>
      </c>
    </row>
    <row r="2442" spans="1:19" x14ac:dyDescent="0.25">
      <c r="A2442" s="1">
        <v>2440</v>
      </c>
      <c r="B2442" t="str">
        <f>HYPERLINK("https://www.dasschnelle.at/hofmann-wirtschaftstreuhand-steuerbüro-specht-steuerberater-kg-reutte-kirchweg","Website")</f>
        <v>Website</v>
      </c>
      <c r="C2442" t="str">
        <f>HYPERLINK("http://www.hofmann-specht.at","Website")</f>
        <v>Website</v>
      </c>
      <c r="D2442" t="str">
        <f>HYPERLINK("http://www.google.com/maps/place/47.48922,10.72457","Location")</f>
        <v>Location</v>
      </c>
      <c r="E2442" t="s">
        <v>21434</v>
      </c>
      <c r="F2442" t="s">
        <v>21435</v>
      </c>
      <c r="G2442" t="s">
        <v>6823</v>
      </c>
      <c r="H2442" t="s">
        <v>6824</v>
      </c>
      <c r="I2442" t="s">
        <v>21</v>
      </c>
      <c r="J2442" t="s">
        <v>22</v>
      </c>
      <c r="K2442" t="s">
        <v>21436</v>
      </c>
      <c r="L2442" t="s">
        <v>21439</v>
      </c>
      <c r="M2442" t="s">
        <v>21440</v>
      </c>
      <c r="N2442" t="s">
        <v>21441</v>
      </c>
      <c r="O2442" t="s">
        <v>21442</v>
      </c>
      <c r="P2442" t="s">
        <v>21443</v>
      </c>
      <c r="Q2442" t="s">
        <v>29</v>
      </c>
      <c r="R2442" t="s">
        <v>21437</v>
      </c>
      <c r="S2442" t="s">
        <v>21438</v>
      </c>
    </row>
    <row r="2443" spans="1:19" x14ac:dyDescent="0.25">
      <c r="A2443" s="1">
        <v>2441</v>
      </c>
      <c r="B2443" t="str">
        <f>HYPERLINK("https://www.dasschnelle.at/at-reutte-steuerberatungs-gmbh-reutte-unterdorf","Website")</f>
        <v>Website</v>
      </c>
      <c r="C2443" t="str">
        <f>HYPERLINK("http://www.atreutte.at","Website")</f>
        <v>Website</v>
      </c>
      <c r="D2443" t="str">
        <f>HYPERLINK("http://www.google.com/maps/place/47.4921,10.70444","Location")</f>
        <v>Location</v>
      </c>
      <c r="E2443" t="s">
        <v>21444</v>
      </c>
      <c r="F2443" t="s">
        <v>21445</v>
      </c>
      <c r="G2443" t="s">
        <v>6823</v>
      </c>
      <c r="H2443" t="s">
        <v>6824</v>
      </c>
      <c r="I2443" t="s">
        <v>21</v>
      </c>
      <c r="J2443" t="s">
        <v>22</v>
      </c>
      <c r="K2443" t="s">
        <v>21446</v>
      </c>
      <c r="L2443" t="s">
        <v>21449</v>
      </c>
      <c r="M2443" t="s">
        <v>25</v>
      </c>
      <c r="N2443" t="s">
        <v>21450</v>
      </c>
      <c r="O2443" t="s">
        <v>21451</v>
      </c>
      <c r="P2443" t="s">
        <v>697</v>
      </c>
      <c r="Q2443" t="s">
        <v>29</v>
      </c>
      <c r="R2443" t="s">
        <v>21447</v>
      </c>
      <c r="S2443" t="s">
        <v>21448</v>
      </c>
    </row>
    <row r="2444" spans="1:19" x14ac:dyDescent="0.25">
      <c r="A2444" s="1">
        <v>2442</v>
      </c>
      <c r="B2444" t="str">
        <f>HYPERLINK("https://www.dasschnelle.at/pürcher-harald-bad-aussee-altausseer-straße","Website")</f>
        <v>Website</v>
      </c>
      <c r="C2444" t="str">
        <f>HYPERLINK("http://www.puercher-dach.at","Website")</f>
        <v>Website</v>
      </c>
      <c r="D2444" t="str">
        <f>HYPERLINK("http://www.google.com/maps/place/47.61433,13.77573","Location")</f>
        <v>Location</v>
      </c>
      <c r="E2444" t="s">
        <v>21452</v>
      </c>
      <c r="F2444" t="s">
        <v>21453</v>
      </c>
      <c r="G2444" t="s">
        <v>1195</v>
      </c>
      <c r="H2444" t="s">
        <v>1196</v>
      </c>
      <c r="I2444" t="s">
        <v>451</v>
      </c>
      <c r="J2444" t="s">
        <v>22</v>
      </c>
      <c r="K2444" t="s">
        <v>21454</v>
      </c>
      <c r="L2444" t="s">
        <v>21457</v>
      </c>
      <c r="M2444" t="s">
        <v>25</v>
      </c>
      <c r="N2444" t="s">
        <v>21458</v>
      </c>
      <c r="O2444" t="s">
        <v>21459</v>
      </c>
      <c r="P2444" t="s">
        <v>21460</v>
      </c>
      <c r="Q2444" t="s">
        <v>29</v>
      </c>
      <c r="R2444" t="s">
        <v>21455</v>
      </c>
      <c r="S2444" t="s">
        <v>21456</v>
      </c>
    </row>
    <row r="2445" spans="1:19" x14ac:dyDescent="0.25">
      <c r="A2445" s="1">
        <v>2443</v>
      </c>
      <c r="B2445" t="str">
        <f>HYPERLINK("https://www.dasschnelle.at/duyar-tuncer-restaurant-ehrwald-hauptstraße","Website")</f>
        <v>Website</v>
      </c>
      <c r="C2445" t="str">
        <f>HYPERLINK("https://www.dasschnelle.at/duyar-tuncer-restaurant-ehrwald-hauptstra%C3%9Fe","Website")</f>
        <v>Website</v>
      </c>
      <c r="D2445" t="str">
        <f>HYPERLINK("http://www.google.com/maps/place/47.4034,10.91937","Location")</f>
        <v>Location</v>
      </c>
      <c r="E2445" t="s">
        <v>21461</v>
      </c>
      <c r="F2445" t="s">
        <v>21462</v>
      </c>
      <c r="G2445" t="s">
        <v>14930</v>
      </c>
      <c r="H2445" t="s">
        <v>14931</v>
      </c>
      <c r="I2445" t="s">
        <v>21</v>
      </c>
      <c r="J2445" t="s">
        <v>22</v>
      </c>
      <c r="K2445" t="s">
        <v>21463</v>
      </c>
      <c r="L2445" t="s">
        <v>21466</v>
      </c>
      <c r="M2445" t="s">
        <v>25</v>
      </c>
      <c r="N2445" t="s">
        <v>25</v>
      </c>
      <c r="O2445" t="s">
        <v>25</v>
      </c>
      <c r="P2445" t="s">
        <v>21467</v>
      </c>
      <c r="Q2445" t="s">
        <v>29</v>
      </c>
      <c r="R2445" t="s">
        <v>21464</v>
      </c>
      <c r="S2445" t="s">
        <v>21465</v>
      </c>
    </row>
    <row r="2446" spans="1:19" x14ac:dyDescent="0.25">
      <c r="A2446" s="1">
        <v>2444</v>
      </c>
      <c r="B2446" t="str">
        <f>HYPERLINK("https://www.dasschnelle.at/schlosserei-strick-gmbh-und-co-kg-obertraun-obertraun","Website")</f>
        <v>Website</v>
      </c>
      <c r="C2446" t="str">
        <f>HYPERLINK("http://www.schlosserei-strick.at","Website")</f>
        <v>Website</v>
      </c>
      <c r="D2446" t="str">
        <f>HYPERLINK("http://www.google.com/maps/place/47.5571800,13.7019900","Location")</f>
        <v>Location</v>
      </c>
      <c r="E2446" t="s">
        <v>21468</v>
      </c>
      <c r="F2446" t="s">
        <v>21469</v>
      </c>
      <c r="G2446" t="s">
        <v>2576</v>
      </c>
      <c r="H2446" t="s">
        <v>2577</v>
      </c>
      <c r="I2446" t="s">
        <v>85</v>
      </c>
      <c r="J2446" t="s">
        <v>22</v>
      </c>
      <c r="K2446" t="s">
        <v>21470</v>
      </c>
      <c r="L2446" t="s">
        <v>21473</v>
      </c>
      <c r="M2446" t="s">
        <v>21474</v>
      </c>
      <c r="N2446" t="s">
        <v>21475</v>
      </c>
      <c r="O2446" t="s">
        <v>25</v>
      </c>
      <c r="P2446" t="s">
        <v>21476</v>
      </c>
      <c r="Q2446" t="s">
        <v>29</v>
      </c>
      <c r="R2446" t="s">
        <v>21471</v>
      </c>
      <c r="S2446" t="s">
        <v>21472</v>
      </c>
    </row>
    <row r="2447" spans="1:19" x14ac:dyDescent="0.25">
      <c r="A2447" s="1">
        <v>2445</v>
      </c>
      <c r="B2447" t="str">
        <f>HYPERLINK("https://www.dasschnelle.at/rothauer-spedition-gmbh-und-co-kg-pinsdorf-wiesenstraße","Website")</f>
        <v>Website</v>
      </c>
      <c r="C2447" t="str">
        <f>HYPERLINK("http://www.rothauertrans.at","Website")</f>
        <v>Website</v>
      </c>
      <c r="D2447" t="str">
        <f>HYPERLINK("http://www.google.com/maps/place/47.9566800,13.7489400","Location")</f>
        <v>Location</v>
      </c>
      <c r="E2447" t="s">
        <v>21477</v>
      </c>
      <c r="F2447" t="s">
        <v>21478</v>
      </c>
      <c r="G2447" t="s">
        <v>6981</v>
      </c>
      <c r="H2447" t="s">
        <v>6982</v>
      </c>
      <c r="I2447" t="s">
        <v>85</v>
      </c>
      <c r="J2447" t="s">
        <v>22</v>
      </c>
      <c r="K2447" t="s">
        <v>21479</v>
      </c>
      <c r="L2447" t="s">
        <v>21482</v>
      </c>
      <c r="M2447" t="s">
        <v>25</v>
      </c>
      <c r="N2447" t="s">
        <v>21483</v>
      </c>
      <c r="O2447" t="s">
        <v>25</v>
      </c>
      <c r="P2447" t="s">
        <v>21484</v>
      </c>
      <c r="Q2447" t="s">
        <v>29</v>
      </c>
      <c r="R2447" t="s">
        <v>21480</v>
      </c>
      <c r="S2447" t="s">
        <v>21481</v>
      </c>
    </row>
    <row r="2448" spans="1:19" x14ac:dyDescent="0.25">
      <c r="A2448" s="1">
        <v>2446</v>
      </c>
      <c r="B2448" t="str">
        <f>HYPERLINK("https://www.dasschnelle.at/kirchdorfer-taxi-gmbh-und-co-kg-micheldorf-weinzierler-brücke","Website")</f>
        <v>Website</v>
      </c>
      <c r="C2448" t="str">
        <f>HYPERLINK("http://www.kirchdorfer-taxi.com","Website")</f>
        <v>Website</v>
      </c>
      <c r="D2448" t="str">
        <f>HYPERLINK("http://www.google.com/maps/place/47.8943666,14.1298284","Location")</f>
        <v>Location</v>
      </c>
      <c r="E2448" t="s">
        <v>21485</v>
      </c>
      <c r="F2448" t="s">
        <v>21486</v>
      </c>
      <c r="G2448" t="s">
        <v>12399</v>
      </c>
      <c r="H2448" t="s">
        <v>12400</v>
      </c>
      <c r="I2448" t="s">
        <v>85</v>
      </c>
      <c r="J2448" t="s">
        <v>22</v>
      </c>
      <c r="K2448" t="s">
        <v>21487</v>
      </c>
      <c r="L2448" t="s">
        <v>21490</v>
      </c>
      <c r="M2448" t="s">
        <v>21491</v>
      </c>
      <c r="N2448" t="s">
        <v>21492</v>
      </c>
      <c r="O2448" t="s">
        <v>21493</v>
      </c>
      <c r="P2448" t="s">
        <v>21494</v>
      </c>
      <c r="Q2448" t="s">
        <v>29</v>
      </c>
      <c r="R2448" t="s">
        <v>21488</v>
      </c>
      <c r="S2448" t="s">
        <v>21489</v>
      </c>
    </row>
    <row r="2449" spans="1:19" x14ac:dyDescent="0.25">
      <c r="A2449" s="1">
        <v>2447</v>
      </c>
      <c r="B2449" t="str">
        <f>HYPERLINK("https://www.dasschnelle.at/gassner-robert-bad-aussee-helmbühel","Website")</f>
        <v>Website</v>
      </c>
      <c r="C2449" t="str">
        <f>HYPERLINK("https://www.dasschnelle.at/gassner-robert-bad-aussee-helmb%C3%BChel","Website")</f>
        <v>Website</v>
      </c>
      <c r="D2449" t="str">
        <f>HYPERLINK("http://www.google.com/maps/place/47.61501,13.74104","Location")</f>
        <v>Location</v>
      </c>
      <c r="E2449" t="s">
        <v>21495</v>
      </c>
      <c r="F2449" t="s">
        <v>21496</v>
      </c>
      <c r="G2449" t="s">
        <v>1195</v>
      </c>
      <c r="H2449" t="s">
        <v>1196</v>
      </c>
      <c r="I2449" t="s">
        <v>451</v>
      </c>
      <c r="J2449" t="s">
        <v>22</v>
      </c>
      <c r="K2449" t="s">
        <v>21497</v>
      </c>
      <c r="L2449" t="s">
        <v>21500</v>
      </c>
      <c r="M2449" t="s">
        <v>25</v>
      </c>
      <c r="N2449" t="s">
        <v>21501</v>
      </c>
      <c r="O2449" t="s">
        <v>25</v>
      </c>
      <c r="P2449" t="s">
        <v>21502</v>
      </c>
      <c r="Q2449" t="s">
        <v>29</v>
      </c>
      <c r="R2449" t="s">
        <v>21498</v>
      </c>
      <c r="S2449" t="s">
        <v>21499</v>
      </c>
    </row>
    <row r="2450" spans="1:19" x14ac:dyDescent="0.25">
      <c r="A2450" s="1">
        <v>2448</v>
      </c>
      <c r="B2450" t="str">
        <f>HYPERLINK("https://www.dasschnelle.at/fw-traumküchen-anif-hellbrunnerstraße","Website")</f>
        <v>Website</v>
      </c>
      <c r="C2450" t="str">
        <f>HYPERLINK("http://fw-traumkuechen.at/","Website")</f>
        <v>Website</v>
      </c>
      <c r="D2450" t="str">
        <f>HYPERLINK("http://www.google.com/maps/place/47.69049,13.08682","Location")</f>
        <v>Location</v>
      </c>
      <c r="E2450" t="s">
        <v>21503</v>
      </c>
      <c r="F2450" t="s">
        <v>21504</v>
      </c>
      <c r="G2450" t="s">
        <v>21506</v>
      </c>
      <c r="H2450" t="s">
        <v>21507</v>
      </c>
      <c r="I2450" t="s">
        <v>2239</v>
      </c>
      <c r="J2450" t="s">
        <v>22</v>
      </c>
      <c r="K2450" t="s">
        <v>21505</v>
      </c>
      <c r="L2450" t="s">
        <v>21510</v>
      </c>
      <c r="M2450" t="s">
        <v>25</v>
      </c>
      <c r="N2450" t="s">
        <v>21511</v>
      </c>
      <c r="O2450" t="s">
        <v>21512</v>
      </c>
      <c r="P2450" t="s">
        <v>21513</v>
      </c>
      <c r="Q2450" t="s">
        <v>29</v>
      </c>
      <c r="R2450" t="s">
        <v>21508</v>
      </c>
      <c r="S2450" t="s">
        <v>21509</v>
      </c>
    </row>
    <row r="2451" spans="1:19" x14ac:dyDescent="0.25">
      <c r="A2451" s="1">
        <v>2449</v>
      </c>
      <c r="B2451" t="str">
        <f>HYPERLINK("https://www.dasschnelle.at/elektrotechnik-zmugg-e-u-groß-sankt-florian-grünauerstraße","Website")</f>
        <v>Website</v>
      </c>
      <c r="C2451" t="str">
        <f>HYPERLINK("http://www.elektrotechnikzmugg.at","Website")</f>
        <v>Website</v>
      </c>
      <c r="D2451" t="str">
        <f>HYPERLINK("http://www.google.com/maps/place/46.81719,15.31917","Location")</f>
        <v>Location</v>
      </c>
      <c r="E2451" t="s">
        <v>21514</v>
      </c>
      <c r="F2451" t="s">
        <v>21515</v>
      </c>
      <c r="G2451" t="s">
        <v>2862</v>
      </c>
      <c r="H2451" t="s">
        <v>2863</v>
      </c>
      <c r="I2451" t="s">
        <v>451</v>
      </c>
      <c r="J2451" t="s">
        <v>22</v>
      </c>
      <c r="K2451" t="s">
        <v>21516</v>
      </c>
      <c r="L2451" t="s">
        <v>21519</v>
      </c>
      <c r="M2451" t="s">
        <v>25</v>
      </c>
      <c r="N2451" t="s">
        <v>21520</v>
      </c>
      <c r="O2451" t="s">
        <v>25</v>
      </c>
      <c r="P2451" t="s">
        <v>21521</v>
      </c>
      <c r="Q2451" t="s">
        <v>29</v>
      </c>
      <c r="R2451" t="s">
        <v>21517</v>
      </c>
      <c r="S2451" t="s">
        <v>21518</v>
      </c>
    </row>
    <row r="2452" spans="1:19" x14ac:dyDescent="0.25">
      <c r="A2452" s="1">
        <v>2450</v>
      </c>
      <c r="B2452" t="str">
        <f>HYPERLINK("https://www.dasschnelle.at/leo-möbeldesign-gmbh-groß-sankt-florian-florianiring","Website")</f>
        <v>Website</v>
      </c>
      <c r="C2452" t="str">
        <f>HYPERLINK("http://www.leo.st","Website")</f>
        <v>Website</v>
      </c>
      <c r="D2452" t="str">
        <f>HYPERLINK("http://www.google.com/maps/place/46.82418,15.31132","Location")</f>
        <v>Location</v>
      </c>
      <c r="E2452" t="s">
        <v>21522</v>
      </c>
      <c r="F2452" t="s">
        <v>21523</v>
      </c>
      <c r="G2452" t="s">
        <v>2862</v>
      </c>
      <c r="H2452" t="s">
        <v>2863</v>
      </c>
      <c r="I2452" t="s">
        <v>451</v>
      </c>
      <c r="J2452" t="s">
        <v>22</v>
      </c>
      <c r="K2452" t="s">
        <v>21524</v>
      </c>
      <c r="L2452" t="s">
        <v>21527</v>
      </c>
      <c r="M2452" t="s">
        <v>25</v>
      </c>
      <c r="N2452" t="s">
        <v>21528</v>
      </c>
      <c r="O2452" t="s">
        <v>25</v>
      </c>
      <c r="P2452" t="s">
        <v>21529</v>
      </c>
      <c r="Q2452" t="s">
        <v>29</v>
      </c>
      <c r="R2452" t="s">
        <v>21525</v>
      </c>
      <c r="S2452" t="s">
        <v>21526</v>
      </c>
    </row>
    <row r="2453" spans="1:19" x14ac:dyDescent="0.25">
      <c r="A2453" s="1">
        <v>2451</v>
      </c>
      <c r="B2453" t="str">
        <f>HYPERLINK("https://www.dasschnelle.at/wolf-huber-gesmbh-wies-sulmstraße","Website")</f>
        <v>Website</v>
      </c>
      <c r="C2453" t="str">
        <f>HYPERLINK("http://www.maler-wolf.at","Website")</f>
        <v>Website</v>
      </c>
      <c r="D2453" t="str">
        <f>HYPERLINK("http://www.google.com/maps/place/46.71755,15.2616","Location")</f>
        <v>Location</v>
      </c>
      <c r="E2453" t="s">
        <v>21530</v>
      </c>
      <c r="F2453" t="s">
        <v>21531</v>
      </c>
      <c r="G2453" t="s">
        <v>2911</v>
      </c>
      <c r="H2453" t="s">
        <v>2912</v>
      </c>
      <c r="I2453" t="s">
        <v>451</v>
      </c>
      <c r="J2453" t="s">
        <v>22</v>
      </c>
      <c r="K2453" t="s">
        <v>21532</v>
      </c>
      <c r="L2453" t="s">
        <v>21535</v>
      </c>
      <c r="M2453" t="s">
        <v>21536</v>
      </c>
      <c r="N2453" t="s">
        <v>21537</v>
      </c>
      <c r="O2453" t="s">
        <v>25</v>
      </c>
      <c r="P2453" t="s">
        <v>21538</v>
      </c>
      <c r="Q2453" t="s">
        <v>29</v>
      </c>
      <c r="R2453" t="s">
        <v>21533</v>
      </c>
      <c r="S2453" t="s">
        <v>21534</v>
      </c>
    </row>
    <row r="2454" spans="1:19" x14ac:dyDescent="0.25">
      <c r="A2454" s="1">
        <v>2452</v>
      </c>
      <c r="B2454" t="str">
        <f>HYPERLINK("https://www.dasschnelle.at/rieck-harald-dr-med-univ-steyr-hubergutstraße","Website")</f>
        <v>Website</v>
      </c>
      <c r="C2454" t="str">
        <f>HYPERLINK("https://www.dasschnelle.at/rieck-harald-dr-med-univ-steyr-hubergutstra%C3%9Fe","Website")</f>
        <v>Website</v>
      </c>
      <c r="D2454" t="str">
        <f>HYPERLINK("http://www.google.com/maps/place/48.03008,14.42482","Location")</f>
        <v>Location</v>
      </c>
      <c r="E2454" t="s">
        <v>21539</v>
      </c>
      <c r="F2454" t="s">
        <v>21540</v>
      </c>
      <c r="G2454" t="s">
        <v>95</v>
      </c>
      <c r="H2454" t="s">
        <v>96</v>
      </c>
      <c r="I2454" t="s">
        <v>85</v>
      </c>
      <c r="J2454" t="s">
        <v>22</v>
      </c>
      <c r="K2454" t="s">
        <v>21541</v>
      </c>
      <c r="L2454" t="s">
        <v>21544</v>
      </c>
      <c r="M2454" t="s">
        <v>25</v>
      </c>
      <c r="N2454" t="s">
        <v>21545</v>
      </c>
      <c r="O2454" t="s">
        <v>25</v>
      </c>
      <c r="P2454" t="s">
        <v>21546</v>
      </c>
      <c r="Q2454" t="s">
        <v>29</v>
      </c>
      <c r="R2454" t="s">
        <v>21542</v>
      </c>
      <c r="S2454" t="s">
        <v>21543</v>
      </c>
    </row>
    <row r="2455" spans="1:19" x14ac:dyDescent="0.25">
      <c r="A2455" s="1">
        <v>2453</v>
      </c>
      <c r="B2455" t="str">
        <f>HYPERLINK("https://www.dasschnelle.at/gruber-lüftungstechnik-gmbh-steyr-ulrichstraße","Website")</f>
        <v>Website</v>
      </c>
      <c r="C2455" t="str">
        <f>HYPERLINK("http://www.gruber-lueftung.at","Website")</f>
        <v>Website</v>
      </c>
      <c r="D2455" t="str">
        <f>HYPERLINK("http://www.google.com/maps/place/48.02714,14.421","Location")</f>
        <v>Location</v>
      </c>
      <c r="E2455" t="s">
        <v>21547</v>
      </c>
      <c r="F2455" t="s">
        <v>21548</v>
      </c>
      <c r="G2455" t="s">
        <v>95</v>
      </c>
      <c r="H2455" t="s">
        <v>96</v>
      </c>
      <c r="I2455" t="s">
        <v>85</v>
      </c>
      <c r="J2455" t="s">
        <v>22</v>
      </c>
      <c r="K2455" t="s">
        <v>21549</v>
      </c>
      <c r="L2455" t="s">
        <v>21552</v>
      </c>
      <c r="M2455" t="s">
        <v>25</v>
      </c>
      <c r="N2455" t="s">
        <v>21553</v>
      </c>
      <c r="O2455" t="s">
        <v>25</v>
      </c>
      <c r="P2455" t="s">
        <v>21554</v>
      </c>
      <c r="Q2455" t="s">
        <v>29</v>
      </c>
      <c r="R2455" t="s">
        <v>21550</v>
      </c>
      <c r="S2455" t="s">
        <v>21551</v>
      </c>
    </row>
    <row r="2456" spans="1:19" x14ac:dyDescent="0.25">
      <c r="A2456" s="1">
        <v>2454</v>
      </c>
      <c r="B2456" t="str">
        <f>HYPERLINK("https://www.dasschnelle.at/hinteregger-mathilde-steyr-haager-straße","Website")</f>
        <v>Website</v>
      </c>
      <c r="C2456" t="str">
        <f>HYPERLINK("http://www.reifen-steyr.at","Website")</f>
        <v>Website</v>
      </c>
      <c r="D2456" t="str">
        <f>HYPERLINK("http://www.google.com/maps/place/48.06343,14.45379","Location")</f>
        <v>Location</v>
      </c>
      <c r="E2456" t="s">
        <v>21555</v>
      </c>
      <c r="F2456" t="s">
        <v>21556</v>
      </c>
      <c r="G2456" t="s">
        <v>95</v>
      </c>
      <c r="H2456" t="s">
        <v>96</v>
      </c>
      <c r="I2456" t="s">
        <v>85</v>
      </c>
      <c r="J2456" t="s">
        <v>22</v>
      </c>
      <c r="K2456" t="s">
        <v>21557</v>
      </c>
      <c r="L2456" t="s">
        <v>21560</v>
      </c>
      <c r="M2456" t="s">
        <v>25</v>
      </c>
      <c r="N2456" t="s">
        <v>21561</v>
      </c>
      <c r="O2456" t="s">
        <v>25</v>
      </c>
      <c r="P2456" t="s">
        <v>21562</v>
      </c>
      <c r="Q2456" t="s">
        <v>29</v>
      </c>
      <c r="R2456" t="s">
        <v>21558</v>
      </c>
      <c r="S2456" t="s">
        <v>21559</v>
      </c>
    </row>
    <row r="2457" spans="1:19" x14ac:dyDescent="0.25">
      <c r="A2457" s="1">
        <v>2455</v>
      </c>
      <c r="B2457" t="str">
        <f>HYPERLINK("https://www.dasschnelle.at/thoma-walter-steyr-weba-straße","Website")</f>
        <v>Website</v>
      </c>
      <c r="C2457" t="str">
        <f>HYPERLINK("http://www.zimmerei-thoma.at","Website")</f>
        <v>Website</v>
      </c>
      <c r="D2457" t="str">
        <f>HYPERLINK("http://www.google.com/maps/place/48.0824,14.43061","Location")</f>
        <v>Location</v>
      </c>
      <c r="E2457" t="s">
        <v>21563</v>
      </c>
      <c r="F2457" t="s">
        <v>21564</v>
      </c>
      <c r="G2457" t="s">
        <v>176</v>
      </c>
      <c r="H2457" t="s">
        <v>96</v>
      </c>
      <c r="I2457" t="s">
        <v>85</v>
      </c>
      <c r="J2457" t="s">
        <v>22</v>
      </c>
      <c r="K2457" t="s">
        <v>21565</v>
      </c>
      <c r="L2457" t="s">
        <v>21568</v>
      </c>
      <c r="M2457" t="s">
        <v>25</v>
      </c>
      <c r="N2457" t="s">
        <v>21569</v>
      </c>
      <c r="O2457" t="s">
        <v>25</v>
      </c>
      <c r="P2457" t="s">
        <v>21570</v>
      </c>
      <c r="Q2457" t="s">
        <v>29</v>
      </c>
      <c r="R2457" t="s">
        <v>21566</v>
      </c>
      <c r="S2457" t="s">
        <v>21567</v>
      </c>
    </row>
    <row r="2458" spans="1:19" x14ac:dyDescent="0.25">
      <c r="A2458" s="1">
        <v>2456</v>
      </c>
      <c r="B2458" t="str">
        <f>HYPERLINK("https://www.dasschnelle.at/dr-martina-koch-puhr-markt-allhau-harbergerstraße","Website")</f>
        <v>Website</v>
      </c>
      <c r="C2458" t="str">
        <f>HYPERLINK("http://www.mkoch-zahn.at","Website")</f>
        <v>Website</v>
      </c>
      <c r="D2458" t="str">
        <f>HYPERLINK("http://www.google.com/maps/place/47.2906200,16.0751400","Location")</f>
        <v>Location</v>
      </c>
      <c r="E2458" t="s">
        <v>21571</v>
      </c>
      <c r="F2458" t="s">
        <v>21572</v>
      </c>
      <c r="G2458" t="s">
        <v>21216</v>
      </c>
      <c r="H2458" t="s">
        <v>21217</v>
      </c>
      <c r="I2458" t="s">
        <v>1834</v>
      </c>
      <c r="J2458" t="s">
        <v>22</v>
      </c>
      <c r="K2458" t="s">
        <v>21573</v>
      </c>
      <c r="L2458" t="s">
        <v>21576</v>
      </c>
      <c r="M2458" t="s">
        <v>25</v>
      </c>
      <c r="N2458" t="s">
        <v>21577</v>
      </c>
      <c r="O2458" t="s">
        <v>21578</v>
      </c>
      <c r="P2458" t="s">
        <v>21579</v>
      </c>
      <c r="Q2458" t="s">
        <v>29</v>
      </c>
      <c r="R2458" t="s">
        <v>21574</v>
      </c>
      <c r="S2458" t="s">
        <v>21575</v>
      </c>
    </row>
    <row r="2459" spans="1:19" x14ac:dyDescent="0.25">
      <c r="A2459" s="1">
        <v>2457</v>
      </c>
      <c r="B2459" t="str">
        <f>HYPERLINK("https://www.dasschnelle.at/komplettdach-janisch-gmbh-rotenturm-an-der-pirka-hauptstraße","Website")</f>
        <v>Website</v>
      </c>
      <c r="C2459" t="str">
        <f>HYPERLINK("http://www.komplettdachjanisch.at","Website")</f>
        <v>Website</v>
      </c>
      <c r="D2459" t="str">
        <f>HYPERLINK("http://www.google.com/maps/place/47.2527400,16.2448700","Location")</f>
        <v>Location</v>
      </c>
      <c r="E2459" t="s">
        <v>21580</v>
      </c>
      <c r="F2459" t="s">
        <v>21581</v>
      </c>
      <c r="G2459" t="s">
        <v>21582</v>
      </c>
      <c r="H2459" t="s">
        <v>21583</v>
      </c>
      <c r="I2459" t="s">
        <v>1834</v>
      </c>
      <c r="J2459" t="s">
        <v>22</v>
      </c>
      <c r="K2459" t="s">
        <v>11371</v>
      </c>
      <c r="L2459" t="s">
        <v>21586</v>
      </c>
      <c r="M2459" t="s">
        <v>25</v>
      </c>
      <c r="N2459" t="s">
        <v>21587</v>
      </c>
      <c r="O2459" t="s">
        <v>21588</v>
      </c>
      <c r="P2459" t="s">
        <v>21589</v>
      </c>
      <c r="Q2459" t="s">
        <v>29</v>
      </c>
      <c r="R2459" t="s">
        <v>21584</v>
      </c>
      <c r="S2459" t="s">
        <v>21585</v>
      </c>
    </row>
    <row r="2460" spans="1:19" x14ac:dyDescent="0.25">
      <c r="A2460" s="1">
        <v>2458</v>
      </c>
      <c r="B2460" t="str">
        <f>HYPERLINK("https://www.dasschnelle.at/ehmann-christian-eibiswald-eibiswald","Website")</f>
        <v>Website</v>
      </c>
      <c r="C2460" t="str">
        <f>HYPERLINK("http://www.natursteine-ehmann.at","Website")</f>
        <v>Website</v>
      </c>
      <c r="D2460" t="str">
        <f>HYPERLINK("http://www.google.com/maps/place/46.6877239,15.2400335","Location")</f>
        <v>Location</v>
      </c>
      <c r="E2460" t="s">
        <v>21590</v>
      </c>
      <c r="F2460" t="s">
        <v>21591</v>
      </c>
      <c r="G2460" t="s">
        <v>2901</v>
      </c>
      <c r="H2460" t="s">
        <v>2902</v>
      </c>
      <c r="I2460" t="s">
        <v>451</v>
      </c>
      <c r="J2460" t="s">
        <v>22</v>
      </c>
      <c r="K2460" t="s">
        <v>21592</v>
      </c>
      <c r="L2460" t="s">
        <v>21595</v>
      </c>
      <c r="M2460" t="s">
        <v>25</v>
      </c>
      <c r="N2460" t="s">
        <v>21596</v>
      </c>
      <c r="O2460" t="s">
        <v>25</v>
      </c>
      <c r="P2460" t="s">
        <v>21597</v>
      </c>
      <c r="Q2460" t="s">
        <v>29</v>
      </c>
      <c r="R2460" t="s">
        <v>21593</v>
      </c>
      <c r="S2460" t="s">
        <v>21594</v>
      </c>
    </row>
    <row r="2461" spans="1:19" x14ac:dyDescent="0.25">
      <c r="A2461" s="1">
        <v>2459</v>
      </c>
      <c r="B2461" t="str">
        <f>HYPERLINK("https://www.dasschnelle.at/kellermayr-pamela-mag-micheldorf-welser-straße","Website")</f>
        <v>Website</v>
      </c>
      <c r="C2461" t="str">
        <f>HYPERLINK("http://www.kanzlei-kellermayr.at","Website")</f>
        <v>Website</v>
      </c>
      <c r="D2461" t="str">
        <f>HYPERLINK("http://www.google.com/maps/place/47.8813424,14.1323375","Location")</f>
        <v>Location</v>
      </c>
      <c r="E2461" t="s">
        <v>21598</v>
      </c>
      <c r="F2461" t="s">
        <v>21599</v>
      </c>
      <c r="G2461" t="s">
        <v>12399</v>
      </c>
      <c r="H2461" t="s">
        <v>12400</v>
      </c>
      <c r="I2461" t="s">
        <v>85</v>
      </c>
      <c r="J2461" t="s">
        <v>22</v>
      </c>
      <c r="K2461" t="s">
        <v>21600</v>
      </c>
      <c r="L2461" t="s">
        <v>21603</v>
      </c>
      <c r="M2461" t="s">
        <v>25</v>
      </c>
      <c r="N2461" t="s">
        <v>21604</v>
      </c>
      <c r="O2461" t="s">
        <v>25</v>
      </c>
      <c r="P2461" t="s">
        <v>21605</v>
      </c>
      <c r="Q2461" t="s">
        <v>29</v>
      </c>
      <c r="R2461" t="s">
        <v>21601</v>
      </c>
      <c r="S2461" t="s">
        <v>21602</v>
      </c>
    </row>
    <row r="2462" spans="1:19" x14ac:dyDescent="0.25">
      <c r="A2462" s="1">
        <v>2460</v>
      </c>
      <c r="B2462" t="str">
        <f>HYPERLINK("https://www.dasschnelle.at/schügerl-stefan-dr-neunkirchen-schreckgasse","Website")</f>
        <v>Website</v>
      </c>
      <c r="C2462" t="str">
        <f>HYPERLINK("http://www.schuegerl.at","Website")</f>
        <v>Website</v>
      </c>
      <c r="D2462" t="str">
        <f>HYPERLINK("http://www.google.com/maps/place/47.7193,16.08358","Location")</f>
        <v>Location</v>
      </c>
      <c r="E2462" t="s">
        <v>21606</v>
      </c>
      <c r="F2462" t="s">
        <v>21607</v>
      </c>
      <c r="G2462" t="s">
        <v>5676</v>
      </c>
      <c r="H2462" t="s">
        <v>5677</v>
      </c>
      <c r="I2462" t="s">
        <v>177</v>
      </c>
      <c r="J2462" t="s">
        <v>22</v>
      </c>
      <c r="K2462" t="s">
        <v>21608</v>
      </c>
      <c r="L2462" t="s">
        <v>21611</v>
      </c>
      <c r="M2462" t="s">
        <v>21612</v>
      </c>
      <c r="N2462" t="s">
        <v>21613</v>
      </c>
      <c r="O2462" t="s">
        <v>25</v>
      </c>
      <c r="P2462" t="s">
        <v>21614</v>
      </c>
      <c r="Q2462" t="s">
        <v>29</v>
      </c>
      <c r="R2462" t="s">
        <v>21609</v>
      </c>
      <c r="S2462" t="s">
        <v>21610</v>
      </c>
    </row>
    <row r="2463" spans="1:19" x14ac:dyDescent="0.25">
      <c r="A2463" s="1">
        <v>2461</v>
      </c>
      <c r="B2463" t="str">
        <f>HYPERLINK("https://www.dasschnelle.at/panholzer-peter-josef-prim-dr-gmunden-kammerhofgasse","Website")</f>
        <v>Website</v>
      </c>
      <c r="C2463" t="str">
        <f>HYPERLINK("https://www.dasschnelle.at/panholzer-peter-josef-prim-dr-gmunden-kammerhofgasse","Website")</f>
        <v>Website</v>
      </c>
      <c r="D2463" t="str">
        <f>HYPERLINK("http://www.google.com/maps/place/47.91819,13.80089","Location")</f>
        <v>Location</v>
      </c>
      <c r="E2463" t="s">
        <v>21615</v>
      </c>
      <c r="F2463" t="s">
        <v>21616</v>
      </c>
      <c r="G2463" t="s">
        <v>6951</v>
      </c>
      <c r="H2463" t="s">
        <v>6952</v>
      </c>
      <c r="I2463" t="s">
        <v>85</v>
      </c>
      <c r="J2463" t="s">
        <v>22</v>
      </c>
      <c r="K2463" t="s">
        <v>21617</v>
      </c>
      <c r="L2463" t="s">
        <v>21620</v>
      </c>
      <c r="M2463" t="s">
        <v>21621</v>
      </c>
      <c r="N2463" t="s">
        <v>21622</v>
      </c>
      <c r="O2463" t="s">
        <v>25</v>
      </c>
      <c r="P2463" t="s">
        <v>21623</v>
      </c>
      <c r="Q2463" t="s">
        <v>29</v>
      </c>
      <c r="R2463" t="s">
        <v>21618</v>
      </c>
      <c r="S2463" t="s">
        <v>21619</v>
      </c>
    </row>
    <row r="2464" spans="1:19" x14ac:dyDescent="0.25">
      <c r="A2464" s="1">
        <v>2462</v>
      </c>
      <c r="B2464" t="str">
        <f>HYPERLINK("https://www.dasschnelle.at/gertcheva-veselina-dr-med-dent-pernitz-nordstraße","Website")</f>
        <v>Website</v>
      </c>
      <c r="C2464" t="str">
        <f>HYPERLINK("https://www.dasschnelle.at/gertcheva-veselina-dr-med-dent-pernitz-nordstra%C3%9Fe","Website")</f>
        <v>Website</v>
      </c>
      <c r="D2464" t="str">
        <f>HYPERLINK("http://www.google.com/maps/place/47.89302,15.9654","Location")</f>
        <v>Location</v>
      </c>
      <c r="E2464" t="s">
        <v>21624</v>
      </c>
      <c r="F2464" t="s">
        <v>21625</v>
      </c>
      <c r="G2464" t="s">
        <v>21627</v>
      </c>
      <c r="H2464" t="s">
        <v>21628</v>
      </c>
      <c r="I2464" t="s">
        <v>177</v>
      </c>
      <c r="J2464" t="s">
        <v>22</v>
      </c>
      <c r="K2464" t="s">
        <v>21626</v>
      </c>
      <c r="L2464" t="s">
        <v>21631</v>
      </c>
      <c r="M2464" t="s">
        <v>25</v>
      </c>
      <c r="N2464" t="s">
        <v>21632</v>
      </c>
      <c r="O2464" t="s">
        <v>25</v>
      </c>
      <c r="P2464" t="s">
        <v>21633</v>
      </c>
      <c r="Q2464" t="s">
        <v>29</v>
      </c>
      <c r="R2464" t="s">
        <v>21629</v>
      </c>
      <c r="S2464" t="s">
        <v>21630</v>
      </c>
    </row>
    <row r="2465" spans="1:19" x14ac:dyDescent="0.25">
      <c r="A2465" s="1">
        <v>2463</v>
      </c>
      <c r="B2465" t="str">
        <f>HYPERLINK("https://www.dasschnelle.at/buchmair-alfred-dr-pinsdorf-vöcklabrucker-straße","Website")</f>
        <v>Website</v>
      </c>
      <c r="C2465" t="str">
        <f>HYPERLINK("http://www.zahnarzt-pinsdorf.at","Website")</f>
        <v>Website</v>
      </c>
      <c r="D2465" t="str">
        <f>HYPERLINK("http://www.google.com/maps/place/47.93182,13.76779","Location")</f>
        <v>Location</v>
      </c>
      <c r="E2465" t="s">
        <v>21634</v>
      </c>
      <c r="F2465" t="s">
        <v>21635</v>
      </c>
      <c r="G2465" t="s">
        <v>6981</v>
      </c>
      <c r="H2465" t="s">
        <v>6982</v>
      </c>
      <c r="I2465" t="s">
        <v>85</v>
      </c>
      <c r="J2465" t="s">
        <v>22</v>
      </c>
      <c r="K2465" t="s">
        <v>6980</v>
      </c>
      <c r="L2465" t="s">
        <v>6985</v>
      </c>
      <c r="M2465" t="s">
        <v>25</v>
      </c>
      <c r="N2465" t="s">
        <v>25</v>
      </c>
      <c r="O2465" t="s">
        <v>25</v>
      </c>
      <c r="P2465" t="s">
        <v>21636</v>
      </c>
      <c r="Q2465" t="s">
        <v>29</v>
      </c>
      <c r="R2465" t="s">
        <v>6983</v>
      </c>
      <c r="S2465" t="s">
        <v>6984</v>
      </c>
    </row>
    <row r="2466" spans="1:19" x14ac:dyDescent="0.25">
      <c r="A2466" s="1">
        <v>2464</v>
      </c>
      <c r="B2466" t="str">
        <f>HYPERLINK("https://www.dasschnelle.at/rieß-franz-langwiedmoos","Website")</f>
        <v>Website</v>
      </c>
      <c r="C2466" t="str">
        <f>HYPERLINK("http://www.riess-franz.at","Website")</f>
        <v>Website</v>
      </c>
      <c r="D2466" t="str">
        <f>HYPERLINK("http://www.google.com/maps/place/48.1024593,13.1772681","Location")</f>
        <v>Location</v>
      </c>
      <c r="E2466" t="s">
        <v>21637</v>
      </c>
      <c r="F2466" t="s">
        <v>21638</v>
      </c>
      <c r="G2466" t="s">
        <v>1318</v>
      </c>
      <c r="H2466" t="s">
        <v>21639</v>
      </c>
      <c r="I2466" t="s">
        <v>85</v>
      </c>
      <c r="J2466" t="s">
        <v>22</v>
      </c>
      <c r="K2466" t="s">
        <v>25</v>
      </c>
      <c r="L2466" t="s">
        <v>21642</v>
      </c>
      <c r="M2466" t="s">
        <v>25</v>
      </c>
      <c r="N2466" t="s">
        <v>21643</v>
      </c>
      <c r="O2466" t="s">
        <v>25</v>
      </c>
      <c r="P2466" t="s">
        <v>21644</v>
      </c>
      <c r="Q2466" t="s">
        <v>29</v>
      </c>
      <c r="R2466" t="s">
        <v>21640</v>
      </c>
      <c r="S2466" t="s">
        <v>21641</v>
      </c>
    </row>
    <row r="2467" spans="1:19" x14ac:dyDescent="0.25">
      <c r="A2467" s="1">
        <v>2465</v>
      </c>
      <c r="B2467" t="str">
        <f>HYPERLINK("https://www.dasschnelle.at/ms-holzbau-gmbh-mattighofen-scheiterbachstraße","Website")</f>
        <v>Website</v>
      </c>
      <c r="C2467" t="str">
        <f>HYPERLINK("http://www.ms-holzbau.at","Website")</f>
        <v>Website</v>
      </c>
      <c r="D2467" t="str">
        <f>HYPERLINK("http://www.google.com/maps/place/48.1049100,13.1554146","Location")</f>
        <v>Location</v>
      </c>
      <c r="E2467" t="s">
        <v>21645</v>
      </c>
      <c r="F2467" t="s">
        <v>21646</v>
      </c>
      <c r="G2467" t="s">
        <v>1365</v>
      </c>
      <c r="H2467" t="s">
        <v>1366</v>
      </c>
      <c r="I2467" t="s">
        <v>85</v>
      </c>
      <c r="J2467" t="s">
        <v>22</v>
      </c>
      <c r="K2467" t="s">
        <v>21647</v>
      </c>
      <c r="L2467" t="s">
        <v>21650</v>
      </c>
      <c r="M2467" t="s">
        <v>25</v>
      </c>
      <c r="N2467" t="s">
        <v>21651</v>
      </c>
      <c r="O2467" t="s">
        <v>21652</v>
      </c>
      <c r="P2467" t="s">
        <v>21653</v>
      </c>
      <c r="Q2467" t="s">
        <v>29</v>
      </c>
      <c r="R2467" t="s">
        <v>21648</v>
      </c>
      <c r="S2467" t="s">
        <v>21649</v>
      </c>
    </row>
    <row r="2468" spans="1:19" x14ac:dyDescent="0.25">
      <c r="A2468" s="1">
        <v>2466</v>
      </c>
      <c r="B2468" t="str">
        <f>HYPERLINK("https://www.dasschnelle.at/mayr-alexander-schnittstyle-1890-kirchdorf-an-der-krems-brunnenweg","Website")</f>
        <v>Website</v>
      </c>
      <c r="C2468" t="str">
        <f>HYPERLINK("http://www.schnittstyle1890.at","Website")</f>
        <v>Website</v>
      </c>
      <c r="D2468" t="str">
        <f>HYPERLINK("http://www.google.com/maps/place/47.90176,14.11787","Location")</f>
        <v>Location</v>
      </c>
      <c r="E2468" t="s">
        <v>21654</v>
      </c>
      <c r="F2468" t="s">
        <v>21655</v>
      </c>
      <c r="G2468" t="s">
        <v>12306</v>
      </c>
      <c r="H2468" t="s">
        <v>12307</v>
      </c>
      <c r="I2468" t="s">
        <v>85</v>
      </c>
      <c r="J2468" t="s">
        <v>22</v>
      </c>
      <c r="K2468" t="s">
        <v>21656</v>
      </c>
      <c r="L2468" t="s">
        <v>21659</v>
      </c>
      <c r="M2468" t="s">
        <v>25</v>
      </c>
      <c r="N2468" t="s">
        <v>21660</v>
      </c>
      <c r="O2468" t="s">
        <v>25</v>
      </c>
      <c r="P2468" t="s">
        <v>21661</v>
      </c>
      <c r="Q2468" t="s">
        <v>29</v>
      </c>
      <c r="R2468" t="s">
        <v>21657</v>
      </c>
      <c r="S2468" t="s">
        <v>21658</v>
      </c>
    </row>
    <row r="2469" spans="1:19" x14ac:dyDescent="0.25">
      <c r="A2469" s="1">
        <v>2467</v>
      </c>
      <c r="B2469" t="str">
        <f>HYPERLINK("https://www.dasschnelle.at/vers-und-more-gmbh-steyr-ennser-straße","Website")</f>
        <v>Website</v>
      </c>
      <c r="C2469" t="str">
        <f>HYPERLINK("http://www.versandmore.at","Website")</f>
        <v>Website</v>
      </c>
      <c r="D2469" t="str">
        <f>HYPERLINK("http://www.google.com/maps/place/48.07016,14.42415","Location")</f>
        <v>Location</v>
      </c>
      <c r="E2469" t="s">
        <v>21662</v>
      </c>
      <c r="F2469" t="s">
        <v>21663</v>
      </c>
      <c r="G2469" t="s">
        <v>176</v>
      </c>
      <c r="H2469" t="s">
        <v>96</v>
      </c>
      <c r="I2469" t="s">
        <v>85</v>
      </c>
      <c r="J2469" t="s">
        <v>22</v>
      </c>
      <c r="K2469" t="s">
        <v>21664</v>
      </c>
      <c r="L2469" t="s">
        <v>21665</v>
      </c>
      <c r="M2469" t="s">
        <v>25</v>
      </c>
      <c r="N2469" t="s">
        <v>21666</v>
      </c>
      <c r="O2469" t="s">
        <v>25</v>
      </c>
      <c r="P2469" t="s">
        <v>21667</v>
      </c>
      <c r="Q2469" t="s">
        <v>29</v>
      </c>
      <c r="R2469" t="s">
        <v>178</v>
      </c>
      <c r="S2469" t="s">
        <v>179</v>
      </c>
    </row>
    <row r="2470" spans="1:19" x14ac:dyDescent="0.25">
      <c r="A2470" s="1">
        <v>2468</v>
      </c>
      <c r="B2470" t="str">
        <f>HYPERLINK("https://www.dasschnelle.at/gundendorfer-regina-bellissima-regina-steyr-eisenstraße","Website")</f>
        <v>Website</v>
      </c>
      <c r="C2470" t="str">
        <f>HYPERLINK("http://www.bellissimaregina.at","Website")</f>
        <v>Website</v>
      </c>
      <c r="D2470" t="str">
        <f>HYPERLINK("http://www.google.com/maps/place/48.03017,14.41938","Location")</f>
        <v>Location</v>
      </c>
      <c r="E2470" t="s">
        <v>21668</v>
      </c>
      <c r="F2470" t="s">
        <v>21669</v>
      </c>
      <c r="G2470" t="s">
        <v>95</v>
      </c>
      <c r="H2470" t="s">
        <v>96</v>
      </c>
      <c r="I2470" t="s">
        <v>85</v>
      </c>
      <c r="J2470" t="s">
        <v>22</v>
      </c>
      <c r="K2470" t="s">
        <v>21670</v>
      </c>
      <c r="L2470" t="s">
        <v>21673</v>
      </c>
      <c r="M2470" t="s">
        <v>25</v>
      </c>
      <c r="N2470" t="s">
        <v>21674</v>
      </c>
      <c r="O2470" t="s">
        <v>25</v>
      </c>
      <c r="P2470" t="s">
        <v>21675</v>
      </c>
      <c r="Q2470" t="s">
        <v>29</v>
      </c>
      <c r="R2470" t="s">
        <v>21671</v>
      </c>
      <c r="S2470" t="s">
        <v>21672</v>
      </c>
    </row>
    <row r="2471" spans="1:19" x14ac:dyDescent="0.25">
      <c r="A2471" s="1">
        <v>2469</v>
      </c>
      <c r="B2471" t="str">
        <f>HYPERLINK("https://www.dasschnelle.at/look-salon-sandmair-steyr-smaragdstraße","Website")</f>
        <v>Website</v>
      </c>
      <c r="C2471" t="str">
        <f>HYPERLINK("https://www.dasschnelle.at/look-salon-sandmair-steyr-smaragdstra%C3%9Fe","Website")</f>
        <v>Website</v>
      </c>
      <c r="D2471" t="str">
        <f>HYPERLINK("http://www.google.com/maps/place/48.08491,14.43214","Location")</f>
        <v>Location</v>
      </c>
      <c r="E2471" t="s">
        <v>21676</v>
      </c>
      <c r="F2471" t="s">
        <v>21677</v>
      </c>
      <c r="G2471" t="s">
        <v>176</v>
      </c>
      <c r="H2471" t="s">
        <v>96</v>
      </c>
      <c r="I2471" t="s">
        <v>85</v>
      </c>
      <c r="J2471" t="s">
        <v>22</v>
      </c>
      <c r="K2471" t="s">
        <v>21678</v>
      </c>
      <c r="L2471" t="s">
        <v>21681</v>
      </c>
      <c r="M2471" t="s">
        <v>25</v>
      </c>
      <c r="N2471" t="s">
        <v>21682</v>
      </c>
      <c r="O2471" t="s">
        <v>25</v>
      </c>
      <c r="P2471" t="s">
        <v>21683</v>
      </c>
      <c r="Q2471" t="s">
        <v>29</v>
      </c>
      <c r="R2471" t="s">
        <v>21679</v>
      </c>
      <c r="S2471" t="s">
        <v>21680</v>
      </c>
    </row>
    <row r="2472" spans="1:19" x14ac:dyDescent="0.25">
      <c r="A2472" s="1">
        <v>2470</v>
      </c>
      <c r="B2472" t="str">
        <f>HYPERLINK("https://www.dasschnelle.at/gruber-manuela-steyr-gleinker-hauptstraße","Website")</f>
        <v>Website</v>
      </c>
      <c r="C2472" t="str">
        <f>HYPERLINK("http://www.creativehair.at","Website")</f>
        <v>Website</v>
      </c>
      <c r="D2472" t="str">
        <f>HYPERLINK("http://www.google.com/maps/place/48.06751,14.41926","Location")</f>
        <v>Location</v>
      </c>
      <c r="E2472" t="s">
        <v>21684</v>
      </c>
      <c r="F2472" t="s">
        <v>21685</v>
      </c>
      <c r="G2472" t="s">
        <v>176</v>
      </c>
      <c r="H2472" t="s">
        <v>96</v>
      </c>
      <c r="I2472" t="s">
        <v>85</v>
      </c>
      <c r="J2472" t="s">
        <v>22</v>
      </c>
      <c r="K2472" t="s">
        <v>21686</v>
      </c>
      <c r="L2472" t="s">
        <v>21689</v>
      </c>
      <c r="M2472" t="s">
        <v>25</v>
      </c>
      <c r="N2472" t="s">
        <v>21690</v>
      </c>
      <c r="O2472" t="s">
        <v>25</v>
      </c>
      <c r="P2472" t="s">
        <v>21691</v>
      </c>
      <c r="Q2472" t="s">
        <v>29</v>
      </c>
      <c r="R2472" t="s">
        <v>21687</v>
      </c>
      <c r="S2472" t="s">
        <v>21688</v>
      </c>
    </row>
    <row r="2473" spans="1:19" x14ac:dyDescent="0.25">
      <c r="A2473" s="1">
        <v>2471</v>
      </c>
      <c r="B2473" t="str">
        <f>HYPERLINK("https://www.dasschnelle.at/stögerer-gmbh-pingau-am-sonnenhang","Website")</f>
        <v>Website</v>
      </c>
      <c r="C2473" t="str">
        <f>HYPERLINK("http://www.bestattungen.co.at","Website")</f>
        <v>Website</v>
      </c>
      <c r="D2473" t="str">
        <f>HYPERLINK("http://www.google.com/maps/place/47.4384460,16.0766146","Location")</f>
        <v>Location</v>
      </c>
      <c r="E2473" t="s">
        <v>21692</v>
      </c>
      <c r="F2473" t="s">
        <v>21693</v>
      </c>
      <c r="G2473" t="s">
        <v>21695</v>
      </c>
      <c r="H2473" t="s">
        <v>21696</v>
      </c>
      <c r="I2473" t="s">
        <v>451</v>
      </c>
      <c r="J2473" t="s">
        <v>22</v>
      </c>
      <c r="K2473" t="s">
        <v>21694</v>
      </c>
      <c r="L2473" t="s">
        <v>21699</v>
      </c>
      <c r="M2473" t="s">
        <v>25</v>
      </c>
      <c r="N2473" t="s">
        <v>21700</v>
      </c>
      <c r="O2473" t="s">
        <v>25</v>
      </c>
      <c r="P2473" t="s">
        <v>21701</v>
      </c>
      <c r="Q2473" t="s">
        <v>29</v>
      </c>
      <c r="R2473" t="s">
        <v>21697</v>
      </c>
      <c r="S2473" t="s">
        <v>21698</v>
      </c>
    </row>
    <row r="2474" spans="1:19" x14ac:dyDescent="0.25">
      <c r="A2474" s="1">
        <v>2472</v>
      </c>
      <c r="B2474" t="str">
        <f>HYPERLINK("https://www.dasschnelle.at/krenn-maria-oberndorf-bei-salzburg-arnsdorfer-straße","Website")</f>
        <v>Website</v>
      </c>
      <c r="C2474" t="str">
        <f>HYPERLINK("https://www.dasschnelle.at/krenn-maria-oberndorf-bei-salzburg-arnsdorfer-stra%C3%9Fe","Website")</f>
        <v>Website</v>
      </c>
      <c r="D2474" t="str">
        <f>HYPERLINK("http://www.google.com/maps/place/47.9526146,12.9389437","Location")</f>
        <v>Location</v>
      </c>
      <c r="E2474" t="s">
        <v>21702</v>
      </c>
      <c r="F2474" t="s">
        <v>21703</v>
      </c>
      <c r="G2474" t="s">
        <v>12780</v>
      </c>
      <c r="H2474" t="s">
        <v>12781</v>
      </c>
      <c r="I2474" t="s">
        <v>2239</v>
      </c>
      <c r="J2474" t="s">
        <v>22</v>
      </c>
      <c r="K2474" t="s">
        <v>21704</v>
      </c>
      <c r="L2474" t="s">
        <v>21707</v>
      </c>
      <c r="M2474" t="s">
        <v>25</v>
      </c>
      <c r="N2474" t="s">
        <v>21708</v>
      </c>
      <c r="O2474" t="s">
        <v>25</v>
      </c>
      <c r="P2474" t="s">
        <v>21709</v>
      </c>
      <c r="Q2474" t="s">
        <v>29</v>
      </c>
      <c r="R2474" t="s">
        <v>21705</v>
      </c>
      <c r="S2474" t="s">
        <v>21706</v>
      </c>
    </row>
    <row r="2475" spans="1:19" x14ac:dyDescent="0.25">
      <c r="A2475" s="1">
        <v>2473</v>
      </c>
      <c r="B2475" t="str">
        <f>HYPERLINK("https://www.dasschnelle.at/hopf-maximilian-gesmbh-und-co-kg-großraming-eisenstraße","Website")</f>
        <v>Website</v>
      </c>
      <c r="C2475" t="str">
        <f>HYPERLINK("https://www.dasschnelle.at/hopf-maximilian-gesmbh-und-co-kg-gro%C3%9Framing-eisenstra%C3%9Fe","Website")</f>
        <v>Website</v>
      </c>
      <c r="D2475" t="str">
        <f>HYPERLINK("http://www.google.com/maps/place/47.8849,14.55062","Location")</f>
        <v>Location</v>
      </c>
      <c r="E2475" t="s">
        <v>21710</v>
      </c>
      <c r="F2475" t="s">
        <v>21711</v>
      </c>
      <c r="G2475" t="s">
        <v>212</v>
      </c>
      <c r="H2475" t="s">
        <v>213</v>
      </c>
      <c r="I2475" t="s">
        <v>85</v>
      </c>
      <c r="J2475" t="s">
        <v>22</v>
      </c>
      <c r="K2475" t="s">
        <v>21712</v>
      </c>
      <c r="L2475" t="s">
        <v>21715</v>
      </c>
      <c r="M2475" t="s">
        <v>25</v>
      </c>
      <c r="N2475" t="s">
        <v>21716</v>
      </c>
      <c r="O2475" t="s">
        <v>25</v>
      </c>
      <c r="P2475" t="s">
        <v>21717</v>
      </c>
      <c r="Q2475" t="s">
        <v>29</v>
      </c>
      <c r="R2475" t="s">
        <v>21713</v>
      </c>
      <c r="S2475" t="s">
        <v>21714</v>
      </c>
    </row>
    <row r="2476" spans="1:19" x14ac:dyDescent="0.25">
      <c r="A2476" s="1">
        <v>2474</v>
      </c>
      <c r="B2476" t="str">
        <f>HYPERLINK("https://www.dasschnelle.at/neßling-oeg-st-pantaleon-gewerbepark-heiligenstatt","Website")</f>
        <v>Website</v>
      </c>
      <c r="C2476" t="str">
        <f>HYPERLINK("http://www.farbemalanders.at","Website")</f>
        <v>Website</v>
      </c>
      <c r="D2476" t="str">
        <f>HYPERLINK("http://www.google.com/maps/place/48.00129,12.88668","Location")</f>
        <v>Location</v>
      </c>
      <c r="E2476" t="s">
        <v>21718</v>
      </c>
      <c r="F2476" t="s">
        <v>21719</v>
      </c>
      <c r="G2476" t="s">
        <v>12797</v>
      </c>
      <c r="H2476" t="s">
        <v>10858</v>
      </c>
      <c r="I2476" t="s">
        <v>85</v>
      </c>
      <c r="J2476" t="s">
        <v>22</v>
      </c>
      <c r="K2476" t="s">
        <v>21720</v>
      </c>
      <c r="L2476" t="s">
        <v>21723</v>
      </c>
      <c r="M2476" t="s">
        <v>25</v>
      </c>
      <c r="N2476" t="s">
        <v>21724</v>
      </c>
      <c r="O2476" t="s">
        <v>25</v>
      </c>
      <c r="P2476" t="s">
        <v>21725</v>
      </c>
      <c r="Q2476" t="s">
        <v>29</v>
      </c>
      <c r="R2476" t="s">
        <v>21721</v>
      </c>
      <c r="S2476" t="s">
        <v>21722</v>
      </c>
    </row>
    <row r="2477" spans="1:19" x14ac:dyDescent="0.25">
      <c r="A2477" s="1">
        <v>2475</v>
      </c>
      <c r="B2477" t="str">
        <f>HYPERLINK("https://www.dasschnelle.at/buhrt-sebastian-moosdorf-michaelbeuern-straße","Website")</f>
        <v>Website</v>
      </c>
      <c r="C2477" t="str">
        <f>HYPERLINK("http://www.malerei-buhrt.at","Website")</f>
        <v>Website</v>
      </c>
      <c r="D2477" t="str">
        <f>HYPERLINK("http://www.google.com/maps/place/48.0446126,12.9896924","Location")</f>
        <v>Location</v>
      </c>
      <c r="E2477" t="s">
        <v>21726</v>
      </c>
      <c r="F2477" t="s">
        <v>21727</v>
      </c>
      <c r="G2477" t="s">
        <v>21729</v>
      </c>
      <c r="H2477" t="s">
        <v>21730</v>
      </c>
      <c r="I2477" t="s">
        <v>85</v>
      </c>
      <c r="J2477" t="s">
        <v>22</v>
      </c>
      <c r="K2477" t="s">
        <v>21728</v>
      </c>
      <c r="L2477" t="s">
        <v>21733</v>
      </c>
      <c r="M2477" t="s">
        <v>25</v>
      </c>
      <c r="N2477" t="s">
        <v>21734</v>
      </c>
      <c r="O2477" t="s">
        <v>25</v>
      </c>
      <c r="P2477" t="s">
        <v>21735</v>
      </c>
      <c r="Q2477" t="s">
        <v>29</v>
      </c>
      <c r="R2477" t="s">
        <v>21731</v>
      </c>
      <c r="S2477" t="s">
        <v>21732</v>
      </c>
    </row>
    <row r="2478" spans="1:19" x14ac:dyDescent="0.25">
      <c r="A2478" s="1">
        <v>2476</v>
      </c>
      <c r="B2478" t="str">
        <f>HYPERLINK("https://www.dasschnelle.at/scharinger-felix-gasthof-steinerwirt-eggelsberg-revier-heimhausen","Website")</f>
        <v>Website</v>
      </c>
      <c r="C2478" t="str">
        <f>HYPERLINK("http://www.steinerwirt-egglsberg.at","Website")</f>
        <v>Website</v>
      </c>
      <c r="D2478" t="str">
        <f>HYPERLINK("http://www.google.com/maps/place/48.1001139,12.9828669","Location")</f>
        <v>Location</v>
      </c>
      <c r="E2478" t="s">
        <v>21736</v>
      </c>
      <c r="F2478" t="s">
        <v>21737</v>
      </c>
      <c r="G2478" t="s">
        <v>1385</v>
      </c>
      <c r="H2478" t="s">
        <v>1386</v>
      </c>
      <c r="I2478" t="s">
        <v>85</v>
      </c>
      <c r="J2478" t="s">
        <v>22</v>
      </c>
      <c r="K2478" t="s">
        <v>21738</v>
      </c>
      <c r="L2478" t="s">
        <v>21741</v>
      </c>
      <c r="M2478" t="s">
        <v>25</v>
      </c>
      <c r="N2478" t="s">
        <v>21742</v>
      </c>
      <c r="O2478" t="s">
        <v>25</v>
      </c>
      <c r="P2478" t="s">
        <v>21743</v>
      </c>
      <c r="Q2478" t="s">
        <v>29</v>
      </c>
      <c r="R2478" t="s">
        <v>21739</v>
      </c>
      <c r="S2478" t="s">
        <v>21740</v>
      </c>
    </row>
    <row r="2479" spans="1:19" x14ac:dyDescent="0.25">
      <c r="A2479" s="1">
        <v>2477</v>
      </c>
      <c r="B2479" t="str">
        <f>HYPERLINK("https://www.dasschnelle.at/gann-monika-eggelsberg-am-weiher","Website")</f>
        <v>Website</v>
      </c>
      <c r="C2479" t="str">
        <f>HYPERLINK("http://www.kosmetik-fusspflege-gann.at","Website")</f>
        <v>Website</v>
      </c>
      <c r="D2479" t="str">
        <f>HYPERLINK("http://www.google.com/maps/place/48.08194,12.99252","Location")</f>
        <v>Location</v>
      </c>
      <c r="E2479" t="s">
        <v>21744</v>
      </c>
      <c r="F2479" t="s">
        <v>21745</v>
      </c>
      <c r="G2479" t="s">
        <v>1385</v>
      </c>
      <c r="H2479" t="s">
        <v>1386</v>
      </c>
      <c r="I2479" t="s">
        <v>85</v>
      </c>
      <c r="J2479" t="s">
        <v>22</v>
      </c>
      <c r="K2479" t="s">
        <v>21746</v>
      </c>
      <c r="L2479" t="s">
        <v>21749</v>
      </c>
      <c r="M2479" t="s">
        <v>25</v>
      </c>
      <c r="N2479" t="s">
        <v>21750</v>
      </c>
      <c r="O2479" t="s">
        <v>25</v>
      </c>
      <c r="P2479" t="s">
        <v>21751</v>
      </c>
      <c r="Q2479" t="s">
        <v>29</v>
      </c>
      <c r="R2479" t="s">
        <v>21747</v>
      </c>
      <c r="S2479" t="s">
        <v>21748</v>
      </c>
    </row>
    <row r="2480" spans="1:19" x14ac:dyDescent="0.25">
      <c r="A2480" s="1">
        <v>2478</v>
      </c>
      <c r="B2480" t="str">
        <f>HYPERLINK("https://www.dasschnelle.at/pecinovsky-manfred-garsten-gewerbepark","Website")</f>
        <v>Website</v>
      </c>
      <c r="C2480" t="str">
        <f>HYPERLINK("http://www.wp-metall.at","Website")</f>
        <v>Website</v>
      </c>
      <c r="D2480" t="str">
        <f>HYPERLINK("http://www.google.com/maps/place/48.0170600,14.4055500","Location")</f>
        <v>Location</v>
      </c>
      <c r="E2480" t="s">
        <v>21752</v>
      </c>
      <c r="F2480" t="s">
        <v>21753</v>
      </c>
      <c r="G2480" t="s">
        <v>166</v>
      </c>
      <c r="H2480" t="s">
        <v>167</v>
      </c>
      <c r="I2480" t="s">
        <v>85</v>
      </c>
      <c r="J2480" t="s">
        <v>22</v>
      </c>
      <c r="K2480" t="s">
        <v>21754</v>
      </c>
      <c r="L2480" t="s">
        <v>21757</v>
      </c>
      <c r="M2480" t="s">
        <v>25</v>
      </c>
      <c r="N2480" t="s">
        <v>21758</v>
      </c>
      <c r="O2480" t="s">
        <v>25</v>
      </c>
      <c r="P2480" t="s">
        <v>21759</v>
      </c>
      <c r="Q2480" t="s">
        <v>29</v>
      </c>
      <c r="R2480" t="s">
        <v>21755</v>
      </c>
      <c r="S2480" t="s">
        <v>21756</v>
      </c>
    </row>
    <row r="2481" spans="1:19" x14ac:dyDescent="0.25">
      <c r="A2481" s="1">
        <v>2479</v>
      </c>
      <c r="B2481" t="str">
        <f>HYPERLINK("https://www.dasschnelle.at/waffen-wieser-gesmbh-steyr-steinerstraße","Website")</f>
        <v>Website</v>
      </c>
      <c r="C2481" t="str">
        <f>HYPERLINK("http://www.waffen-wieser.com","Website")</f>
        <v>Website</v>
      </c>
      <c r="D2481" t="str">
        <f>HYPERLINK("http://www.google.com/maps/place/48.03988,14.42897","Location")</f>
        <v>Location</v>
      </c>
      <c r="E2481" t="s">
        <v>21760</v>
      </c>
      <c r="F2481" t="s">
        <v>21761</v>
      </c>
      <c r="G2481" t="s">
        <v>95</v>
      </c>
      <c r="H2481" t="s">
        <v>96</v>
      </c>
      <c r="I2481" t="s">
        <v>85</v>
      </c>
      <c r="J2481" t="s">
        <v>22</v>
      </c>
      <c r="K2481" t="s">
        <v>21762</v>
      </c>
      <c r="L2481" t="s">
        <v>21765</v>
      </c>
      <c r="M2481" t="s">
        <v>25</v>
      </c>
      <c r="N2481" t="s">
        <v>21766</v>
      </c>
      <c r="O2481" t="s">
        <v>25</v>
      </c>
      <c r="P2481" t="s">
        <v>21767</v>
      </c>
      <c r="Q2481" t="s">
        <v>29</v>
      </c>
      <c r="R2481" t="s">
        <v>21763</v>
      </c>
      <c r="S2481" t="s">
        <v>21764</v>
      </c>
    </row>
    <row r="2482" spans="1:19" x14ac:dyDescent="0.25">
      <c r="A2482" s="1">
        <v>2480</v>
      </c>
      <c r="B2482" t="str">
        <f>HYPERLINK("https://www.dasschnelle.at/etlinger-erdarbeiten-ternberg-laimergutstraße","Website")</f>
        <v>Website</v>
      </c>
      <c r="C2482" t="str">
        <f>HYPERLINK("http://www.etlinger-erdarbeiten.at","Website")</f>
        <v>Website</v>
      </c>
      <c r="D2482" t="str">
        <f>HYPERLINK("http://www.google.com/maps/place/47.95576,14.34161","Location")</f>
        <v>Location</v>
      </c>
      <c r="E2482" t="s">
        <v>21768</v>
      </c>
      <c r="F2482" t="s">
        <v>21769</v>
      </c>
      <c r="G2482" t="s">
        <v>9064</v>
      </c>
      <c r="H2482" t="s">
        <v>9065</v>
      </c>
      <c r="I2482" t="s">
        <v>85</v>
      </c>
      <c r="J2482" t="s">
        <v>22</v>
      </c>
      <c r="K2482" t="s">
        <v>21770</v>
      </c>
      <c r="L2482" t="s">
        <v>21773</v>
      </c>
      <c r="M2482" t="s">
        <v>25</v>
      </c>
      <c r="N2482" t="s">
        <v>21774</v>
      </c>
      <c r="O2482" t="s">
        <v>25</v>
      </c>
      <c r="P2482" t="s">
        <v>21775</v>
      </c>
      <c r="Q2482" t="s">
        <v>29</v>
      </c>
      <c r="R2482" t="s">
        <v>21771</v>
      </c>
      <c r="S2482" t="s">
        <v>21772</v>
      </c>
    </row>
    <row r="2483" spans="1:19" x14ac:dyDescent="0.25">
      <c r="A2483" s="1">
        <v>2481</v>
      </c>
      <c r="B2483" t="str">
        <f>HYPERLINK("https://www.dasschnelle.at/kienberger-franz-sen-strobl-gschwendt","Website")</f>
        <v>Website</v>
      </c>
      <c r="C2483" t="str">
        <f>HYPERLINK("http://www.franz-kienberger.at","Website")</f>
        <v>Website</v>
      </c>
      <c r="D2483" t="str">
        <f>HYPERLINK("http://www.google.com/maps/place/47.7156869,13.4262841","Location")</f>
        <v>Location</v>
      </c>
      <c r="E2483" t="s">
        <v>21776</v>
      </c>
      <c r="F2483" t="s">
        <v>21777</v>
      </c>
      <c r="G2483" t="s">
        <v>2493</v>
      </c>
      <c r="H2483" t="s">
        <v>2494</v>
      </c>
      <c r="I2483" t="s">
        <v>2239</v>
      </c>
      <c r="J2483" t="s">
        <v>22</v>
      </c>
      <c r="K2483" t="s">
        <v>21778</v>
      </c>
      <c r="L2483" t="s">
        <v>21781</v>
      </c>
      <c r="M2483" t="s">
        <v>25</v>
      </c>
      <c r="N2483" t="s">
        <v>21782</v>
      </c>
      <c r="O2483" t="s">
        <v>21783</v>
      </c>
      <c r="P2483" t="s">
        <v>21784</v>
      </c>
      <c r="Q2483" t="s">
        <v>29</v>
      </c>
      <c r="R2483" t="s">
        <v>21779</v>
      </c>
      <c r="S2483" t="s">
        <v>21780</v>
      </c>
    </row>
    <row r="2484" spans="1:19" x14ac:dyDescent="0.25">
      <c r="A2484" s="1">
        <v>2482</v>
      </c>
      <c r="B2484" t="str">
        <f>HYPERLINK("https://www.dasschnelle.at/pugl-pichler-christian-strobl-römerweg","Website")</f>
        <v>Website</v>
      </c>
      <c r="C2484" t="str">
        <f>HYPERLINK("https://www.dasschnelle.at/pugl-pichler-christian-strobl-r%C3%B6merweg","Website")</f>
        <v>Website</v>
      </c>
      <c r="D2484" t="str">
        <f>HYPERLINK("http://www.google.com/maps/place/47.71879,13.49858","Location")</f>
        <v>Location</v>
      </c>
      <c r="E2484" t="s">
        <v>21785</v>
      </c>
      <c r="F2484" t="s">
        <v>21786</v>
      </c>
      <c r="G2484" t="s">
        <v>2493</v>
      </c>
      <c r="H2484" t="s">
        <v>2494</v>
      </c>
      <c r="I2484" t="s">
        <v>2239</v>
      </c>
      <c r="J2484" t="s">
        <v>22</v>
      </c>
      <c r="K2484" t="s">
        <v>21787</v>
      </c>
      <c r="L2484" t="s">
        <v>21790</v>
      </c>
      <c r="M2484" t="s">
        <v>25</v>
      </c>
      <c r="N2484" t="s">
        <v>21791</v>
      </c>
      <c r="O2484" t="s">
        <v>25</v>
      </c>
      <c r="P2484" t="s">
        <v>21792</v>
      </c>
      <c r="Q2484" t="s">
        <v>29</v>
      </c>
      <c r="R2484" t="s">
        <v>21788</v>
      </c>
      <c r="S2484" t="s">
        <v>21789</v>
      </c>
    </row>
    <row r="2485" spans="1:19" x14ac:dyDescent="0.25">
      <c r="A2485" s="1">
        <v>2483</v>
      </c>
      <c r="B2485" t="str">
        <f>HYPERLINK("https://www.dasschnelle.at/kogler-walter-ing-sankt-gilgen-gschwendt","Website")</f>
        <v>Website</v>
      </c>
      <c r="C2485" t="str">
        <f>HYPERLINK("http://www.kogler-elektro.at","Website")</f>
        <v>Website</v>
      </c>
      <c r="D2485" t="str">
        <f>HYPERLINK("http://www.google.com/maps/place/47.7267459,13.4238802","Location")</f>
        <v>Location</v>
      </c>
      <c r="E2485" t="s">
        <v>21793</v>
      </c>
      <c r="F2485" t="s">
        <v>21794</v>
      </c>
      <c r="G2485" t="s">
        <v>18718</v>
      </c>
      <c r="H2485" t="s">
        <v>2327</v>
      </c>
      <c r="I2485" t="s">
        <v>2239</v>
      </c>
      <c r="J2485" t="s">
        <v>22</v>
      </c>
      <c r="K2485" t="s">
        <v>21795</v>
      </c>
      <c r="L2485" t="s">
        <v>21798</v>
      </c>
      <c r="M2485" t="s">
        <v>25</v>
      </c>
      <c r="N2485" t="s">
        <v>21799</v>
      </c>
      <c r="O2485" t="s">
        <v>25</v>
      </c>
      <c r="P2485" t="s">
        <v>21800</v>
      </c>
      <c r="Q2485" t="s">
        <v>29</v>
      </c>
      <c r="R2485" t="s">
        <v>21796</v>
      </c>
      <c r="S2485" t="s">
        <v>21797</v>
      </c>
    </row>
    <row r="2486" spans="1:19" x14ac:dyDescent="0.25">
      <c r="A2486" s="1">
        <v>2484</v>
      </c>
      <c r="B2486" t="str">
        <f>HYPERLINK("https://www.dasschnelle.at/strigl-christian-ing-pflach-kohlplatz","Website")</f>
        <v>Website</v>
      </c>
      <c r="C2486" t="str">
        <f>HYPERLINK("http://www.icstrigl.at","Website")</f>
        <v>Website</v>
      </c>
      <c r="D2486" t="str">
        <f>HYPERLINK("http://www.google.com/maps/place/47.50709,10.71711","Location")</f>
        <v>Location</v>
      </c>
      <c r="E2486" t="s">
        <v>21801</v>
      </c>
      <c r="F2486" t="s">
        <v>21802</v>
      </c>
      <c r="G2486" t="s">
        <v>6823</v>
      </c>
      <c r="H2486" t="s">
        <v>21376</v>
      </c>
      <c r="I2486" t="s">
        <v>21</v>
      </c>
      <c r="J2486" t="s">
        <v>22</v>
      </c>
      <c r="K2486" t="s">
        <v>21803</v>
      </c>
      <c r="L2486" t="s">
        <v>21806</v>
      </c>
      <c r="M2486" t="s">
        <v>25</v>
      </c>
      <c r="N2486" t="s">
        <v>21807</v>
      </c>
      <c r="O2486" t="s">
        <v>25</v>
      </c>
      <c r="P2486" t="s">
        <v>21808</v>
      </c>
      <c r="Q2486" t="s">
        <v>29</v>
      </c>
      <c r="R2486" t="s">
        <v>21804</v>
      </c>
      <c r="S2486" t="s">
        <v>21805</v>
      </c>
    </row>
    <row r="2487" spans="1:19" x14ac:dyDescent="0.25">
      <c r="A2487" s="1">
        <v>2485</v>
      </c>
      <c r="B2487" t="str">
        <f>HYPERLINK("https://www.dasschnelle.at/keppelmüller-rudolf-mmag-dr-eferding-stadtplatz","Website")</f>
        <v>Website</v>
      </c>
      <c r="C2487" t="str">
        <f>HYPERLINK("http://www.ihr-notar.at","Website")</f>
        <v>Website</v>
      </c>
      <c r="D2487" t="str">
        <f>HYPERLINK("http://www.google.com/maps/place/48.30557,14.02486","Location")</f>
        <v>Location</v>
      </c>
      <c r="E2487" t="s">
        <v>21809</v>
      </c>
      <c r="F2487" t="s">
        <v>21810</v>
      </c>
      <c r="G2487" t="s">
        <v>3101</v>
      </c>
      <c r="H2487" t="s">
        <v>3102</v>
      </c>
      <c r="I2487" t="s">
        <v>85</v>
      </c>
      <c r="J2487" t="s">
        <v>22</v>
      </c>
      <c r="K2487" t="s">
        <v>21811</v>
      </c>
      <c r="L2487" t="s">
        <v>21814</v>
      </c>
      <c r="M2487" t="s">
        <v>25</v>
      </c>
      <c r="N2487" t="s">
        <v>21815</v>
      </c>
      <c r="O2487" t="s">
        <v>25</v>
      </c>
      <c r="P2487" t="s">
        <v>21816</v>
      </c>
      <c r="Q2487" t="s">
        <v>29</v>
      </c>
      <c r="R2487" t="s">
        <v>21812</v>
      </c>
      <c r="S2487" t="s">
        <v>21813</v>
      </c>
    </row>
    <row r="2488" spans="1:19" x14ac:dyDescent="0.25">
      <c r="A2488" s="1">
        <v>2486</v>
      </c>
      <c r="B2488" t="str">
        <f>HYPERLINK("https://www.dasschnelle.at/ofenböck-michael-mag-wiener-neustadt-hauptplatz","Website")</f>
        <v>Website</v>
      </c>
      <c r="C2488" t="str">
        <f>HYPERLINK("http://www.notariat-ofenboeck.at","Website")</f>
        <v>Website</v>
      </c>
      <c r="D2488" t="str">
        <f>HYPERLINK("http://www.google.com/maps/place/47.81294,16.24508","Location")</f>
        <v>Location</v>
      </c>
      <c r="E2488" t="s">
        <v>21817</v>
      </c>
      <c r="F2488" t="s">
        <v>21818</v>
      </c>
      <c r="G2488" t="s">
        <v>3962</v>
      </c>
      <c r="H2488" t="s">
        <v>3982</v>
      </c>
      <c r="I2488" t="s">
        <v>177</v>
      </c>
      <c r="J2488" t="s">
        <v>22</v>
      </c>
      <c r="K2488" t="s">
        <v>20025</v>
      </c>
      <c r="L2488" t="s">
        <v>21821</v>
      </c>
      <c r="M2488" t="s">
        <v>25</v>
      </c>
      <c r="N2488" t="s">
        <v>21822</v>
      </c>
      <c r="O2488" t="s">
        <v>21823</v>
      </c>
      <c r="P2488" t="s">
        <v>21824</v>
      </c>
      <c r="Q2488" t="s">
        <v>29</v>
      </c>
      <c r="R2488" t="s">
        <v>21819</v>
      </c>
      <c r="S2488" t="s">
        <v>21820</v>
      </c>
    </row>
    <row r="2489" spans="1:19" x14ac:dyDescent="0.25">
      <c r="A2489" s="1">
        <v>2487</v>
      </c>
      <c r="B2489" t="str">
        <f>HYPERLINK("https://www.dasschnelle.at/appelhagen-daniela-simbach-lagerhausstraße","Website")</f>
        <v>Website</v>
      </c>
      <c r="C2489" t="str">
        <f>HYPERLINK("http://www.appelhagen-fliesen.de","Website")</f>
        <v>Website</v>
      </c>
      <c r="D2489" t="str">
        <f>HYPERLINK("http://www.google.com/maps/place/48.2622203,13.0229369","Location")</f>
        <v>Location</v>
      </c>
      <c r="E2489" t="s">
        <v>21825</v>
      </c>
      <c r="F2489" t="s">
        <v>21826</v>
      </c>
      <c r="G2489" t="s">
        <v>17593</v>
      </c>
      <c r="H2489" t="s">
        <v>17594</v>
      </c>
      <c r="I2489" t="s">
        <v>25</v>
      </c>
      <c r="J2489" t="s">
        <v>22</v>
      </c>
      <c r="K2489" t="s">
        <v>21827</v>
      </c>
      <c r="L2489" t="s">
        <v>21830</v>
      </c>
      <c r="M2489" t="s">
        <v>25</v>
      </c>
      <c r="N2489" t="s">
        <v>21831</v>
      </c>
      <c r="O2489" t="s">
        <v>25</v>
      </c>
      <c r="P2489" t="s">
        <v>21832</v>
      </c>
      <c r="Q2489" t="s">
        <v>29</v>
      </c>
      <c r="R2489" t="s">
        <v>21828</v>
      </c>
      <c r="S2489" t="s">
        <v>21829</v>
      </c>
    </row>
    <row r="2490" spans="1:19" x14ac:dyDescent="0.25">
      <c r="A2490" s="1">
        <v>2488</v>
      </c>
      <c r="B2490" t="str">
        <f>HYPERLINK("https://www.dasschnelle.at/mitterheizung-alles-aus-einer-hand-kirchberg-am-wechsel-markt","Website")</f>
        <v>Website</v>
      </c>
      <c r="C2490" t="str">
        <f>HYPERLINK("http://www.mitterheizung.at","Website")</f>
        <v>Website</v>
      </c>
      <c r="D2490" t="str">
        <f>HYPERLINK("http://www.google.com/maps/place/47.60855,15.99031","Location")</f>
        <v>Location</v>
      </c>
      <c r="E2490" t="s">
        <v>21833</v>
      </c>
      <c r="F2490" t="s">
        <v>21834</v>
      </c>
      <c r="G2490" t="s">
        <v>19112</v>
      </c>
      <c r="H2490" t="s">
        <v>21836</v>
      </c>
      <c r="I2490" t="s">
        <v>177</v>
      </c>
      <c r="J2490" t="s">
        <v>22</v>
      </c>
      <c r="K2490" t="s">
        <v>21835</v>
      </c>
      <c r="L2490" t="s">
        <v>21838</v>
      </c>
      <c r="M2490" t="s">
        <v>25</v>
      </c>
      <c r="N2490" t="s">
        <v>21839</v>
      </c>
      <c r="O2490" t="s">
        <v>21840</v>
      </c>
      <c r="P2490" t="s">
        <v>21841</v>
      </c>
      <c r="Q2490" t="s">
        <v>29</v>
      </c>
      <c r="R2490" t="s">
        <v>14242</v>
      </c>
      <c r="S2490" t="s">
        <v>21837</v>
      </c>
    </row>
    <row r="2491" spans="1:19" x14ac:dyDescent="0.25">
      <c r="A2491" s="1">
        <v>2489</v>
      </c>
      <c r="B2491" t="str">
        <f>HYPERLINK("https://www.dasschnelle.at/mustafa-beqir-strobl-weißenbach","Website")</f>
        <v>Website</v>
      </c>
      <c r="C2491" t="str">
        <f>HYPERLINK("https://www.dasschnelle.at/mustafa-beqir-strobl-wei%C3%9Fenbach","Website")</f>
        <v>Website</v>
      </c>
      <c r="D2491" t="str">
        <f>HYPERLINK("http://www.google.com/maps/place/47.7177996,13.4964191","Location")</f>
        <v>Location</v>
      </c>
      <c r="E2491" t="s">
        <v>21842</v>
      </c>
      <c r="F2491" t="s">
        <v>21843</v>
      </c>
      <c r="G2491" t="s">
        <v>2493</v>
      </c>
      <c r="H2491" t="s">
        <v>2494</v>
      </c>
      <c r="I2491" t="s">
        <v>2239</v>
      </c>
      <c r="J2491" t="s">
        <v>22</v>
      </c>
      <c r="K2491" t="s">
        <v>21844</v>
      </c>
      <c r="L2491" t="s">
        <v>21847</v>
      </c>
      <c r="M2491" t="s">
        <v>25</v>
      </c>
      <c r="N2491" t="s">
        <v>21848</v>
      </c>
      <c r="O2491" t="s">
        <v>25</v>
      </c>
      <c r="P2491" t="s">
        <v>21849</v>
      </c>
      <c r="Q2491" t="s">
        <v>29</v>
      </c>
      <c r="R2491" t="s">
        <v>21845</v>
      </c>
      <c r="S2491" t="s">
        <v>21846</v>
      </c>
    </row>
    <row r="2492" spans="1:19" x14ac:dyDescent="0.25">
      <c r="A2492" s="1">
        <v>2490</v>
      </c>
      <c r="B2492" t="str">
        <f>HYPERLINK("https://www.dasschnelle.at/sommerbichler-elisabeth-deko-stern-st-wolfgang-im-salzkammergut-sternallee","Website")</f>
        <v>Website</v>
      </c>
      <c r="C2492" t="str">
        <f>HYPERLINK("http://www.deko-stern.at","Website")</f>
        <v>Website</v>
      </c>
      <c r="D2492" t="str">
        <f>HYPERLINK("http://www.google.com/maps/place/47.7406089,13.4428191","Location")</f>
        <v>Location</v>
      </c>
      <c r="E2492" t="s">
        <v>21850</v>
      </c>
      <c r="F2492" t="s">
        <v>21851</v>
      </c>
      <c r="G2492" t="s">
        <v>2290</v>
      </c>
      <c r="H2492" t="s">
        <v>2291</v>
      </c>
      <c r="I2492" t="s">
        <v>85</v>
      </c>
      <c r="J2492" t="s">
        <v>22</v>
      </c>
      <c r="K2492" t="s">
        <v>21852</v>
      </c>
      <c r="L2492" t="s">
        <v>21853</v>
      </c>
      <c r="M2492" t="s">
        <v>25</v>
      </c>
      <c r="N2492" t="s">
        <v>21854</v>
      </c>
      <c r="O2492" t="s">
        <v>25</v>
      </c>
      <c r="P2492" t="s">
        <v>21855</v>
      </c>
      <c r="Q2492" t="s">
        <v>29</v>
      </c>
      <c r="R2492" t="s">
        <v>2736</v>
      </c>
      <c r="S2492" t="s">
        <v>2737</v>
      </c>
    </row>
    <row r="2493" spans="1:19" x14ac:dyDescent="0.25">
      <c r="A2493" s="1">
        <v>2491</v>
      </c>
      <c r="B2493" t="str">
        <f>HYPERLINK("https://www.dasschnelle.at/dachtechnik-aglas-e-u-altheim-lehen","Website")</f>
        <v>Website</v>
      </c>
      <c r="C2493" t="str">
        <f>HYPERLINK("http://www.dach-technik.com","Website")</f>
        <v>Website</v>
      </c>
      <c r="D2493" t="str">
        <f>HYPERLINK("http://www.google.com/maps/place/48.2363873,13.2263385","Location")</f>
        <v>Location</v>
      </c>
      <c r="E2493" t="s">
        <v>21856</v>
      </c>
      <c r="F2493" t="s">
        <v>21857</v>
      </c>
      <c r="G2493" t="s">
        <v>1354</v>
      </c>
      <c r="H2493" t="s">
        <v>1355</v>
      </c>
      <c r="I2493" t="s">
        <v>85</v>
      </c>
      <c r="J2493" t="s">
        <v>22</v>
      </c>
      <c r="K2493" t="s">
        <v>21858</v>
      </c>
      <c r="L2493" t="s">
        <v>21861</v>
      </c>
      <c r="M2493" t="s">
        <v>25</v>
      </c>
      <c r="N2493" t="s">
        <v>21862</v>
      </c>
      <c r="O2493" t="s">
        <v>25</v>
      </c>
      <c r="P2493" t="s">
        <v>21863</v>
      </c>
      <c r="Q2493" t="s">
        <v>29</v>
      </c>
      <c r="R2493" t="s">
        <v>21859</v>
      </c>
      <c r="S2493" t="s">
        <v>21860</v>
      </c>
    </row>
    <row r="2494" spans="1:19" x14ac:dyDescent="0.25">
      <c r="A2494" s="1">
        <v>2492</v>
      </c>
      <c r="B2494" t="str">
        <f>HYPERLINK("https://www.dasschnelle.at/wimmer-richard-dr-mattighofen-braunauerstraße","Website")</f>
        <v>Website</v>
      </c>
      <c r="C2494" t="str">
        <f>HYPERLINK("https://www.dasschnelle.at/wimmer-richard-dr-mattighofen-braunauerstra%C3%9Fe","Website")</f>
        <v>Website</v>
      </c>
      <c r="D2494" t="str">
        <f>HYPERLINK("http://www.google.com/maps/place/48.10807,13.14882","Location")</f>
        <v>Location</v>
      </c>
      <c r="E2494" t="s">
        <v>21864</v>
      </c>
      <c r="F2494" t="s">
        <v>21865</v>
      </c>
      <c r="G2494" t="s">
        <v>1365</v>
      </c>
      <c r="H2494" t="s">
        <v>1366</v>
      </c>
      <c r="I2494" t="s">
        <v>85</v>
      </c>
      <c r="J2494" t="s">
        <v>22</v>
      </c>
      <c r="K2494" t="s">
        <v>21866</v>
      </c>
      <c r="L2494" t="s">
        <v>21869</v>
      </c>
      <c r="M2494" t="s">
        <v>25</v>
      </c>
      <c r="N2494" t="s">
        <v>21870</v>
      </c>
      <c r="O2494" t="s">
        <v>25</v>
      </c>
      <c r="P2494" t="s">
        <v>21871</v>
      </c>
      <c r="Q2494" t="s">
        <v>29</v>
      </c>
      <c r="R2494" t="s">
        <v>21867</v>
      </c>
      <c r="S2494" t="s">
        <v>21868</v>
      </c>
    </row>
    <row r="2495" spans="1:19" x14ac:dyDescent="0.25">
      <c r="A2495" s="1">
        <v>2493</v>
      </c>
      <c r="B2495" t="str">
        <f>HYPERLINK("https://www.dasschnelle.at/kofler-johannes-bad-ischl-salzburger-straße","Website")</f>
        <v>Website</v>
      </c>
      <c r="C2495" t="str">
        <f>HYPERLINK("http://www.immo-kofler.at","Website")</f>
        <v>Website</v>
      </c>
      <c r="D2495" t="str">
        <f>HYPERLINK("http://www.google.com/maps/place/47.71314,13.61945","Location")</f>
        <v>Location</v>
      </c>
      <c r="E2495" t="s">
        <v>21872</v>
      </c>
      <c r="F2495" t="s">
        <v>21873</v>
      </c>
      <c r="G2495" t="s">
        <v>2377</v>
      </c>
      <c r="H2495" t="s">
        <v>2378</v>
      </c>
      <c r="I2495" t="s">
        <v>85</v>
      </c>
      <c r="J2495" t="s">
        <v>22</v>
      </c>
      <c r="K2495" t="s">
        <v>21874</v>
      </c>
      <c r="L2495" t="s">
        <v>21877</v>
      </c>
      <c r="M2495" t="s">
        <v>25</v>
      </c>
      <c r="N2495" t="s">
        <v>21878</v>
      </c>
      <c r="O2495" t="s">
        <v>25</v>
      </c>
      <c r="P2495" t="s">
        <v>21879</v>
      </c>
      <c r="Q2495" t="s">
        <v>29</v>
      </c>
      <c r="R2495" t="s">
        <v>21875</v>
      </c>
      <c r="S2495" t="s">
        <v>21876</v>
      </c>
    </row>
    <row r="2496" spans="1:19" x14ac:dyDescent="0.25">
      <c r="A2496" s="1">
        <v>2494</v>
      </c>
      <c r="B2496" t="str">
        <f>HYPERLINK("https://www.dasschnelle.at/reichl-günther-pischelsdorf-am-engelbach-kleingollern","Website")</f>
        <v>Website</v>
      </c>
      <c r="C2496" t="str">
        <f>HYPERLINK("http://www.reichl-guenther.at","Website")</f>
        <v>Website</v>
      </c>
      <c r="D2496" t="str">
        <f>HYPERLINK("http://www.google.com/maps/place/48.1219062,13.0468939","Location")</f>
        <v>Location</v>
      </c>
      <c r="E2496" t="s">
        <v>21880</v>
      </c>
      <c r="F2496" t="s">
        <v>21881</v>
      </c>
      <c r="G2496" t="s">
        <v>21883</v>
      </c>
      <c r="H2496" t="s">
        <v>21884</v>
      </c>
      <c r="I2496" t="s">
        <v>85</v>
      </c>
      <c r="J2496" t="s">
        <v>22</v>
      </c>
      <c r="K2496" t="s">
        <v>21882</v>
      </c>
      <c r="L2496" t="s">
        <v>21887</v>
      </c>
      <c r="M2496" t="s">
        <v>25</v>
      </c>
      <c r="N2496" t="s">
        <v>21888</v>
      </c>
      <c r="O2496" t="s">
        <v>21889</v>
      </c>
      <c r="P2496" t="s">
        <v>21890</v>
      </c>
      <c r="Q2496" t="s">
        <v>29</v>
      </c>
      <c r="R2496" t="s">
        <v>21885</v>
      </c>
      <c r="S2496" t="s">
        <v>21886</v>
      </c>
    </row>
    <row r="2497" spans="1:19" x14ac:dyDescent="0.25">
      <c r="A2497" s="1">
        <v>2495</v>
      </c>
      <c r="B2497" t="str">
        <f>HYPERLINK("https://www.dasschnelle.at/drosdek-eva-weyer-unterer-markt","Website")</f>
        <v>Website</v>
      </c>
      <c r="C2497" t="str">
        <f>HYPERLINK("http://www.antik-kunst.at","Website")</f>
        <v>Website</v>
      </c>
      <c r="D2497" t="str">
        <f>HYPERLINK("http://www.google.com/maps/place/47.85708,14.6624","Location")</f>
        <v>Location</v>
      </c>
      <c r="E2497" t="s">
        <v>21891</v>
      </c>
      <c r="F2497" t="s">
        <v>21892</v>
      </c>
      <c r="G2497" t="s">
        <v>156</v>
      </c>
      <c r="H2497" t="s">
        <v>157</v>
      </c>
      <c r="I2497" t="s">
        <v>85</v>
      </c>
      <c r="J2497" t="s">
        <v>22</v>
      </c>
      <c r="K2497" t="s">
        <v>21893</v>
      </c>
      <c r="L2497" t="s">
        <v>21896</v>
      </c>
      <c r="M2497" t="s">
        <v>25</v>
      </c>
      <c r="N2497" t="s">
        <v>21897</v>
      </c>
      <c r="O2497" t="s">
        <v>25</v>
      </c>
      <c r="P2497" t="s">
        <v>21898</v>
      </c>
      <c r="Q2497" t="s">
        <v>29</v>
      </c>
      <c r="R2497" t="s">
        <v>21894</v>
      </c>
      <c r="S2497" t="s">
        <v>21895</v>
      </c>
    </row>
    <row r="2498" spans="1:19" x14ac:dyDescent="0.25">
      <c r="A2498" s="1">
        <v>2496</v>
      </c>
      <c r="B2498" t="str">
        <f>HYPERLINK("https://www.dasschnelle.at/russegger-georg-ing-abtenau-au","Website")</f>
        <v>Website</v>
      </c>
      <c r="C2498" t="str">
        <f>HYPERLINK("http://www.russegger-bau.at","Website")</f>
        <v>Website</v>
      </c>
      <c r="D2498" t="str">
        <f>HYPERLINK("http://www.google.com/maps/place/47.5557449,13.3492425","Location")</f>
        <v>Location</v>
      </c>
      <c r="E2498" t="s">
        <v>21899</v>
      </c>
      <c r="F2498" t="s">
        <v>21900</v>
      </c>
      <c r="G2498" t="s">
        <v>7614</v>
      </c>
      <c r="H2498" t="s">
        <v>7615</v>
      </c>
      <c r="I2498" t="s">
        <v>2239</v>
      </c>
      <c r="J2498" t="s">
        <v>22</v>
      </c>
      <c r="K2498" t="s">
        <v>21901</v>
      </c>
      <c r="L2498" t="s">
        <v>21904</v>
      </c>
      <c r="M2498" t="s">
        <v>25</v>
      </c>
      <c r="N2498" t="s">
        <v>21905</v>
      </c>
      <c r="O2498" t="s">
        <v>25</v>
      </c>
      <c r="P2498" t="s">
        <v>21906</v>
      </c>
      <c r="Q2498" t="s">
        <v>29</v>
      </c>
      <c r="R2498" t="s">
        <v>21902</v>
      </c>
      <c r="S2498" t="s">
        <v>21903</v>
      </c>
    </row>
    <row r="2499" spans="1:19" x14ac:dyDescent="0.25">
      <c r="A2499" s="1">
        <v>2497</v>
      </c>
      <c r="B2499" t="str">
        <f>HYPERLINK("https://www.dasschnelle.at/großschartner-angela-maria-neustift-neustift","Website")</f>
        <v>Website</v>
      </c>
      <c r="C2499" t="str">
        <f>HYPERLINK("http://www.friseursalon-angela.at","Website")</f>
        <v>Website</v>
      </c>
      <c r="D2499" t="str">
        <f>HYPERLINK("http://www.google.com/maps/place/47.9375708,14.6070521","Location")</f>
        <v>Location</v>
      </c>
      <c r="E2499" t="s">
        <v>21907</v>
      </c>
      <c r="F2499" t="s">
        <v>21908</v>
      </c>
      <c r="G2499" t="s">
        <v>21910</v>
      </c>
      <c r="H2499" t="s">
        <v>21911</v>
      </c>
      <c r="I2499" t="s">
        <v>85</v>
      </c>
      <c r="J2499" t="s">
        <v>22</v>
      </c>
      <c r="K2499" t="s">
        <v>21909</v>
      </c>
      <c r="L2499" t="s">
        <v>21914</v>
      </c>
      <c r="M2499" t="s">
        <v>25</v>
      </c>
      <c r="N2499" t="s">
        <v>21915</v>
      </c>
      <c r="O2499" t="s">
        <v>25</v>
      </c>
      <c r="P2499" t="s">
        <v>21916</v>
      </c>
      <c r="Q2499" t="s">
        <v>29</v>
      </c>
      <c r="R2499" t="s">
        <v>21912</v>
      </c>
      <c r="S2499" t="s">
        <v>21913</v>
      </c>
    </row>
    <row r="2500" spans="1:19" x14ac:dyDescent="0.25">
      <c r="A2500" s="1">
        <v>2498</v>
      </c>
      <c r="B2500" t="str">
        <f>HYPERLINK("https://www.dasschnelle.at/glanz-bau-gmbh-aspang-höll","Website")</f>
        <v>Website</v>
      </c>
      <c r="C2500" t="str">
        <f>HYPERLINK("http://www.glanzbau.at","Website")</f>
        <v>Website</v>
      </c>
      <c r="D2500" t="str">
        <f>HYPERLINK("http://www.google.com/maps/place/47.5810445,16.1005912","Location")</f>
        <v>Location</v>
      </c>
      <c r="E2500" t="s">
        <v>21917</v>
      </c>
      <c r="F2500" t="s">
        <v>21918</v>
      </c>
      <c r="G2500" t="s">
        <v>5747</v>
      </c>
      <c r="H2500" t="s">
        <v>21920</v>
      </c>
      <c r="I2500" t="s">
        <v>177</v>
      </c>
      <c r="J2500" t="s">
        <v>22</v>
      </c>
      <c r="K2500" t="s">
        <v>21919</v>
      </c>
      <c r="L2500" t="s">
        <v>21923</v>
      </c>
      <c r="M2500" t="s">
        <v>25</v>
      </c>
      <c r="N2500" t="s">
        <v>21924</v>
      </c>
      <c r="O2500" t="s">
        <v>21925</v>
      </c>
      <c r="P2500" t="s">
        <v>21926</v>
      </c>
      <c r="Q2500" t="s">
        <v>29</v>
      </c>
      <c r="R2500" t="s">
        <v>21921</v>
      </c>
      <c r="S2500" t="s">
        <v>21922</v>
      </c>
    </row>
    <row r="2501" spans="1:19" x14ac:dyDescent="0.25">
      <c r="A2501" s="1">
        <v>2499</v>
      </c>
      <c r="B2501" t="str">
        <f>HYPERLINK("https://www.dasschnelle.at/ahrer-edmund-kleinreifling-nach-der-enns","Website")</f>
        <v>Website</v>
      </c>
      <c r="C2501" t="str">
        <f>HYPERLINK("http://www.tischlerei-ahrer.at","Website")</f>
        <v>Website</v>
      </c>
      <c r="D2501" t="str">
        <f>HYPERLINK("http://www.google.com/maps/place/47.82604,14.64431","Location")</f>
        <v>Location</v>
      </c>
      <c r="E2501" t="s">
        <v>21927</v>
      </c>
      <c r="F2501" t="s">
        <v>21928</v>
      </c>
      <c r="G2501" t="s">
        <v>21930</v>
      </c>
      <c r="H2501" t="s">
        <v>21931</v>
      </c>
      <c r="I2501" t="s">
        <v>85</v>
      </c>
      <c r="J2501" t="s">
        <v>22</v>
      </c>
      <c r="K2501" t="s">
        <v>21929</v>
      </c>
      <c r="L2501" t="s">
        <v>21934</v>
      </c>
      <c r="M2501" t="s">
        <v>25</v>
      </c>
      <c r="N2501" t="s">
        <v>21935</v>
      </c>
      <c r="O2501" t="s">
        <v>25</v>
      </c>
      <c r="P2501" t="s">
        <v>21936</v>
      </c>
      <c r="Q2501" t="s">
        <v>29</v>
      </c>
      <c r="R2501" t="s">
        <v>21932</v>
      </c>
      <c r="S2501" t="s">
        <v>21933</v>
      </c>
    </row>
    <row r="2502" spans="1:19" x14ac:dyDescent="0.25">
      <c r="A2502" s="1">
        <v>2500</v>
      </c>
      <c r="B2502" t="str">
        <f>HYPERLINK("https://www.dasschnelle.at/arch-di-heinrich-trimmel-neunkirchen-seebensteinerstraße","Website")</f>
        <v>Website</v>
      </c>
      <c r="C2502" t="str">
        <f>HYPERLINK("http://www.sachverstaendiger-trimmel.at","Website")</f>
        <v>Website</v>
      </c>
      <c r="D2502" t="str">
        <f>HYPERLINK("http://www.google.com/maps/place/47.7164725,16.0823529","Location")</f>
        <v>Location</v>
      </c>
      <c r="E2502" t="s">
        <v>21937</v>
      </c>
      <c r="F2502" t="s">
        <v>21938</v>
      </c>
      <c r="G2502" t="s">
        <v>5676</v>
      </c>
      <c r="H2502" t="s">
        <v>5677</v>
      </c>
      <c r="I2502" t="s">
        <v>177</v>
      </c>
      <c r="J2502" t="s">
        <v>22</v>
      </c>
      <c r="K2502" t="s">
        <v>21939</v>
      </c>
      <c r="L2502" t="s">
        <v>21942</v>
      </c>
      <c r="M2502" t="s">
        <v>25</v>
      </c>
      <c r="N2502" t="s">
        <v>21943</v>
      </c>
      <c r="O2502" t="s">
        <v>25</v>
      </c>
      <c r="P2502" t="s">
        <v>21944</v>
      </c>
      <c r="Q2502" t="s">
        <v>29</v>
      </c>
      <c r="R2502" t="s">
        <v>21940</v>
      </c>
      <c r="S2502" t="s">
        <v>21941</v>
      </c>
    </row>
    <row r="2503" spans="1:19" x14ac:dyDescent="0.25">
      <c r="A2503" s="1">
        <v>2501</v>
      </c>
      <c r="B2503" t="str">
        <f>HYPERLINK("https://www.dasschnelle.at/bmv-andreas-voglsam-st-marienkirchen-an-der-polsenz-unterfreundorf","Website")</f>
        <v>Website</v>
      </c>
      <c r="C2503" t="str">
        <f>HYPERLINK("http://www.bmv-bodenmarkierungen.at","Website")</f>
        <v>Website</v>
      </c>
      <c r="D2503" t="str">
        <f>HYPERLINK("http://www.google.com/maps/place/48.2577532,13.9528872","Location")</f>
        <v>Location</v>
      </c>
      <c r="E2503" t="s">
        <v>21945</v>
      </c>
      <c r="F2503" t="s">
        <v>21946</v>
      </c>
      <c r="G2503" t="s">
        <v>21948</v>
      </c>
      <c r="H2503" t="s">
        <v>21949</v>
      </c>
      <c r="I2503" t="s">
        <v>85</v>
      </c>
      <c r="J2503" t="s">
        <v>22</v>
      </c>
      <c r="K2503" t="s">
        <v>21947</v>
      </c>
      <c r="L2503" t="s">
        <v>21952</v>
      </c>
      <c r="M2503" t="s">
        <v>25</v>
      </c>
      <c r="N2503" t="s">
        <v>21953</v>
      </c>
      <c r="O2503" t="s">
        <v>25</v>
      </c>
      <c r="P2503" t="s">
        <v>21954</v>
      </c>
      <c r="Q2503" t="s">
        <v>29</v>
      </c>
      <c r="R2503" t="s">
        <v>21950</v>
      </c>
      <c r="S2503" t="s">
        <v>21951</v>
      </c>
    </row>
    <row r="2504" spans="1:19" x14ac:dyDescent="0.25">
      <c r="A2504" s="1">
        <v>2502</v>
      </c>
      <c r="B2504" t="str">
        <f>HYPERLINK("https://www.dasschnelle.at/ebner-astrid-dr-reutte-südtiroler-straße","Website")</f>
        <v>Website</v>
      </c>
      <c r="C2504" t="str">
        <f>HYPERLINK("https://www.dasschnelle.at/ebner-astrid-dr-reutte-s%C3%BCdtiroler-stra%C3%9Fe","Website")</f>
        <v>Website</v>
      </c>
      <c r="D2504" t="str">
        <f>HYPERLINK("http://www.google.com/maps/place/47.48565,10.71693","Location")</f>
        <v>Location</v>
      </c>
      <c r="E2504" t="s">
        <v>21955</v>
      </c>
      <c r="F2504" t="s">
        <v>21956</v>
      </c>
      <c r="G2504" t="s">
        <v>6823</v>
      </c>
      <c r="H2504" t="s">
        <v>6824</v>
      </c>
      <c r="I2504" t="s">
        <v>21</v>
      </c>
      <c r="J2504" t="s">
        <v>22</v>
      </c>
      <c r="K2504" t="s">
        <v>21957</v>
      </c>
      <c r="L2504" t="s">
        <v>21960</v>
      </c>
      <c r="M2504" t="s">
        <v>25</v>
      </c>
      <c r="N2504" t="s">
        <v>21961</v>
      </c>
      <c r="O2504" t="s">
        <v>25</v>
      </c>
      <c r="P2504" t="s">
        <v>21962</v>
      </c>
      <c r="Q2504" t="s">
        <v>29</v>
      </c>
      <c r="R2504" t="s">
        <v>21958</v>
      </c>
      <c r="S2504" t="s">
        <v>21959</v>
      </c>
    </row>
    <row r="2505" spans="1:19" x14ac:dyDescent="0.25">
      <c r="A2505" s="1">
        <v>2503</v>
      </c>
      <c r="B2505" t="str">
        <f>HYPERLINK("https://www.dasschnelle.at/autohaus-resch-gmbh-strobl-wolfgangseestraße","Website")</f>
        <v>Website</v>
      </c>
      <c r="C2505" t="str">
        <f>HYPERLINK("http://www.auto-resch.at","Website")</f>
        <v>Website</v>
      </c>
      <c r="D2505" t="str">
        <f>HYPERLINK("http://www.google.com/maps/place/47.7124146,13.4888987","Location")</f>
        <v>Location</v>
      </c>
      <c r="E2505" t="s">
        <v>21963</v>
      </c>
      <c r="F2505" t="s">
        <v>21964</v>
      </c>
      <c r="G2505" t="s">
        <v>2493</v>
      </c>
      <c r="H2505" t="s">
        <v>2494</v>
      </c>
      <c r="I2505" t="s">
        <v>2239</v>
      </c>
      <c r="J2505" t="s">
        <v>22</v>
      </c>
      <c r="K2505" t="s">
        <v>21965</v>
      </c>
      <c r="L2505" t="s">
        <v>21968</v>
      </c>
      <c r="M2505" t="s">
        <v>21969</v>
      </c>
      <c r="N2505" t="s">
        <v>21970</v>
      </c>
      <c r="O2505" t="s">
        <v>25</v>
      </c>
      <c r="P2505" t="s">
        <v>21971</v>
      </c>
      <c r="Q2505" t="s">
        <v>29</v>
      </c>
      <c r="R2505" t="s">
        <v>21966</v>
      </c>
      <c r="S2505" t="s">
        <v>21967</v>
      </c>
    </row>
    <row r="2506" spans="1:19" x14ac:dyDescent="0.25">
      <c r="A2506" s="1">
        <v>2504</v>
      </c>
      <c r="B2506" t="str">
        <f>HYPERLINK("https://www.dasschnelle.at/elektro-hofmann-elbigenalp-untergiblen","Website")</f>
        <v>Website</v>
      </c>
      <c r="C2506" t="str">
        <f>HYPERLINK("https://www.dasschnelle.at/elektro-hofmann-elbigenalp-untergiblen","Website")</f>
        <v>Website</v>
      </c>
      <c r="D2506" t="str">
        <f>HYPERLINK("http://www.google.com/maps/place/47.2869700,10.4284500","Location")</f>
        <v>Location</v>
      </c>
      <c r="E2506" t="s">
        <v>21972</v>
      </c>
      <c r="F2506" t="s">
        <v>21973</v>
      </c>
      <c r="G2506" t="s">
        <v>6815</v>
      </c>
      <c r="H2506" t="s">
        <v>6816</v>
      </c>
      <c r="I2506" t="s">
        <v>21</v>
      </c>
      <c r="J2506" t="s">
        <v>22</v>
      </c>
      <c r="K2506" t="s">
        <v>21974</v>
      </c>
      <c r="L2506" t="s">
        <v>21977</v>
      </c>
      <c r="M2506" t="s">
        <v>25</v>
      </c>
      <c r="N2506" t="s">
        <v>21978</v>
      </c>
      <c r="O2506" t="s">
        <v>25</v>
      </c>
      <c r="P2506" t="s">
        <v>21979</v>
      </c>
      <c r="Q2506" t="s">
        <v>29</v>
      </c>
      <c r="R2506" t="s">
        <v>21975</v>
      </c>
      <c r="S2506" t="s">
        <v>21976</v>
      </c>
    </row>
    <row r="2507" spans="1:19" x14ac:dyDescent="0.25">
      <c r="A2507" s="1">
        <v>2505</v>
      </c>
      <c r="B2507" t="str">
        <f>HYPERLINK("https://www.dasschnelle.at/simon-und-konrath-og-bad-tatzmannsdorf-am-kurplatz","Website")</f>
        <v>Website</v>
      </c>
      <c r="C2507" t="str">
        <f>HYPERLINK("https://bad.tatzmannsdorf.at/de/bad-tatzmannsdorf/","Website")</f>
        <v>Website</v>
      </c>
      <c r="D2507" t="str">
        <f>HYPERLINK("http://www.google.com/maps/place/47.3360200,16.2313100","Location")</f>
        <v>Location</v>
      </c>
      <c r="E2507" t="s">
        <v>21980</v>
      </c>
      <c r="F2507" t="s">
        <v>21981</v>
      </c>
      <c r="G2507" t="s">
        <v>21983</v>
      </c>
      <c r="H2507" t="s">
        <v>21984</v>
      </c>
      <c r="I2507" t="s">
        <v>1834</v>
      </c>
      <c r="J2507" t="s">
        <v>22</v>
      </c>
      <c r="K2507" t="s">
        <v>21982</v>
      </c>
      <c r="L2507" t="s">
        <v>21987</v>
      </c>
      <c r="M2507" t="s">
        <v>25</v>
      </c>
      <c r="N2507" t="s">
        <v>21988</v>
      </c>
      <c r="O2507" t="s">
        <v>25</v>
      </c>
      <c r="P2507" t="s">
        <v>21989</v>
      </c>
      <c r="Q2507" t="s">
        <v>29</v>
      </c>
      <c r="R2507" t="s">
        <v>21985</v>
      </c>
      <c r="S2507" t="s">
        <v>21986</v>
      </c>
    </row>
    <row r="2508" spans="1:19" x14ac:dyDescent="0.25">
      <c r="A2508" s="1">
        <v>2506</v>
      </c>
      <c r="B2508" t="str">
        <f>HYPERLINK("https://www.dasschnelle.at/amon-grundlsee-og-grundlsee-bräuhof","Website")</f>
        <v>Website</v>
      </c>
      <c r="C2508" t="str">
        <f>HYPERLINK("http://www.tischlerei-amon.at","Website")</f>
        <v>Website</v>
      </c>
      <c r="D2508" t="str">
        <f>HYPERLINK("http://www.google.com/maps/place/47.6380880,13.8666722","Location")</f>
        <v>Location</v>
      </c>
      <c r="E2508" t="s">
        <v>21990</v>
      </c>
      <c r="F2508" t="s">
        <v>21991</v>
      </c>
      <c r="G2508" t="s">
        <v>2367</v>
      </c>
      <c r="H2508" t="s">
        <v>2368</v>
      </c>
      <c r="I2508" t="s">
        <v>451</v>
      </c>
      <c r="J2508" t="s">
        <v>22</v>
      </c>
      <c r="K2508" t="s">
        <v>21992</v>
      </c>
      <c r="L2508" t="s">
        <v>21995</v>
      </c>
      <c r="M2508" t="s">
        <v>25</v>
      </c>
      <c r="N2508" t="s">
        <v>21996</v>
      </c>
      <c r="O2508" t="s">
        <v>25</v>
      </c>
      <c r="P2508" t="s">
        <v>21997</v>
      </c>
      <c r="Q2508" t="s">
        <v>29</v>
      </c>
      <c r="R2508" t="s">
        <v>21993</v>
      </c>
      <c r="S2508" t="s">
        <v>21994</v>
      </c>
    </row>
    <row r="2509" spans="1:19" x14ac:dyDescent="0.25">
      <c r="A2509" s="1">
        <v>2507</v>
      </c>
      <c r="B2509" t="str">
        <f>HYPERLINK("https://www.dasschnelle.at/költringer-und-buchwinkler-gmbh-lamprechtshausen-niederarnsdorf","Website")</f>
        <v>Website</v>
      </c>
      <c r="C2509" t="str">
        <f>HYPERLINK("http://www.koeltringer-buchwinkler.at","Website")</f>
        <v>Website</v>
      </c>
      <c r="D2509" t="str">
        <f>HYPERLINK("http://www.google.com/maps/place/47.9663052,12.9476988","Location")</f>
        <v>Location</v>
      </c>
      <c r="E2509" t="s">
        <v>21998</v>
      </c>
      <c r="F2509" t="s">
        <v>21999</v>
      </c>
      <c r="G2509" t="s">
        <v>9277</v>
      </c>
      <c r="H2509" t="s">
        <v>9278</v>
      </c>
      <c r="I2509" t="s">
        <v>2239</v>
      </c>
      <c r="J2509" t="s">
        <v>22</v>
      </c>
      <c r="K2509" t="s">
        <v>22000</v>
      </c>
      <c r="L2509" t="s">
        <v>22003</v>
      </c>
      <c r="M2509" t="s">
        <v>25</v>
      </c>
      <c r="N2509" t="s">
        <v>22004</v>
      </c>
      <c r="O2509" t="s">
        <v>25</v>
      </c>
      <c r="P2509" t="s">
        <v>22005</v>
      </c>
      <c r="Q2509" t="s">
        <v>29</v>
      </c>
      <c r="R2509" t="s">
        <v>22001</v>
      </c>
      <c r="S2509" t="s">
        <v>22002</v>
      </c>
    </row>
    <row r="2510" spans="1:19" x14ac:dyDescent="0.25">
      <c r="A2510" s="1">
        <v>2508</v>
      </c>
      <c r="B2510" t="str">
        <f>HYPERLINK("https://www.dasschnelle.at/schranz-johann-gmbh-bad-aussee-pratergasse","Website")</f>
        <v>Website</v>
      </c>
      <c r="C2510" t="str">
        <f>HYPERLINK("https://www.dasschnelle.at/schranz-johann-gmbh-bad-aussee-pratergasse","Website")</f>
        <v>Website</v>
      </c>
      <c r="D2510" t="str">
        <f>HYPERLINK("http://www.google.com/maps/place/47.60846,13.78439","Location")</f>
        <v>Location</v>
      </c>
      <c r="E2510" t="s">
        <v>22006</v>
      </c>
      <c r="F2510" t="s">
        <v>22007</v>
      </c>
      <c r="G2510" t="s">
        <v>1195</v>
      </c>
      <c r="H2510" t="s">
        <v>1196</v>
      </c>
      <c r="I2510" t="s">
        <v>451</v>
      </c>
      <c r="J2510" t="s">
        <v>22</v>
      </c>
      <c r="K2510" t="s">
        <v>22008</v>
      </c>
      <c r="L2510" t="s">
        <v>22011</v>
      </c>
      <c r="M2510" t="s">
        <v>25</v>
      </c>
      <c r="N2510" t="s">
        <v>22012</v>
      </c>
      <c r="O2510" t="s">
        <v>25</v>
      </c>
      <c r="P2510" t="s">
        <v>22013</v>
      </c>
      <c r="Q2510" t="s">
        <v>29</v>
      </c>
      <c r="R2510" t="s">
        <v>22009</v>
      </c>
      <c r="S2510" t="s">
        <v>22010</v>
      </c>
    </row>
    <row r="2511" spans="1:19" x14ac:dyDescent="0.25">
      <c r="A2511" s="1">
        <v>2509</v>
      </c>
      <c r="B2511" t="str">
        <f>HYPERLINK("https://www.dasschnelle.at/baggerarbeiten-markus-feuchter-bad-mitterndorf-tauplitz-tauplitz","Website")</f>
        <v>Website</v>
      </c>
      <c r="C2511" t="str">
        <f>HYPERLINK("https://www.dasschnelle.at/baggerarbeiten-markus-feuchter-bad-mitterndorf-tauplitz-tauplitz","Website")</f>
        <v>Website</v>
      </c>
      <c r="D2511" t="str">
        <f>HYPERLINK("http://www.google.com/maps/place/47.5617778,14.0145426","Location")</f>
        <v>Location</v>
      </c>
      <c r="E2511" t="s">
        <v>22014</v>
      </c>
      <c r="F2511" t="s">
        <v>22015</v>
      </c>
      <c r="G2511" t="s">
        <v>22017</v>
      </c>
      <c r="H2511" t="s">
        <v>1134</v>
      </c>
      <c r="I2511" t="s">
        <v>451</v>
      </c>
      <c r="J2511" t="s">
        <v>22</v>
      </c>
      <c r="K2511" t="s">
        <v>22016</v>
      </c>
      <c r="L2511" t="s">
        <v>22020</v>
      </c>
      <c r="M2511" t="s">
        <v>25</v>
      </c>
      <c r="N2511" t="s">
        <v>22021</v>
      </c>
      <c r="O2511" t="s">
        <v>22022</v>
      </c>
      <c r="P2511" t="s">
        <v>697</v>
      </c>
      <c r="Q2511" t="s">
        <v>29</v>
      </c>
      <c r="R2511" t="s">
        <v>22018</v>
      </c>
      <c r="S2511" t="s">
        <v>22019</v>
      </c>
    </row>
    <row r="2512" spans="1:19" x14ac:dyDescent="0.25">
      <c r="A2512" s="1">
        <v>2510</v>
      </c>
      <c r="B2512" t="str">
        <f>HYPERLINK("https://www.dasschnelle.at/stimitzer-hermann-bad-aussee-straußenbühel","Website")</f>
        <v>Website</v>
      </c>
      <c r="C2512" t="str">
        <f>HYPERLINK("https://www.dasschnelle.at/stimitzer-hermann-bad-aussee-strau%C3%9Fenb%C3%BChel","Website")</f>
        <v>Website</v>
      </c>
      <c r="D2512" t="str">
        <f>HYPERLINK("http://www.google.com/maps/place/47.60545,13.78809","Location")</f>
        <v>Location</v>
      </c>
      <c r="E2512" t="s">
        <v>22023</v>
      </c>
      <c r="F2512" t="s">
        <v>22024</v>
      </c>
      <c r="G2512" t="s">
        <v>1195</v>
      </c>
      <c r="H2512" t="s">
        <v>1196</v>
      </c>
      <c r="I2512" t="s">
        <v>451</v>
      </c>
      <c r="J2512" t="s">
        <v>22</v>
      </c>
      <c r="K2512" t="s">
        <v>22025</v>
      </c>
      <c r="L2512" t="s">
        <v>22028</v>
      </c>
      <c r="M2512" t="s">
        <v>25</v>
      </c>
      <c r="N2512" t="s">
        <v>22029</v>
      </c>
      <c r="O2512" t="s">
        <v>25</v>
      </c>
      <c r="P2512" t="s">
        <v>22030</v>
      </c>
      <c r="Q2512" t="s">
        <v>29</v>
      </c>
      <c r="R2512" t="s">
        <v>22026</v>
      </c>
      <c r="S2512" t="s">
        <v>22027</v>
      </c>
    </row>
    <row r="2513" spans="1:19" x14ac:dyDescent="0.25">
      <c r="A2513" s="1">
        <v>2511</v>
      </c>
      <c r="B2513" t="str">
        <f>HYPERLINK("https://www.dasschnelle.at/hütter-christian-altaussee-puchen","Website")</f>
        <v>Website</v>
      </c>
      <c r="C2513" t="str">
        <f>HYPERLINK("http://www.spenglerei-huetter.at","Website")</f>
        <v>Website</v>
      </c>
      <c r="D2513" t="str">
        <f>HYPERLINK("http://www.google.com/maps/place/47.6314960,13.7647627","Location")</f>
        <v>Location</v>
      </c>
      <c r="E2513" t="s">
        <v>22031</v>
      </c>
      <c r="F2513" t="s">
        <v>22032</v>
      </c>
      <c r="G2513" t="s">
        <v>2643</v>
      </c>
      <c r="H2513" t="s">
        <v>2644</v>
      </c>
      <c r="I2513" t="s">
        <v>451</v>
      </c>
      <c r="J2513" t="s">
        <v>22</v>
      </c>
      <c r="K2513" t="s">
        <v>22033</v>
      </c>
      <c r="L2513" t="s">
        <v>22036</v>
      </c>
      <c r="M2513" t="s">
        <v>25</v>
      </c>
      <c r="N2513" t="s">
        <v>22037</v>
      </c>
      <c r="O2513" t="s">
        <v>25</v>
      </c>
      <c r="P2513" t="s">
        <v>22038</v>
      </c>
      <c r="Q2513" t="s">
        <v>29</v>
      </c>
      <c r="R2513" t="s">
        <v>22034</v>
      </c>
      <c r="S2513" t="s">
        <v>22035</v>
      </c>
    </row>
    <row r="2514" spans="1:19" x14ac:dyDescent="0.25">
      <c r="A2514" s="1">
        <v>2512</v>
      </c>
      <c r="B2514" t="str">
        <f>HYPERLINK("https://www.dasschnelle.at/wallner-gmbh-go-gosau-alm-gosau-schüttangerstraße","Website")</f>
        <v>Website</v>
      </c>
      <c r="C2514" t="str">
        <f>HYPERLINK("http://www.gogosau.at","Website")</f>
        <v>Website</v>
      </c>
      <c r="D2514" t="str">
        <f>HYPERLINK("http://www.google.com/maps/place/47.56913,13.5207","Location")</f>
        <v>Location</v>
      </c>
      <c r="E2514" t="s">
        <v>22039</v>
      </c>
      <c r="F2514" t="s">
        <v>22040</v>
      </c>
      <c r="G2514" t="s">
        <v>2668</v>
      </c>
      <c r="H2514" t="s">
        <v>2669</v>
      </c>
      <c r="I2514" t="s">
        <v>85</v>
      </c>
      <c r="J2514" t="s">
        <v>22</v>
      </c>
      <c r="K2514" t="s">
        <v>22041</v>
      </c>
      <c r="L2514" t="s">
        <v>22044</v>
      </c>
      <c r="M2514" t="s">
        <v>25</v>
      </c>
      <c r="N2514" t="s">
        <v>22045</v>
      </c>
      <c r="O2514" t="s">
        <v>25</v>
      </c>
      <c r="P2514" t="s">
        <v>22046</v>
      </c>
      <c r="Q2514" t="s">
        <v>29</v>
      </c>
      <c r="R2514" t="s">
        <v>22042</v>
      </c>
      <c r="S2514" t="s">
        <v>22043</v>
      </c>
    </row>
    <row r="2515" spans="1:19" x14ac:dyDescent="0.25">
      <c r="A2515" s="1">
        <v>2513</v>
      </c>
      <c r="B2515" t="str">
        <f>HYPERLINK("https://www.dasschnelle.at/frauscher-ferdinand-höhnhart-höhnhart","Website")</f>
        <v>Website</v>
      </c>
      <c r="C2515" t="str">
        <f>HYPERLINK("http://www.wohnkeramik.at","Website")</f>
        <v>Website</v>
      </c>
      <c r="D2515" t="str">
        <f>HYPERLINK("http://www.google.com/maps/place/48.1675331,13.2690470","Location")</f>
        <v>Location</v>
      </c>
      <c r="E2515" t="s">
        <v>22047</v>
      </c>
      <c r="F2515" t="s">
        <v>22048</v>
      </c>
      <c r="G2515" t="s">
        <v>15150</v>
      </c>
      <c r="H2515" t="s">
        <v>15151</v>
      </c>
      <c r="I2515" t="s">
        <v>85</v>
      </c>
      <c r="J2515" t="s">
        <v>22</v>
      </c>
      <c r="K2515" t="s">
        <v>22049</v>
      </c>
      <c r="L2515" t="s">
        <v>22052</v>
      </c>
      <c r="M2515" t="s">
        <v>25</v>
      </c>
      <c r="N2515" t="s">
        <v>22053</v>
      </c>
      <c r="O2515" t="s">
        <v>25</v>
      </c>
      <c r="P2515" t="s">
        <v>22054</v>
      </c>
      <c r="Q2515" t="s">
        <v>29</v>
      </c>
      <c r="R2515" t="s">
        <v>22050</v>
      </c>
      <c r="S2515" t="s">
        <v>22051</v>
      </c>
    </row>
    <row r="2516" spans="1:19" x14ac:dyDescent="0.25">
      <c r="A2516" s="1">
        <v>2514</v>
      </c>
      <c r="B2516" t="str">
        <f>HYPERLINK("https://www.dasschnelle.at/blaa-alm-altaussee-lichtersberg","Website")</f>
        <v>Website</v>
      </c>
      <c r="C2516" t="str">
        <f>HYPERLINK("http://www.willkommeninaltaussee.at","Website")</f>
        <v>Website</v>
      </c>
      <c r="D2516" t="str">
        <f>HYPERLINK("http://www.google.com/maps/place/47.6450390,13.7615969","Location")</f>
        <v>Location</v>
      </c>
      <c r="E2516" t="s">
        <v>22055</v>
      </c>
      <c r="F2516" t="s">
        <v>22056</v>
      </c>
      <c r="G2516" t="s">
        <v>2643</v>
      </c>
      <c r="H2516" t="s">
        <v>2644</v>
      </c>
      <c r="I2516" t="s">
        <v>451</v>
      </c>
      <c r="J2516" t="s">
        <v>22</v>
      </c>
      <c r="K2516" t="s">
        <v>22057</v>
      </c>
      <c r="L2516" t="s">
        <v>22060</v>
      </c>
      <c r="M2516" t="s">
        <v>25</v>
      </c>
      <c r="N2516" t="s">
        <v>22061</v>
      </c>
      <c r="O2516" t="s">
        <v>25</v>
      </c>
      <c r="P2516" t="s">
        <v>22062</v>
      </c>
      <c r="Q2516" t="s">
        <v>29</v>
      </c>
      <c r="R2516" t="s">
        <v>22058</v>
      </c>
      <c r="S2516" t="s">
        <v>22059</v>
      </c>
    </row>
    <row r="2517" spans="1:19" x14ac:dyDescent="0.25">
      <c r="A2517" s="1">
        <v>2515</v>
      </c>
      <c r="B2517" t="str">
        <f>HYPERLINK("https://www.dasschnelle.at/schlechmair-gmbh-heimhausen","Website")</f>
        <v>Website</v>
      </c>
      <c r="C2517" t="str">
        <f>HYPERLINK("http://www.schrotthandel.co.at","Website")</f>
        <v>Website</v>
      </c>
      <c r="D2517" t="str">
        <f>HYPERLINK("http://www.google.com/maps/place/48.1115390,12.9888736","Location")</f>
        <v>Location</v>
      </c>
      <c r="E2517" t="s">
        <v>22063</v>
      </c>
      <c r="F2517" t="s">
        <v>22064</v>
      </c>
      <c r="G2517" t="s">
        <v>1385</v>
      </c>
      <c r="H2517" t="s">
        <v>22065</v>
      </c>
      <c r="I2517" t="s">
        <v>85</v>
      </c>
      <c r="J2517" t="s">
        <v>22</v>
      </c>
      <c r="K2517" t="s">
        <v>25</v>
      </c>
      <c r="L2517" t="s">
        <v>22068</v>
      </c>
      <c r="M2517" t="s">
        <v>25</v>
      </c>
      <c r="N2517" t="s">
        <v>22069</v>
      </c>
      <c r="O2517" t="s">
        <v>22070</v>
      </c>
      <c r="P2517" t="s">
        <v>22071</v>
      </c>
      <c r="Q2517" t="s">
        <v>29</v>
      </c>
      <c r="R2517" t="s">
        <v>22066</v>
      </c>
      <c r="S2517" t="s">
        <v>22067</v>
      </c>
    </row>
    <row r="2518" spans="1:19" x14ac:dyDescent="0.25">
      <c r="A2518" s="1">
        <v>2516</v>
      </c>
      <c r="B2518" t="str">
        <f>HYPERLINK("https://www.dasschnelle.at/schiestl-christian-handenberg-eckbach","Website")</f>
        <v>Website</v>
      </c>
      <c r="C2518" t="str">
        <f>HYPERLINK("https://www.dasschnelle.at/schiestl-christian-handenberg-eckbach","Website")</f>
        <v>Website</v>
      </c>
      <c r="D2518" t="str">
        <f>HYPERLINK("http://www.google.com/maps/place/48.1293615,12.9838205","Location")</f>
        <v>Location</v>
      </c>
      <c r="E2518" t="s">
        <v>22072</v>
      </c>
      <c r="F2518" t="s">
        <v>22073</v>
      </c>
      <c r="G2518" t="s">
        <v>22075</v>
      </c>
      <c r="H2518" t="s">
        <v>22076</v>
      </c>
      <c r="I2518" t="s">
        <v>85</v>
      </c>
      <c r="J2518" t="s">
        <v>22</v>
      </c>
      <c r="K2518" t="s">
        <v>22074</v>
      </c>
      <c r="L2518" t="s">
        <v>22079</v>
      </c>
      <c r="M2518" t="s">
        <v>25</v>
      </c>
      <c r="N2518" t="s">
        <v>22080</v>
      </c>
      <c r="O2518" t="s">
        <v>25</v>
      </c>
      <c r="P2518" t="s">
        <v>22081</v>
      </c>
      <c r="Q2518" t="s">
        <v>29</v>
      </c>
      <c r="R2518" t="s">
        <v>22077</v>
      </c>
      <c r="S2518" t="s">
        <v>22078</v>
      </c>
    </row>
    <row r="2519" spans="1:19" x14ac:dyDescent="0.25">
      <c r="A2519" s="1">
        <v>2517</v>
      </c>
      <c r="B2519" t="str">
        <f>HYPERLINK("https://www.dasschnelle.at/felber-auto-gmbh-tarsdorf","Website")</f>
        <v>Website</v>
      </c>
      <c r="C2519" t="str">
        <f>HYPERLINK("http://www.felber-autohaus.at","Website")</f>
        <v>Website</v>
      </c>
      <c r="D2519" t="str">
        <f>HYPERLINK("http://www.google.com/maps/place/48.0787057,12.8270183","Location")</f>
        <v>Location</v>
      </c>
      <c r="E2519" t="s">
        <v>22082</v>
      </c>
      <c r="F2519" t="s">
        <v>22083</v>
      </c>
      <c r="G2519" t="s">
        <v>22084</v>
      </c>
      <c r="H2519" t="s">
        <v>22085</v>
      </c>
      <c r="I2519" t="s">
        <v>85</v>
      </c>
      <c r="J2519" t="s">
        <v>22</v>
      </c>
      <c r="K2519" t="s">
        <v>25</v>
      </c>
      <c r="L2519" t="s">
        <v>22088</v>
      </c>
      <c r="M2519" t="s">
        <v>22089</v>
      </c>
      <c r="N2519" t="s">
        <v>22090</v>
      </c>
      <c r="O2519" t="s">
        <v>25</v>
      </c>
      <c r="P2519" t="s">
        <v>22091</v>
      </c>
      <c r="Q2519" t="s">
        <v>29</v>
      </c>
      <c r="R2519" t="s">
        <v>22086</v>
      </c>
      <c r="S2519" t="s">
        <v>22087</v>
      </c>
    </row>
    <row r="2520" spans="1:19" x14ac:dyDescent="0.25">
      <c r="A2520" s="1">
        <v>2518</v>
      </c>
      <c r="B2520" t="str">
        <f>HYPERLINK("https://www.dasschnelle.at/maier-erich-gmbh-und-co-kg-franking-franking","Website")</f>
        <v>Website</v>
      </c>
      <c r="C2520" t="str">
        <f>HYPERLINK("http://www.opel-maier.at","Website")</f>
        <v>Website</v>
      </c>
      <c r="D2520" t="str">
        <f>HYPERLINK("http://www.google.com/maps/place/48.0515621,12.9131249","Location")</f>
        <v>Location</v>
      </c>
      <c r="E2520" t="s">
        <v>22092</v>
      </c>
      <c r="F2520" t="s">
        <v>22093</v>
      </c>
      <c r="G2520" t="s">
        <v>22095</v>
      </c>
      <c r="H2520" t="s">
        <v>22096</v>
      </c>
      <c r="I2520" t="s">
        <v>85</v>
      </c>
      <c r="J2520" t="s">
        <v>22</v>
      </c>
      <c r="K2520" t="s">
        <v>22094</v>
      </c>
      <c r="L2520" t="s">
        <v>22099</v>
      </c>
      <c r="M2520" t="s">
        <v>25</v>
      </c>
      <c r="N2520" t="s">
        <v>22100</v>
      </c>
      <c r="O2520" t="s">
        <v>25</v>
      </c>
      <c r="P2520" t="s">
        <v>22101</v>
      </c>
      <c r="Q2520" t="s">
        <v>29</v>
      </c>
      <c r="R2520" t="s">
        <v>22097</v>
      </c>
      <c r="S2520" t="s">
        <v>22098</v>
      </c>
    </row>
    <row r="2521" spans="1:19" x14ac:dyDescent="0.25">
      <c r="A2521" s="1">
        <v>2519</v>
      </c>
      <c r="B2521" t="str">
        <f>HYPERLINK("https://www.dasschnelle.at/hair-und-style-by-eva-loipersdorf-kitzladen-sonnengasse","Website")</f>
        <v>Website</v>
      </c>
      <c r="C2521" t="str">
        <f>HYPERLINK("http://www.hair-style-eva.at","Website")</f>
        <v>Website</v>
      </c>
      <c r="D2521" t="str">
        <f>HYPERLINK("http://www.google.com/maps/place/47.3398336,16.0790250","Location")</f>
        <v>Location</v>
      </c>
      <c r="E2521" t="s">
        <v>22102</v>
      </c>
      <c r="F2521" t="s">
        <v>22103</v>
      </c>
      <c r="G2521" t="s">
        <v>20115</v>
      </c>
      <c r="H2521" t="s">
        <v>20116</v>
      </c>
      <c r="I2521" t="s">
        <v>1834</v>
      </c>
      <c r="J2521" t="s">
        <v>22</v>
      </c>
      <c r="K2521" t="s">
        <v>22104</v>
      </c>
      <c r="L2521" t="s">
        <v>22107</v>
      </c>
      <c r="M2521" t="s">
        <v>25</v>
      </c>
      <c r="N2521" t="s">
        <v>22108</v>
      </c>
      <c r="O2521" t="s">
        <v>22109</v>
      </c>
      <c r="P2521" t="s">
        <v>22110</v>
      </c>
      <c r="Q2521" t="s">
        <v>29</v>
      </c>
      <c r="R2521" t="s">
        <v>22105</v>
      </c>
      <c r="S2521" t="s">
        <v>22106</v>
      </c>
    </row>
    <row r="2522" spans="1:19" x14ac:dyDescent="0.25">
      <c r="A2522" s="1">
        <v>2520</v>
      </c>
      <c r="B2522" t="str">
        <f>HYPERLINK("https://www.dasschnelle.at/binder-viktor-gmbh-kemeten-steinbrückl","Website")</f>
        <v>Website</v>
      </c>
      <c r="C2522" t="str">
        <f>HYPERLINK("http://www.binderbau.at","Website")</f>
        <v>Website</v>
      </c>
      <c r="D2522" t="str">
        <f>HYPERLINK("http://www.google.com/maps/place/47.2737500,16.1555100","Location")</f>
        <v>Location</v>
      </c>
      <c r="E2522" t="s">
        <v>22111</v>
      </c>
      <c r="F2522" t="s">
        <v>22112</v>
      </c>
      <c r="G2522" t="s">
        <v>20077</v>
      </c>
      <c r="H2522" t="s">
        <v>20078</v>
      </c>
      <c r="I2522" t="s">
        <v>1834</v>
      </c>
      <c r="J2522" t="s">
        <v>22</v>
      </c>
      <c r="K2522" t="s">
        <v>22113</v>
      </c>
      <c r="L2522" t="s">
        <v>22116</v>
      </c>
      <c r="M2522" t="s">
        <v>25</v>
      </c>
      <c r="N2522" t="s">
        <v>22117</v>
      </c>
      <c r="O2522" t="s">
        <v>22118</v>
      </c>
      <c r="P2522" t="s">
        <v>22119</v>
      </c>
      <c r="Q2522" t="s">
        <v>29</v>
      </c>
      <c r="R2522" t="s">
        <v>22114</v>
      </c>
      <c r="S2522" t="s">
        <v>22115</v>
      </c>
    </row>
    <row r="2523" spans="1:19" x14ac:dyDescent="0.25">
      <c r="A2523" s="1">
        <v>2521</v>
      </c>
      <c r="B2523" t="str">
        <f>HYPERLINK("https://www.dasschnelle.at/sailer-alternativenergie-loipersdorf-im-burgenlan-loipersdorfer-im-bgld","Website")</f>
        <v>Website</v>
      </c>
      <c r="C2523" t="str">
        <f>HYPERLINK("http://www.sailer-gmbh.at","Website")</f>
        <v>Website</v>
      </c>
      <c r="D2523" t="str">
        <f>HYPERLINK("http://www.google.com/maps/place/47.3381521,16.0732835","Location")</f>
        <v>Location</v>
      </c>
      <c r="E2523" t="s">
        <v>22120</v>
      </c>
      <c r="F2523" t="s">
        <v>22121</v>
      </c>
      <c r="G2523" t="s">
        <v>20115</v>
      </c>
      <c r="H2523" t="s">
        <v>22123</v>
      </c>
      <c r="I2523" t="s">
        <v>1834</v>
      </c>
      <c r="J2523" t="s">
        <v>22</v>
      </c>
      <c r="K2523" t="s">
        <v>22122</v>
      </c>
      <c r="L2523" t="s">
        <v>22126</v>
      </c>
      <c r="M2523" t="s">
        <v>25</v>
      </c>
      <c r="N2523" t="s">
        <v>22127</v>
      </c>
      <c r="O2523" t="s">
        <v>22128</v>
      </c>
      <c r="P2523" t="s">
        <v>22129</v>
      </c>
      <c r="Q2523" t="s">
        <v>29</v>
      </c>
      <c r="R2523" t="s">
        <v>22124</v>
      </c>
      <c r="S2523" t="s">
        <v>22125</v>
      </c>
    </row>
    <row r="2524" spans="1:19" x14ac:dyDescent="0.25">
      <c r="A2524" s="1">
        <v>2522</v>
      </c>
      <c r="B2524" t="str">
        <f>HYPERLINK("https://www.dasschnelle.at/akes-david-singer-markt-allhau-buchenweg","Website")</f>
        <v>Website</v>
      </c>
      <c r="C2524" t="str">
        <f>HYPERLINK("http://www.akes.at","Website")</f>
        <v>Website</v>
      </c>
      <c r="D2524" t="str">
        <f>HYPERLINK("http://www.google.com/maps/place/47.2965760,16.0798612","Location")</f>
        <v>Location</v>
      </c>
      <c r="E2524" t="s">
        <v>22130</v>
      </c>
      <c r="F2524" t="s">
        <v>22131</v>
      </c>
      <c r="G2524" t="s">
        <v>21216</v>
      </c>
      <c r="H2524" t="s">
        <v>21217</v>
      </c>
      <c r="I2524" t="s">
        <v>1834</v>
      </c>
      <c r="J2524" t="s">
        <v>22</v>
      </c>
      <c r="K2524" t="s">
        <v>22132</v>
      </c>
      <c r="L2524" t="s">
        <v>22135</v>
      </c>
      <c r="M2524" t="s">
        <v>25</v>
      </c>
      <c r="N2524" t="s">
        <v>22136</v>
      </c>
      <c r="O2524" t="s">
        <v>22137</v>
      </c>
      <c r="P2524" t="s">
        <v>22138</v>
      </c>
      <c r="Q2524" t="s">
        <v>29</v>
      </c>
      <c r="R2524" t="s">
        <v>22133</v>
      </c>
      <c r="S2524" t="s">
        <v>22134</v>
      </c>
    </row>
    <row r="2525" spans="1:19" x14ac:dyDescent="0.25">
      <c r="A2525" s="1">
        <v>2523</v>
      </c>
      <c r="B2525" t="str">
        <f>HYPERLINK("https://www.dasschnelle.at/jagdhaus-seewiese-geiger-alm-paul-könig-altaussee-altaussee","Website")</f>
        <v>Website</v>
      </c>
      <c r="C2525" t="str">
        <f>HYPERLINK("http://www.jagdhaus-seewiese.com","Website")</f>
        <v>Website</v>
      </c>
      <c r="D2525" t="str">
        <f>HYPERLINK("http://www.google.com/maps/place/47.6496295,13.7946323","Location")</f>
        <v>Location</v>
      </c>
      <c r="E2525" t="s">
        <v>22139</v>
      </c>
      <c r="F2525" t="s">
        <v>22140</v>
      </c>
      <c r="G2525" t="s">
        <v>2643</v>
      </c>
      <c r="H2525" t="s">
        <v>2644</v>
      </c>
      <c r="I2525" t="s">
        <v>451</v>
      </c>
      <c r="J2525" t="s">
        <v>22</v>
      </c>
      <c r="K2525" t="s">
        <v>22141</v>
      </c>
      <c r="L2525" t="s">
        <v>22144</v>
      </c>
      <c r="M2525" t="s">
        <v>25</v>
      </c>
      <c r="N2525" t="s">
        <v>22145</v>
      </c>
      <c r="O2525" t="s">
        <v>25</v>
      </c>
      <c r="P2525" t="s">
        <v>22146</v>
      </c>
      <c r="Q2525" t="s">
        <v>29</v>
      </c>
      <c r="R2525" t="s">
        <v>22142</v>
      </c>
      <c r="S2525" t="s">
        <v>22143</v>
      </c>
    </row>
    <row r="2526" spans="1:19" x14ac:dyDescent="0.25">
      <c r="A2526" s="1">
        <v>2524</v>
      </c>
      <c r="B2526" t="str">
        <f>HYPERLINK("https://www.dasschnelle.at/grieshofer-fritz-äußere-kainisch-mühlreith","Website")</f>
        <v>Website</v>
      </c>
      <c r="C2526" t="str">
        <f>HYPERLINK("https://www.dasschnelle.at/grieshofer-fritz-%C3%A4u%C3%9Fere-kainisch-m%C3%BChlreith","Website")</f>
        <v>Website</v>
      </c>
      <c r="D2526" t="str">
        <f>HYPERLINK("http://www.google.com/maps/place/47.5642785,13.8633037","Location")</f>
        <v>Location</v>
      </c>
      <c r="E2526" t="s">
        <v>22147</v>
      </c>
      <c r="F2526" t="s">
        <v>22148</v>
      </c>
      <c r="G2526" t="s">
        <v>22150</v>
      </c>
      <c r="H2526" t="s">
        <v>22151</v>
      </c>
      <c r="I2526" t="s">
        <v>451</v>
      </c>
      <c r="J2526" t="s">
        <v>22</v>
      </c>
      <c r="K2526" t="s">
        <v>22149</v>
      </c>
      <c r="L2526" t="s">
        <v>22154</v>
      </c>
      <c r="M2526" t="s">
        <v>22155</v>
      </c>
      <c r="N2526" t="s">
        <v>25</v>
      </c>
      <c r="O2526" t="s">
        <v>25</v>
      </c>
      <c r="P2526" t="s">
        <v>22156</v>
      </c>
      <c r="Q2526" t="s">
        <v>29</v>
      </c>
      <c r="R2526" t="s">
        <v>22152</v>
      </c>
      <c r="S2526" t="s">
        <v>22153</v>
      </c>
    </row>
    <row r="2527" spans="1:19" x14ac:dyDescent="0.25">
      <c r="A2527" s="1">
        <v>2525</v>
      </c>
      <c r="B2527" t="str">
        <f>HYPERLINK("https://www.dasschnelle.at/gasperl-johannes-altaussee-puchen","Website")</f>
        <v>Website</v>
      </c>
      <c r="C2527" t="str">
        <f>HYPERLINK("http://www.bioalternate.net","Website")</f>
        <v>Website</v>
      </c>
      <c r="D2527" t="str">
        <f>HYPERLINK("http://www.google.com/maps/place/47.6265972,13.7689511","Location")</f>
        <v>Location</v>
      </c>
      <c r="E2527" t="s">
        <v>22157</v>
      </c>
      <c r="F2527" t="s">
        <v>22158</v>
      </c>
      <c r="G2527" t="s">
        <v>2643</v>
      </c>
      <c r="H2527" t="s">
        <v>2644</v>
      </c>
      <c r="I2527" t="s">
        <v>451</v>
      </c>
      <c r="J2527" t="s">
        <v>22</v>
      </c>
      <c r="K2527" t="s">
        <v>22159</v>
      </c>
      <c r="L2527" t="s">
        <v>22162</v>
      </c>
      <c r="M2527" t="s">
        <v>25</v>
      </c>
      <c r="N2527" t="s">
        <v>22163</v>
      </c>
      <c r="O2527" t="s">
        <v>22164</v>
      </c>
      <c r="P2527" t="s">
        <v>22165</v>
      </c>
      <c r="Q2527" t="s">
        <v>29</v>
      </c>
      <c r="R2527" t="s">
        <v>22160</v>
      </c>
      <c r="S2527" t="s">
        <v>22161</v>
      </c>
    </row>
    <row r="2528" spans="1:19" x14ac:dyDescent="0.25">
      <c r="A2528" s="1">
        <v>2526</v>
      </c>
      <c r="B2528" t="str">
        <f>HYPERLINK("https://www.dasschnelle.at/gugerbauer-günther-göming-kemating","Website")</f>
        <v>Website</v>
      </c>
      <c r="C2528" t="str">
        <f>HYPERLINK("http://www.treppenwerkstatt.at","Website")</f>
        <v>Website</v>
      </c>
      <c r="D2528" t="str">
        <f>HYPERLINK("http://www.google.com/maps/place/47.9483110,12.9711442","Location")</f>
        <v>Location</v>
      </c>
      <c r="E2528" t="s">
        <v>22166</v>
      </c>
      <c r="F2528" t="s">
        <v>22167</v>
      </c>
      <c r="G2528" t="s">
        <v>12840</v>
      </c>
      <c r="H2528" t="s">
        <v>12841</v>
      </c>
      <c r="I2528" t="s">
        <v>2239</v>
      </c>
      <c r="J2528" t="s">
        <v>22</v>
      </c>
      <c r="K2528" t="s">
        <v>22168</v>
      </c>
      <c r="L2528" t="s">
        <v>22171</v>
      </c>
      <c r="M2528" t="s">
        <v>25</v>
      </c>
      <c r="N2528" t="s">
        <v>22172</v>
      </c>
      <c r="O2528" t="s">
        <v>25</v>
      </c>
      <c r="P2528" t="s">
        <v>22173</v>
      </c>
      <c r="Q2528" t="s">
        <v>29</v>
      </c>
      <c r="R2528" t="s">
        <v>22169</v>
      </c>
      <c r="S2528" t="s">
        <v>22170</v>
      </c>
    </row>
    <row r="2529" spans="1:19" x14ac:dyDescent="0.25">
      <c r="A2529" s="1">
        <v>2527</v>
      </c>
      <c r="B2529" t="str">
        <f>HYPERLINK("https://www.dasschnelle.at/stadtbetriebe-steyr-gmbh-steyr-taborweg","Website")</f>
        <v>Website</v>
      </c>
      <c r="C2529" t="str">
        <f>HYPERLINK("http://www.bestattungsteyr.at","Website")</f>
        <v>Website</v>
      </c>
      <c r="D2529" t="str">
        <f>HYPERLINK("http://www.google.com/maps/place/48.04449,14.42196","Location")</f>
        <v>Location</v>
      </c>
      <c r="E2529" t="s">
        <v>22174</v>
      </c>
      <c r="F2529" t="s">
        <v>22175</v>
      </c>
      <c r="G2529" t="s">
        <v>95</v>
      </c>
      <c r="H2529" t="s">
        <v>96</v>
      </c>
      <c r="I2529" t="s">
        <v>85</v>
      </c>
      <c r="J2529" t="s">
        <v>22</v>
      </c>
      <c r="K2529" t="s">
        <v>22176</v>
      </c>
      <c r="L2529" t="s">
        <v>22179</v>
      </c>
      <c r="M2529" t="s">
        <v>25</v>
      </c>
      <c r="N2529" t="s">
        <v>22180</v>
      </c>
      <c r="O2529" t="s">
        <v>25</v>
      </c>
      <c r="P2529" t="s">
        <v>22181</v>
      </c>
      <c r="Q2529" t="s">
        <v>29</v>
      </c>
      <c r="R2529" t="s">
        <v>22177</v>
      </c>
      <c r="S2529" t="s">
        <v>22178</v>
      </c>
    </row>
    <row r="2530" spans="1:19" x14ac:dyDescent="0.25">
      <c r="A2530" s="1">
        <v>2528</v>
      </c>
      <c r="B2530" t="str">
        <f>HYPERLINK("https://www.dasschnelle.at/königsberger-gmbh-sankt-pantaleon-neumühlweg","Website")</f>
        <v>Website</v>
      </c>
      <c r="C2530" t="str">
        <f>HYPERLINK("http://www.holzbau-koenigsberger.at","Website")</f>
        <v>Website</v>
      </c>
      <c r="D2530" t="str">
        <f>HYPERLINK("http://www.google.com/maps/place/48.00092,12.89676","Location")</f>
        <v>Location</v>
      </c>
      <c r="E2530" t="s">
        <v>22182</v>
      </c>
      <c r="F2530" t="s">
        <v>22183</v>
      </c>
      <c r="G2530" t="s">
        <v>12797</v>
      </c>
      <c r="H2530" t="s">
        <v>21181</v>
      </c>
      <c r="I2530" t="s">
        <v>85</v>
      </c>
      <c r="J2530" t="s">
        <v>22</v>
      </c>
      <c r="K2530" t="s">
        <v>22184</v>
      </c>
      <c r="L2530" t="s">
        <v>22187</v>
      </c>
      <c r="M2530" t="s">
        <v>25</v>
      </c>
      <c r="N2530" t="s">
        <v>22188</v>
      </c>
      <c r="O2530" t="s">
        <v>25</v>
      </c>
      <c r="P2530" t="s">
        <v>22189</v>
      </c>
      <c r="Q2530" t="s">
        <v>29</v>
      </c>
      <c r="R2530" t="s">
        <v>22185</v>
      </c>
      <c r="S2530" t="s">
        <v>22186</v>
      </c>
    </row>
    <row r="2531" spans="1:19" x14ac:dyDescent="0.25">
      <c r="A2531" s="1">
        <v>2529</v>
      </c>
      <c r="B2531" t="str">
        <f>HYPERLINK("https://www.dasschnelle.at/tieftrunk-walter-mauerkirchen-obermarkt","Website")</f>
        <v>Website</v>
      </c>
      <c r="C2531" t="str">
        <f>HYPERLINK("http://www.tieftrunk.wordpress.com","Website")</f>
        <v>Website</v>
      </c>
      <c r="D2531" t="str">
        <f>HYPERLINK("http://www.google.com/maps/place/48.19044,13.13599","Location")</f>
        <v>Location</v>
      </c>
      <c r="E2531" t="s">
        <v>22190</v>
      </c>
      <c r="F2531" t="s">
        <v>22191</v>
      </c>
      <c r="G2531" t="s">
        <v>1422</v>
      </c>
      <c r="H2531" t="s">
        <v>1423</v>
      </c>
      <c r="I2531" t="s">
        <v>85</v>
      </c>
      <c r="J2531" t="s">
        <v>22</v>
      </c>
      <c r="K2531" t="s">
        <v>22192</v>
      </c>
      <c r="L2531" t="s">
        <v>22195</v>
      </c>
      <c r="M2531" t="s">
        <v>25</v>
      </c>
      <c r="N2531" t="s">
        <v>22196</v>
      </c>
      <c r="O2531" t="s">
        <v>25</v>
      </c>
      <c r="P2531" t="s">
        <v>22197</v>
      </c>
      <c r="Q2531" t="s">
        <v>29</v>
      </c>
      <c r="R2531" t="s">
        <v>22193</v>
      </c>
      <c r="S2531" t="s">
        <v>22194</v>
      </c>
    </row>
    <row r="2532" spans="1:19" x14ac:dyDescent="0.25">
      <c r="A2532" s="1">
        <v>2530</v>
      </c>
      <c r="B2532" t="str">
        <f>HYPERLINK("https://www.dasschnelle.at/huber-wimmer-baugesmbh-u-co-kg-uttendorf-gewerbestraße","Website")</f>
        <v>Website</v>
      </c>
      <c r="C2532" t="str">
        <f>HYPERLINK("http://www.huber-wimmer.at","Website")</f>
        <v>Website</v>
      </c>
      <c r="D2532" t="str">
        <f>HYPERLINK("http://www.google.com/maps/place/48.16902,13.12322","Location")</f>
        <v>Location</v>
      </c>
      <c r="E2532" t="s">
        <v>22198</v>
      </c>
      <c r="F2532" t="s">
        <v>22199</v>
      </c>
      <c r="G2532" t="s">
        <v>1328</v>
      </c>
      <c r="H2532" t="s">
        <v>1329</v>
      </c>
      <c r="I2532" t="s">
        <v>85</v>
      </c>
      <c r="J2532" t="s">
        <v>22</v>
      </c>
      <c r="K2532" t="s">
        <v>22200</v>
      </c>
      <c r="L2532" t="s">
        <v>22203</v>
      </c>
      <c r="M2532" t="s">
        <v>22204</v>
      </c>
      <c r="N2532" t="s">
        <v>22205</v>
      </c>
      <c r="O2532" t="s">
        <v>22206</v>
      </c>
      <c r="P2532" t="s">
        <v>22207</v>
      </c>
      <c r="Q2532" t="s">
        <v>29</v>
      </c>
      <c r="R2532" t="s">
        <v>22201</v>
      </c>
      <c r="S2532" t="s">
        <v>22202</v>
      </c>
    </row>
    <row r="2533" spans="1:19" x14ac:dyDescent="0.25">
      <c r="A2533" s="1">
        <v>2531</v>
      </c>
      <c r="B2533" t="str">
        <f>HYPERLINK("https://www.dasschnelle.at/mösengruber-margret-steyr-wehrgrabengasse","Website")</f>
        <v>Website</v>
      </c>
      <c r="C2533" t="str">
        <f>HYPERLINK("http://www.moesengruber.at","Website")</f>
        <v>Website</v>
      </c>
      <c r="D2533" t="str">
        <f>HYPERLINK("http://www.google.com/maps/place/48.0433700,14.4149000","Location")</f>
        <v>Location</v>
      </c>
      <c r="E2533" t="s">
        <v>22208</v>
      </c>
      <c r="F2533" t="s">
        <v>22209</v>
      </c>
      <c r="G2533" t="s">
        <v>95</v>
      </c>
      <c r="H2533" t="s">
        <v>96</v>
      </c>
      <c r="I2533" t="s">
        <v>85</v>
      </c>
      <c r="J2533" t="s">
        <v>22</v>
      </c>
      <c r="K2533" t="s">
        <v>22210</v>
      </c>
      <c r="L2533" t="s">
        <v>22213</v>
      </c>
      <c r="M2533" t="s">
        <v>22214</v>
      </c>
      <c r="N2533" t="s">
        <v>22215</v>
      </c>
      <c r="O2533" t="s">
        <v>25</v>
      </c>
      <c r="P2533" t="s">
        <v>22216</v>
      </c>
      <c r="Q2533" t="s">
        <v>29</v>
      </c>
      <c r="R2533" t="s">
        <v>22211</v>
      </c>
      <c r="S2533" t="s">
        <v>22212</v>
      </c>
    </row>
    <row r="2534" spans="1:19" x14ac:dyDescent="0.25">
      <c r="A2534" s="1">
        <v>2532</v>
      </c>
      <c r="B2534" t="str">
        <f>HYPERLINK("https://www.dasschnelle.at/adeg-aktiv-herr-ebner-ostermiething-parkstraße","Website")</f>
        <v>Website</v>
      </c>
      <c r="C2534" t="str">
        <f>HYPERLINK("https://www.dasschnelle.at/adeg-aktiv-herr-ebner-ostermiething-parkstra%C3%9Fe","Website")</f>
        <v>Website</v>
      </c>
      <c r="D2534" t="str">
        <f>HYPERLINK("http://www.google.com/maps/place/48.04281,12.83273","Location")</f>
        <v>Location</v>
      </c>
      <c r="E2534" t="s">
        <v>22217</v>
      </c>
      <c r="F2534" t="s">
        <v>22218</v>
      </c>
      <c r="G2534" t="s">
        <v>22084</v>
      </c>
      <c r="H2534" t="s">
        <v>22220</v>
      </c>
      <c r="I2534" t="s">
        <v>85</v>
      </c>
      <c r="J2534" t="s">
        <v>22</v>
      </c>
      <c r="K2534" t="s">
        <v>22219</v>
      </c>
      <c r="L2534" t="s">
        <v>22223</v>
      </c>
      <c r="M2534" t="s">
        <v>25</v>
      </c>
      <c r="N2534" t="s">
        <v>22224</v>
      </c>
      <c r="O2534" t="s">
        <v>25</v>
      </c>
      <c r="P2534" t="s">
        <v>22225</v>
      </c>
      <c r="Q2534" t="s">
        <v>29</v>
      </c>
      <c r="R2534" t="s">
        <v>22221</v>
      </c>
      <c r="S2534" t="s">
        <v>22222</v>
      </c>
    </row>
    <row r="2535" spans="1:19" x14ac:dyDescent="0.25">
      <c r="A2535" s="1">
        <v>2533</v>
      </c>
      <c r="B2535" t="str">
        <f>HYPERLINK("https://www.dasschnelle.at/beautyway-kosmetik-und-fußpflege-pinkafeld-wienerstraße","Website")</f>
        <v>Website</v>
      </c>
      <c r="C2535" t="str">
        <f>HYPERLINK("https://www.dasschnelle.at/beautyway-kosmetik-und-fu%C3%9Fpflege-pinkafeld-wienerstra%C3%9Fe","Website")</f>
        <v>Website</v>
      </c>
      <c r="D2535" t="str">
        <f>HYPERLINK("http://www.google.com/maps/place/47.3768200,16.1240900","Location")</f>
        <v>Location</v>
      </c>
      <c r="E2535" t="s">
        <v>22226</v>
      </c>
      <c r="F2535" t="s">
        <v>22227</v>
      </c>
      <c r="G2535" t="s">
        <v>19833</v>
      </c>
      <c r="H2535" t="s">
        <v>19834</v>
      </c>
      <c r="I2535" t="s">
        <v>1834</v>
      </c>
      <c r="J2535" t="s">
        <v>22</v>
      </c>
      <c r="K2535" t="s">
        <v>22228</v>
      </c>
      <c r="L2535" t="s">
        <v>22231</v>
      </c>
      <c r="M2535" t="s">
        <v>25</v>
      </c>
      <c r="N2535" t="s">
        <v>22232</v>
      </c>
      <c r="O2535" t="s">
        <v>22233</v>
      </c>
      <c r="P2535" t="s">
        <v>22234</v>
      </c>
      <c r="Q2535" t="s">
        <v>29</v>
      </c>
      <c r="R2535" t="s">
        <v>22229</v>
      </c>
      <c r="S2535" t="s">
        <v>22230</v>
      </c>
    </row>
    <row r="2536" spans="1:19" x14ac:dyDescent="0.25">
      <c r="A2536" s="1">
        <v>2534</v>
      </c>
      <c r="B2536" t="str">
        <f>HYPERLINK("https://www.dasschnelle.at/schöberl-gerhard-malerei-großpetersdorf-hauptstraße","Website")</f>
        <v>Website</v>
      </c>
      <c r="C2536" t="str">
        <f>HYPERLINK("https://www.dasschnelle.at/sch%C3%B6berl-gerhard-malerei-gro%C3%9Fpetersdorf-hauptstra%C3%9Fe","Website")</f>
        <v>Website</v>
      </c>
      <c r="D2536" t="str">
        <f>HYPERLINK("http://www.google.com/maps/place/47.2420985,16.3121894","Location")</f>
        <v>Location</v>
      </c>
      <c r="E2536" t="s">
        <v>22235</v>
      </c>
      <c r="F2536" t="s">
        <v>22236</v>
      </c>
      <c r="G2536" t="s">
        <v>19901</v>
      </c>
      <c r="H2536" t="s">
        <v>19902</v>
      </c>
      <c r="I2536" t="s">
        <v>1834</v>
      </c>
      <c r="J2536" t="s">
        <v>22</v>
      </c>
      <c r="K2536" t="s">
        <v>22237</v>
      </c>
      <c r="L2536" t="s">
        <v>22240</v>
      </c>
      <c r="M2536" t="s">
        <v>25</v>
      </c>
      <c r="N2536" t="s">
        <v>22241</v>
      </c>
      <c r="O2536" t="s">
        <v>25</v>
      </c>
      <c r="P2536" t="s">
        <v>697</v>
      </c>
      <c r="Q2536" t="s">
        <v>29</v>
      </c>
      <c r="R2536" t="s">
        <v>22238</v>
      </c>
      <c r="S2536" t="s">
        <v>22239</v>
      </c>
    </row>
    <row r="2537" spans="1:19" x14ac:dyDescent="0.25">
      <c r="A2537" s="1">
        <v>2535</v>
      </c>
      <c r="B2537" t="str">
        <f>HYPERLINK("https://www.dasschnelle.at/hölzl-metall-e-u-payerbach-hauptstraße","Website")</f>
        <v>Website</v>
      </c>
      <c r="C2537" t="str">
        <f>HYPERLINK("http://www.hoelzl-metall.at","Website")</f>
        <v>Website</v>
      </c>
      <c r="D2537" t="str">
        <f>HYPERLINK("http://www.google.com/maps/place/47.69269,15.85868","Location")</f>
        <v>Location</v>
      </c>
      <c r="E2537" t="s">
        <v>22242</v>
      </c>
      <c r="F2537" t="s">
        <v>22243</v>
      </c>
      <c r="G2537" t="s">
        <v>5773</v>
      </c>
      <c r="H2537" t="s">
        <v>5774</v>
      </c>
      <c r="I2537" t="s">
        <v>177</v>
      </c>
      <c r="J2537" t="s">
        <v>22</v>
      </c>
      <c r="K2537" t="s">
        <v>22244</v>
      </c>
      <c r="L2537" t="s">
        <v>22247</v>
      </c>
      <c r="M2537" t="s">
        <v>25</v>
      </c>
      <c r="N2537" t="s">
        <v>22248</v>
      </c>
      <c r="O2537" t="s">
        <v>25</v>
      </c>
      <c r="P2537" t="s">
        <v>22249</v>
      </c>
      <c r="Q2537" t="s">
        <v>29</v>
      </c>
      <c r="R2537" t="s">
        <v>22245</v>
      </c>
      <c r="S2537" t="s">
        <v>22246</v>
      </c>
    </row>
    <row r="2538" spans="1:19" x14ac:dyDescent="0.25">
      <c r="A2538" s="1">
        <v>2536</v>
      </c>
      <c r="B2538" t="str">
        <f>HYPERLINK("https://www.dasschnelle.at/lsb-gartenbau-gmbh-weißenbach-wolfgangerstraße","Website")</f>
        <v>Website</v>
      </c>
      <c r="C2538" t="str">
        <f>HYPERLINK("http://www.lsb-gartenbau.at","Website")</f>
        <v>Website</v>
      </c>
      <c r="D2538" t="str">
        <f>HYPERLINK("http://www.google.com/maps/place/47.7206400,13.4966800","Location")</f>
        <v>Location</v>
      </c>
      <c r="E2538" t="s">
        <v>22250</v>
      </c>
      <c r="F2538" t="s">
        <v>22251</v>
      </c>
      <c r="G2538" t="s">
        <v>2493</v>
      </c>
      <c r="H2538" t="s">
        <v>2784</v>
      </c>
      <c r="I2538" t="s">
        <v>2239</v>
      </c>
      <c r="J2538" t="s">
        <v>22</v>
      </c>
      <c r="K2538" t="s">
        <v>22252</v>
      </c>
      <c r="L2538" t="s">
        <v>22255</v>
      </c>
      <c r="M2538" t="s">
        <v>25</v>
      </c>
      <c r="N2538" t="s">
        <v>22256</v>
      </c>
      <c r="O2538" t="s">
        <v>22257</v>
      </c>
      <c r="P2538" t="s">
        <v>22258</v>
      </c>
      <c r="Q2538" t="s">
        <v>29</v>
      </c>
      <c r="R2538" t="s">
        <v>22253</v>
      </c>
      <c r="S2538" t="s">
        <v>22254</v>
      </c>
    </row>
    <row r="2539" spans="1:19" x14ac:dyDescent="0.25">
      <c r="A2539" s="1">
        <v>2537</v>
      </c>
      <c r="B2539" t="str">
        <f>HYPERLINK("https://www.dasschnelle.at/kleintierpraxis-alkoven-tierärzte-m-zach-u-b-seitlinger-alkoven-weidach","Website")</f>
        <v>Website</v>
      </c>
      <c r="C2539" t="str">
        <f>HYPERLINK("http://www.kleintierpraxis-alkoven.com","Website")</f>
        <v>Website</v>
      </c>
      <c r="D2539" t="str">
        <f>HYPERLINK("http://www.google.com/maps/place/48.2791741,14.0974583","Location")</f>
        <v>Location</v>
      </c>
      <c r="E2539" t="s">
        <v>22259</v>
      </c>
      <c r="F2539" t="s">
        <v>22260</v>
      </c>
      <c r="G2539" t="s">
        <v>3146</v>
      </c>
      <c r="H2539" t="s">
        <v>3147</v>
      </c>
      <c r="I2539" t="s">
        <v>85</v>
      </c>
      <c r="J2539" t="s">
        <v>22</v>
      </c>
      <c r="K2539" t="s">
        <v>22261</v>
      </c>
      <c r="L2539" t="s">
        <v>22264</v>
      </c>
      <c r="M2539" t="s">
        <v>25</v>
      </c>
      <c r="N2539" t="s">
        <v>22265</v>
      </c>
      <c r="O2539" t="s">
        <v>22266</v>
      </c>
      <c r="P2539" t="s">
        <v>22267</v>
      </c>
      <c r="Q2539" t="s">
        <v>29</v>
      </c>
      <c r="R2539" t="s">
        <v>22262</v>
      </c>
      <c r="S2539" t="s">
        <v>22263</v>
      </c>
    </row>
    <row r="2540" spans="1:19" x14ac:dyDescent="0.25">
      <c r="A2540" s="1">
        <v>2538</v>
      </c>
      <c r="B2540" t="str">
        <f>HYPERLINK("https://www.dasschnelle.at/eder-engelbert-johann-munderfing-gewerbegebiet-nord","Website")</f>
        <v>Website</v>
      </c>
      <c r="C2540" t="str">
        <f>HYPERLINK("http://www.bestattung-eder.com","Website")</f>
        <v>Website</v>
      </c>
      <c r="D2540" t="str">
        <f>HYPERLINK("http://www.google.com/maps/place/48.0804,13.16758","Location")</f>
        <v>Location</v>
      </c>
      <c r="E2540" t="s">
        <v>22268</v>
      </c>
      <c r="F2540" t="s">
        <v>22269</v>
      </c>
      <c r="G2540" t="s">
        <v>22271</v>
      </c>
      <c r="H2540" t="s">
        <v>22272</v>
      </c>
      <c r="I2540" t="s">
        <v>85</v>
      </c>
      <c r="J2540" t="s">
        <v>22</v>
      </c>
      <c r="K2540" t="s">
        <v>22270</v>
      </c>
      <c r="L2540" t="s">
        <v>22275</v>
      </c>
      <c r="M2540" t="s">
        <v>25</v>
      </c>
      <c r="N2540" t="s">
        <v>22276</v>
      </c>
      <c r="O2540" t="s">
        <v>25</v>
      </c>
      <c r="P2540" t="s">
        <v>22277</v>
      </c>
      <c r="Q2540" t="s">
        <v>29</v>
      </c>
      <c r="R2540" t="s">
        <v>22273</v>
      </c>
      <c r="S2540" t="s">
        <v>22274</v>
      </c>
    </row>
    <row r="2541" spans="1:19" x14ac:dyDescent="0.25">
      <c r="A2541" s="1">
        <v>2539</v>
      </c>
      <c r="B2541" t="str">
        <f>HYPERLINK("https://www.dasschnelle.at/poneder-hermann-ing-steyr-sierninger-straße","Website")</f>
        <v>Website</v>
      </c>
      <c r="C2541" t="str">
        <f>HYPERLINK("https://www.dasschnelle.at/poneder-hermann-ing-steyr-sierninger-stra%C3%9Fe","Website")</f>
        <v>Website</v>
      </c>
      <c r="D2541" t="str">
        <f>HYPERLINK("http://www.google.com/maps/place/48.04482,14.37818","Location")</f>
        <v>Location</v>
      </c>
      <c r="E2541" t="s">
        <v>22278</v>
      </c>
      <c r="F2541" t="s">
        <v>22279</v>
      </c>
      <c r="G2541" t="s">
        <v>95</v>
      </c>
      <c r="H2541" t="s">
        <v>96</v>
      </c>
      <c r="I2541" t="s">
        <v>85</v>
      </c>
      <c r="J2541" t="s">
        <v>22</v>
      </c>
      <c r="K2541" t="s">
        <v>22280</v>
      </c>
      <c r="L2541" t="s">
        <v>22283</v>
      </c>
      <c r="M2541" t="s">
        <v>25</v>
      </c>
      <c r="N2541" t="s">
        <v>22284</v>
      </c>
      <c r="O2541" t="s">
        <v>25</v>
      </c>
      <c r="P2541" t="s">
        <v>22285</v>
      </c>
      <c r="Q2541" t="s">
        <v>29</v>
      </c>
      <c r="R2541" t="s">
        <v>22281</v>
      </c>
      <c r="S2541" t="s">
        <v>22282</v>
      </c>
    </row>
    <row r="2542" spans="1:19" x14ac:dyDescent="0.25">
      <c r="A2542" s="1">
        <v>2540</v>
      </c>
      <c r="B2542" t="str">
        <f>HYPERLINK("https://www.dasschnelle.at/eder-robert-ing-st-pantaleon-trimmelkam","Website")</f>
        <v>Website</v>
      </c>
      <c r="C2542" t="str">
        <f>HYPERLINK("http://www.schlosserei-eder.at","Website")</f>
        <v>Website</v>
      </c>
      <c r="D2542" t="str">
        <f>HYPERLINK("http://www.google.com/maps/place/48.0267146,12.8669677","Location")</f>
        <v>Location</v>
      </c>
      <c r="E2542" t="s">
        <v>22286</v>
      </c>
      <c r="F2542" t="s">
        <v>22287</v>
      </c>
      <c r="G2542" t="s">
        <v>12797</v>
      </c>
      <c r="H2542" t="s">
        <v>10858</v>
      </c>
      <c r="I2542" t="s">
        <v>85</v>
      </c>
      <c r="J2542" t="s">
        <v>22</v>
      </c>
      <c r="K2542" t="s">
        <v>22288</v>
      </c>
      <c r="L2542" t="s">
        <v>22291</v>
      </c>
      <c r="M2542" t="s">
        <v>22292</v>
      </c>
      <c r="N2542" t="s">
        <v>22293</v>
      </c>
      <c r="O2542" t="s">
        <v>25</v>
      </c>
      <c r="P2542" t="s">
        <v>22294</v>
      </c>
      <c r="Q2542" t="s">
        <v>29</v>
      </c>
      <c r="R2542" t="s">
        <v>22289</v>
      </c>
      <c r="S2542" t="s">
        <v>22290</v>
      </c>
    </row>
    <row r="2543" spans="1:19" x14ac:dyDescent="0.25">
      <c r="A2543" s="1">
        <v>2541</v>
      </c>
      <c r="B2543" t="str">
        <f>HYPERLINK("https://www.dasschnelle.at/tadic-ivo-altaussee-lichtersberg","Website")</f>
        <v>Website</v>
      </c>
      <c r="C2543" t="str">
        <f>HYPERLINK("http://www.bau-tadic.at","Website")</f>
        <v>Website</v>
      </c>
      <c r="D2543" t="str">
        <f>HYPERLINK("http://www.google.com/maps/place/47.6302895,13.7569034","Location")</f>
        <v>Location</v>
      </c>
      <c r="E2543" t="s">
        <v>22295</v>
      </c>
      <c r="F2543" t="s">
        <v>22296</v>
      </c>
      <c r="G2543" t="s">
        <v>2643</v>
      </c>
      <c r="H2543" t="s">
        <v>2644</v>
      </c>
      <c r="I2543" t="s">
        <v>451</v>
      </c>
      <c r="J2543" t="s">
        <v>22</v>
      </c>
      <c r="K2543" t="s">
        <v>22297</v>
      </c>
      <c r="L2543" t="s">
        <v>22300</v>
      </c>
      <c r="M2543" t="s">
        <v>25</v>
      </c>
      <c r="N2543" t="s">
        <v>22301</v>
      </c>
      <c r="O2543" t="s">
        <v>25</v>
      </c>
      <c r="P2543" t="s">
        <v>22302</v>
      </c>
      <c r="Q2543" t="s">
        <v>29</v>
      </c>
      <c r="R2543" t="s">
        <v>22298</v>
      </c>
      <c r="S2543" t="s">
        <v>22299</v>
      </c>
    </row>
    <row r="2544" spans="1:19" x14ac:dyDescent="0.25">
      <c r="A2544" s="1">
        <v>2542</v>
      </c>
      <c r="B2544" t="str">
        <f>HYPERLINK("https://www.dasschnelle.at/stadtamt-bad-ischl-bad-ischl-pfarrgasse","Website")</f>
        <v>Website</v>
      </c>
      <c r="C2544" t="str">
        <f>HYPERLINK("http://www.bad-ischl.ooe.gv.at","Website")</f>
        <v>Website</v>
      </c>
      <c r="D2544" t="str">
        <f>HYPERLINK("http://www.google.com/maps/place/47.71112,13.62204","Location")</f>
        <v>Location</v>
      </c>
      <c r="E2544" t="s">
        <v>22303</v>
      </c>
      <c r="F2544" t="s">
        <v>22304</v>
      </c>
      <c r="G2544" t="s">
        <v>2377</v>
      </c>
      <c r="H2544" t="s">
        <v>2378</v>
      </c>
      <c r="I2544" t="s">
        <v>85</v>
      </c>
      <c r="J2544" t="s">
        <v>22</v>
      </c>
      <c r="K2544" t="s">
        <v>22305</v>
      </c>
      <c r="L2544" t="s">
        <v>22308</v>
      </c>
      <c r="M2544" t="s">
        <v>22309</v>
      </c>
      <c r="N2544" t="s">
        <v>22310</v>
      </c>
      <c r="O2544" t="s">
        <v>25</v>
      </c>
      <c r="P2544" t="s">
        <v>22311</v>
      </c>
      <c r="Q2544" t="s">
        <v>29</v>
      </c>
      <c r="R2544" t="s">
        <v>22306</v>
      </c>
      <c r="S2544" t="s">
        <v>22307</v>
      </c>
    </row>
    <row r="2545" spans="1:19" x14ac:dyDescent="0.25">
      <c r="A2545" s="1">
        <v>2543</v>
      </c>
      <c r="B2545" t="str">
        <f>HYPERLINK("https://www.dasschnelle.at/roitner-günther-kohlstatt-langbathstraße","Website")</f>
        <v>Website</v>
      </c>
      <c r="C2545" t="str">
        <f>HYPERLINK("https://www.dasschnelle.at/roitner-g%C3%BCnther-kohlstatt-langbathstra%C3%9Fe","Website")</f>
        <v>Website</v>
      </c>
      <c r="D2545" t="str">
        <f>HYPERLINK("http://www.google.com/maps/place/47.81429,13.76292","Location")</f>
        <v>Location</v>
      </c>
      <c r="E2545" t="s">
        <v>22312</v>
      </c>
      <c r="F2545" t="s">
        <v>22313</v>
      </c>
      <c r="G2545" t="s">
        <v>7082</v>
      </c>
      <c r="H2545" t="s">
        <v>22315</v>
      </c>
      <c r="I2545" t="s">
        <v>85</v>
      </c>
      <c r="J2545" t="s">
        <v>22</v>
      </c>
      <c r="K2545" t="s">
        <v>22314</v>
      </c>
      <c r="L2545" t="s">
        <v>22318</v>
      </c>
      <c r="M2545" t="s">
        <v>25</v>
      </c>
      <c r="N2545" t="s">
        <v>22319</v>
      </c>
      <c r="O2545" t="s">
        <v>25</v>
      </c>
      <c r="P2545" t="s">
        <v>22320</v>
      </c>
      <c r="Q2545" t="s">
        <v>29</v>
      </c>
      <c r="R2545" t="s">
        <v>22316</v>
      </c>
      <c r="S2545" t="s">
        <v>22317</v>
      </c>
    </row>
    <row r="2546" spans="1:19" x14ac:dyDescent="0.25">
      <c r="A2546" s="1">
        <v>2544</v>
      </c>
      <c r="B2546" t="str">
        <f>HYPERLINK("https://www.dasschnelle.at/ambulatorium-reichenau-reichenau-an-der-rax-hauptstraße","Website")</f>
        <v>Website</v>
      </c>
      <c r="C2546" t="str">
        <f>HYPERLINK("http://www.ambulatorium-reichenau.at","Website")</f>
        <v>Website</v>
      </c>
      <c r="D2546" t="str">
        <f>HYPERLINK("http://www.google.com/maps/place/47.6978511,15.8369141","Location")</f>
        <v>Location</v>
      </c>
      <c r="E2546" t="s">
        <v>22321</v>
      </c>
      <c r="F2546" t="s">
        <v>22322</v>
      </c>
      <c r="G2546" t="s">
        <v>4030</v>
      </c>
      <c r="H2546" t="s">
        <v>4031</v>
      </c>
      <c r="I2546" t="s">
        <v>177</v>
      </c>
      <c r="J2546" t="s">
        <v>22</v>
      </c>
      <c r="K2546" t="s">
        <v>22323</v>
      </c>
      <c r="L2546" t="s">
        <v>22326</v>
      </c>
      <c r="M2546" t="s">
        <v>25</v>
      </c>
      <c r="N2546" t="s">
        <v>22327</v>
      </c>
      <c r="O2546" t="s">
        <v>25</v>
      </c>
      <c r="P2546" t="s">
        <v>22328</v>
      </c>
      <c r="Q2546" t="s">
        <v>29</v>
      </c>
      <c r="R2546" t="s">
        <v>22324</v>
      </c>
      <c r="S2546" t="s">
        <v>22325</v>
      </c>
    </row>
    <row r="2547" spans="1:19" x14ac:dyDescent="0.25">
      <c r="A2547" s="1">
        <v>2545</v>
      </c>
      <c r="B2547" t="str">
        <f>HYPERLINK("https://www.dasschnelle.at/stadtapotheke-eferding-mag-pharm-alexander-rizy-eferding-stadtplatz","Website")</f>
        <v>Website</v>
      </c>
      <c r="C2547" t="str">
        <f>HYPERLINK("http://www.stadtapotheke.at","Website")</f>
        <v>Website</v>
      </c>
      <c r="D2547" t="str">
        <f>HYPERLINK("http://www.google.com/maps/place/48.30874,14.02401","Location")</f>
        <v>Location</v>
      </c>
      <c r="E2547" t="s">
        <v>22329</v>
      </c>
      <c r="F2547" t="s">
        <v>22330</v>
      </c>
      <c r="G2547" t="s">
        <v>3101</v>
      </c>
      <c r="H2547" t="s">
        <v>3102</v>
      </c>
      <c r="I2547" t="s">
        <v>85</v>
      </c>
      <c r="J2547" t="s">
        <v>22</v>
      </c>
      <c r="K2547" t="s">
        <v>1353</v>
      </c>
      <c r="L2547" t="s">
        <v>22333</v>
      </c>
      <c r="M2547" t="s">
        <v>25</v>
      </c>
      <c r="N2547" t="s">
        <v>22334</v>
      </c>
      <c r="O2547" t="s">
        <v>25</v>
      </c>
      <c r="P2547" t="s">
        <v>22335</v>
      </c>
      <c r="Q2547" t="s">
        <v>29</v>
      </c>
      <c r="R2547" t="s">
        <v>22331</v>
      </c>
      <c r="S2547" t="s">
        <v>22332</v>
      </c>
    </row>
    <row r="2548" spans="1:19" x14ac:dyDescent="0.25">
      <c r="A2548" s="1">
        <v>2546</v>
      </c>
      <c r="B2548" t="str">
        <f>HYPERLINK("https://www.dasschnelle.at/stefan-ziska-reichental-reichental","Website")</f>
        <v>Website</v>
      </c>
      <c r="C2548" t="str">
        <f>HYPERLINK("https://www.dasschnelle.at/stefan-ziska-reichental-reichental","Website")</f>
        <v>Website</v>
      </c>
      <c r="D2548" t="str">
        <f>HYPERLINK("http://www.google.com/maps/place/47.8783317,16.0084987","Location")</f>
        <v>Location</v>
      </c>
      <c r="E2548" t="s">
        <v>22336</v>
      </c>
      <c r="F2548" t="s">
        <v>22337</v>
      </c>
      <c r="G2548" t="s">
        <v>4049</v>
      </c>
      <c r="H2548" t="s">
        <v>22339</v>
      </c>
      <c r="I2548" t="s">
        <v>177</v>
      </c>
      <c r="J2548" t="s">
        <v>22</v>
      </c>
      <c r="K2548" t="s">
        <v>22338</v>
      </c>
      <c r="L2548" t="s">
        <v>22342</v>
      </c>
      <c r="M2548" t="s">
        <v>25</v>
      </c>
      <c r="N2548" t="s">
        <v>22343</v>
      </c>
      <c r="O2548" t="s">
        <v>25</v>
      </c>
      <c r="P2548" t="s">
        <v>697</v>
      </c>
      <c r="Q2548" t="s">
        <v>29</v>
      </c>
      <c r="R2548" t="s">
        <v>22340</v>
      </c>
      <c r="S2548" t="s">
        <v>22341</v>
      </c>
    </row>
    <row r="2549" spans="1:19" x14ac:dyDescent="0.25">
      <c r="A2549" s="1">
        <v>2547</v>
      </c>
      <c r="B2549" t="str">
        <f>HYPERLINK("https://www.dasschnelle.at/poppenreiter-roland-poolhaus-sankt-margarethen-baumhofenweg","Website")</f>
        <v>Website</v>
      </c>
      <c r="C2549" t="str">
        <f>HYPERLINK("http://www.gehtnichtgibtsnicht.at","Website")</f>
        <v>Website</v>
      </c>
      <c r="D2549" t="str">
        <f>HYPERLINK("http://www.google.com/maps/place/47.67236,13.12466","Location")</f>
        <v>Location</v>
      </c>
      <c r="E2549" t="s">
        <v>22344</v>
      </c>
      <c r="F2549" t="s">
        <v>22345</v>
      </c>
      <c r="G2549" t="s">
        <v>7777</v>
      </c>
      <c r="H2549" t="s">
        <v>15075</v>
      </c>
      <c r="I2549" t="s">
        <v>2239</v>
      </c>
      <c r="J2549" t="s">
        <v>22</v>
      </c>
      <c r="K2549" t="s">
        <v>22346</v>
      </c>
      <c r="L2549" t="s">
        <v>22349</v>
      </c>
      <c r="M2549" t="s">
        <v>25</v>
      </c>
      <c r="N2549" t="s">
        <v>22350</v>
      </c>
      <c r="O2549" t="s">
        <v>25</v>
      </c>
      <c r="P2549" t="s">
        <v>22351</v>
      </c>
      <c r="Q2549" t="s">
        <v>29</v>
      </c>
      <c r="R2549" t="s">
        <v>22347</v>
      </c>
      <c r="S2549" t="s">
        <v>22348</v>
      </c>
    </row>
    <row r="2550" spans="1:19" x14ac:dyDescent="0.25">
      <c r="A2550" s="1">
        <v>2548</v>
      </c>
      <c r="B2550" t="str">
        <f>HYPERLINK("https://www.dasschnelle.at/poppenreiter-roland-bad-vigaun-baumhofenweg","Website")</f>
        <v>Website</v>
      </c>
      <c r="C2550" t="str">
        <f>HYPERLINK("http://www.gehtnichtgibtsnicht.at","Website")</f>
        <v>Website</v>
      </c>
      <c r="D2550" t="str">
        <f>HYPERLINK("http://www.google.com/maps/place/47.67236,13.12466","Location")</f>
        <v>Location</v>
      </c>
      <c r="E2550" t="s">
        <v>22352</v>
      </c>
      <c r="F2550" t="s">
        <v>22353</v>
      </c>
      <c r="G2550" t="s">
        <v>7777</v>
      </c>
      <c r="H2550" t="s">
        <v>21108</v>
      </c>
      <c r="I2550" t="s">
        <v>2239</v>
      </c>
      <c r="J2550" t="s">
        <v>22</v>
      </c>
      <c r="K2550" t="s">
        <v>22346</v>
      </c>
      <c r="L2550" t="s">
        <v>22354</v>
      </c>
      <c r="M2550" t="s">
        <v>25</v>
      </c>
      <c r="N2550" t="s">
        <v>22355</v>
      </c>
      <c r="O2550" t="s">
        <v>22356</v>
      </c>
      <c r="P2550" t="s">
        <v>22357</v>
      </c>
      <c r="Q2550" t="s">
        <v>29</v>
      </c>
      <c r="R2550" t="s">
        <v>22347</v>
      </c>
      <c r="S2550" t="s">
        <v>22348</v>
      </c>
    </row>
    <row r="2551" spans="1:19" x14ac:dyDescent="0.25">
      <c r="A2551" s="1">
        <v>2549</v>
      </c>
      <c r="B2551" t="str">
        <f>HYPERLINK("https://www.dasschnelle.at/schupfner-herbert-ostermiething-bergstraße","Website")</f>
        <v>Website</v>
      </c>
      <c r="C2551" t="str">
        <f>HYPERLINK("http://www.schupfner-gmbh.de","Website")</f>
        <v>Website</v>
      </c>
      <c r="D2551" t="str">
        <f>HYPERLINK("http://www.google.com/maps/place/48.04512,12.83368","Location")</f>
        <v>Location</v>
      </c>
      <c r="E2551" t="s">
        <v>22358</v>
      </c>
      <c r="F2551" t="s">
        <v>22359</v>
      </c>
      <c r="G2551" t="s">
        <v>22084</v>
      </c>
      <c r="H2551" t="s">
        <v>22220</v>
      </c>
      <c r="I2551" t="s">
        <v>85</v>
      </c>
      <c r="J2551" t="s">
        <v>22</v>
      </c>
      <c r="K2551" t="s">
        <v>22360</v>
      </c>
      <c r="L2551" t="s">
        <v>22363</v>
      </c>
      <c r="M2551" t="s">
        <v>25</v>
      </c>
      <c r="N2551" t="s">
        <v>22364</v>
      </c>
      <c r="O2551" t="s">
        <v>25</v>
      </c>
      <c r="P2551" t="s">
        <v>22365</v>
      </c>
      <c r="Q2551" t="s">
        <v>29</v>
      </c>
      <c r="R2551" t="s">
        <v>22361</v>
      </c>
      <c r="S2551" t="s">
        <v>22362</v>
      </c>
    </row>
    <row r="2552" spans="1:19" x14ac:dyDescent="0.25">
      <c r="A2552" s="1">
        <v>2550</v>
      </c>
      <c r="B2552" t="str">
        <f>HYPERLINK("https://www.dasschnelle.at/graf-herbert-ostermiething-bergstraße","Website")</f>
        <v>Website</v>
      </c>
      <c r="C2552" t="str">
        <f>HYPERLINK("https://www.dasschnelle.at/graf-herbert-ostermiething-bergstra%C3%9Fe","Website")</f>
        <v>Website</v>
      </c>
      <c r="D2552" t="str">
        <f>HYPERLINK("http://www.google.com/maps/place/48.04667,12.83201","Location")</f>
        <v>Location</v>
      </c>
      <c r="E2552" t="s">
        <v>22366</v>
      </c>
      <c r="F2552" t="s">
        <v>22367</v>
      </c>
      <c r="G2552" t="s">
        <v>22084</v>
      </c>
      <c r="H2552" t="s">
        <v>22220</v>
      </c>
      <c r="I2552" t="s">
        <v>85</v>
      </c>
      <c r="J2552" t="s">
        <v>22</v>
      </c>
      <c r="K2552" t="s">
        <v>22368</v>
      </c>
      <c r="L2552" t="s">
        <v>22371</v>
      </c>
      <c r="M2552" t="s">
        <v>22372</v>
      </c>
      <c r="N2552" t="s">
        <v>22373</v>
      </c>
      <c r="O2552" t="s">
        <v>25</v>
      </c>
      <c r="P2552" t="s">
        <v>22374</v>
      </c>
      <c r="Q2552" t="s">
        <v>29</v>
      </c>
      <c r="R2552" t="s">
        <v>22369</v>
      </c>
      <c r="S2552" t="s">
        <v>22370</v>
      </c>
    </row>
    <row r="2553" spans="1:19" x14ac:dyDescent="0.25">
      <c r="A2553" s="1">
        <v>2551</v>
      </c>
      <c r="B2553" t="str">
        <f>HYPERLINK("https://www.dasschnelle.at/bestattung-haider-gmbh-bad-aussee-kammerhofgasse","Website")</f>
        <v>Website</v>
      </c>
      <c r="C2553" t="str">
        <f>HYPERLINK("http://www.bestattung-haider.at","Website")</f>
        <v>Website</v>
      </c>
      <c r="D2553" t="str">
        <f>HYPERLINK("http://www.google.com/maps/place/47.61077,13.78374","Location")</f>
        <v>Location</v>
      </c>
      <c r="E2553" t="s">
        <v>22375</v>
      </c>
      <c r="F2553" t="s">
        <v>22376</v>
      </c>
      <c r="G2553" t="s">
        <v>1195</v>
      </c>
      <c r="H2553" t="s">
        <v>1196</v>
      </c>
      <c r="I2553" t="s">
        <v>451</v>
      </c>
      <c r="J2553" t="s">
        <v>22</v>
      </c>
      <c r="K2553" t="s">
        <v>22377</v>
      </c>
      <c r="L2553" t="s">
        <v>22380</v>
      </c>
      <c r="M2553" t="s">
        <v>22381</v>
      </c>
      <c r="N2553" t="s">
        <v>22382</v>
      </c>
      <c r="O2553" t="s">
        <v>25</v>
      </c>
      <c r="P2553" t="s">
        <v>22383</v>
      </c>
      <c r="Q2553" t="s">
        <v>29</v>
      </c>
      <c r="R2553" t="s">
        <v>22378</v>
      </c>
      <c r="S2553" t="s">
        <v>22379</v>
      </c>
    </row>
    <row r="2554" spans="1:19" x14ac:dyDescent="0.25">
      <c r="A2554" s="1">
        <v>2552</v>
      </c>
      <c r="B2554" t="str">
        <f>HYPERLINK("https://www.dasschnelle.at/hirscher-harald-ing-gosau-bachergasse","Website")</f>
        <v>Website</v>
      </c>
      <c r="C2554" t="str">
        <f>HYPERLINK("http://www.elektro-hirscher.at","Website")</f>
        <v>Website</v>
      </c>
      <c r="D2554" t="str">
        <f>HYPERLINK("http://www.google.com/maps/place/47.58418,13.53387","Location")</f>
        <v>Location</v>
      </c>
      <c r="E2554" t="s">
        <v>22384</v>
      </c>
      <c r="F2554" t="s">
        <v>22385</v>
      </c>
      <c r="G2554" t="s">
        <v>2668</v>
      </c>
      <c r="H2554" t="s">
        <v>2669</v>
      </c>
      <c r="I2554" t="s">
        <v>85</v>
      </c>
      <c r="J2554" t="s">
        <v>22</v>
      </c>
      <c r="K2554" t="s">
        <v>22386</v>
      </c>
      <c r="L2554" t="s">
        <v>22389</v>
      </c>
      <c r="M2554" t="s">
        <v>25</v>
      </c>
      <c r="N2554" t="s">
        <v>22390</v>
      </c>
      <c r="O2554" t="s">
        <v>22391</v>
      </c>
      <c r="P2554" t="s">
        <v>22392</v>
      </c>
      <c r="Q2554" t="s">
        <v>29</v>
      </c>
      <c r="R2554" t="s">
        <v>22387</v>
      </c>
      <c r="S2554" t="s">
        <v>22388</v>
      </c>
    </row>
    <row r="2555" spans="1:19" x14ac:dyDescent="0.25">
      <c r="A2555" s="1">
        <v>2553</v>
      </c>
      <c r="B2555" t="str">
        <f>HYPERLINK("https://www.dasschnelle.at/laschober-oberwart-untere-hochstraße","Website")</f>
        <v>Website</v>
      </c>
      <c r="C2555" t="str">
        <f>HYPERLINK("https://www.physiopraxis.cc/","Website")</f>
        <v>Website</v>
      </c>
      <c r="D2555" t="str">
        <f>HYPERLINK("http://www.google.com/maps/place/47.2841500,16.2248500","Location")</f>
        <v>Location</v>
      </c>
      <c r="E2555" t="s">
        <v>22393</v>
      </c>
      <c r="F2555" t="s">
        <v>22394</v>
      </c>
      <c r="G2555" t="s">
        <v>20126</v>
      </c>
      <c r="H2555" t="s">
        <v>20127</v>
      </c>
      <c r="I2555" t="s">
        <v>1834</v>
      </c>
      <c r="J2555" t="s">
        <v>22</v>
      </c>
      <c r="K2555" t="s">
        <v>22395</v>
      </c>
      <c r="L2555" t="s">
        <v>22398</v>
      </c>
      <c r="M2555" t="s">
        <v>25</v>
      </c>
      <c r="N2555" t="s">
        <v>22399</v>
      </c>
      <c r="O2555" t="s">
        <v>22400</v>
      </c>
      <c r="P2555" t="s">
        <v>697</v>
      </c>
      <c r="Q2555" t="s">
        <v>29</v>
      </c>
      <c r="R2555" t="s">
        <v>22396</v>
      </c>
      <c r="S2555" t="s">
        <v>22397</v>
      </c>
    </row>
    <row r="2556" spans="1:19" x14ac:dyDescent="0.25">
      <c r="A2556" s="1">
        <v>2554</v>
      </c>
      <c r="B2556" t="str">
        <f>HYPERLINK("https://www.dasschnelle.at/pölzl-dominik-wettmannstätten-lassenberg","Website")</f>
        <v>Website</v>
      </c>
      <c r="C2556" t="str">
        <f>HYPERLINK("http://www.domifant.at","Website")</f>
        <v>Website</v>
      </c>
      <c r="D2556" t="str">
        <f>HYPERLINK("http://www.google.com/maps/place/46.8226684,15.3724429","Location")</f>
        <v>Location</v>
      </c>
      <c r="E2556" t="s">
        <v>22401</v>
      </c>
      <c r="F2556" t="s">
        <v>22402</v>
      </c>
      <c r="G2556" t="s">
        <v>3007</v>
      </c>
      <c r="H2556" t="s">
        <v>3008</v>
      </c>
      <c r="I2556" t="s">
        <v>451</v>
      </c>
      <c r="J2556" t="s">
        <v>22</v>
      </c>
      <c r="K2556" t="s">
        <v>22403</v>
      </c>
      <c r="L2556" t="s">
        <v>22406</v>
      </c>
      <c r="M2556" t="s">
        <v>25</v>
      </c>
      <c r="N2556" t="s">
        <v>22407</v>
      </c>
      <c r="O2556" t="s">
        <v>22408</v>
      </c>
      <c r="P2556" t="s">
        <v>697</v>
      </c>
      <c r="Q2556" t="s">
        <v>29</v>
      </c>
      <c r="R2556" t="s">
        <v>22404</v>
      </c>
      <c r="S2556" t="s">
        <v>22405</v>
      </c>
    </row>
    <row r="2557" spans="1:19" x14ac:dyDescent="0.25">
      <c r="A2557" s="1">
        <v>2555</v>
      </c>
      <c r="B2557" t="str">
        <f>HYPERLINK("https://www.dasschnelle.at/autopflege-reifendienst-draxler-klaus-edgar-preding-gewerbepark-ost","Website")</f>
        <v>Website</v>
      </c>
      <c r="C2557" t="str">
        <f>HYPERLINK("http://www.kfz-draxler.at","Website")</f>
        <v>Website</v>
      </c>
      <c r="D2557" t="str">
        <f>HYPERLINK("http://www.google.com/maps/place/46.8535100,15.4101400","Location")</f>
        <v>Location</v>
      </c>
      <c r="E2557" t="s">
        <v>22409</v>
      </c>
      <c r="F2557" t="s">
        <v>22410</v>
      </c>
      <c r="G2557" t="s">
        <v>2891</v>
      </c>
      <c r="H2557" t="s">
        <v>2892</v>
      </c>
      <c r="I2557" t="s">
        <v>451</v>
      </c>
      <c r="J2557" t="s">
        <v>22</v>
      </c>
      <c r="K2557" t="s">
        <v>22411</v>
      </c>
      <c r="L2557" t="s">
        <v>22414</v>
      </c>
      <c r="M2557" t="s">
        <v>25</v>
      </c>
      <c r="N2557" t="s">
        <v>22415</v>
      </c>
      <c r="O2557" t="s">
        <v>25</v>
      </c>
      <c r="P2557" t="s">
        <v>22416</v>
      </c>
      <c r="Q2557" t="s">
        <v>29</v>
      </c>
      <c r="R2557" t="s">
        <v>22412</v>
      </c>
      <c r="S2557" t="s">
        <v>22413</v>
      </c>
    </row>
    <row r="2558" spans="1:19" x14ac:dyDescent="0.25">
      <c r="A2558" s="1">
        <v>2556</v>
      </c>
      <c r="B2558" t="str">
        <f>HYPERLINK("https://www.dasschnelle.at/veronik-und-co-kg-oberlatein","Website")</f>
        <v>Website</v>
      </c>
      <c r="C2558" t="str">
        <f>HYPERLINK("https://www.dasschnelle.at/veronik-und-co-kg-oberlatein","Website")</f>
        <v>Website</v>
      </c>
      <c r="D2558" t="str">
        <f>HYPERLINK("http://www.google.com/maps/place/46.6816250,15.2699268","Location")</f>
        <v>Location</v>
      </c>
      <c r="E2558" t="s">
        <v>22417</v>
      </c>
      <c r="F2558" t="s">
        <v>22418</v>
      </c>
      <c r="G2558" t="s">
        <v>2901</v>
      </c>
      <c r="H2558" t="s">
        <v>22419</v>
      </c>
      <c r="I2558" t="s">
        <v>451</v>
      </c>
      <c r="J2558" t="s">
        <v>22</v>
      </c>
      <c r="K2558" t="s">
        <v>25</v>
      </c>
      <c r="L2558" t="s">
        <v>22422</v>
      </c>
      <c r="M2558" t="s">
        <v>22423</v>
      </c>
      <c r="N2558" t="s">
        <v>22424</v>
      </c>
      <c r="O2558" t="s">
        <v>25</v>
      </c>
      <c r="P2558" t="s">
        <v>22425</v>
      </c>
      <c r="Q2558" t="s">
        <v>29</v>
      </c>
      <c r="R2558" t="s">
        <v>22420</v>
      </c>
      <c r="S2558" t="s">
        <v>22421</v>
      </c>
    </row>
    <row r="2559" spans="1:19" x14ac:dyDescent="0.25">
      <c r="A2559" s="1">
        <v>2557</v>
      </c>
      <c r="B2559" t="str">
        <f>HYPERLINK("https://www.dasschnelle.at/autohaus-haberl-othmar-und-günther-st-pantaleon-am-schneidergraben","Website")</f>
        <v>Website</v>
      </c>
      <c r="C2559" t="str">
        <f>HYPERLINK("http://www.autohaus-haberl.at","Website")</f>
        <v>Website</v>
      </c>
      <c r="D2559" t="str">
        <f>HYPERLINK("http://www.google.com/maps/place/47.99662,12.87804","Location")</f>
        <v>Location</v>
      </c>
      <c r="E2559" t="s">
        <v>22426</v>
      </c>
      <c r="F2559" t="s">
        <v>22427</v>
      </c>
      <c r="G2559" t="s">
        <v>12797</v>
      </c>
      <c r="H2559" t="s">
        <v>10858</v>
      </c>
      <c r="I2559" t="s">
        <v>85</v>
      </c>
      <c r="J2559" t="s">
        <v>22</v>
      </c>
      <c r="K2559" t="s">
        <v>22428</v>
      </c>
      <c r="L2559" t="s">
        <v>22431</v>
      </c>
      <c r="M2559" t="s">
        <v>25</v>
      </c>
      <c r="N2559" t="s">
        <v>22432</v>
      </c>
      <c r="O2559" t="s">
        <v>25</v>
      </c>
      <c r="P2559" t="s">
        <v>22433</v>
      </c>
      <c r="Q2559" t="s">
        <v>29</v>
      </c>
      <c r="R2559" t="s">
        <v>22429</v>
      </c>
      <c r="S2559" t="s">
        <v>22430</v>
      </c>
    </row>
    <row r="2560" spans="1:19" x14ac:dyDescent="0.25">
      <c r="A2560" s="1">
        <v>2558</v>
      </c>
      <c r="B2560" t="str">
        <f>HYPERLINK("https://www.dasschnelle.at/nowotka-elvira-mauerkirchen-stockleiten","Website")</f>
        <v>Website</v>
      </c>
      <c r="C2560" t="str">
        <f>HYPERLINK("https://www.dasschnelle.at/nowotka-elvira-mauerkirchen-stockleiten","Website")</f>
        <v>Website</v>
      </c>
      <c r="D2560" t="str">
        <f>HYPERLINK("http://www.google.com/maps/place/48.1975507,13.1323312","Location")</f>
        <v>Location</v>
      </c>
      <c r="E2560" t="s">
        <v>22434</v>
      </c>
      <c r="F2560" t="s">
        <v>22435</v>
      </c>
      <c r="G2560" t="s">
        <v>1422</v>
      </c>
      <c r="H2560" t="s">
        <v>1423</v>
      </c>
      <c r="I2560" t="s">
        <v>85</v>
      </c>
      <c r="J2560" t="s">
        <v>22</v>
      </c>
      <c r="K2560" t="s">
        <v>22436</v>
      </c>
      <c r="L2560" t="s">
        <v>22439</v>
      </c>
      <c r="M2560" t="s">
        <v>25</v>
      </c>
      <c r="N2560" t="s">
        <v>22440</v>
      </c>
      <c r="O2560" t="s">
        <v>25</v>
      </c>
      <c r="P2560" t="s">
        <v>697</v>
      </c>
      <c r="Q2560" t="s">
        <v>29</v>
      </c>
      <c r="R2560" t="s">
        <v>22437</v>
      </c>
      <c r="S2560" t="s">
        <v>22438</v>
      </c>
    </row>
    <row r="2561" spans="1:19" x14ac:dyDescent="0.25">
      <c r="A2561" s="1">
        <v>2559</v>
      </c>
      <c r="B2561" t="str">
        <f>HYPERLINK("https://www.dasschnelle.at/rohrmoser-kathrin-dr-simbach-törringstr","Website")</f>
        <v>Website</v>
      </c>
      <c r="C2561" t="str">
        <f>HYPERLINK("http://www.kfo-simbach.de","Website")</f>
        <v>Website</v>
      </c>
      <c r="D2561" t="str">
        <f>HYPERLINK("http://www.google.com/maps/place/48.2651742,13.0237378","Location")</f>
        <v>Location</v>
      </c>
      <c r="E2561" t="s">
        <v>22441</v>
      </c>
      <c r="F2561" t="s">
        <v>22442</v>
      </c>
      <c r="G2561" t="s">
        <v>17593</v>
      </c>
      <c r="H2561" t="s">
        <v>17594</v>
      </c>
      <c r="I2561" t="s">
        <v>25</v>
      </c>
      <c r="J2561" t="s">
        <v>10106</v>
      </c>
      <c r="K2561" t="s">
        <v>22443</v>
      </c>
      <c r="L2561" t="s">
        <v>22446</v>
      </c>
      <c r="M2561" t="s">
        <v>25</v>
      </c>
      <c r="N2561" t="s">
        <v>22447</v>
      </c>
      <c r="O2561" t="s">
        <v>22448</v>
      </c>
      <c r="P2561" t="s">
        <v>22449</v>
      </c>
      <c r="Q2561" t="s">
        <v>29</v>
      </c>
      <c r="R2561" t="s">
        <v>22444</v>
      </c>
      <c r="S2561" t="s">
        <v>22445</v>
      </c>
    </row>
    <row r="2562" spans="1:19" x14ac:dyDescent="0.25">
      <c r="A2562" s="1">
        <v>2560</v>
      </c>
      <c r="B2562" t="str">
        <f>HYPERLINK("https://www.dasschnelle.at/loiperdinger-josef-gmbh-franking-holzöster","Website")</f>
        <v>Website</v>
      </c>
      <c r="C2562" t="str">
        <f>HYPERLINK("http://www.loiperdinger.at","Website")</f>
        <v>Website</v>
      </c>
      <c r="D2562" t="str">
        <f>HYPERLINK("http://www.google.com/maps/place/48.0560102,12.9086483","Location")</f>
        <v>Location</v>
      </c>
      <c r="E2562" t="s">
        <v>22450</v>
      </c>
      <c r="F2562" t="s">
        <v>22451</v>
      </c>
      <c r="G2562" t="s">
        <v>22095</v>
      </c>
      <c r="H2562" t="s">
        <v>22096</v>
      </c>
      <c r="I2562" t="s">
        <v>85</v>
      </c>
      <c r="J2562" t="s">
        <v>22</v>
      </c>
      <c r="K2562" t="s">
        <v>22452</v>
      </c>
      <c r="L2562" t="s">
        <v>22455</v>
      </c>
      <c r="M2562" t="s">
        <v>22456</v>
      </c>
      <c r="N2562" t="s">
        <v>22457</v>
      </c>
      <c r="O2562" t="s">
        <v>25</v>
      </c>
      <c r="P2562" t="s">
        <v>22458</v>
      </c>
      <c r="Q2562" t="s">
        <v>29</v>
      </c>
      <c r="R2562" t="s">
        <v>22453</v>
      </c>
      <c r="S2562" t="s">
        <v>22454</v>
      </c>
    </row>
    <row r="2563" spans="1:19" x14ac:dyDescent="0.25">
      <c r="A2563" s="1">
        <v>2561</v>
      </c>
      <c r="B2563" t="str">
        <f>HYPERLINK("https://www.dasschnelle.at/schöngrundner-aue-auestraße","Website")</f>
        <v>Website</v>
      </c>
      <c r="C2563" t="str">
        <f>HYPERLINK("http://www.schoengrundner-maler.at","Website")</f>
        <v>Website</v>
      </c>
      <c r="D2563" t="str">
        <f>HYPERLINK("http://www.google.com/maps/place/47.6596000,15.8812000","Location")</f>
        <v>Location</v>
      </c>
      <c r="E2563" t="s">
        <v>22459</v>
      </c>
      <c r="F2563" t="s">
        <v>22460</v>
      </c>
      <c r="G2563" t="s">
        <v>5703</v>
      </c>
      <c r="H2563" t="s">
        <v>22462</v>
      </c>
      <c r="I2563" t="s">
        <v>177</v>
      </c>
      <c r="J2563" t="s">
        <v>22</v>
      </c>
      <c r="K2563" t="s">
        <v>22461</v>
      </c>
      <c r="L2563" t="s">
        <v>22465</v>
      </c>
      <c r="M2563" t="s">
        <v>25</v>
      </c>
      <c r="N2563" t="s">
        <v>22466</v>
      </c>
      <c r="O2563" t="s">
        <v>25</v>
      </c>
      <c r="P2563" t="s">
        <v>22467</v>
      </c>
      <c r="Q2563" t="s">
        <v>29</v>
      </c>
      <c r="R2563" t="s">
        <v>22463</v>
      </c>
      <c r="S2563" t="s">
        <v>22464</v>
      </c>
    </row>
    <row r="2564" spans="1:19" x14ac:dyDescent="0.25">
      <c r="A2564" s="1">
        <v>2562</v>
      </c>
      <c r="B2564" t="str">
        <f>HYPERLINK("https://www.dasschnelle.at/galyo-manfred-alkoven-winkeln","Website")</f>
        <v>Website</v>
      </c>
      <c r="C2564" t="str">
        <f>HYPERLINK("http://www.galyo.at","Website")</f>
        <v>Website</v>
      </c>
      <c r="D2564" t="str">
        <f>HYPERLINK("http://www.google.com/maps/place/48.2726032,14.1123268","Location")</f>
        <v>Location</v>
      </c>
      <c r="E2564" t="s">
        <v>22468</v>
      </c>
      <c r="F2564" t="s">
        <v>22469</v>
      </c>
      <c r="G2564" t="s">
        <v>3146</v>
      </c>
      <c r="H2564" t="s">
        <v>3147</v>
      </c>
      <c r="I2564" t="s">
        <v>85</v>
      </c>
      <c r="J2564" t="s">
        <v>22</v>
      </c>
      <c r="K2564" t="s">
        <v>22470</v>
      </c>
      <c r="L2564" t="s">
        <v>22473</v>
      </c>
      <c r="M2564" t="s">
        <v>25</v>
      </c>
      <c r="N2564" t="s">
        <v>22474</v>
      </c>
      <c r="O2564" t="s">
        <v>25</v>
      </c>
      <c r="P2564" t="s">
        <v>22475</v>
      </c>
      <c r="Q2564" t="s">
        <v>29</v>
      </c>
      <c r="R2564" t="s">
        <v>22471</v>
      </c>
      <c r="S2564" t="s">
        <v>22472</v>
      </c>
    </row>
    <row r="2565" spans="1:19" x14ac:dyDescent="0.25">
      <c r="A2565" s="1">
        <v>2563</v>
      </c>
      <c r="B2565" t="str">
        <f>HYPERLINK("https://www.dasschnelle.at/schlechmair-hans-handenberg-eckbach","Website")</f>
        <v>Website</v>
      </c>
      <c r="C2565" t="str">
        <f>HYPERLINK("http://www.hs-erdbau.at","Website")</f>
        <v>Website</v>
      </c>
      <c r="D2565" t="str">
        <f>HYPERLINK("http://www.google.com/maps/place/48.1280032,13.0051622","Location")</f>
        <v>Location</v>
      </c>
      <c r="E2565" t="s">
        <v>22476</v>
      </c>
      <c r="F2565" t="s">
        <v>22477</v>
      </c>
      <c r="G2565" t="s">
        <v>22075</v>
      </c>
      <c r="H2565" t="s">
        <v>22076</v>
      </c>
      <c r="I2565" t="s">
        <v>85</v>
      </c>
      <c r="J2565" t="s">
        <v>22</v>
      </c>
      <c r="K2565" t="s">
        <v>22478</v>
      </c>
      <c r="L2565" t="s">
        <v>22481</v>
      </c>
      <c r="M2565" t="s">
        <v>25</v>
      </c>
      <c r="N2565" t="s">
        <v>22482</v>
      </c>
      <c r="O2565" t="s">
        <v>25</v>
      </c>
      <c r="P2565" t="s">
        <v>22483</v>
      </c>
      <c r="Q2565" t="s">
        <v>29</v>
      </c>
      <c r="R2565" t="s">
        <v>22479</v>
      </c>
      <c r="S2565" t="s">
        <v>22480</v>
      </c>
    </row>
    <row r="2566" spans="1:19" x14ac:dyDescent="0.25">
      <c r="A2566" s="1">
        <v>2564</v>
      </c>
      <c r="B2566" t="str">
        <f>HYPERLINK("https://www.dasschnelle.at/radshop-obersberger-gesellschaft-mbh-braunau-am-inn-laabstraße","Website")</f>
        <v>Website</v>
      </c>
      <c r="C2566" t="str">
        <f>HYPERLINK("https://www.dasschnelle.at/radshop-obersberger-gesellschaft-mbh-braunau-am-inn-laabstra%C3%9Fe","Website")</f>
        <v>Website</v>
      </c>
      <c r="D2566" t="str">
        <f>HYPERLINK("http://www.google.com/maps/place/48.26126,13.04945","Location")</f>
        <v>Location</v>
      </c>
      <c r="E2566" t="s">
        <v>22484</v>
      </c>
      <c r="F2566" t="s">
        <v>22485</v>
      </c>
      <c r="G2566" t="s">
        <v>1289</v>
      </c>
      <c r="H2566" t="s">
        <v>1310</v>
      </c>
      <c r="I2566" t="s">
        <v>85</v>
      </c>
      <c r="J2566" t="s">
        <v>22</v>
      </c>
      <c r="K2566" t="s">
        <v>22486</v>
      </c>
      <c r="L2566" t="s">
        <v>22489</v>
      </c>
      <c r="M2566" t="s">
        <v>22490</v>
      </c>
      <c r="N2566" t="s">
        <v>22491</v>
      </c>
      <c r="O2566" t="s">
        <v>25</v>
      </c>
      <c r="P2566" t="s">
        <v>22492</v>
      </c>
      <c r="Q2566" t="s">
        <v>29</v>
      </c>
      <c r="R2566" t="s">
        <v>22487</v>
      </c>
      <c r="S2566" t="s">
        <v>22488</v>
      </c>
    </row>
    <row r="2567" spans="1:19" x14ac:dyDescent="0.25">
      <c r="A2567" s="1">
        <v>2565</v>
      </c>
      <c r="B2567" t="str">
        <f>HYPERLINK("https://www.dasschnelle.at/loher-hans-simbach-industriestraße","Website")</f>
        <v>Website</v>
      </c>
      <c r="C2567" t="str">
        <f>HYPERLINK("http://www.kfz-technik-loher.go1a.de","Website")</f>
        <v>Website</v>
      </c>
      <c r="D2567" t="str">
        <f>HYPERLINK("http://www.google.com/maps/place/48.2600597,13.0090485","Location")</f>
        <v>Location</v>
      </c>
      <c r="E2567" t="s">
        <v>22493</v>
      </c>
      <c r="F2567" t="s">
        <v>22494</v>
      </c>
      <c r="G2567" t="s">
        <v>17593</v>
      </c>
      <c r="H2567" t="s">
        <v>17594</v>
      </c>
      <c r="I2567" t="s">
        <v>25</v>
      </c>
      <c r="J2567" t="s">
        <v>10106</v>
      </c>
      <c r="K2567" t="s">
        <v>22495</v>
      </c>
      <c r="L2567" t="s">
        <v>22498</v>
      </c>
      <c r="M2567" t="s">
        <v>25</v>
      </c>
      <c r="N2567" t="s">
        <v>22499</v>
      </c>
      <c r="O2567" t="s">
        <v>25</v>
      </c>
      <c r="P2567" t="s">
        <v>22500</v>
      </c>
      <c r="Q2567" t="s">
        <v>29</v>
      </c>
      <c r="R2567" t="s">
        <v>22496</v>
      </c>
      <c r="S2567" t="s">
        <v>22497</v>
      </c>
    </row>
    <row r="2568" spans="1:19" x14ac:dyDescent="0.25">
      <c r="A2568" s="1">
        <v>2566</v>
      </c>
      <c r="B2568" t="str">
        <f>HYPERLINK("https://www.dasschnelle.at/autohaus-pichlmeier-kirchdorf-von-siemens-straße","Website")</f>
        <v>Website</v>
      </c>
      <c r="C2568" t="str">
        <f>HYPERLINK("http://www.pichlmeier.de","Website")</f>
        <v>Website</v>
      </c>
      <c r="D2568" t="str">
        <f>HYPERLINK("http://www.google.com/maps/place/48.2568925,12.9956428","Location")</f>
        <v>Location</v>
      </c>
      <c r="E2568" t="s">
        <v>22501</v>
      </c>
      <c r="F2568" t="s">
        <v>22502</v>
      </c>
      <c r="G2568" t="s">
        <v>22504</v>
      </c>
      <c r="H2568" t="s">
        <v>17489</v>
      </c>
      <c r="I2568" t="s">
        <v>25</v>
      </c>
      <c r="J2568" t="s">
        <v>10106</v>
      </c>
      <c r="K2568" t="s">
        <v>22503</v>
      </c>
      <c r="L2568" t="s">
        <v>22507</v>
      </c>
      <c r="M2568" t="s">
        <v>22508</v>
      </c>
      <c r="N2568" t="s">
        <v>22509</v>
      </c>
      <c r="O2568" t="s">
        <v>25</v>
      </c>
      <c r="P2568" t="s">
        <v>22510</v>
      </c>
      <c r="Q2568" t="s">
        <v>29</v>
      </c>
      <c r="R2568" t="s">
        <v>22505</v>
      </c>
      <c r="S2568" t="s">
        <v>22506</v>
      </c>
    </row>
    <row r="2569" spans="1:19" x14ac:dyDescent="0.25">
      <c r="A2569" s="1">
        <v>2567</v>
      </c>
      <c r="B2569" t="str">
        <f>HYPERLINK("https://www.dasschnelle.at/hofmannrichter-norbert-pfaffstätten-wiener-straße","Website")</f>
        <v>Website</v>
      </c>
      <c r="C2569" t="str">
        <f>HYPERLINK("http://www.hofmannrichter.at","Website")</f>
        <v>Website</v>
      </c>
      <c r="D2569" t="str">
        <f>HYPERLINK("http://www.google.com/maps/place/48.0184333,16.2761633","Location")</f>
        <v>Location</v>
      </c>
      <c r="E2569" t="s">
        <v>22511</v>
      </c>
      <c r="F2569" t="s">
        <v>22512</v>
      </c>
      <c r="G2569" t="s">
        <v>22514</v>
      </c>
      <c r="H2569" t="s">
        <v>22515</v>
      </c>
      <c r="I2569" t="s">
        <v>177</v>
      </c>
      <c r="J2569" t="s">
        <v>22</v>
      </c>
      <c r="K2569" t="s">
        <v>22513</v>
      </c>
      <c r="L2569" t="s">
        <v>22518</v>
      </c>
      <c r="M2569" t="s">
        <v>22519</v>
      </c>
      <c r="N2569" t="s">
        <v>22520</v>
      </c>
      <c r="O2569" t="s">
        <v>22521</v>
      </c>
      <c r="P2569" t="s">
        <v>22522</v>
      </c>
      <c r="Q2569" t="s">
        <v>29</v>
      </c>
      <c r="R2569" t="s">
        <v>22516</v>
      </c>
      <c r="S2569" t="s">
        <v>22517</v>
      </c>
    </row>
    <row r="2570" spans="1:19" x14ac:dyDescent="0.25">
      <c r="A2570" s="1">
        <v>2568</v>
      </c>
      <c r="B2570" t="str">
        <f>HYPERLINK("https://www.dasschnelle.at/hartmann-erdbau-gmbh-sankt-martin-im-sulmtal-gasselsdorf","Website")</f>
        <v>Website</v>
      </c>
      <c r="C2570" t="str">
        <f>HYPERLINK("http://www.hartmann-erdbau.at","Website")</f>
        <v>Website</v>
      </c>
      <c r="D2570" t="str">
        <f>HYPERLINK("http://www.google.com/maps/place/46.7386397,15.3228855","Location")</f>
        <v>Location</v>
      </c>
      <c r="E2570" t="s">
        <v>22523</v>
      </c>
      <c r="F2570" t="s">
        <v>22524</v>
      </c>
      <c r="G2570" t="s">
        <v>13661</v>
      </c>
      <c r="H2570" t="s">
        <v>13662</v>
      </c>
      <c r="I2570" t="s">
        <v>451</v>
      </c>
      <c r="J2570" t="s">
        <v>22</v>
      </c>
      <c r="K2570" t="s">
        <v>22525</v>
      </c>
      <c r="L2570" t="s">
        <v>22528</v>
      </c>
      <c r="M2570" t="s">
        <v>25</v>
      </c>
      <c r="N2570" t="s">
        <v>22529</v>
      </c>
      <c r="O2570" t="s">
        <v>25</v>
      </c>
      <c r="P2570" t="s">
        <v>22530</v>
      </c>
      <c r="Q2570" t="s">
        <v>29</v>
      </c>
      <c r="R2570" t="s">
        <v>22526</v>
      </c>
      <c r="S2570" t="s">
        <v>22527</v>
      </c>
    </row>
    <row r="2571" spans="1:19" x14ac:dyDescent="0.25">
      <c r="A2571" s="1">
        <v>2569</v>
      </c>
      <c r="B2571" t="str">
        <f>HYPERLINK("https://www.dasschnelle.at/ewl-installationstechnik-gmbh-pölfing-brunn-sportplatzstraße","Website")</f>
        <v>Website</v>
      </c>
      <c r="C2571" t="str">
        <f>HYPERLINK("http://www.ewl-installationstechnik.at","Website")</f>
        <v>Website</v>
      </c>
      <c r="D2571" t="str">
        <f>HYPERLINK("http://www.google.com/maps/place/46.72614,15.29784","Location")</f>
        <v>Location</v>
      </c>
      <c r="E2571" t="s">
        <v>22531</v>
      </c>
      <c r="F2571" t="s">
        <v>22532</v>
      </c>
      <c r="G2571" t="s">
        <v>19504</v>
      </c>
      <c r="H2571" t="s">
        <v>19505</v>
      </c>
      <c r="I2571" t="s">
        <v>451</v>
      </c>
      <c r="J2571" t="s">
        <v>22</v>
      </c>
      <c r="K2571" t="s">
        <v>22533</v>
      </c>
      <c r="L2571" t="s">
        <v>22536</v>
      </c>
      <c r="M2571" t="s">
        <v>25</v>
      </c>
      <c r="N2571" t="s">
        <v>22537</v>
      </c>
      <c r="O2571" t="s">
        <v>22538</v>
      </c>
      <c r="P2571" t="s">
        <v>22539</v>
      </c>
      <c r="Q2571" t="s">
        <v>29</v>
      </c>
      <c r="R2571" t="s">
        <v>22534</v>
      </c>
      <c r="S2571" t="s">
        <v>22535</v>
      </c>
    </row>
    <row r="2572" spans="1:19" x14ac:dyDescent="0.25">
      <c r="A2572" s="1">
        <v>2570</v>
      </c>
      <c r="B2572" t="str">
        <f>HYPERLINK("https://www.dasschnelle.at/sulzer-johann-gmbh-baden-pelzgasse","Website")</f>
        <v>Website</v>
      </c>
      <c r="C2572" t="str">
        <f>HYPERLINK("https://www.dasschnelle.at/sulzer-johann-gmbh-baden-pelzgasse","Website")</f>
        <v>Website</v>
      </c>
      <c r="D2572" t="str">
        <f>HYPERLINK("http://www.google.com/maps/place/48.00907,16.22772","Location")</f>
        <v>Location</v>
      </c>
      <c r="E2572" t="s">
        <v>22540</v>
      </c>
      <c r="F2572" t="s">
        <v>22541</v>
      </c>
      <c r="G2572" t="s">
        <v>1979</v>
      </c>
      <c r="H2572" t="s">
        <v>1980</v>
      </c>
      <c r="I2572" t="s">
        <v>177</v>
      </c>
      <c r="J2572" t="s">
        <v>22</v>
      </c>
      <c r="K2572" t="s">
        <v>22542</v>
      </c>
      <c r="L2572" t="s">
        <v>22545</v>
      </c>
      <c r="M2572" t="s">
        <v>25</v>
      </c>
      <c r="N2572" t="s">
        <v>25</v>
      </c>
      <c r="O2572" t="s">
        <v>25</v>
      </c>
      <c r="P2572" t="s">
        <v>22546</v>
      </c>
      <c r="Q2572" t="s">
        <v>29</v>
      </c>
      <c r="R2572" t="s">
        <v>22543</v>
      </c>
      <c r="S2572" t="s">
        <v>22544</v>
      </c>
    </row>
    <row r="2573" spans="1:19" x14ac:dyDescent="0.25">
      <c r="A2573" s="1">
        <v>2571</v>
      </c>
      <c r="B2573" t="str">
        <f>HYPERLINK("https://www.dasschnelle.at/schneeberger-raphael-baden-braitner-straße","Website")</f>
        <v>Website</v>
      </c>
      <c r="C2573" t="str">
        <f>HYPERLINK("http://www.aufsperrdienst-schneeberger.at","Website")</f>
        <v>Website</v>
      </c>
      <c r="D2573" t="str">
        <f>HYPERLINK("http://www.google.com/maps/place/48.00149,16.24397","Location")</f>
        <v>Location</v>
      </c>
      <c r="E2573" t="s">
        <v>22547</v>
      </c>
      <c r="F2573" t="s">
        <v>22548</v>
      </c>
      <c r="G2573" t="s">
        <v>1979</v>
      </c>
      <c r="H2573" t="s">
        <v>1980</v>
      </c>
      <c r="I2573" t="s">
        <v>177</v>
      </c>
      <c r="J2573" t="s">
        <v>22</v>
      </c>
      <c r="K2573" t="s">
        <v>22549</v>
      </c>
      <c r="L2573" t="s">
        <v>22552</v>
      </c>
      <c r="M2573" t="s">
        <v>25</v>
      </c>
      <c r="N2573" t="s">
        <v>22553</v>
      </c>
      <c r="O2573" t="s">
        <v>22554</v>
      </c>
      <c r="P2573" t="s">
        <v>22555</v>
      </c>
      <c r="Q2573" t="s">
        <v>29</v>
      </c>
      <c r="R2573" t="s">
        <v>22550</v>
      </c>
      <c r="S2573" t="s">
        <v>22551</v>
      </c>
    </row>
    <row r="2574" spans="1:19" x14ac:dyDescent="0.25">
      <c r="A2574" s="1">
        <v>2572</v>
      </c>
      <c r="B2574" t="str">
        <f>HYPERLINK("https://www.dasschnelle.at/edelmann-anita-oberndorf-bei-salzburg-salzburger-straße","Website")</f>
        <v>Website</v>
      </c>
      <c r="C2574" t="str">
        <f>HYPERLINK("https://www.dasschnelle.at/edelmann-anita-oberndorf-bei-salzburg-salzburger-stra%C3%9Fe","Website")</f>
        <v>Website</v>
      </c>
      <c r="D2574" t="str">
        <f>HYPERLINK("http://www.google.com/maps/place/47.94204,12.94293","Location")</f>
        <v>Location</v>
      </c>
      <c r="E2574" t="s">
        <v>22556</v>
      </c>
      <c r="F2574" t="s">
        <v>22557</v>
      </c>
      <c r="G2574" t="s">
        <v>12780</v>
      </c>
      <c r="H2574" t="s">
        <v>12781</v>
      </c>
      <c r="I2574" t="s">
        <v>2239</v>
      </c>
      <c r="J2574" t="s">
        <v>22</v>
      </c>
      <c r="K2574" t="s">
        <v>22558</v>
      </c>
      <c r="L2574" t="s">
        <v>22561</v>
      </c>
      <c r="M2574" t="s">
        <v>25</v>
      </c>
      <c r="N2574" t="s">
        <v>22562</v>
      </c>
      <c r="O2574" t="s">
        <v>25</v>
      </c>
      <c r="P2574" t="s">
        <v>22563</v>
      </c>
      <c r="Q2574" t="s">
        <v>29</v>
      </c>
      <c r="R2574" t="s">
        <v>22559</v>
      </c>
      <c r="S2574" t="s">
        <v>22560</v>
      </c>
    </row>
    <row r="2575" spans="1:19" x14ac:dyDescent="0.25">
      <c r="A2575" s="1">
        <v>2573</v>
      </c>
      <c r="B2575" t="str">
        <f>HYPERLINK("https://www.dasschnelle.at/friseur-an-der-salzach-helga-ramböck-oberndorf-bei-salzburg-uferstraße","Website")</f>
        <v>Website</v>
      </c>
      <c r="C2575" t="str">
        <f>HYPERLINK("https://www.dasschnelle.at/friseur-an-der-salzach-helga-ramb%C3%B6ck-oberndorf-bei-salzburg-uferstra%C3%9Fe","Website")</f>
        <v>Website</v>
      </c>
      <c r="D2575" t="str">
        <f>HYPERLINK("http://www.google.com/maps/place/47.94024,12.94003","Location")</f>
        <v>Location</v>
      </c>
      <c r="E2575" t="s">
        <v>22564</v>
      </c>
      <c r="F2575" t="s">
        <v>22565</v>
      </c>
      <c r="G2575" t="s">
        <v>12780</v>
      </c>
      <c r="H2575" t="s">
        <v>12781</v>
      </c>
      <c r="I2575" t="s">
        <v>2239</v>
      </c>
      <c r="J2575" t="s">
        <v>22</v>
      </c>
      <c r="K2575" t="s">
        <v>22566</v>
      </c>
      <c r="L2575" t="s">
        <v>22569</v>
      </c>
      <c r="M2575" t="s">
        <v>25</v>
      </c>
      <c r="N2575" t="s">
        <v>22570</v>
      </c>
      <c r="O2575" t="s">
        <v>25</v>
      </c>
      <c r="P2575" t="s">
        <v>22571</v>
      </c>
      <c r="Q2575" t="s">
        <v>29</v>
      </c>
      <c r="R2575" t="s">
        <v>22567</v>
      </c>
      <c r="S2575" t="s">
        <v>22568</v>
      </c>
    </row>
    <row r="2576" spans="1:19" x14ac:dyDescent="0.25">
      <c r="A2576" s="1">
        <v>2574</v>
      </c>
      <c r="B2576" t="str">
        <f>HYPERLINK("https://www.dasschnelle.at/optik-peterschelka-kg-oberndorf-bei-salzburg-salzburger-straße","Website")</f>
        <v>Website</v>
      </c>
      <c r="C2576" t="str">
        <f>HYPERLINK("http://www.optik-peterschelka-oberndorf.at","Website")</f>
        <v>Website</v>
      </c>
      <c r="D2576" t="str">
        <f>HYPERLINK("http://www.google.com/maps/place/47.94292,12.94337","Location")</f>
        <v>Location</v>
      </c>
      <c r="E2576" t="s">
        <v>22572</v>
      </c>
      <c r="F2576" t="s">
        <v>22573</v>
      </c>
      <c r="G2576" t="s">
        <v>12780</v>
      </c>
      <c r="H2576" t="s">
        <v>12781</v>
      </c>
      <c r="I2576" t="s">
        <v>2239</v>
      </c>
      <c r="J2576" t="s">
        <v>22</v>
      </c>
      <c r="K2576" t="s">
        <v>22574</v>
      </c>
      <c r="L2576" t="s">
        <v>22577</v>
      </c>
      <c r="M2576" t="s">
        <v>25</v>
      </c>
      <c r="N2576" t="s">
        <v>22578</v>
      </c>
      <c r="O2576" t="s">
        <v>25</v>
      </c>
      <c r="P2576" t="s">
        <v>22579</v>
      </c>
      <c r="Q2576" t="s">
        <v>29</v>
      </c>
      <c r="R2576" t="s">
        <v>22575</v>
      </c>
      <c r="S2576" t="s">
        <v>22576</v>
      </c>
    </row>
    <row r="2577" spans="1:19" x14ac:dyDescent="0.25">
      <c r="A2577" s="1">
        <v>2575</v>
      </c>
      <c r="B2577" t="str">
        <f>HYPERLINK("https://www.dasschnelle.at/mayrhofer-renate-oberndorf-bei-salzburg-matthias-bayrhammer-straße","Website")</f>
        <v>Website</v>
      </c>
      <c r="C2577" t="str">
        <f>HYPERLINK("https://www.dasschnelle.at/mayrhofer-renate-oberndorf-bei-salzburg-matthias-bayrhammer-stra%C3%9Fe","Website")</f>
        <v>Website</v>
      </c>
      <c r="D2577" t="str">
        <f>HYPERLINK("http://www.google.com/maps/place/47.94134,12.94516","Location")</f>
        <v>Location</v>
      </c>
      <c r="E2577" t="s">
        <v>22580</v>
      </c>
      <c r="F2577" t="s">
        <v>22581</v>
      </c>
      <c r="G2577" t="s">
        <v>12780</v>
      </c>
      <c r="H2577" t="s">
        <v>12781</v>
      </c>
      <c r="I2577" t="s">
        <v>2239</v>
      </c>
      <c r="J2577" t="s">
        <v>22</v>
      </c>
      <c r="K2577" t="s">
        <v>22582</v>
      </c>
      <c r="L2577" t="s">
        <v>22585</v>
      </c>
      <c r="M2577" t="s">
        <v>25</v>
      </c>
      <c r="N2577" t="s">
        <v>22586</v>
      </c>
      <c r="O2577" t="s">
        <v>25</v>
      </c>
      <c r="P2577" t="s">
        <v>22587</v>
      </c>
      <c r="Q2577" t="s">
        <v>29</v>
      </c>
      <c r="R2577" t="s">
        <v>22583</v>
      </c>
      <c r="S2577" t="s">
        <v>22584</v>
      </c>
    </row>
    <row r="2578" spans="1:19" x14ac:dyDescent="0.25">
      <c r="A2578" s="1">
        <v>2576</v>
      </c>
      <c r="B2578" t="str">
        <f>HYPERLINK("https://www.dasschnelle.at/gruber-daniela-anthering-dorfplatz","Website")</f>
        <v>Website</v>
      </c>
      <c r="C2578" t="str">
        <f>HYPERLINK("https://www.dasschnelle.at/gruber-daniela-anthering-dorfplatz","Website")</f>
        <v>Website</v>
      </c>
      <c r="D2578" t="str">
        <f>HYPERLINK("http://www.google.com/maps/place/47.8801400,13.0121100","Location")</f>
        <v>Location</v>
      </c>
      <c r="E2578" t="s">
        <v>22588</v>
      </c>
      <c r="F2578" t="s">
        <v>22589</v>
      </c>
      <c r="G2578" t="s">
        <v>12814</v>
      </c>
      <c r="H2578" t="s">
        <v>22591</v>
      </c>
      <c r="I2578" t="s">
        <v>2239</v>
      </c>
      <c r="J2578" t="s">
        <v>22</v>
      </c>
      <c r="K2578" t="s">
        <v>22590</v>
      </c>
      <c r="L2578" t="s">
        <v>22594</v>
      </c>
      <c r="M2578" t="s">
        <v>25</v>
      </c>
      <c r="N2578" t="s">
        <v>22595</v>
      </c>
      <c r="O2578" t="s">
        <v>25</v>
      </c>
      <c r="P2578" t="s">
        <v>697</v>
      </c>
      <c r="Q2578" t="s">
        <v>29</v>
      </c>
      <c r="R2578" t="s">
        <v>22592</v>
      </c>
      <c r="S2578" t="s">
        <v>22593</v>
      </c>
    </row>
    <row r="2579" spans="1:19" x14ac:dyDescent="0.25">
      <c r="A2579" s="1">
        <v>2577</v>
      </c>
      <c r="B2579" t="str">
        <f>HYPERLINK("https://www.dasschnelle.at/kammhuber-gesmbh-oberndorf-bei-salzburg-karl-billerhart-straße","Website")</f>
        <v>Website</v>
      </c>
      <c r="C2579" t="str">
        <f>HYPERLINK("https://www.dasschnelle.at/kammhuber-gesmbh-oberndorf-bei-salzburg-karl-billerhart-stra%C3%9Fe","Website")</f>
        <v>Website</v>
      </c>
      <c r="D2579" t="str">
        <f>HYPERLINK("http://www.google.com/maps/place/47.94667,12.93587","Location")</f>
        <v>Location</v>
      </c>
      <c r="E2579" t="s">
        <v>22596</v>
      </c>
      <c r="F2579" t="s">
        <v>22597</v>
      </c>
      <c r="G2579" t="s">
        <v>12780</v>
      </c>
      <c r="H2579" t="s">
        <v>12781</v>
      </c>
      <c r="I2579" t="s">
        <v>2239</v>
      </c>
      <c r="J2579" t="s">
        <v>22</v>
      </c>
      <c r="K2579" t="s">
        <v>22598</v>
      </c>
      <c r="L2579" t="s">
        <v>22601</v>
      </c>
      <c r="M2579" t="s">
        <v>25</v>
      </c>
      <c r="N2579" t="s">
        <v>22602</v>
      </c>
      <c r="O2579" t="s">
        <v>25</v>
      </c>
      <c r="P2579" t="s">
        <v>22603</v>
      </c>
      <c r="Q2579" t="s">
        <v>29</v>
      </c>
      <c r="R2579" t="s">
        <v>22599</v>
      </c>
      <c r="S2579" t="s">
        <v>22600</v>
      </c>
    </row>
    <row r="2580" spans="1:19" x14ac:dyDescent="0.25">
      <c r="A2580" s="1">
        <v>2578</v>
      </c>
      <c r="B2580" t="str">
        <f>HYPERLINK("https://www.dasschnelle.at/priewasser-erwin-ing-braunau-am-inn-stadtplatz","Website")</f>
        <v>Website</v>
      </c>
      <c r="C2580" t="str">
        <f>HYPERLINK("http://www.aktiv-therapie.net","Website")</f>
        <v>Website</v>
      </c>
      <c r="D2580" t="str">
        <f>HYPERLINK("http://www.google.com/maps/place/48.2592629,13.0345698","Location")</f>
        <v>Location</v>
      </c>
      <c r="E2580" t="s">
        <v>22604</v>
      </c>
      <c r="F2580" t="s">
        <v>22605</v>
      </c>
      <c r="G2580" t="s">
        <v>1289</v>
      </c>
      <c r="H2580" t="s">
        <v>1310</v>
      </c>
      <c r="I2580" t="s">
        <v>85</v>
      </c>
      <c r="J2580" t="s">
        <v>22</v>
      </c>
      <c r="K2580" t="s">
        <v>1438</v>
      </c>
      <c r="L2580" t="s">
        <v>22606</v>
      </c>
      <c r="M2580" t="s">
        <v>25</v>
      </c>
      <c r="N2580" t="s">
        <v>22607</v>
      </c>
      <c r="O2580" t="s">
        <v>22608</v>
      </c>
      <c r="P2580" t="s">
        <v>22609</v>
      </c>
      <c r="Q2580" t="s">
        <v>29</v>
      </c>
      <c r="R2580" t="s">
        <v>16651</v>
      </c>
      <c r="S2580" t="s">
        <v>16652</v>
      </c>
    </row>
    <row r="2581" spans="1:19" x14ac:dyDescent="0.25">
      <c r="A2581" s="1">
        <v>2579</v>
      </c>
      <c r="B2581" t="str">
        <f>HYPERLINK("https://www.dasschnelle.at/optik-bauer-bad-aussee-hauptstrasse","Website")</f>
        <v>Website</v>
      </c>
      <c r="C2581" t="str">
        <f>HYPERLINK("http://www.bauer-optik.at","Website")</f>
        <v>Website</v>
      </c>
      <c r="D2581" t="str">
        <f>HYPERLINK("http://www.google.com/maps/place/47.6107,13.78447","Location")</f>
        <v>Location</v>
      </c>
      <c r="E2581" t="s">
        <v>22610</v>
      </c>
      <c r="F2581" t="s">
        <v>22611</v>
      </c>
      <c r="G2581" t="s">
        <v>1195</v>
      </c>
      <c r="H2581" t="s">
        <v>1196</v>
      </c>
      <c r="I2581" t="s">
        <v>451</v>
      </c>
      <c r="J2581" t="s">
        <v>22</v>
      </c>
      <c r="K2581" t="s">
        <v>22612</v>
      </c>
      <c r="L2581" t="s">
        <v>22615</v>
      </c>
      <c r="M2581" t="s">
        <v>25</v>
      </c>
      <c r="N2581" t="s">
        <v>22616</v>
      </c>
      <c r="O2581" t="s">
        <v>22617</v>
      </c>
      <c r="P2581" t="s">
        <v>22618</v>
      </c>
      <c r="Q2581" t="s">
        <v>29</v>
      </c>
      <c r="R2581" t="s">
        <v>22613</v>
      </c>
      <c r="S2581" t="s">
        <v>22614</v>
      </c>
    </row>
    <row r="2582" spans="1:19" x14ac:dyDescent="0.25">
      <c r="A2582" s="1">
        <v>2580</v>
      </c>
      <c r="B2582" t="str">
        <f>HYPERLINK("https://www.dasschnelle.at/physiotherapie-schmid-braunau-talstraße","Website")</f>
        <v>Website</v>
      </c>
      <c r="C2582" t="str">
        <f>HYPERLINK("http://www.physioschmid.at","Website")</f>
        <v>Website</v>
      </c>
      <c r="D2582" t="str">
        <f>HYPERLINK("http://www.google.com/maps/place/48.2509791,13.0272363","Location")</f>
        <v>Location</v>
      </c>
      <c r="E2582" t="s">
        <v>22619</v>
      </c>
      <c r="F2582" t="s">
        <v>22620</v>
      </c>
      <c r="G2582" t="s">
        <v>1289</v>
      </c>
      <c r="H2582" t="s">
        <v>1290</v>
      </c>
      <c r="I2582" t="s">
        <v>85</v>
      </c>
      <c r="J2582" t="s">
        <v>22</v>
      </c>
      <c r="K2582" t="s">
        <v>22621</v>
      </c>
      <c r="L2582" t="s">
        <v>22624</v>
      </c>
      <c r="M2582" t="s">
        <v>25</v>
      </c>
      <c r="N2582" t="s">
        <v>22625</v>
      </c>
      <c r="O2582" t="s">
        <v>22626</v>
      </c>
      <c r="P2582" t="s">
        <v>22627</v>
      </c>
      <c r="Q2582" t="s">
        <v>29</v>
      </c>
      <c r="R2582" t="s">
        <v>22622</v>
      </c>
      <c r="S2582" t="s">
        <v>22623</v>
      </c>
    </row>
    <row r="2583" spans="1:19" x14ac:dyDescent="0.25">
      <c r="A2583" s="1">
        <v>2581</v>
      </c>
      <c r="B2583" t="str">
        <f>HYPERLINK("https://www.dasschnelle.at/schütz-und-schütz-og-eferding-schaumburgerstraße","Website")</f>
        <v>Website</v>
      </c>
      <c r="C2583" t="str">
        <f>HYPERLINK("http://www.schuetz-schuetz.at","Website")</f>
        <v>Website</v>
      </c>
      <c r="D2583" t="str">
        <f>HYPERLINK("http://www.google.com/maps/place/48.30956,14.02123","Location")</f>
        <v>Location</v>
      </c>
      <c r="E2583" t="s">
        <v>22628</v>
      </c>
      <c r="F2583" t="s">
        <v>22629</v>
      </c>
      <c r="G2583" t="s">
        <v>3101</v>
      </c>
      <c r="H2583" t="s">
        <v>3102</v>
      </c>
      <c r="I2583" t="s">
        <v>85</v>
      </c>
      <c r="J2583" t="s">
        <v>22</v>
      </c>
      <c r="K2583" t="s">
        <v>22630</v>
      </c>
      <c r="L2583" t="s">
        <v>22633</v>
      </c>
      <c r="M2583" t="s">
        <v>25</v>
      </c>
      <c r="N2583" t="s">
        <v>22634</v>
      </c>
      <c r="O2583" t="s">
        <v>22635</v>
      </c>
      <c r="P2583" t="s">
        <v>22636</v>
      </c>
      <c r="Q2583" t="s">
        <v>29</v>
      </c>
      <c r="R2583" t="s">
        <v>22631</v>
      </c>
      <c r="S2583" t="s">
        <v>22632</v>
      </c>
    </row>
    <row r="2584" spans="1:19" x14ac:dyDescent="0.25">
      <c r="A2584" s="1">
        <v>2582</v>
      </c>
      <c r="B2584" t="str">
        <f>HYPERLINK("https://www.dasschnelle.at/gabriele-stöckl-helpfau-uttendorf-sonnleiten","Website")</f>
        <v>Website</v>
      </c>
      <c r="C2584" t="str">
        <f>HYPERLINK("http://www.gabriele-stoeckl.eu","Website")</f>
        <v>Website</v>
      </c>
      <c r="D2584" t="str">
        <f>HYPERLINK("http://www.google.com/maps/place/48.1632282,13.1655651","Location")</f>
        <v>Location</v>
      </c>
      <c r="E2584" t="s">
        <v>22637</v>
      </c>
      <c r="F2584" t="s">
        <v>22638</v>
      </c>
      <c r="G2584" t="s">
        <v>1328</v>
      </c>
      <c r="H2584" t="s">
        <v>22640</v>
      </c>
      <c r="I2584" t="s">
        <v>85</v>
      </c>
      <c r="J2584" t="s">
        <v>22</v>
      </c>
      <c r="K2584" t="s">
        <v>22639</v>
      </c>
      <c r="L2584" t="s">
        <v>22643</v>
      </c>
      <c r="M2584" t="s">
        <v>25</v>
      </c>
      <c r="N2584" t="s">
        <v>22644</v>
      </c>
      <c r="O2584" t="s">
        <v>25</v>
      </c>
      <c r="P2584" t="s">
        <v>22645</v>
      </c>
      <c r="Q2584" t="s">
        <v>29</v>
      </c>
      <c r="R2584" t="s">
        <v>22641</v>
      </c>
      <c r="S2584" t="s">
        <v>22642</v>
      </c>
    </row>
    <row r="2585" spans="1:19" x14ac:dyDescent="0.25">
      <c r="A2585" s="1">
        <v>2583</v>
      </c>
      <c r="B2585" t="str">
        <f>HYPERLINK("https://www.dasschnelle.at/kellner-installationstechnik-gmbh-mauerkirchen-stockleiten","Website")</f>
        <v>Website</v>
      </c>
      <c r="C2585" t="str">
        <f>HYPERLINK("http://www.installationstechnik-kellner.com","Website")</f>
        <v>Website</v>
      </c>
      <c r="D2585" t="str">
        <f>HYPERLINK("http://www.google.com/maps/place/48.2005980,13.1254511","Location")</f>
        <v>Location</v>
      </c>
      <c r="E2585" t="s">
        <v>22646</v>
      </c>
      <c r="F2585" t="s">
        <v>22647</v>
      </c>
      <c r="G2585" t="s">
        <v>1422</v>
      </c>
      <c r="H2585" t="s">
        <v>1423</v>
      </c>
      <c r="I2585" t="s">
        <v>85</v>
      </c>
      <c r="J2585" t="s">
        <v>22</v>
      </c>
      <c r="K2585" t="s">
        <v>22648</v>
      </c>
      <c r="L2585" t="s">
        <v>22651</v>
      </c>
      <c r="M2585" t="s">
        <v>25</v>
      </c>
      <c r="N2585" t="s">
        <v>22652</v>
      </c>
      <c r="O2585" t="s">
        <v>22653</v>
      </c>
      <c r="P2585" t="s">
        <v>22654</v>
      </c>
      <c r="Q2585" t="s">
        <v>29</v>
      </c>
      <c r="R2585" t="s">
        <v>22649</v>
      </c>
      <c r="S2585" t="s">
        <v>22650</v>
      </c>
    </row>
    <row r="2586" spans="1:19" x14ac:dyDescent="0.25">
      <c r="A2586" s="1">
        <v>2584</v>
      </c>
      <c r="B2586" t="str">
        <f>HYPERLINK("https://www.dasschnelle.at/weber-max-braunau-am-inn-rupert-gugg-straße","Website")</f>
        <v>Website</v>
      </c>
      <c r="C2586" t="str">
        <f>HYPERLINK("http://www.gartengestaltung-weber.at","Website")</f>
        <v>Website</v>
      </c>
      <c r="D2586" t="str">
        <f>HYPERLINK("http://www.google.com/maps/place/48.2541237,13.0604629","Location")</f>
        <v>Location</v>
      </c>
      <c r="E2586" t="s">
        <v>22655</v>
      </c>
      <c r="F2586" t="s">
        <v>22656</v>
      </c>
      <c r="G2586" t="s">
        <v>1289</v>
      </c>
      <c r="H2586" t="s">
        <v>1310</v>
      </c>
      <c r="I2586" t="s">
        <v>85</v>
      </c>
      <c r="J2586" t="s">
        <v>22</v>
      </c>
      <c r="K2586" t="s">
        <v>22657</v>
      </c>
      <c r="L2586" t="s">
        <v>22660</v>
      </c>
      <c r="M2586" t="s">
        <v>25</v>
      </c>
      <c r="N2586" t="s">
        <v>22661</v>
      </c>
      <c r="O2586" t="s">
        <v>25</v>
      </c>
      <c r="P2586" t="s">
        <v>22662</v>
      </c>
      <c r="Q2586" t="s">
        <v>29</v>
      </c>
      <c r="R2586" t="s">
        <v>22658</v>
      </c>
      <c r="S2586" t="s">
        <v>22659</v>
      </c>
    </row>
    <row r="2587" spans="1:19" x14ac:dyDescent="0.25">
      <c r="A2587" s="1">
        <v>2585</v>
      </c>
      <c r="B2587" t="str">
        <f>HYPERLINK("https://www.dasschnelle.at/w-t-g-steuerberatung-gmbh-mag-johann-hohlrieder-steyr-leopold-werndl-straße","Website")</f>
        <v>Website</v>
      </c>
      <c r="C2587" t="str">
        <f>HYPERLINK("http://www.wtgsteuerberatung.at","Website")</f>
        <v>Website</v>
      </c>
      <c r="D2587" t="str">
        <f>HYPERLINK("http://www.google.com/maps/place/48.0291904,14.4095548","Location")</f>
        <v>Location</v>
      </c>
      <c r="E2587" t="s">
        <v>22663</v>
      </c>
      <c r="F2587" t="s">
        <v>22664</v>
      </c>
      <c r="G2587" t="s">
        <v>95</v>
      </c>
      <c r="H2587" t="s">
        <v>96</v>
      </c>
      <c r="I2587" t="s">
        <v>85</v>
      </c>
      <c r="J2587" t="s">
        <v>22</v>
      </c>
      <c r="K2587" t="s">
        <v>22665</v>
      </c>
      <c r="L2587" t="s">
        <v>22668</v>
      </c>
      <c r="M2587" t="s">
        <v>25</v>
      </c>
      <c r="N2587" t="s">
        <v>22669</v>
      </c>
      <c r="O2587" t="s">
        <v>25</v>
      </c>
      <c r="P2587" t="s">
        <v>22670</v>
      </c>
      <c r="Q2587" t="s">
        <v>29</v>
      </c>
      <c r="R2587" t="s">
        <v>22666</v>
      </c>
      <c r="S2587" t="s">
        <v>22667</v>
      </c>
    </row>
    <row r="2588" spans="1:19" x14ac:dyDescent="0.25">
      <c r="A2588" s="1">
        <v>2586</v>
      </c>
      <c r="B2588" t="str">
        <f>HYPERLINK("https://www.dasschnelle.at/kieninger-sabina-dr-steyr-handel-mazzetti-promenade","Website")</f>
        <v>Website</v>
      </c>
      <c r="C2588" t="str">
        <f>HYPERLINK("http://www.sabinakieninger.at","Website")</f>
        <v>Website</v>
      </c>
      <c r="D2588" t="str">
        <f>HYPERLINK("http://www.google.com/maps/place/48.03866,14.4163","Location")</f>
        <v>Location</v>
      </c>
      <c r="E2588" t="s">
        <v>22671</v>
      </c>
      <c r="F2588" t="s">
        <v>22672</v>
      </c>
      <c r="G2588" t="s">
        <v>95</v>
      </c>
      <c r="H2588" t="s">
        <v>96</v>
      </c>
      <c r="I2588" t="s">
        <v>85</v>
      </c>
      <c r="J2588" t="s">
        <v>22</v>
      </c>
      <c r="K2588" t="s">
        <v>22673</v>
      </c>
      <c r="L2588" t="s">
        <v>22676</v>
      </c>
      <c r="M2588" t="s">
        <v>25</v>
      </c>
      <c r="N2588" t="s">
        <v>22677</v>
      </c>
      <c r="O2588" t="s">
        <v>25</v>
      </c>
      <c r="P2588" t="s">
        <v>22678</v>
      </c>
      <c r="Q2588" t="s">
        <v>29</v>
      </c>
      <c r="R2588" t="s">
        <v>22674</v>
      </c>
      <c r="S2588" t="s">
        <v>22675</v>
      </c>
    </row>
    <row r="2589" spans="1:19" x14ac:dyDescent="0.25">
      <c r="A2589" s="1">
        <v>2587</v>
      </c>
      <c r="B2589" t="str">
        <f>HYPERLINK("https://www.dasschnelle.at/dr-matthias-schurich-steyr-stadtplatz","Website")</f>
        <v>Website</v>
      </c>
      <c r="C2589" t="str">
        <f>HYPERLINK("http://www.radiologie-schurich.at","Website")</f>
        <v>Website</v>
      </c>
      <c r="D2589" t="str">
        <f>HYPERLINK("http://www.google.com/maps/place/48.03907,14.41877","Location")</f>
        <v>Location</v>
      </c>
      <c r="E2589" t="s">
        <v>22679</v>
      </c>
      <c r="F2589" t="s">
        <v>22680</v>
      </c>
      <c r="G2589" t="s">
        <v>95</v>
      </c>
      <c r="H2589" t="s">
        <v>96</v>
      </c>
      <c r="I2589" t="s">
        <v>85</v>
      </c>
      <c r="J2589" t="s">
        <v>22</v>
      </c>
      <c r="K2589" t="s">
        <v>22681</v>
      </c>
      <c r="L2589" t="s">
        <v>22684</v>
      </c>
      <c r="M2589" t="s">
        <v>25</v>
      </c>
      <c r="N2589" t="s">
        <v>22685</v>
      </c>
      <c r="O2589" t="s">
        <v>25</v>
      </c>
      <c r="P2589" t="s">
        <v>22686</v>
      </c>
      <c r="Q2589" t="s">
        <v>29</v>
      </c>
      <c r="R2589" t="s">
        <v>22682</v>
      </c>
      <c r="S2589" t="s">
        <v>22683</v>
      </c>
    </row>
    <row r="2590" spans="1:19" x14ac:dyDescent="0.25">
      <c r="A2590" s="1">
        <v>2588</v>
      </c>
      <c r="B2590" t="str">
        <f>HYPERLINK("https://www.dasschnelle.at/gegenhuber-constantin-ddr-med-steyr-marienstraße","Website")</f>
        <v>Website</v>
      </c>
      <c r="C2590" t="str">
        <f>HYPERLINK("http://www.dr-gegenhuber.at","Website")</f>
        <v>Website</v>
      </c>
      <c r="D2590" t="str">
        <f>HYPERLINK("http://www.google.com/maps/place/48.03093,14.41781","Location")</f>
        <v>Location</v>
      </c>
      <c r="E2590" t="s">
        <v>22687</v>
      </c>
      <c r="F2590" t="s">
        <v>22688</v>
      </c>
      <c r="G2590" t="s">
        <v>95</v>
      </c>
      <c r="H2590" t="s">
        <v>96</v>
      </c>
      <c r="I2590" t="s">
        <v>85</v>
      </c>
      <c r="J2590" t="s">
        <v>22</v>
      </c>
      <c r="K2590" t="s">
        <v>22689</v>
      </c>
      <c r="L2590" t="s">
        <v>22692</v>
      </c>
      <c r="M2590" t="s">
        <v>22693</v>
      </c>
      <c r="N2590" t="s">
        <v>22694</v>
      </c>
      <c r="O2590" t="s">
        <v>25</v>
      </c>
      <c r="P2590" t="s">
        <v>22695</v>
      </c>
      <c r="Q2590" t="s">
        <v>29</v>
      </c>
      <c r="R2590" t="s">
        <v>22690</v>
      </c>
      <c r="S2590" t="s">
        <v>22691</v>
      </c>
    </row>
    <row r="2591" spans="1:19" x14ac:dyDescent="0.25">
      <c r="A2591" s="1">
        <v>2589</v>
      </c>
      <c r="B2591" t="str">
        <f>HYPERLINK("https://www.dasschnelle.at/apotheke-u-drogerie-losenstein-eisenstraße","Website")</f>
        <v>Website</v>
      </c>
      <c r="C2591" t="str">
        <f>HYPERLINK("http://www.apotheke-losenstein.at","Website")</f>
        <v>Website</v>
      </c>
      <c r="D2591" t="str">
        <f>HYPERLINK("http://www.google.com/maps/place/47.9209,14.44","Location")</f>
        <v>Location</v>
      </c>
      <c r="E2591" t="s">
        <v>22696</v>
      </c>
      <c r="F2591" t="s">
        <v>22697</v>
      </c>
      <c r="G2591" t="s">
        <v>105</v>
      </c>
      <c r="H2591" t="s">
        <v>106</v>
      </c>
      <c r="I2591" t="s">
        <v>85</v>
      </c>
      <c r="J2591" t="s">
        <v>22</v>
      </c>
      <c r="K2591" t="s">
        <v>22698</v>
      </c>
      <c r="L2591" t="s">
        <v>22701</v>
      </c>
      <c r="M2591" t="s">
        <v>25</v>
      </c>
      <c r="N2591" t="s">
        <v>22702</v>
      </c>
      <c r="O2591" t="s">
        <v>25</v>
      </c>
      <c r="P2591" t="s">
        <v>22703</v>
      </c>
      <c r="Q2591" t="s">
        <v>29</v>
      </c>
      <c r="R2591" t="s">
        <v>22699</v>
      </c>
      <c r="S2591" t="s">
        <v>22700</v>
      </c>
    </row>
    <row r="2592" spans="1:19" x14ac:dyDescent="0.25">
      <c r="A2592" s="1">
        <v>2590</v>
      </c>
      <c r="B2592" t="str">
        <f>HYPERLINK("https://www.dasschnelle.at/hager-andreas-ostermiething-dietrichfeld","Website")</f>
        <v>Website</v>
      </c>
      <c r="C2592" t="str">
        <f>HYPERLINK("http://www.andreas-hager.at","Website")</f>
        <v>Website</v>
      </c>
      <c r="D2592" t="str">
        <f>HYPERLINK("http://www.google.com/maps/place/48.04692,12.82554","Location")</f>
        <v>Location</v>
      </c>
      <c r="E2592" t="s">
        <v>22704</v>
      </c>
      <c r="F2592" t="s">
        <v>22705</v>
      </c>
      <c r="G2592" t="s">
        <v>22084</v>
      </c>
      <c r="H2592" t="s">
        <v>22220</v>
      </c>
      <c r="I2592" t="s">
        <v>85</v>
      </c>
      <c r="J2592" t="s">
        <v>22</v>
      </c>
      <c r="K2592" t="s">
        <v>22706</v>
      </c>
      <c r="L2592" t="s">
        <v>22709</v>
      </c>
      <c r="M2592" t="s">
        <v>25</v>
      </c>
      <c r="N2592" t="s">
        <v>22710</v>
      </c>
      <c r="O2592" t="s">
        <v>25</v>
      </c>
      <c r="P2592" t="s">
        <v>22711</v>
      </c>
      <c r="Q2592" t="s">
        <v>29</v>
      </c>
      <c r="R2592" t="s">
        <v>22707</v>
      </c>
      <c r="S2592" t="s">
        <v>22708</v>
      </c>
    </row>
    <row r="2593" spans="1:19" x14ac:dyDescent="0.25">
      <c r="A2593" s="1">
        <v>2591</v>
      </c>
      <c r="B2593" t="str">
        <f>HYPERLINK("https://www.dasschnelle.at/scharnreitner-otto-dr-med-losenstein-eisenstraße","Website")</f>
        <v>Website</v>
      </c>
      <c r="C2593" t="str">
        <f>HYPERLINK("http://www.zahnteam-losenstein.at","Website")</f>
        <v>Website</v>
      </c>
      <c r="D2593" t="str">
        <f>HYPERLINK("http://www.google.com/maps/place/47.9237,14.43551","Location")</f>
        <v>Location</v>
      </c>
      <c r="E2593" t="s">
        <v>22712</v>
      </c>
      <c r="F2593" t="s">
        <v>22713</v>
      </c>
      <c r="G2593" t="s">
        <v>105</v>
      </c>
      <c r="H2593" t="s">
        <v>106</v>
      </c>
      <c r="I2593" t="s">
        <v>85</v>
      </c>
      <c r="J2593" t="s">
        <v>22</v>
      </c>
      <c r="K2593" t="s">
        <v>22714</v>
      </c>
      <c r="L2593" t="s">
        <v>22717</v>
      </c>
      <c r="M2593" t="s">
        <v>25</v>
      </c>
      <c r="N2593" t="s">
        <v>22718</v>
      </c>
      <c r="O2593" t="s">
        <v>25</v>
      </c>
      <c r="P2593" t="s">
        <v>22719</v>
      </c>
      <c r="Q2593" t="s">
        <v>29</v>
      </c>
      <c r="R2593" t="s">
        <v>22715</v>
      </c>
      <c r="S2593" t="s">
        <v>22716</v>
      </c>
    </row>
    <row r="2594" spans="1:19" x14ac:dyDescent="0.25">
      <c r="A2594" s="1">
        <v>2592</v>
      </c>
      <c r="B2594" t="str">
        <f>HYPERLINK("https://www.dasschnelle.at/bestattung-helminger-gmbh-bürmoos-friedhofstraße","Website")</f>
        <v>Website</v>
      </c>
      <c r="C2594" t="str">
        <f>HYPERLINK("http://www.bestattung-ginner.at","Website")</f>
        <v>Website</v>
      </c>
      <c r="D2594" t="str">
        <f>HYPERLINK("http://www.google.com/maps/place/47.98087,12.92501","Location")</f>
        <v>Location</v>
      </c>
      <c r="E2594" t="s">
        <v>22720</v>
      </c>
      <c r="F2594" t="s">
        <v>22721</v>
      </c>
      <c r="G2594" t="s">
        <v>22723</v>
      </c>
      <c r="H2594" t="s">
        <v>22724</v>
      </c>
      <c r="I2594" t="s">
        <v>2239</v>
      </c>
      <c r="J2594" t="s">
        <v>22</v>
      </c>
      <c r="K2594" t="s">
        <v>22722</v>
      </c>
      <c r="L2594" t="s">
        <v>22727</v>
      </c>
      <c r="M2594" t="s">
        <v>25</v>
      </c>
      <c r="N2594" t="s">
        <v>22728</v>
      </c>
      <c r="O2594" t="s">
        <v>25</v>
      </c>
      <c r="P2594" t="s">
        <v>22729</v>
      </c>
      <c r="Q2594" t="s">
        <v>29</v>
      </c>
      <c r="R2594" t="s">
        <v>22725</v>
      </c>
      <c r="S2594" t="s">
        <v>22726</v>
      </c>
    </row>
    <row r="2595" spans="1:19" x14ac:dyDescent="0.25">
      <c r="A2595" s="1">
        <v>2593</v>
      </c>
      <c r="B2595" t="str">
        <f>HYPERLINK("https://www.dasschnelle.at/spatzenegger-johann-sankt-georgen-tischlerstraße","Website")</f>
        <v>Website</v>
      </c>
      <c r="C2595" t="str">
        <f>HYPERLINK("http://www.spatzenegger.at","Website")</f>
        <v>Website</v>
      </c>
      <c r="D2595" t="str">
        <f>HYPERLINK("http://www.google.com/maps/place/47.97619,12.88532","Location")</f>
        <v>Location</v>
      </c>
      <c r="E2595" t="s">
        <v>22730</v>
      </c>
      <c r="F2595" t="s">
        <v>22731</v>
      </c>
      <c r="G2595" t="s">
        <v>9266</v>
      </c>
      <c r="H2595" t="s">
        <v>12771</v>
      </c>
      <c r="I2595" t="s">
        <v>2239</v>
      </c>
      <c r="J2595" t="s">
        <v>22</v>
      </c>
      <c r="K2595" t="s">
        <v>22732</v>
      </c>
      <c r="L2595" t="s">
        <v>22735</v>
      </c>
      <c r="M2595" t="s">
        <v>25</v>
      </c>
      <c r="N2595" t="s">
        <v>22736</v>
      </c>
      <c r="O2595" t="s">
        <v>25</v>
      </c>
      <c r="P2595" t="s">
        <v>22737</v>
      </c>
      <c r="Q2595" t="s">
        <v>29</v>
      </c>
      <c r="R2595" t="s">
        <v>22733</v>
      </c>
      <c r="S2595" t="s">
        <v>22734</v>
      </c>
    </row>
    <row r="2596" spans="1:19" x14ac:dyDescent="0.25">
      <c r="A2596" s="1">
        <v>2594</v>
      </c>
      <c r="B2596" t="str">
        <f>HYPERLINK("https://www.dasschnelle.at/tierarztpraxis-großraming-großraming-aschasiedlung","Website")</f>
        <v>Website</v>
      </c>
      <c r="C2596" t="str">
        <f>HYPERLINK("http://www.kalkalpentieraerzte.at","Website")</f>
        <v>Website</v>
      </c>
      <c r="D2596" t="str">
        <f>HYPERLINK("http://www.google.com/maps/place/47.88801,14.53987","Location")</f>
        <v>Location</v>
      </c>
      <c r="E2596" t="s">
        <v>22738</v>
      </c>
      <c r="F2596" t="s">
        <v>22739</v>
      </c>
      <c r="G2596" t="s">
        <v>212</v>
      </c>
      <c r="H2596" t="s">
        <v>213</v>
      </c>
      <c r="I2596" t="s">
        <v>85</v>
      </c>
      <c r="J2596" t="s">
        <v>22</v>
      </c>
      <c r="K2596" t="s">
        <v>22740</v>
      </c>
      <c r="L2596" t="s">
        <v>22743</v>
      </c>
      <c r="M2596" t="s">
        <v>25</v>
      </c>
      <c r="N2596" t="s">
        <v>22744</v>
      </c>
      <c r="O2596" t="s">
        <v>25</v>
      </c>
      <c r="P2596" t="s">
        <v>22745</v>
      </c>
      <c r="Q2596" t="s">
        <v>29</v>
      </c>
      <c r="R2596" t="s">
        <v>22741</v>
      </c>
      <c r="S2596" t="s">
        <v>22742</v>
      </c>
    </row>
    <row r="2597" spans="1:19" x14ac:dyDescent="0.25">
      <c r="A2597" s="1">
        <v>2595</v>
      </c>
      <c r="B2597" t="str">
        <f>HYPERLINK("https://www.dasschnelle.at/geier-herwig-prim-dr-steyr-färbergasse","Website")</f>
        <v>Website</v>
      </c>
      <c r="C2597" t="str">
        <f>HYPERLINK("http://www.ihrinternist.at","Website")</f>
        <v>Website</v>
      </c>
      <c r="D2597" t="str">
        <f>HYPERLINK("http://www.google.com/maps/place/48.04013,14.42298","Location")</f>
        <v>Location</v>
      </c>
      <c r="E2597" t="s">
        <v>22746</v>
      </c>
      <c r="F2597" t="s">
        <v>22747</v>
      </c>
      <c r="G2597" t="s">
        <v>95</v>
      </c>
      <c r="H2597" t="s">
        <v>96</v>
      </c>
      <c r="I2597" t="s">
        <v>85</v>
      </c>
      <c r="J2597" t="s">
        <v>22</v>
      </c>
      <c r="K2597" t="s">
        <v>22748</v>
      </c>
      <c r="L2597" t="s">
        <v>22751</v>
      </c>
      <c r="M2597" t="s">
        <v>25</v>
      </c>
      <c r="N2597" t="s">
        <v>22752</v>
      </c>
      <c r="O2597" t="s">
        <v>25</v>
      </c>
      <c r="P2597" t="s">
        <v>22753</v>
      </c>
      <c r="Q2597" t="s">
        <v>29</v>
      </c>
      <c r="R2597" t="s">
        <v>22749</v>
      </c>
      <c r="S2597" t="s">
        <v>22750</v>
      </c>
    </row>
    <row r="2598" spans="1:19" x14ac:dyDescent="0.25">
      <c r="A2598" s="1">
        <v>2596</v>
      </c>
      <c r="B2598" t="str">
        <f>HYPERLINK("https://www.dasschnelle.at/spieler-herzog-dach-eibiswald-hörmsdorf","Website")</f>
        <v>Website</v>
      </c>
      <c r="C2598" t="str">
        <f>HYPERLINK("https://www.dasschnelle.at/spieler-herzog-dach-eibiswald-h%C3%B6rmsdorf","Website")</f>
        <v>Website</v>
      </c>
      <c r="D2598" t="str">
        <f>HYPERLINK("http://www.google.com/maps/place/46.6947737,15.2632603","Location")</f>
        <v>Location</v>
      </c>
      <c r="E2598" t="s">
        <v>22754</v>
      </c>
      <c r="F2598" t="s">
        <v>22755</v>
      </c>
      <c r="G2598" t="s">
        <v>2901</v>
      </c>
      <c r="H2598" t="s">
        <v>2902</v>
      </c>
      <c r="I2598" t="s">
        <v>451</v>
      </c>
      <c r="J2598" t="s">
        <v>22</v>
      </c>
      <c r="K2598" t="s">
        <v>22756</v>
      </c>
      <c r="L2598" t="s">
        <v>22759</v>
      </c>
      <c r="M2598" t="s">
        <v>25</v>
      </c>
      <c r="N2598" t="s">
        <v>22760</v>
      </c>
      <c r="O2598" t="s">
        <v>25</v>
      </c>
      <c r="P2598" t="s">
        <v>22761</v>
      </c>
      <c r="Q2598" t="s">
        <v>29</v>
      </c>
      <c r="R2598" t="s">
        <v>22757</v>
      </c>
      <c r="S2598" t="s">
        <v>22758</v>
      </c>
    </row>
    <row r="2599" spans="1:19" x14ac:dyDescent="0.25">
      <c r="A2599" s="1">
        <v>2597</v>
      </c>
      <c r="B2599" t="str">
        <f>HYPERLINK("https://www.dasschnelle.at/samwald-christoph-kirchdorf-an-der-krems-am-anger","Website")</f>
        <v>Website</v>
      </c>
      <c r="C2599" t="str">
        <f>HYPERLINK("http://www.samwald-lack.at","Website")</f>
        <v>Website</v>
      </c>
      <c r="D2599" t="str">
        <f>HYPERLINK("http://www.google.com/maps/place/47.89965,14.12728","Location")</f>
        <v>Location</v>
      </c>
      <c r="E2599" t="s">
        <v>22762</v>
      </c>
      <c r="F2599" t="s">
        <v>22763</v>
      </c>
      <c r="G2599" t="s">
        <v>12306</v>
      </c>
      <c r="H2599" t="s">
        <v>12307</v>
      </c>
      <c r="I2599" t="s">
        <v>85</v>
      </c>
      <c r="J2599" t="s">
        <v>22</v>
      </c>
      <c r="K2599" t="s">
        <v>22764</v>
      </c>
      <c r="L2599" t="s">
        <v>22767</v>
      </c>
      <c r="M2599" t="s">
        <v>25</v>
      </c>
      <c r="N2599" t="s">
        <v>22768</v>
      </c>
      <c r="O2599" t="s">
        <v>25</v>
      </c>
      <c r="P2599" t="s">
        <v>22769</v>
      </c>
      <c r="Q2599" t="s">
        <v>29</v>
      </c>
      <c r="R2599" t="s">
        <v>22765</v>
      </c>
      <c r="S2599" t="s">
        <v>22766</v>
      </c>
    </row>
    <row r="2600" spans="1:19" x14ac:dyDescent="0.25">
      <c r="A2600" s="1">
        <v>2598</v>
      </c>
      <c r="B2600" t="str">
        <f>HYPERLINK("https://www.dasschnelle.at/bestattungsinstitut-sporer-braunau-am-inn-friedhofstraße","Website")</f>
        <v>Website</v>
      </c>
      <c r="C2600" t="str">
        <f>HYPERLINK("http://www.bestattungbraunau.at","Website")</f>
        <v>Website</v>
      </c>
      <c r="D2600" t="str">
        <f>HYPERLINK("http://www.google.com/maps/place/48.2509559,13.0316807","Location")</f>
        <v>Location</v>
      </c>
      <c r="E2600" t="s">
        <v>22770</v>
      </c>
      <c r="F2600" t="s">
        <v>22771</v>
      </c>
      <c r="G2600" t="s">
        <v>1289</v>
      </c>
      <c r="H2600" t="s">
        <v>1310</v>
      </c>
      <c r="I2600" t="s">
        <v>85</v>
      </c>
      <c r="J2600" t="s">
        <v>22</v>
      </c>
      <c r="K2600" t="s">
        <v>22772</v>
      </c>
      <c r="L2600" t="s">
        <v>22775</v>
      </c>
      <c r="M2600" t="s">
        <v>25</v>
      </c>
      <c r="N2600" t="s">
        <v>22776</v>
      </c>
      <c r="O2600" t="s">
        <v>22777</v>
      </c>
      <c r="P2600" t="s">
        <v>22778</v>
      </c>
      <c r="Q2600" t="s">
        <v>29</v>
      </c>
      <c r="R2600" t="s">
        <v>22773</v>
      </c>
      <c r="S2600" t="s">
        <v>22774</v>
      </c>
    </row>
    <row r="2601" spans="1:19" x14ac:dyDescent="0.25">
      <c r="A2601" s="1">
        <v>2599</v>
      </c>
      <c r="B2601" t="str">
        <f>HYPERLINK("https://www.dasschnelle.at/back-gmbh-altheim-finkenzellergasse","Website")</f>
        <v>Website</v>
      </c>
      <c r="C2601" t="str">
        <f>HYPERLINK("http://www.backgmbh.at","Website")</f>
        <v>Website</v>
      </c>
      <c r="D2601" t="str">
        <f>HYPERLINK("http://www.google.com/maps/place/48.24784,13.235","Location")</f>
        <v>Location</v>
      </c>
      <c r="E2601" t="s">
        <v>22779</v>
      </c>
      <c r="F2601" t="s">
        <v>22780</v>
      </c>
      <c r="G2601" t="s">
        <v>1354</v>
      </c>
      <c r="H2601" t="s">
        <v>1355</v>
      </c>
      <c r="I2601" t="s">
        <v>85</v>
      </c>
      <c r="J2601" t="s">
        <v>22</v>
      </c>
      <c r="K2601" t="s">
        <v>22781</v>
      </c>
      <c r="L2601" t="s">
        <v>22784</v>
      </c>
      <c r="M2601" t="s">
        <v>25</v>
      </c>
      <c r="N2601" t="s">
        <v>22785</v>
      </c>
      <c r="O2601" t="s">
        <v>22786</v>
      </c>
      <c r="P2601" t="s">
        <v>22787</v>
      </c>
      <c r="Q2601" t="s">
        <v>29</v>
      </c>
      <c r="R2601" t="s">
        <v>22782</v>
      </c>
      <c r="S2601" t="s">
        <v>22783</v>
      </c>
    </row>
    <row r="2602" spans="1:19" x14ac:dyDescent="0.25">
      <c r="A2602" s="1">
        <v>2600</v>
      </c>
      <c r="B2602" t="str">
        <f>HYPERLINK("https://www.dasschnelle.at/hüttl-herwig-traiskirchen-wiesergasse","Website")</f>
        <v>Website</v>
      </c>
      <c r="C2602" t="str">
        <f>HYPERLINK("http://www.juwelier-huettl.at","Website")</f>
        <v>Website</v>
      </c>
      <c r="D2602" t="str">
        <f>HYPERLINK("http://www.google.com/maps/place/48.01496,16.29169","Location")</f>
        <v>Location</v>
      </c>
      <c r="E2602" t="s">
        <v>22788</v>
      </c>
      <c r="F2602" t="s">
        <v>22789</v>
      </c>
      <c r="G2602" t="s">
        <v>2081</v>
      </c>
      <c r="H2602" t="s">
        <v>2082</v>
      </c>
      <c r="I2602" t="s">
        <v>177</v>
      </c>
      <c r="J2602" t="s">
        <v>22</v>
      </c>
      <c r="K2602" t="s">
        <v>22790</v>
      </c>
      <c r="L2602" t="s">
        <v>22793</v>
      </c>
      <c r="M2602" t="s">
        <v>25</v>
      </c>
      <c r="N2602" t="s">
        <v>22794</v>
      </c>
      <c r="O2602" t="s">
        <v>25</v>
      </c>
      <c r="P2602" t="s">
        <v>22795</v>
      </c>
      <c r="Q2602" t="s">
        <v>29</v>
      </c>
      <c r="R2602" t="s">
        <v>22791</v>
      </c>
      <c r="S2602" t="s">
        <v>22792</v>
      </c>
    </row>
    <row r="2603" spans="1:19" x14ac:dyDescent="0.25">
      <c r="A2603" s="1">
        <v>2601</v>
      </c>
      <c r="B2603" t="str">
        <f>HYPERLINK("https://www.dasschnelle.at/metalltechnik-ramberger-gesmbh-traiskirchen-römerstraße","Website")</f>
        <v>Website</v>
      </c>
      <c r="C2603" t="str">
        <f>HYPERLINK("http://www.metalltechnik-baden.at","Website")</f>
        <v>Website</v>
      </c>
      <c r="D2603" t="str">
        <f>HYPERLINK("http://www.google.com/maps/place/48.0287496,16.2878129","Location")</f>
        <v>Location</v>
      </c>
      <c r="E2603" t="s">
        <v>22796</v>
      </c>
      <c r="F2603" t="s">
        <v>22797</v>
      </c>
      <c r="G2603" t="s">
        <v>2081</v>
      </c>
      <c r="H2603" t="s">
        <v>2082</v>
      </c>
      <c r="I2603" t="s">
        <v>177</v>
      </c>
      <c r="J2603" t="s">
        <v>22</v>
      </c>
      <c r="K2603" t="s">
        <v>22798</v>
      </c>
      <c r="L2603" t="s">
        <v>22801</v>
      </c>
      <c r="M2603" t="s">
        <v>25</v>
      </c>
      <c r="N2603" t="s">
        <v>22802</v>
      </c>
      <c r="O2603" t="s">
        <v>25</v>
      </c>
      <c r="P2603" t="s">
        <v>22803</v>
      </c>
      <c r="Q2603" t="s">
        <v>29</v>
      </c>
      <c r="R2603" t="s">
        <v>22799</v>
      </c>
      <c r="S2603" t="s">
        <v>22800</v>
      </c>
    </row>
    <row r="2604" spans="1:19" x14ac:dyDescent="0.25">
      <c r="A2604" s="1">
        <v>2602</v>
      </c>
      <c r="B2604" t="str">
        <f>HYPERLINK("https://www.dasschnelle.at/kubicek-autolackier-gmbh-pfaffstätten-badener-straße","Website")</f>
        <v>Website</v>
      </c>
      <c r="C2604" t="str">
        <f>HYPERLINK("https://www.dasschnelle.at/kubicek-autolackier-gmbh-pfaffst%C3%A4tten-badener-stra%C3%9Fe","Website")</f>
        <v>Website</v>
      </c>
      <c r="D2604" t="str">
        <f>HYPERLINK("http://www.google.com/maps/place/48.01455,16.25842","Location")</f>
        <v>Location</v>
      </c>
      <c r="E2604" t="s">
        <v>22804</v>
      </c>
      <c r="F2604" t="s">
        <v>22805</v>
      </c>
      <c r="G2604" t="s">
        <v>22514</v>
      </c>
      <c r="H2604" t="s">
        <v>22515</v>
      </c>
      <c r="I2604" t="s">
        <v>177</v>
      </c>
      <c r="J2604" t="s">
        <v>22</v>
      </c>
      <c r="K2604" t="s">
        <v>22806</v>
      </c>
      <c r="L2604" t="s">
        <v>22809</v>
      </c>
      <c r="M2604" t="s">
        <v>25</v>
      </c>
      <c r="N2604" t="s">
        <v>22810</v>
      </c>
      <c r="O2604" t="s">
        <v>25</v>
      </c>
      <c r="P2604" t="s">
        <v>22811</v>
      </c>
      <c r="Q2604" t="s">
        <v>29</v>
      </c>
      <c r="R2604" t="s">
        <v>22807</v>
      </c>
      <c r="S2604" t="s">
        <v>22808</v>
      </c>
    </row>
    <row r="2605" spans="1:19" x14ac:dyDescent="0.25">
      <c r="A2605" s="1">
        <v>2603</v>
      </c>
      <c r="B2605" t="str">
        <f>HYPERLINK("https://www.dasschnelle.at/mag-dr-mairitsch-völkermarkt-klagenfurter-str","Website")</f>
        <v>Website</v>
      </c>
      <c r="C2605" t="str">
        <f>HYPERLINK("https://www.dasschnelle.at/mag-dr-mairitsch-v%C3%B6lkermarkt-klagenfurter-str","Website")</f>
        <v>Website</v>
      </c>
      <c r="D2605" t="str">
        <f>HYPERLINK("http://www.google.com/maps/place/46.6599100,14.6278800","Location")</f>
        <v>Location</v>
      </c>
      <c r="E2605" t="s">
        <v>22812</v>
      </c>
      <c r="F2605" t="s">
        <v>22813</v>
      </c>
      <c r="G2605" t="s">
        <v>5079</v>
      </c>
      <c r="H2605" t="s">
        <v>5080</v>
      </c>
      <c r="I2605" t="s">
        <v>4130</v>
      </c>
      <c r="J2605" t="s">
        <v>22</v>
      </c>
      <c r="K2605" t="s">
        <v>22814</v>
      </c>
      <c r="L2605" t="s">
        <v>22817</v>
      </c>
      <c r="M2605" t="s">
        <v>25</v>
      </c>
      <c r="N2605" t="s">
        <v>22818</v>
      </c>
      <c r="O2605" t="s">
        <v>25</v>
      </c>
      <c r="P2605" t="s">
        <v>697</v>
      </c>
      <c r="Q2605" t="s">
        <v>29</v>
      </c>
      <c r="R2605" t="s">
        <v>22815</v>
      </c>
      <c r="S2605" t="s">
        <v>22816</v>
      </c>
    </row>
    <row r="2606" spans="1:19" x14ac:dyDescent="0.25">
      <c r="A2606" s="1">
        <v>2604</v>
      </c>
      <c r="B2606" t="str">
        <f>HYPERLINK("https://www.dasschnelle.at/elektro-gf-gmbh-oberwart-bahnhofstraße","Website")</f>
        <v>Website</v>
      </c>
      <c r="C2606" t="str">
        <f>HYPERLINK("http://www.elektrogf.at","Website")</f>
        <v>Website</v>
      </c>
      <c r="D2606" t="str">
        <f>HYPERLINK("http://www.google.com/maps/place/47.2902900,16.2121500","Location")</f>
        <v>Location</v>
      </c>
      <c r="E2606" t="s">
        <v>22819</v>
      </c>
      <c r="F2606" t="s">
        <v>22820</v>
      </c>
      <c r="G2606" t="s">
        <v>20126</v>
      </c>
      <c r="H2606" t="s">
        <v>20127</v>
      </c>
      <c r="I2606" t="s">
        <v>1834</v>
      </c>
      <c r="J2606" t="s">
        <v>22</v>
      </c>
      <c r="K2606" t="s">
        <v>19283</v>
      </c>
      <c r="L2606" t="s">
        <v>22823</v>
      </c>
      <c r="M2606" t="s">
        <v>25</v>
      </c>
      <c r="N2606" t="s">
        <v>22824</v>
      </c>
      <c r="O2606" t="s">
        <v>22825</v>
      </c>
      <c r="P2606" t="s">
        <v>22826</v>
      </c>
      <c r="Q2606" t="s">
        <v>29</v>
      </c>
      <c r="R2606" t="s">
        <v>22821</v>
      </c>
      <c r="S2606" t="s">
        <v>22822</v>
      </c>
    </row>
    <row r="2607" spans="1:19" x14ac:dyDescent="0.25">
      <c r="A2607" s="1">
        <v>2605</v>
      </c>
      <c r="B2607" t="str">
        <f>HYPERLINK("https://www.dasschnelle.at/praxis-steinbock-ternitz-th-körner-platz","Website")</f>
        <v>Website</v>
      </c>
      <c r="C2607" t="str">
        <f>HYPERLINK("https://www.dasschnelle.at/praxis-steinbock-ternitz-th-k%C3%B6rner-platz","Website")</f>
        <v>Website</v>
      </c>
      <c r="D2607" t="str">
        <f>HYPERLINK("http://www.google.com/maps/place/47.7164439,16.0360029","Location")</f>
        <v>Location</v>
      </c>
      <c r="E2607" t="s">
        <v>22827</v>
      </c>
      <c r="F2607" t="s">
        <v>22828</v>
      </c>
      <c r="G2607" t="s">
        <v>5667</v>
      </c>
      <c r="H2607" t="s">
        <v>5668</v>
      </c>
      <c r="I2607" t="s">
        <v>177</v>
      </c>
      <c r="J2607" t="s">
        <v>22</v>
      </c>
      <c r="K2607" t="s">
        <v>22829</v>
      </c>
      <c r="L2607" t="s">
        <v>22830</v>
      </c>
      <c r="M2607" t="s">
        <v>25</v>
      </c>
      <c r="N2607" t="s">
        <v>22831</v>
      </c>
      <c r="O2607" t="s">
        <v>25</v>
      </c>
      <c r="P2607" t="s">
        <v>22832</v>
      </c>
      <c r="Q2607" t="s">
        <v>29</v>
      </c>
      <c r="R2607" t="s">
        <v>18354</v>
      </c>
      <c r="S2607" t="s">
        <v>18355</v>
      </c>
    </row>
    <row r="2608" spans="1:19" x14ac:dyDescent="0.25">
      <c r="A2608" s="1">
        <v>2606</v>
      </c>
      <c r="B2608" t="str">
        <f>HYPERLINK("https://www.dasschnelle.at/burger-john-traiskirchen-josef-ferschner-straße","Website")</f>
        <v>Website</v>
      </c>
      <c r="C2608" t="str">
        <f>HYPERLINK("http://www.burger-service.at","Website")</f>
        <v>Website</v>
      </c>
      <c r="D2608" t="str">
        <f>HYPERLINK("http://www.google.com/maps/place/48.01736,16.29201","Location")</f>
        <v>Location</v>
      </c>
      <c r="E2608" t="s">
        <v>22833</v>
      </c>
      <c r="F2608" t="s">
        <v>22834</v>
      </c>
      <c r="G2608" t="s">
        <v>2081</v>
      </c>
      <c r="H2608" t="s">
        <v>2082</v>
      </c>
      <c r="I2608" t="s">
        <v>177</v>
      </c>
      <c r="J2608" t="s">
        <v>22</v>
      </c>
      <c r="K2608" t="s">
        <v>22835</v>
      </c>
      <c r="L2608" t="s">
        <v>22838</v>
      </c>
      <c r="M2608" t="s">
        <v>25</v>
      </c>
      <c r="N2608" t="s">
        <v>22839</v>
      </c>
      <c r="O2608" t="s">
        <v>25</v>
      </c>
      <c r="P2608" t="s">
        <v>22840</v>
      </c>
      <c r="Q2608" t="s">
        <v>29</v>
      </c>
      <c r="R2608" t="s">
        <v>22836</v>
      </c>
      <c r="S2608" t="s">
        <v>22837</v>
      </c>
    </row>
    <row r="2609" spans="1:19" x14ac:dyDescent="0.25">
      <c r="A2609" s="1">
        <v>2607</v>
      </c>
      <c r="B2609" t="str">
        <f>HYPERLINK("https://www.dasschnelle.at/wachter-iris-baden-peterhofgasse","Website")</f>
        <v>Website</v>
      </c>
      <c r="C2609" t="str">
        <f>HYPERLINK("http://www.institut-wachter.at","Website")</f>
        <v>Website</v>
      </c>
      <c r="D2609" t="str">
        <f>HYPERLINK("http://www.google.com/maps/place/48.04985,16.5117","Location")</f>
        <v>Location</v>
      </c>
      <c r="E2609" t="s">
        <v>22841</v>
      </c>
      <c r="F2609" t="s">
        <v>22842</v>
      </c>
      <c r="G2609" t="s">
        <v>1979</v>
      </c>
      <c r="H2609" t="s">
        <v>1980</v>
      </c>
      <c r="I2609" t="s">
        <v>177</v>
      </c>
      <c r="J2609" t="s">
        <v>22</v>
      </c>
      <c r="K2609" t="s">
        <v>22843</v>
      </c>
      <c r="L2609" t="s">
        <v>22846</v>
      </c>
      <c r="M2609" t="s">
        <v>25</v>
      </c>
      <c r="N2609" t="s">
        <v>22847</v>
      </c>
      <c r="O2609" t="s">
        <v>25</v>
      </c>
      <c r="P2609" t="s">
        <v>22848</v>
      </c>
      <c r="Q2609" t="s">
        <v>29</v>
      </c>
      <c r="R2609" t="s">
        <v>22844</v>
      </c>
      <c r="S2609" t="s">
        <v>22845</v>
      </c>
    </row>
    <row r="2610" spans="1:19" x14ac:dyDescent="0.25">
      <c r="A2610" s="1">
        <v>2608</v>
      </c>
      <c r="B2610" t="str">
        <f>HYPERLINK("https://www.dasschnelle.at/purr-kuno-frauental-an-der-laßnitz-grazer-straße","Website")</f>
        <v>Website</v>
      </c>
      <c r="C2610" t="str">
        <f>HYPERLINK("http://www.frauentalerhof.at","Website")</f>
        <v>Website</v>
      </c>
      <c r="D2610" t="str">
        <f>HYPERLINK("http://www.google.com/maps/place/46.82515,15.25543","Location")</f>
        <v>Location</v>
      </c>
      <c r="E2610" t="s">
        <v>22849</v>
      </c>
      <c r="F2610" t="s">
        <v>22850</v>
      </c>
      <c r="G2610" t="s">
        <v>2873</v>
      </c>
      <c r="H2610" t="s">
        <v>19583</v>
      </c>
      <c r="I2610" t="s">
        <v>451</v>
      </c>
      <c r="J2610" t="s">
        <v>22</v>
      </c>
      <c r="K2610" t="s">
        <v>22851</v>
      </c>
      <c r="L2610" t="s">
        <v>22854</v>
      </c>
      <c r="M2610" t="s">
        <v>25</v>
      </c>
      <c r="N2610" t="s">
        <v>22855</v>
      </c>
      <c r="O2610" t="s">
        <v>25</v>
      </c>
      <c r="P2610" t="s">
        <v>22856</v>
      </c>
      <c r="Q2610" t="s">
        <v>29</v>
      </c>
      <c r="R2610" t="s">
        <v>22852</v>
      </c>
      <c r="S2610" t="s">
        <v>22853</v>
      </c>
    </row>
    <row r="2611" spans="1:19" x14ac:dyDescent="0.25">
      <c r="A2611" s="1">
        <v>2609</v>
      </c>
      <c r="B2611" t="str">
        <f>HYPERLINK("https://www.dasschnelle.at/stigler-gmbh-steyr-enge-gasse","Website")</f>
        <v>Website</v>
      </c>
      <c r="C2611" t="str">
        <f>HYPERLINK("http://www.stigler.at","Website")</f>
        <v>Website</v>
      </c>
      <c r="D2611" t="str">
        <f>HYPERLINK("http://www.google.com/maps/place/48.04159,14.42091","Location")</f>
        <v>Location</v>
      </c>
      <c r="E2611" t="s">
        <v>22857</v>
      </c>
      <c r="F2611" t="s">
        <v>22858</v>
      </c>
      <c r="G2611" t="s">
        <v>95</v>
      </c>
      <c r="H2611" t="s">
        <v>96</v>
      </c>
      <c r="I2611" t="s">
        <v>85</v>
      </c>
      <c r="J2611" t="s">
        <v>22</v>
      </c>
      <c r="K2611" t="s">
        <v>22859</v>
      </c>
      <c r="L2611" t="s">
        <v>22862</v>
      </c>
      <c r="M2611" t="s">
        <v>25</v>
      </c>
      <c r="N2611" t="s">
        <v>22863</v>
      </c>
      <c r="O2611" t="s">
        <v>25</v>
      </c>
      <c r="P2611" t="s">
        <v>22864</v>
      </c>
      <c r="Q2611" t="s">
        <v>29</v>
      </c>
      <c r="R2611" t="s">
        <v>22860</v>
      </c>
      <c r="S2611" t="s">
        <v>22861</v>
      </c>
    </row>
    <row r="2612" spans="1:19" x14ac:dyDescent="0.25">
      <c r="A2612" s="1">
        <v>2610</v>
      </c>
      <c r="B2612" t="str">
        <f>HYPERLINK("https://www.dasschnelle.at/inh-mast-pölfing-brunn-hauptstraße","Website")</f>
        <v>Website</v>
      </c>
      <c r="C2612" t="str">
        <f>HYPERLINK("http://www.waffenundbogenstubn.at","Website")</f>
        <v>Website</v>
      </c>
      <c r="D2612" t="str">
        <f>HYPERLINK("http://www.google.com/maps/place/46.72696,15.28777","Location")</f>
        <v>Location</v>
      </c>
      <c r="E2612" t="s">
        <v>22865</v>
      </c>
      <c r="F2612" t="s">
        <v>22866</v>
      </c>
      <c r="G2612" t="s">
        <v>19504</v>
      </c>
      <c r="H2612" t="s">
        <v>22867</v>
      </c>
      <c r="I2612" t="s">
        <v>451</v>
      </c>
      <c r="J2612" t="s">
        <v>22</v>
      </c>
      <c r="K2612" t="s">
        <v>10457</v>
      </c>
      <c r="L2612" t="s">
        <v>22870</v>
      </c>
      <c r="M2612" t="s">
        <v>25</v>
      </c>
      <c r="N2612" t="s">
        <v>22871</v>
      </c>
      <c r="O2612" t="s">
        <v>25</v>
      </c>
      <c r="P2612" t="s">
        <v>22872</v>
      </c>
      <c r="Q2612" t="s">
        <v>29</v>
      </c>
      <c r="R2612" t="s">
        <v>22868</v>
      </c>
      <c r="S2612" t="s">
        <v>22869</v>
      </c>
    </row>
    <row r="2613" spans="1:19" x14ac:dyDescent="0.25">
      <c r="A2613" s="1">
        <v>2611</v>
      </c>
      <c r="B2613" t="str">
        <f>HYPERLINK("https://www.dasschnelle.at/hochleitner-rechtsanwälte-gmbh-eferding-kirchenplatz","Website")</f>
        <v>Website</v>
      </c>
      <c r="C2613" t="str">
        <f>HYPERLINK("http://www.iura.at","Website")</f>
        <v>Website</v>
      </c>
      <c r="D2613" t="str">
        <f>HYPERLINK("http://www.google.com/maps/place/48.3112800,14.0219700","Location")</f>
        <v>Location</v>
      </c>
      <c r="E2613" t="s">
        <v>22873</v>
      </c>
      <c r="F2613" t="s">
        <v>22874</v>
      </c>
      <c r="G2613" t="s">
        <v>3101</v>
      </c>
      <c r="H2613" t="s">
        <v>3102</v>
      </c>
      <c r="I2613" t="s">
        <v>85</v>
      </c>
      <c r="J2613" t="s">
        <v>22</v>
      </c>
      <c r="K2613" t="s">
        <v>22875</v>
      </c>
      <c r="L2613" t="s">
        <v>22878</v>
      </c>
      <c r="M2613" t="s">
        <v>25</v>
      </c>
      <c r="N2613" t="s">
        <v>22879</v>
      </c>
      <c r="O2613" t="s">
        <v>25</v>
      </c>
      <c r="P2613" t="s">
        <v>22880</v>
      </c>
      <c r="Q2613" t="s">
        <v>29</v>
      </c>
      <c r="R2613" t="s">
        <v>22876</v>
      </c>
      <c r="S2613" t="s">
        <v>22877</v>
      </c>
    </row>
    <row r="2614" spans="1:19" x14ac:dyDescent="0.25">
      <c r="A2614" s="1">
        <v>2612</v>
      </c>
      <c r="B2614" t="str">
        <f>HYPERLINK("https://www.dasschnelle.at/dr-gerhard-racz-oberwart-röntgengasse","Website")</f>
        <v>Website</v>
      </c>
      <c r="C2614" t="str">
        <f>HYPERLINK("http://www.internist-oberwart.at","Website")</f>
        <v>Website</v>
      </c>
      <c r="D2614" t="str">
        <f>HYPERLINK("http://www.google.com/maps/place/47.2804900,16.2016800","Location")</f>
        <v>Location</v>
      </c>
      <c r="E2614" t="s">
        <v>22881</v>
      </c>
      <c r="F2614" t="s">
        <v>22882</v>
      </c>
      <c r="G2614" t="s">
        <v>20126</v>
      </c>
      <c r="H2614" t="s">
        <v>20127</v>
      </c>
      <c r="I2614" t="s">
        <v>1834</v>
      </c>
      <c r="J2614" t="s">
        <v>22</v>
      </c>
      <c r="K2614" t="s">
        <v>22883</v>
      </c>
      <c r="L2614" t="s">
        <v>22884</v>
      </c>
      <c r="M2614" t="s">
        <v>25</v>
      </c>
      <c r="N2614" t="s">
        <v>25</v>
      </c>
      <c r="O2614" t="s">
        <v>25</v>
      </c>
      <c r="P2614" t="s">
        <v>22885</v>
      </c>
      <c r="Q2614" t="s">
        <v>29</v>
      </c>
      <c r="R2614" t="s">
        <v>20128</v>
      </c>
      <c r="S2614" t="s">
        <v>20129</v>
      </c>
    </row>
    <row r="2615" spans="1:19" x14ac:dyDescent="0.25">
      <c r="A2615" s="1">
        <v>2613</v>
      </c>
      <c r="B2615" t="str">
        <f>HYPERLINK("https://www.dasschnelle.at/autohaus-forster-braunau-am-inn-untere-hofmark","Website")</f>
        <v>Website</v>
      </c>
      <c r="C2615" t="str">
        <f>HYPERLINK("http://www.autohaus-forster.at","Website")</f>
        <v>Website</v>
      </c>
      <c r="D2615" t="str">
        <f>HYPERLINK("http://www.google.com/maps/place/48.23375,13.01576","Location")</f>
        <v>Location</v>
      </c>
      <c r="E2615" t="s">
        <v>22886</v>
      </c>
      <c r="F2615" t="s">
        <v>22887</v>
      </c>
      <c r="G2615" t="s">
        <v>22889</v>
      </c>
      <c r="H2615" t="s">
        <v>1310</v>
      </c>
      <c r="I2615" t="s">
        <v>85</v>
      </c>
      <c r="J2615" t="s">
        <v>22</v>
      </c>
      <c r="K2615" t="s">
        <v>22888</v>
      </c>
      <c r="L2615" t="s">
        <v>22892</v>
      </c>
      <c r="M2615" t="s">
        <v>25</v>
      </c>
      <c r="N2615" t="s">
        <v>22893</v>
      </c>
      <c r="O2615" t="s">
        <v>25</v>
      </c>
      <c r="P2615" t="s">
        <v>22894</v>
      </c>
      <c r="Q2615" t="s">
        <v>29</v>
      </c>
      <c r="R2615" t="s">
        <v>22890</v>
      </c>
      <c r="S2615" t="s">
        <v>22891</v>
      </c>
    </row>
    <row r="2616" spans="1:19" x14ac:dyDescent="0.25">
      <c r="A2616" s="1">
        <v>2614</v>
      </c>
      <c r="B2616" t="str">
        <f>HYPERLINK("https://www.dasschnelle.at/esterbauer-franz-scheuhub-scheuhub","Website")</f>
        <v>Website</v>
      </c>
      <c r="C2616" t="str">
        <f>HYPERLINK("http://www.haustechnik-esterbauer.at","Website")</f>
        <v>Website</v>
      </c>
      <c r="D2616" t="str">
        <f>HYPERLINK("http://www.google.com/maps/place/48.2279924,12.9998984","Location")</f>
        <v>Location</v>
      </c>
      <c r="E2616" t="s">
        <v>22895</v>
      </c>
      <c r="F2616" t="s">
        <v>22896</v>
      </c>
      <c r="G2616" t="s">
        <v>22889</v>
      </c>
      <c r="H2616" t="s">
        <v>22898</v>
      </c>
      <c r="I2616" t="s">
        <v>85</v>
      </c>
      <c r="J2616" t="s">
        <v>22</v>
      </c>
      <c r="K2616" t="s">
        <v>22897</v>
      </c>
      <c r="L2616" t="s">
        <v>22901</v>
      </c>
      <c r="M2616" t="s">
        <v>25</v>
      </c>
      <c r="N2616" t="s">
        <v>22902</v>
      </c>
      <c r="O2616" t="s">
        <v>25</v>
      </c>
      <c r="P2616" t="s">
        <v>22903</v>
      </c>
      <c r="Q2616" t="s">
        <v>29</v>
      </c>
      <c r="R2616" t="s">
        <v>22899</v>
      </c>
      <c r="S2616" t="s">
        <v>22900</v>
      </c>
    </row>
    <row r="2617" spans="1:19" x14ac:dyDescent="0.25">
      <c r="A2617" s="1">
        <v>2615</v>
      </c>
      <c r="B2617" t="str">
        <f>HYPERLINK("https://www.dasschnelle.at/forthuber-matthias-e-u-uttendorf-steinbruch","Website")</f>
        <v>Website</v>
      </c>
      <c r="C2617" t="str">
        <f>HYPERLINK("http://www.auto-forthuber.at","Website")</f>
        <v>Website</v>
      </c>
      <c r="D2617" t="str">
        <f>HYPERLINK("http://www.google.com/maps/place/48.1586538,13.1175776","Location")</f>
        <v>Location</v>
      </c>
      <c r="E2617" t="s">
        <v>22904</v>
      </c>
      <c r="F2617" t="s">
        <v>22905</v>
      </c>
      <c r="G2617" t="s">
        <v>1328</v>
      </c>
      <c r="H2617" t="s">
        <v>1329</v>
      </c>
      <c r="I2617" t="s">
        <v>85</v>
      </c>
      <c r="J2617" t="s">
        <v>22</v>
      </c>
      <c r="K2617" t="s">
        <v>22906</v>
      </c>
      <c r="L2617" t="s">
        <v>22909</v>
      </c>
      <c r="M2617" t="s">
        <v>25</v>
      </c>
      <c r="N2617" t="s">
        <v>22910</v>
      </c>
      <c r="O2617" t="s">
        <v>25</v>
      </c>
      <c r="P2617" t="s">
        <v>22911</v>
      </c>
      <c r="Q2617" t="s">
        <v>29</v>
      </c>
      <c r="R2617" t="s">
        <v>22907</v>
      </c>
      <c r="S2617" t="s">
        <v>22908</v>
      </c>
    </row>
    <row r="2618" spans="1:19" x14ac:dyDescent="0.25">
      <c r="A2618" s="1">
        <v>2616</v>
      </c>
      <c r="B2618" t="str">
        <f>HYPERLINK("https://www.dasschnelle.at/e-technik-pabinger-gmbh-oberndorf-bei-salzburg-gaisbergstraße","Website")</f>
        <v>Website</v>
      </c>
      <c r="C2618" t="str">
        <f>HYPERLINK("http://www.etechnik.at","Website")</f>
        <v>Website</v>
      </c>
      <c r="D2618" t="str">
        <f>HYPERLINK("http://www.google.com/maps/place/47.93872,12.94372","Location")</f>
        <v>Location</v>
      </c>
      <c r="E2618" t="s">
        <v>22912</v>
      </c>
      <c r="F2618" t="s">
        <v>22913</v>
      </c>
      <c r="G2618" t="s">
        <v>12780</v>
      </c>
      <c r="H2618" t="s">
        <v>12781</v>
      </c>
      <c r="I2618" t="s">
        <v>2239</v>
      </c>
      <c r="J2618" t="s">
        <v>22</v>
      </c>
      <c r="K2618" t="s">
        <v>22914</v>
      </c>
      <c r="L2618" t="s">
        <v>22917</v>
      </c>
      <c r="M2618" t="s">
        <v>25</v>
      </c>
      <c r="N2618" t="s">
        <v>22918</v>
      </c>
      <c r="O2618" t="s">
        <v>25</v>
      </c>
      <c r="P2618" t="s">
        <v>22919</v>
      </c>
      <c r="Q2618" t="s">
        <v>29</v>
      </c>
      <c r="R2618" t="s">
        <v>22915</v>
      </c>
      <c r="S2618" t="s">
        <v>22916</v>
      </c>
    </row>
    <row r="2619" spans="1:19" x14ac:dyDescent="0.25">
      <c r="A2619" s="1">
        <v>2617</v>
      </c>
      <c r="B2619" t="str">
        <f>HYPERLINK("https://www.dasschnelle.at/friseurstudio-stefanie-hainke-bürmoos-ignaz-glaser-straße","Website")</f>
        <v>Website</v>
      </c>
      <c r="C2619" t="str">
        <f>HYPERLINK("https://www.dasschnelle.at/friseurstudio-stefanie-hainke-b%C3%BCrmoos-ignaz-glaser-stra%C3%9Fe","Website")</f>
        <v>Website</v>
      </c>
      <c r="D2619" t="str">
        <f>HYPERLINK("http://www.google.com/maps/place/47.98267,12.92232","Location")</f>
        <v>Location</v>
      </c>
      <c r="E2619" t="s">
        <v>22920</v>
      </c>
      <c r="F2619" t="s">
        <v>22921</v>
      </c>
      <c r="G2619" t="s">
        <v>22723</v>
      </c>
      <c r="H2619" t="s">
        <v>22724</v>
      </c>
      <c r="I2619" t="s">
        <v>2239</v>
      </c>
      <c r="J2619" t="s">
        <v>22</v>
      </c>
      <c r="K2619" t="s">
        <v>22922</v>
      </c>
      <c r="L2619" t="s">
        <v>22925</v>
      </c>
      <c r="M2619" t="s">
        <v>25</v>
      </c>
      <c r="N2619" t="s">
        <v>22926</v>
      </c>
      <c r="O2619" t="s">
        <v>25</v>
      </c>
      <c r="P2619" t="s">
        <v>22927</v>
      </c>
      <c r="Q2619" t="s">
        <v>29</v>
      </c>
      <c r="R2619" t="s">
        <v>22923</v>
      </c>
      <c r="S2619" t="s">
        <v>22924</v>
      </c>
    </row>
    <row r="2620" spans="1:19" x14ac:dyDescent="0.25">
      <c r="A2620" s="1">
        <v>2618</v>
      </c>
      <c r="B2620" t="str">
        <f>HYPERLINK("https://www.dasschnelle.at/eder-martin-lamprechtshausen-hauptstraße","Website")</f>
        <v>Website</v>
      </c>
      <c r="C2620" t="str">
        <f>HYPERLINK("http://www.garten-forst.at/","Website")</f>
        <v>Website</v>
      </c>
      <c r="D2620" t="str">
        <f>HYPERLINK("http://www.google.com/maps/place/47.99164,12.95635","Location")</f>
        <v>Location</v>
      </c>
      <c r="E2620" t="s">
        <v>22928</v>
      </c>
      <c r="F2620" t="s">
        <v>22929</v>
      </c>
      <c r="G2620" t="s">
        <v>9277</v>
      </c>
      <c r="H2620" t="s">
        <v>9278</v>
      </c>
      <c r="I2620" t="s">
        <v>2239</v>
      </c>
      <c r="J2620" t="s">
        <v>22</v>
      </c>
      <c r="K2620" t="s">
        <v>22930</v>
      </c>
      <c r="L2620" t="s">
        <v>22931</v>
      </c>
      <c r="M2620" t="s">
        <v>25</v>
      </c>
      <c r="N2620" t="s">
        <v>22932</v>
      </c>
      <c r="O2620" t="s">
        <v>25</v>
      </c>
      <c r="P2620" t="s">
        <v>22933</v>
      </c>
      <c r="Q2620" t="s">
        <v>29</v>
      </c>
      <c r="R2620" t="s">
        <v>12790</v>
      </c>
      <c r="S2620" t="s">
        <v>12791</v>
      </c>
    </row>
    <row r="2621" spans="1:19" x14ac:dyDescent="0.25">
      <c r="A2621" s="1">
        <v>2619</v>
      </c>
      <c r="B2621" t="str">
        <f>HYPERLINK("https://www.dasschnelle.at/baumarkt-maier-gmbh-sankt-georgen-bei-salzburg-wetterkreuzstraße","Website")</f>
        <v>Website</v>
      </c>
      <c r="C2621" t="str">
        <f>HYPERLINK("http://www.baumarkt-maier.at","Website")</f>
        <v>Website</v>
      </c>
      <c r="D2621" t="str">
        <f>HYPERLINK("http://www.google.com/maps/place/47.97616,12.88356","Location")</f>
        <v>Location</v>
      </c>
      <c r="E2621" t="s">
        <v>22934</v>
      </c>
      <c r="F2621" t="s">
        <v>22935</v>
      </c>
      <c r="G2621" t="s">
        <v>9266</v>
      </c>
      <c r="H2621" t="s">
        <v>9267</v>
      </c>
      <c r="I2621" t="s">
        <v>2239</v>
      </c>
      <c r="J2621" t="s">
        <v>22</v>
      </c>
      <c r="K2621" t="s">
        <v>22936</v>
      </c>
      <c r="L2621" t="s">
        <v>25</v>
      </c>
      <c r="M2621" t="s">
        <v>22939</v>
      </c>
      <c r="N2621" t="s">
        <v>22940</v>
      </c>
      <c r="O2621" t="s">
        <v>25</v>
      </c>
      <c r="P2621" t="s">
        <v>22941</v>
      </c>
      <c r="Q2621" t="s">
        <v>29</v>
      </c>
      <c r="R2621" t="s">
        <v>22937</v>
      </c>
      <c r="S2621" t="s">
        <v>22938</v>
      </c>
    </row>
    <row r="2622" spans="1:19" x14ac:dyDescent="0.25">
      <c r="A2622" s="1">
        <v>2620</v>
      </c>
      <c r="B2622" t="str">
        <f>HYPERLINK("https://www.dasschnelle.at/raumausstattung-hametner-gmbh-steyr-seitenstettner-straße","Website")</f>
        <v>Website</v>
      </c>
      <c r="C2622" t="str">
        <f>HYPERLINK("http://www.raumausstattung-hametner.at","Website")</f>
        <v>Website</v>
      </c>
      <c r="D2622" t="str">
        <f>HYPERLINK("http://www.google.com/maps/place/48.0454,14.44747","Location")</f>
        <v>Location</v>
      </c>
      <c r="E2622" t="s">
        <v>22942</v>
      </c>
      <c r="F2622" t="s">
        <v>22943</v>
      </c>
      <c r="G2622" t="s">
        <v>95</v>
      </c>
      <c r="H2622" t="s">
        <v>96</v>
      </c>
      <c r="I2622" t="s">
        <v>85</v>
      </c>
      <c r="J2622" t="s">
        <v>22</v>
      </c>
      <c r="K2622" t="s">
        <v>22944</v>
      </c>
      <c r="L2622" t="s">
        <v>22946</v>
      </c>
      <c r="M2622" t="s">
        <v>25</v>
      </c>
      <c r="N2622" t="s">
        <v>22947</v>
      </c>
      <c r="O2622" t="s">
        <v>25</v>
      </c>
      <c r="P2622" t="s">
        <v>22948</v>
      </c>
      <c r="Q2622" t="s">
        <v>29</v>
      </c>
      <c r="R2622" t="s">
        <v>10925</v>
      </c>
      <c r="S2622" t="s">
        <v>22945</v>
      </c>
    </row>
    <row r="2623" spans="1:19" x14ac:dyDescent="0.25">
      <c r="A2623" s="1">
        <v>2621</v>
      </c>
      <c r="B2623" t="str">
        <f>HYPERLINK("https://www.dasschnelle.at/taxi-huemer-steyr-leopoldgasse","Website")</f>
        <v>Website</v>
      </c>
      <c r="C2623" t="str">
        <f>HYPERLINK("https://www.dasschnelle.at/taxi-huemer-steyr-leopoldgasse","Website")</f>
        <v>Website</v>
      </c>
      <c r="D2623" t="str">
        <f>HYPERLINK("http://www.google.com/maps/place/48.04093,14.40662","Location")</f>
        <v>Location</v>
      </c>
      <c r="E2623" t="s">
        <v>22949</v>
      </c>
      <c r="F2623" t="s">
        <v>22950</v>
      </c>
      <c r="G2623" t="s">
        <v>95</v>
      </c>
      <c r="H2623" t="s">
        <v>96</v>
      </c>
      <c r="I2623" t="s">
        <v>85</v>
      </c>
      <c r="J2623" t="s">
        <v>22</v>
      </c>
      <c r="K2623" t="s">
        <v>22951</v>
      </c>
      <c r="L2623" t="s">
        <v>22954</v>
      </c>
      <c r="M2623" t="s">
        <v>25</v>
      </c>
      <c r="N2623" t="s">
        <v>22955</v>
      </c>
      <c r="O2623" t="s">
        <v>25</v>
      </c>
      <c r="P2623" t="s">
        <v>22956</v>
      </c>
      <c r="Q2623" t="s">
        <v>29</v>
      </c>
      <c r="R2623" t="s">
        <v>22952</v>
      </c>
      <c r="S2623" t="s">
        <v>22953</v>
      </c>
    </row>
    <row r="2624" spans="1:19" x14ac:dyDescent="0.25">
      <c r="A2624" s="1">
        <v>2622</v>
      </c>
      <c r="B2624" t="str">
        <f>HYPERLINK("https://www.dasschnelle.at/stöllnberger-gmbh-losenstein-industriegebiet","Website")</f>
        <v>Website</v>
      </c>
      <c r="C2624" t="str">
        <f>HYPERLINK("http://www.stoellnberger.com","Website")</f>
        <v>Website</v>
      </c>
      <c r="D2624" t="str">
        <f>HYPERLINK("http://www.google.com/maps/place/47.93029,14.40486","Location")</f>
        <v>Location</v>
      </c>
      <c r="E2624" t="s">
        <v>22957</v>
      </c>
      <c r="F2624" t="s">
        <v>22958</v>
      </c>
      <c r="G2624" t="s">
        <v>105</v>
      </c>
      <c r="H2624" t="s">
        <v>106</v>
      </c>
      <c r="I2624" t="s">
        <v>85</v>
      </c>
      <c r="J2624" t="s">
        <v>22</v>
      </c>
      <c r="K2624" t="s">
        <v>22959</v>
      </c>
      <c r="L2624" t="s">
        <v>22962</v>
      </c>
      <c r="M2624" t="s">
        <v>22963</v>
      </c>
      <c r="N2624" t="s">
        <v>22964</v>
      </c>
      <c r="O2624" t="s">
        <v>25</v>
      </c>
      <c r="P2624" t="s">
        <v>22965</v>
      </c>
      <c r="Q2624" t="s">
        <v>29</v>
      </c>
      <c r="R2624" t="s">
        <v>22960</v>
      </c>
      <c r="S2624" t="s">
        <v>22961</v>
      </c>
    </row>
    <row r="2625" spans="1:19" x14ac:dyDescent="0.25">
      <c r="A2625" s="1">
        <v>2623</v>
      </c>
      <c r="B2625" t="str">
        <f>HYPERLINK("https://www.dasschnelle.at/haustechnik-pusch-gmbh-haibach-ob-der-donau-moos","Website")</f>
        <v>Website</v>
      </c>
      <c r="C2625" t="str">
        <f>HYPERLINK("http://www.haustechnik-pusch.at","Website")</f>
        <v>Website</v>
      </c>
      <c r="D2625" t="str">
        <f>HYPERLINK("http://www.google.com/maps/place/48.4058008,13.8977435","Location")</f>
        <v>Location</v>
      </c>
      <c r="E2625" t="s">
        <v>22966</v>
      </c>
      <c r="F2625" t="s">
        <v>22967</v>
      </c>
      <c r="G2625" t="s">
        <v>3156</v>
      </c>
      <c r="H2625" t="s">
        <v>3157</v>
      </c>
      <c r="I2625" t="s">
        <v>85</v>
      </c>
      <c r="J2625" t="s">
        <v>22</v>
      </c>
      <c r="K2625" t="s">
        <v>22968</v>
      </c>
      <c r="L2625" t="s">
        <v>22971</v>
      </c>
      <c r="M2625" t="s">
        <v>25</v>
      </c>
      <c r="N2625" t="s">
        <v>22972</v>
      </c>
      <c r="O2625" t="s">
        <v>22973</v>
      </c>
      <c r="P2625" t="s">
        <v>697</v>
      </c>
      <c r="Q2625" t="s">
        <v>29</v>
      </c>
      <c r="R2625" t="s">
        <v>22969</v>
      </c>
      <c r="S2625" t="s">
        <v>22970</v>
      </c>
    </row>
    <row r="2626" spans="1:19" x14ac:dyDescent="0.25">
      <c r="A2626" s="1">
        <v>2624</v>
      </c>
      <c r="B2626" t="str">
        <f>HYPERLINK("https://www.dasschnelle.at/rausch-christian-michaelbeuern-michaelbeuern","Website")</f>
        <v>Website</v>
      </c>
      <c r="C2626" t="str">
        <f>HYPERLINK("http://installationen-rausch.at/home.html#top","Website")</f>
        <v>Website</v>
      </c>
      <c r="D2626" t="str">
        <f>HYPERLINK("http://www.google.com/maps/place/48.0195453,13.0257257","Location")</f>
        <v>Location</v>
      </c>
      <c r="E2626" t="s">
        <v>22974</v>
      </c>
      <c r="F2626" t="s">
        <v>22975</v>
      </c>
      <c r="G2626" t="s">
        <v>22977</v>
      </c>
      <c r="H2626" t="s">
        <v>22978</v>
      </c>
      <c r="I2626" t="s">
        <v>2239</v>
      </c>
      <c r="J2626" t="s">
        <v>22</v>
      </c>
      <c r="K2626" t="s">
        <v>22976</v>
      </c>
      <c r="L2626" t="s">
        <v>22981</v>
      </c>
      <c r="M2626" t="s">
        <v>25</v>
      </c>
      <c r="N2626" t="s">
        <v>22982</v>
      </c>
      <c r="O2626" t="s">
        <v>25</v>
      </c>
      <c r="P2626" t="s">
        <v>22983</v>
      </c>
      <c r="Q2626" t="s">
        <v>29</v>
      </c>
      <c r="R2626" t="s">
        <v>22979</v>
      </c>
      <c r="S2626" t="s">
        <v>22980</v>
      </c>
    </row>
    <row r="2627" spans="1:19" x14ac:dyDescent="0.25">
      <c r="A2627" s="1">
        <v>2625</v>
      </c>
      <c r="B2627" t="str">
        <f>HYPERLINK("https://www.dasschnelle.at/riedl-gase-gmbh-ternberg-redlgutstraße","Website")</f>
        <v>Website</v>
      </c>
      <c r="C2627" t="str">
        <f>HYPERLINK("http://www.riedl-gas.at","Website")</f>
        <v>Website</v>
      </c>
      <c r="D2627" t="str">
        <f>HYPERLINK("http://www.google.com/maps/place/47.94577,14.32966","Location")</f>
        <v>Location</v>
      </c>
      <c r="E2627" t="s">
        <v>22984</v>
      </c>
      <c r="F2627" t="s">
        <v>22985</v>
      </c>
      <c r="G2627" t="s">
        <v>9064</v>
      </c>
      <c r="H2627" t="s">
        <v>9065</v>
      </c>
      <c r="I2627" t="s">
        <v>85</v>
      </c>
      <c r="J2627" t="s">
        <v>22</v>
      </c>
      <c r="K2627" t="s">
        <v>22986</v>
      </c>
      <c r="L2627" t="s">
        <v>22989</v>
      </c>
      <c r="M2627" t="s">
        <v>25</v>
      </c>
      <c r="N2627" t="s">
        <v>22990</v>
      </c>
      <c r="O2627" t="s">
        <v>22991</v>
      </c>
      <c r="P2627" t="s">
        <v>22992</v>
      </c>
      <c r="Q2627" t="s">
        <v>29</v>
      </c>
      <c r="R2627" t="s">
        <v>22987</v>
      </c>
      <c r="S2627" t="s">
        <v>22988</v>
      </c>
    </row>
    <row r="2628" spans="1:19" x14ac:dyDescent="0.25">
      <c r="A2628" s="1">
        <v>2626</v>
      </c>
      <c r="B2628" t="str">
        <f>HYPERLINK("https://www.dasschnelle.at/fuchs-rohrtechnik-und-service-gmbh-laussa-brunngraben","Website")</f>
        <v>Website</v>
      </c>
      <c r="C2628" t="str">
        <f>HYPERLINK("http://www.rohrtechnik-fuchs.at","Website")</f>
        <v>Website</v>
      </c>
      <c r="D2628" t="str">
        <f>HYPERLINK("http://www.google.com/maps/place/47.95187,14.41941","Location")</f>
        <v>Location</v>
      </c>
      <c r="E2628" t="s">
        <v>22993</v>
      </c>
      <c r="F2628" t="s">
        <v>22994</v>
      </c>
      <c r="G2628" t="s">
        <v>262</v>
      </c>
      <c r="H2628" t="s">
        <v>263</v>
      </c>
      <c r="I2628" t="s">
        <v>85</v>
      </c>
      <c r="J2628" t="s">
        <v>22</v>
      </c>
      <c r="K2628" t="s">
        <v>22995</v>
      </c>
      <c r="L2628" t="s">
        <v>22998</v>
      </c>
      <c r="M2628" t="s">
        <v>25</v>
      </c>
      <c r="N2628" t="s">
        <v>22999</v>
      </c>
      <c r="O2628" t="s">
        <v>25</v>
      </c>
      <c r="P2628" t="s">
        <v>23000</v>
      </c>
      <c r="Q2628" t="s">
        <v>29</v>
      </c>
      <c r="R2628" t="s">
        <v>22996</v>
      </c>
      <c r="S2628" t="s">
        <v>22997</v>
      </c>
    </row>
    <row r="2629" spans="1:19" x14ac:dyDescent="0.25">
      <c r="A2629" s="1">
        <v>2627</v>
      </c>
      <c r="B2629" t="str">
        <f>HYPERLINK("https://www.dasschnelle.at/kerbl-gmbh-reichraming-messingstraße","Website")</f>
        <v>Website</v>
      </c>
      <c r="C2629" t="str">
        <f>HYPERLINK("http://www.elektrokerbl.at","Website")</f>
        <v>Website</v>
      </c>
      <c r="D2629" t="str">
        <f>HYPERLINK("http://www.google.com/maps/place/47.89022,14.46034","Location")</f>
        <v>Location</v>
      </c>
      <c r="E2629" t="s">
        <v>23001</v>
      </c>
      <c r="F2629" t="s">
        <v>23002</v>
      </c>
      <c r="G2629" t="s">
        <v>83</v>
      </c>
      <c r="H2629" t="s">
        <v>84</v>
      </c>
      <c r="I2629" t="s">
        <v>85</v>
      </c>
      <c r="J2629" t="s">
        <v>22</v>
      </c>
      <c r="K2629" t="s">
        <v>23003</v>
      </c>
      <c r="L2629" t="s">
        <v>23006</v>
      </c>
      <c r="M2629" t="s">
        <v>25</v>
      </c>
      <c r="N2629" t="s">
        <v>23007</v>
      </c>
      <c r="O2629" t="s">
        <v>25</v>
      </c>
      <c r="P2629" t="s">
        <v>23008</v>
      </c>
      <c r="Q2629" t="s">
        <v>29</v>
      </c>
      <c r="R2629" t="s">
        <v>23004</v>
      </c>
      <c r="S2629" t="s">
        <v>23005</v>
      </c>
    </row>
    <row r="2630" spans="1:19" x14ac:dyDescent="0.25">
      <c r="A2630" s="1">
        <v>2628</v>
      </c>
      <c r="B2630" t="str">
        <f>HYPERLINK("https://www.dasschnelle.at/merzinger-walter-sankt-georgen-bei-salzburg-wetterkreuzstraße","Website")</f>
        <v>Website</v>
      </c>
      <c r="C2630" t="str">
        <f>HYPERLINK("http://www.landmetzgerei-merzinger.at","Website")</f>
        <v>Website</v>
      </c>
      <c r="D2630" t="str">
        <f>HYPERLINK("http://www.google.com/maps/place/47.97652,12.88338","Location")</f>
        <v>Location</v>
      </c>
      <c r="E2630" t="s">
        <v>23009</v>
      </c>
      <c r="F2630" t="s">
        <v>23010</v>
      </c>
      <c r="G2630" t="s">
        <v>9266</v>
      </c>
      <c r="H2630" t="s">
        <v>9267</v>
      </c>
      <c r="I2630" t="s">
        <v>2239</v>
      </c>
      <c r="J2630" t="s">
        <v>22</v>
      </c>
      <c r="K2630" t="s">
        <v>23011</v>
      </c>
      <c r="L2630" t="s">
        <v>23014</v>
      </c>
      <c r="M2630" t="s">
        <v>25</v>
      </c>
      <c r="N2630" t="s">
        <v>23015</v>
      </c>
      <c r="O2630" t="s">
        <v>25</v>
      </c>
      <c r="P2630" t="s">
        <v>23016</v>
      </c>
      <c r="Q2630" t="s">
        <v>29</v>
      </c>
      <c r="R2630" t="s">
        <v>23012</v>
      </c>
      <c r="S2630" t="s">
        <v>23013</v>
      </c>
    </row>
    <row r="2631" spans="1:19" x14ac:dyDescent="0.25">
      <c r="A2631" s="1">
        <v>2629</v>
      </c>
      <c r="B2631" t="str">
        <f>HYPERLINK("https://www.dasschnelle.at/fugger-andrea-mag-baden-hofackergasse","Website")</f>
        <v>Website</v>
      </c>
      <c r="C2631" t="str">
        <f>HYPERLINK("https://www.dasschnelle.at/fugger-andrea-mag-baden-hofackergasse","Website")</f>
        <v>Website</v>
      </c>
      <c r="D2631" t="str">
        <f>HYPERLINK("http://www.google.com/maps/place/48.0049,16.25673","Location")</f>
        <v>Location</v>
      </c>
      <c r="E2631" t="s">
        <v>23017</v>
      </c>
      <c r="F2631" t="s">
        <v>23018</v>
      </c>
      <c r="G2631" t="s">
        <v>1979</v>
      </c>
      <c r="H2631" t="s">
        <v>1980</v>
      </c>
      <c r="I2631" t="s">
        <v>177</v>
      </c>
      <c r="J2631" t="s">
        <v>22</v>
      </c>
      <c r="K2631" t="s">
        <v>23019</v>
      </c>
      <c r="L2631" t="s">
        <v>23022</v>
      </c>
      <c r="M2631" t="s">
        <v>25</v>
      </c>
      <c r="N2631" t="s">
        <v>23023</v>
      </c>
      <c r="O2631" t="s">
        <v>25</v>
      </c>
      <c r="P2631" t="s">
        <v>23024</v>
      </c>
      <c r="Q2631" t="s">
        <v>29</v>
      </c>
      <c r="R2631" t="s">
        <v>23020</v>
      </c>
      <c r="S2631" t="s">
        <v>23021</v>
      </c>
    </row>
    <row r="2632" spans="1:19" x14ac:dyDescent="0.25">
      <c r="A2632" s="1">
        <v>2630</v>
      </c>
      <c r="B2632" t="str">
        <f>HYPERLINK("https://www.dasschnelle.at/wiesenberger-helmut-gmunden-bräuhausstrasse","Website")</f>
        <v>Website</v>
      </c>
      <c r="C2632" t="str">
        <f>HYPERLINK("http://www.traunsee-glas.at","Website")</f>
        <v>Website</v>
      </c>
      <c r="D2632" t="str">
        <f>HYPERLINK("http://www.google.com/maps/place/47.9284200,13.7975600","Location")</f>
        <v>Location</v>
      </c>
      <c r="E2632" t="s">
        <v>23025</v>
      </c>
      <c r="F2632" t="s">
        <v>23026</v>
      </c>
      <c r="G2632" t="s">
        <v>6951</v>
      </c>
      <c r="H2632" t="s">
        <v>6952</v>
      </c>
      <c r="I2632" t="s">
        <v>85</v>
      </c>
      <c r="J2632" t="s">
        <v>22</v>
      </c>
      <c r="K2632" t="s">
        <v>23027</v>
      </c>
      <c r="L2632" t="s">
        <v>23030</v>
      </c>
      <c r="M2632" t="s">
        <v>25</v>
      </c>
      <c r="N2632" t="s">
        <v>23031</v>
      </c>
      <c r="O2632" t="s">
        <v>25</v>
      </c>
      <c r="P2632" t="s">
        <v>23032</v>
      </c>
      <c r="Q2632" t="s">
        <v>29</v>
      </c>
      <c r="R2632" t="s">
        <v>23028</v>
      </c>
      <c r="S2632" t="s">
        <v>23029</v>
      </c>
    </row>
    <row r="2633" spans="1:19" x14ac:dyDescent="0.25">
      <c r="A2633" s="1">
        <v>2631</v>
      </c>
      <c r="B2633" t="str">
        <f>HYPERLINK("https://www.dasschnelle.at/mein-friseur-gmunden-bahnhofstraße","Website")</f>
        <v>Website</v>
      </c>
      <c r="C2633" t="str">
        <f>HYPERLINK("http://www.meinfriseur-gmunden.at","Website")</f>
        <v>Website</v>
      </c>
      <c r="D2633" t="str">
        <f>HYPERLINK("http://www.google.com/maps/place/47.9251000,13.7875900","Location")</f>
        <v>Location</v>
      </c>
      <c r="E2633" t="s">
        <v>23033</v>
      </c>
      <c r="F2633" t="s">
        <v>23034</v>
      </c>
      <c r="G2633" t="s">
        <v>6951</v>
      </c>
      <c r="H2633" t="s">
        <v>6952</v>
      </c>
      <c r="I2633" t="s">
        <v>85</v>
      </c>
      <c r="J2633" t="s">
        <v>22</v>
      </c>
      <c r="K2633" t="s">
        <v>23035</v>
      </c>
      <c r="L2633" t="s">
        <v>23038</v>
      </c>
      <c r="M2633" t="s">
        <v>25</v>
      </c>
      <c r="N2633" t="s">
        <v>23039</v>
      </c>
      <c r="O2633" t="s">
        <v>25</v>
      </c>
      <c r="P2633" t="s">
        <v>23040</v>
      </c>
      <c r="Q2633" t="s">
        <v>29</v>
      </c>
      <c r="R2633" t="s">
        <v>23036</v>
      </c>
      <c r="S2633" t="s">
        <v>23037</v>
      </c>
    </row>
    <row r="2634" spans="1:19" x14ac:dyDescent="0.25">
      <c r="A2634" s="1">
        <v>2632</v>
      </c>
      <c r="B2634" t="str">
        <f>HYPERLINK("https://www.dasschnelle.at/leitner-manfred-laakirchen-dr-wimberger-straße","Website")</f>
        <v>Website</v>
      </c>
      <c r="C2634" t="str">
        <f>HYPERLINK("http://www.bestattung-leitner.at","Website")</f>
        <v>Website</v>
      </c>
      <c r="D2634" t="str">
        <f>HYPERLINK("http://www.google.com/maps/place/47.97962,13.82888","Location")</f>
        <v>Location</v>
      </c>
      <c r="E2634" t="s">
        <v>23041</v>
      </c>
      <c r="F2634" t="s">
        <v>23042</v>
      </c>
      <c r="G2634" t="s">
        <v>7025</v>
      </c>
      <c r="H2634" t="s">
        <v>6991</v>
      </c>
      <c r="I2634" t="s">
        <v>85</v>
      </c>
      <c r="J2634" t="s">
        <v>22</v>
      </c>
      <c r="K2634" t="s">
        <v>23043</v>
      </c>
      <c r="L2634" t="s">
        <v>23046</v>
      </c>
      <c r="M2634" t="s">
        <v>25</v>
      </c>
      <c r="N2634" t="s">
        <v>23047</v>
      </c>
      <c r="O2634" t="s">
        <v>25</v>
      </c>
      <c r="P2634" t="s">
        <v>23048</v>
      </c>
      <c r="Q2634" t="s">
        <v>29</v>
      </c>
      <c r="R2634" t="s">
        <v>23044</v>
      </c>
      <c r="S2634" t="s">
        <v>23045</v>
      </c>
    </row>
    <row r="2635" spans="1:19" x14ac:dyDescent="0.25">
      <c r="A2635" s="1">
        <v>2633</v>
      </c>
      <c r="B2635" t="str">
        <f>HYPERLINK("https://www.dasschnelle.at/tui-austria-holding-gmbh-gmunden-am-graben","Website")</f>
        <v>Website</v>
      </c>
      <c r="C2635" t="str">
        <f>HYPERLINK("http://www.tui-reisecenter.at","Website")</f>
        <v>Website</v>
      </c>
      <c r="D2635" t="str">
        <f>HYPERLINK("http://www.google.com/maps/place/47.9187,13.79835","Location")</f>
        <v>Location</v>
      </c>
      <c r="E2635" t="s">
        <v>23049</v>
      </c>
      <c r="F2635" t="s">
        <v>23050</v>
      </c>
      <c r="G2635" t="s">
        <v>6951</v>
      </c>
      <c r="H2635" t="s">
        <v>6952</v>
      </c>
      <c r="I2635" t="s">
        <v>85</v>
      </c>
      <c r="J2635" t="s">
        <v>22</v>
      </c>
      <c r="K2635" t="s">
        <v>23051</v>
      </c>
      <c r="L2635" t="s">
        <v>23054</v>
      </c>
      <c r="M2635" t="s">
        <v>25</v>
      </c>
      <c r="N2635" t="s">
        <v>23055</v>
      </c>
      <c r="O2635" t="s">
        <v>25</v>
      </c>
      <c r="P2635" t="s">
        <v>23056</v>
      </c>
      <c r="Q2635" t="s">
        <v>29</v>
      </c>
      <c r="R2635" t="s">
        <v>23052</v>
      </c>
      <c r="S2635" t="s">
        <v>23053</v>
      </c>
    </row>
    <row r="2636" spans="1:19" x14ac:dyDescent="0.25">
      <c r="A2636" s="1">
        <v>2634</v>
      </c>
      <c r="B2636" t="str">
        <f>HYPERLINK("https://www.dasschnelle.at/autohaus-pichelsberger-gmbh-gmunden-koaserbauer-straße","Website")</f>
        <v>Website</v>
      </c>
      <c r="C2636" t="str">
        <f>HYPERLINK("http://www.pichelsberger.at","Website")</f>
        <v>Website</v>
      </c>
      <c r="D2636" t="str">
        <f>HYPERLINK("http://www.google.com/maps/place/47.92602,13.81505","Location")</f>
        <v>Location</v>
      </c>
      <c r="E2636" t="s">
        <v>23057</v>
      </c>
      <c r="F2636" t="s">
        <v>23058</v>
      </c>
      <c r="G2636" t="s">
        <v>6951</v>
      </c>
      <c r="H2636" t="s">
        <v>6952</v>
      </c>
      <c r="I2636" t="s">
        <v>85</v>
      </c>
      <c r="J2636" t="s">
        <v>22</v>
      </c>
      <c r="K2636" t="s">
        <v>23059</v>
      </c>
      <c r="L2636" t="s">
        <v>23062</v>
      </c>
      <c r="M2636" t="s">
        <v>25</v>
      </c>
      <c r="N2636" t="s">
        <v>23063</v>
      </c>
      <c r="O2636" t="s">
        <v>25</v>
      </c>
      <c r="P2636" t="s">
        <v>23064</v>
      </c>
      <c r="Q2636" t="s">
        <v>29</v>
      </c>
      <c r="R2636" t="s">
        <v>23060</v>
      </c>
      <c r="S2636" t="s">
        <v>23061</v>
      </c>
    </row>
    <row r="2637" spans="1:19" x14ac:dyDescent="0.25">
      <c r="A2637" s="1">
        <v>2635</v>
      </c>
      <c r="B2637" t="str">
        <f>HYPERLINK("https://www.dasschnelle.at/reisenberger-kurt-pinsdorf-aurachtalstraße","Website")</f>
        <v>Website</v>
      </c>
      <c r="C2637" t="str">
        <f>HYPERLINK("http://www.metallinform.com","Website")</f>
        <v>Website</v>
      </c>
      <c r="D2637" t="str">
        <f>HYPERLINK("http://www.google.com/maps/place/47.930723,13.7548629","Location")</f>
        <v>Location</v>
      </c>
      <c r="E2637" t="s">
        <v>23065</v>
      </c>
      <c r="F2637" t="s">
        <v>23066</v>
      </c>
      <c r="G2637" t="s">
        <v>6981</v>
      </c>
      <c r="H2637" t="s">
        <v>6982</v>
      </c>
      <c r="I2637" t="s">
        <v>85</v>
      </c>
      <c r="J2637" t="s">
        <v>22</v>
      </c>
      <c r="K2637" t="s">
        <v>23067</v>
      </c>
      <c r="L2637" t="s">
        <v>23070</v>
      </c>
      <c r="M2637" t="s">
        <v>25</v>
      </c>
      <c r="N2637" t="s">
        <v>23071</v>
      </c>
      <c r="O2637" t="s">
        <v>25</v>
      </c>
      <c r="P2637" t="s">
        <v>23072</v>
      </c>
      <c r="Q2637" t="s">
        <v>29</v>
      </c>
      <c r="R2637" t="s">
        <v>23068</v>
      </c>
      <c r="S2637" t="s">
        <v>23069</v>
      </c>
    </row>
    <row r="2638" spans="1:19" x14ac:dyDescent="0.25">
      <c r="A2638" s="1">
        <v>2636</v>
      </c>
      <c r="B2638" t="str">
        <f>HYPERLINK("https://www.dasschnelle.at/deicker-franz-gmunden-bahnhofstraße","Website")</f>
        <v>Website</v>
      </c>
      <c r="C2638" t="str">
        <f>HYPERLINK("http://www.fdw.cc","Website")</f>
        <v>Website</v>
      </c>
      <c r="D2638" t="str">
        <f>HYPERLINK("http://www.google.com/maps/place/47.92209,13.7918","Location")</f>
        <v>Location</v>
      </c>
      <c r="E2638" t="s">
        <v>23073</v>
      </c>
      <c r="F2638" t="s">
        <v>23074</v>
      </c>
      <c r="G2638" t="s">
        <v>6951</v>
      </c>
      <c r="H2638" t="s">
        <v>6952</v>
      </c>
      <c r="I2638" t="s">
        <v>85</v>
      </c>
      <c r="J2638" t="s">
        <v>22</v>
      </c>
      <c r="K2638" t="s">
        <v>23075</v>
      </c>
      <c r="L2638" t="s">
        <v>23078</v>
      </c>
      <c r="M2638" t="s">
        <v>25</v>
      </c>
      <c r="N2638" t="s">
        <v>23079</v>
      </c>
      <c r="O2638" t="s">
        <v>23080</v>
      </c>
      <c r="P2638" t="s">
        <v>23081</v>
      </c>
      <c r="Q2638" t="s">
        <v>29</v>
      </c>
      <c r="R2638" t="s">
        <v>23076</v>
      </c>
      <c r="S2638" t="s">
        <v>23077</v>
      </c>
    </row>
    <row r="2639" spans="1:19" x14ac:dyDescent="0.25">
      <c r="A2639" s="1">
        <v>2637</v>
      </c>
      <c r="B2639" t="str">
        <f>HYPERLINK("https://www.dasschnelle.at/gebetsroither-gmbh-neukirchen-dauerbach","Website")</f>
        <v>Website</v>
      </c>
      <c r="C2639" t="str">
        <f>HYPERLINK("http://www.gebets-schwimmbadbau.at","Website")</f>
        <v>Website</v>
      </c>
      <c r="D2639" t="str">
        <f>HYPERLINK("http://www.google.com/maps/place/47.8947800,13.7196900","Location")</f>
        <v>Location</v>
      </c>
      <c r="E2639" t="s">
        <v>23082</v>
      </c>
      <c r="F2639" t="s">
        <v>23083</v>
      </c>
      <c r="G2639" t="s">
        <v>23085</v>
      </c>
      <c r="H2639" t="s">
        <v>23086</v>
      </c>
      <c r="I2639" t="s">
        <v>85</v>
      </c>
      <c r="J2639" t="s">
        <v>22</v>
      </c>
      <c r="K2639" t="s">
        <v>23084</v>
      </c>
      <c r="L2639" t="s">
        <v>23089</v>
      </c>
      <c r="M2639" t="s">
        <v>25</v>
      </c>
      <c r="N2639" t="s">
        <v>23090</v>
      </c>
      <c r="O2639" t="s">
        <v>25</v>
      </c>
      <c r="P2639" t="s">
        <v>23091</v>
      </c>
      <c r="Q2639" t="s">
        <v>29</v>
      </c>
      <c r="R2639" t="s">
        <v>23087</v>
      </c>
      <c r="S2639" t="s">
        <v>23088</v>
      </c>
    </row>
    <row r="2640" spans="1:19" x14ac:dyDescent="0.25">
      <c r="A2640" s="1">
        <v>2638</v>
      </c>
      <c r="B2640" t="str">
        <f>HYPERLINK("https://www.dasschnelle.at/a-pohlhammer-wasseraufbereitung-pinsdorf-gmundner-straße","Website")</f>
        <v>Website</v>
      </c>
      <c r="C2640" t="str">
        <f>HYPERLINK("http://www.lindsay-austria.at","Website")</f>
        <v>Website</v>
      </c>
      <c r="D2640" t="str">
        <f>HYPERLINK("http://www.google.com/maps/place/47.9292900,13.7727600","Location")</f>
        <v>Location</v>
      </c>
      <c r="E2640" t="s">
        <v>23092</v>
      </c>
      <c r="F2640" t="s">
        <v>23093</v>
      </c>
      <c r="G2640" t="s">
        <v>6981</v>
      </c>
      <c r="H2640" t="s">
        <v>6982</v>
      </c>
      <c r="I2640" t="s">
        <v>85</v>
      </c>
      <c r="J2640" t="s">
        <v>22</v>
      </c>
      <c r="K2640" t="s">
        <v>23094</v>
      </c>
      <c r="L2640" t="s">
        <v>23097</v>
      </c>
      <c r="M2640" t="s">
        <v>25</v>
      </c>
      <c r="N2640" t="s">
        <v>23098</v>
      </c>
      <c r="O2640" t="s">
        <v>25</v>
      </c>
      <c r="P2640" t="s">
        <v>23099</v>
      </c>
      <c r="Q2640" t="s">
        <v>29</v>
      </c>
      <c r="R2640" t="s">
        <v>23095</v>
      </c>
      <c r="S2640" t="s">
        <v>23096</v>
      </c>
    </row>
    <row r="2641" spans="1:19" x14ac:dyDescent="0.25">
      <c r="A2641" s="1">
        <v>2639</v>
      </c>
      <c r="B2641" t="str">
        <f>HYPERLINK("https://www.dasschnelle.at/baggerungen-hauser-pinsdorf-hauserweg","Website")</f>
        <v>Website</v>
      </c>
      <c r="C2641" t="str">
        <f>HYPERLINK("http://www.der-pool.at","Website")</f>
        <v>Website</v>
      </c>
      <c r="D2641" t="str">
        <f>HYPERLINK("http://www.google.com/maps/place/47.93085,13.75667","Location")</f>
        <v>Location</v>
      </c>
      <c r="E2641" t="s">
        <v>23100</v>
      </c>
      <c r="F2641" t="s">
        <v>23101</v>
      </c>
      <c r="G2641" t="s">
        <v>6981</v>
      </c>
      <c r="H2641" t="s">
        <v>6982</v>
      </c>
      <c r="I2641" t="s">
        <v>85</v>
      </c>
      <c r="J2641" t="s">
        <v>22</v>
      </c>
      <c r="K2641" t="s">
        <v>23102</v>
      </c>
      <c r="L2641" t="s">
        <v>23105</v>
      </c>
      <c r="M2641" t="s">
        <v>25</v>
      </c>
      <c r="N2641" t="s">
        <v>23106</v>
      </c>
      <c r="O2641" t="s">
        <v>23107</v>
      </c>
      <c r="P2641" t="s">
        <v>23108</v>
      </c>
      <c r="Q2641" t="s">
        <v>29</v>
      </c>
      <c r="R2641" t="s">
        <v>23103</v>
      </c>
      <c r="S2641" t="s">
        <v>23104</v>
      </c>
    </row>
    <row r="2642" spans="1:19" x14ac:dyDescent="0.25">
      <c r="A2642" s="1">
        <v>2640</v>
      </c>
      <c r="B2642" t="str">
        <f>HYPERLINK("https://www.dasschnelle.at/ae-sonnenschutzanlagen-arnold-erhardt-sonnenschutzanlagen-laakirchen-mitterweg","Website")</f>
        <v>Website</v>
      </c>
      <c r="C2642" t="str">
        <f>HYPERLINK("http://www.ae-sonnenschutz.at","Website")</f>
        <v>Website</v>
      </c>
      <c r="D2642" t="str">
        <f>HYPERLINK("http://www.google.com/maps/place/47.96545,13.80925","Location")</f>
        <v>Location</v>
      </c>
      <c r="E2642" t="s">
        <v>23109</v>
      </c>
      <c r="F2642" t="s">
        <v>23110</v>
      </c>
      <c r="G2642" t="s">
        <v>6990</v>
      </c>
      <c r="H2642" t="s">
        <v>6991</v>
      </c>
      <c r="I2642" t="s">
        <v>85</v>
      </c>
      <c r="J2642" t="s">
        <v>22</v>
      </c>
      <c r="K2642" t="s">
        <v>23111</v>
      </c>
      <c r="L2642" t="s">
        <v>23114</v>
      </c>
      <c r="M2642" t="s">
        <v>25</v>
      </c>
      <c r="N2642" t="s">
        <v>23115</v>
      </c>
      <c r="O2642" t="s">
        <v>23116</v>
      </c>
      <c r="P2642" t="s">
        <v>23117</v>
      </c>
      <c r="Q2642" t="s">
        <v>29</v>
      </c>
      <c r="R2642" t="s">
        <v>23112</v>
      </c>
      <c r="S2642" t="s">
        <v>23113</v>
      </c>
    </row>
    <row r="2643" spans="1:19" x14ac:dyDescent="0.25">
      <c r="A2643" s="1">
        <v>2641</v>
      </c>
      <c r="B2643" t="str">
        <f>HYPERLINK("https://www.dasschnelle.at/bachinger-josef-traunkirchen-mitterndorf","Website")</f>
        <v>Website</v>
      </c>
      <c r="C2643" t="str">
        <f>HYPERLINK("http://www.tapeziermeister-bachinger.at","Website")</f>
        <v>Website</v>
      </c>
      <c r="D2643" t="str">
        <f>HYPERLINK("http://www.google.com/maps/place/47.85332,13.77825","Location")</f>
        <v>Location</v>
      </c>
      <c r="E2643" t="s">
        <v>23118</v>
      </c>
      <c r="F2643" t="s">
        <v>23119</v>
      </c>
      <c r="G2643" t="s">
        <v>7072</v>
      </c>
      <c r="H2643" t="s">
        <v>7073</v>
      </c>
      <c r="I2643" t="s">
        <v>85</v>
      </c>
      <c r="J2643" t="s">
        <v>22</v>
      </c>
      <c r="K2643" t="s">
        <v>23120</v>
      </c>
      <c r="L2643" t="s">
        <v>23123</v>
      </c>
      <c r="M2643" t="s">
        <v>25</v>
      </c>
      <c r="N2643" t="s">
        <v>23124</v>
      </c>
      <c r="O2643" t="s">
        <v>23125</v>
      </c>
      <c r="P2643" t="s">
        <v>697</v>
      </c>
      <c r="Q2643" t="s">
        <v>29</v>
      </c>
      <c r="R2643" t="s">
        <v>23121</v>
      </c>
      <c r="S2643" t="s">
        <v>23122</v>
      </c>
    </row>
    <row r="2644" spans="1:19" x14ac:dyDescent="0.25">
      <c r="A2644" s="1">
        <v>2642</v>
      </c>
      <c r="B2644" t="str">
        <f>HYPERLINK("https://www.dasschnelle.at/wechsellandtaxi-thier-pinkafeld-kroisegg","Website")</f>
        <v>Website</v>
      </c>
      <c r="C2644" t="str">
        <f>HYPERLINK("http://www.wechsellandtaxi.at","Website")</f>
        <v>Website</v>
      </c>
      <c r="D2644" t="str">
        <f>HYPERLINK("http://www.google.com/maps/place/47.3773943,16.0446218","Location")</f>
        <v>Location</v>
      </c>
      <c r="E2644" t="s">
        <v>23126</v>
      </c>
      <c r="F2644" t="s">
        <v>23127</v>
      </c>
      <c r="G2644" t="s">
        <v>19833</v>
      </c>
      <c r="H2644" t="s">
        <v>19834</v>
      </c>
      <c r="I2644" t="s">
        <v>1834</v>
      </c>
      <c r="J2644" t="s">
        <v>22</v>
      </c>
      <c r="K2644" t="s">
        <v>23128</v>
      </c>
      <c r="L2644" t="s">
        <v>23131</v>
      </c>
      <c r="M2644" t="s">
        <v>25</v>
      </c>
      <c r="N2644" t="s">
        <v>23132</v>
      </c>
      <c r="O2644" t="s">
        <v>23133</v>
      </c>
      <c r="P2644" t="s">
        <v>23134</v>
      </c>
      <c r="Q2644" t="s">
        <v>29</v>
      </c>
      <c r="R2644" t="s">
        <v>23129</v>
      </c>
      <c r="S2644" t="s">
        <v>23130</v>
      </c>
    </row>
    <row r="2645" spans="1:19" x14ac:dyDescent="0.25">
      <c r="A2645" s="1">
        <v>2643</v>
      </c>
      <c r="B2645" t="str">
        <f>HYPERLINK("https://www.dasschnelle.at/schlederer-bernadette-dr-kindberg-berggasse","Website")</f>
        <v>Website</v>
      </c>
      <c r="C2645" t="str">
        <f>HYPERLINK("http://www.tierarztpraxis-kindberg.at","Website")</f>
        <v>Website</v>
      </c>
      <c r="D2645" t="str">
        <f>HYPERLINK("http://www.google.com/maps/place/47.51185,15.45063","Location")</f>
        <v>Location</v>
      </c>
      <c r="E2645" t="s">
        <v>23135</v>
      </c>
      <c r="F2645" t="s">
        <v>23136</v>
      </c>
      <c r="G2645" t="s">
        <v>6633</v>
      </c>
      <c r="H2645" t="s">
        <v>6634</v>
      </c>
      <c r="I2645" t="s">
        <v>451</v>
      </c>
      <c r="J2645" t="s">
        <v>22</v>
      </c>
      <c r="K2645" t="s">
        <v>23137</v>
      </c>
      <c r="L2645" t="s">
        <v>23140</v>
      </c>
      <c r="M2645" t="s">
        <v>25</v>
      </c>
      <c r="N2645" t="s">
        <v>23141</v>
      </c>
      <c r="O2645" t="s">
        <v>23142</v>
      </c>
      <c r="P2645" t="s">
        <v>23143</v>
      </c>
      <c r="Q2645" t="s">
        <v>29</v>
      </c>
      <c r="R2645" t="s">
        <v>23138</v>
      </c>
      <c r="S2645" t="s">
        <v>23139</v>
      </c>
    </row>
    <row r="2646" spans="1:19" x14ac:dyDescent="0.25">
      <c r="A2646" s="1">
        <v>2644</v>
      </c>
      <c r="B2646" t="str">
        <f>HYPERLINK("https://www.dasschnelle.at/paar-david-dr-med-dent-kindberg-hauptstraße","Website")</f>
        <v>Website</v>
      </c>
      <c r="C2646" t="str">
        <f>HYPERLINK("http://www.zahnarzt-paar.at","Website")</f>
        <v>Website</v>
      </c>
      <c r="D2646" t="str">
        <f>HYPERLINK("http://www.google.com/maps/place/47.5066,15.45026","Location")</f>
        <v>Location</v>
      </c>
      <c r="E2646" t="s">
        <v>23144</v>
      </c>
      <c r="F2646" t="s">
        <v>23145</v>
      </c>
      <c r="G2646" t="s">
        <v>6633</v>
      </c>
      <c r="H2646" t="s">
        <v>6634</v>
      </c>
      <c r="I2646" t="s">
        <v>451</v>
      </c>
      <c r="J2646" t="s">
        <v>22</v>
      </c>
      <c r="K2646" t="s">
        <v>23146</v>
      </c>
      <c r="L2646" t="s">
        <v>23149</v>
      </c>
      <c r="M2646" t="s">
        <v>25</v>
      </c>
      <c r="N2646" t="s">
        <v>23150</v>
      </c>
      <c r="O2646" t="s">
        <v>23151</v>
      </c>
      <c r="P2646" t="s">
        <v>23152</v>
      </c>
      <c r="Q2646" t="s">
        <v>29</v>
      </c>
      <c r="R2646" t="s">
        <v>23147</v>
      </c>
      <c r="S2646" t="s">
        <v>23148</v>
      </c>
    </row>
    <row r="2647" spans="1:19" x14ac:dyDescent="0.25">
      <c r="A2647" s="1">
        <v>2645</v>
      </c>
      <c r="B2647" t="str">
        <f>HYPERLINK("https://www.dasschnelle.at/tsd-brand-und-wasserschaden-sanierung-innviertel-gmbhundco-kg-höhnhart-hub","Website")</f>
        <v>Website</v>
      </c>
      <c r="C2647" t="str">
        <f>HYPERLINK("http://www.tsd.at","Website")</f>
        <v>Website</v>
      </c>
      <c r="D2647" t="str">
        <f>HYPERLINK("http://www.google.com/maps/place/48.1621861,13.2598244","Location")</f>
        <v>Location</v>
      </c>
      <c r="E2647" t="s">
        <v>23153</v>
      </c>
      <c r="F2647" t="s">
        <v>23154</v>
      </c>
      <c r="G2647" t="s">
        <v>15150</v>
      </c>
      <c r="H2647" t="s">
        <v>15151</v>
      </c>
      <c r="I2647" t="s">
        <v>85</v>
      </c>
      <c r="J2647" t="s">
        <v>22</v>
      </c>
      <c r="K2647" t="s">
        <v>23155</v>
      </c>
      <c r="L2647" t="s">
        <v>23158</v>
      </c>
      <c r="M2647" t="s">
        <v>25</v>
      </c>
      <c r="N2647" t="s">
        <v>23159</v>
      </c>
      <c r="O2647" t="s">
        <v>23160</v>
      </c>
      <c r="P2647" t="s">
        <v>23161</v>
      </c>
      <c r="Q2647" t="s">
        <v>29</v>
      </c>
      <c r="R2647" t="s">
        <v>23156</v>
      </c>
      <c r="S2647" t="s">
        <v>23157</v>
      </c>
    </row>
    <row r="2648" spans="1:19" x14ac:dyDescent="0.25">
      <c r="A2648" s="1">
        <v>2646</v>
      </c>
      <c r="B2648" t="str">
        <f>HYPERLINK("https://www.dasschnelle.at/sauer-christian-dr-med-mürzzuschlag-sparkassen-platz","Website")</f>
        <v>Website</v>
      </c>
      <c r="C2648" t="str">
        <f>HYPERLINK("https://www.dasschnelle.at/sauer-christian-dr-med-m%C3%BCrzzuschlag-sparkassen-platz","Website")</f>
        <v>Website</v>
      </c>
      <c r="D2648" t="str">
        <f>HYPERLINK("http://www.google.com/maps/place/47.60733,15.67361","Location")</f>
        <v>Location</v>
      </c>
      <c r="E2648" t="s">
        <v>23162</v>
      </c>
      <c r="F2648" t="s">
        <v>23163</v>
      </c>
      <c r="G2648" t="s">
        <v>6670</v>
      </c>
      <c r="H2648" t="s">
        <v>6671</v>
      </c>
      <c r="I2648" t="s">
        <v>451</v>
      </c>
      <c r="J2648" t="s">
        <v>22</v>
      </c>
      <c r="K2648" t="s">
        <v>23164</v>
      </c>
      <c r="L2648" t="s">
        <v>23167</v>
      </c>
      <c r="M2648" t="s">
        <v>25</v>
      </c>
      <c r="N2648" t="s">
        <v>23168</v>
      </c>
      <c r="O2648" t="s">
        <v>25</v>
      </c>
      <c r="P2648" t="s">
        <v>23169</v>
      </c>
      <c r="Q2648" t="s">
        <v>29</v>
      </c>
      <c r="R2648" t="s">
        <v>23165</v>
      </c>
      <c r="S2648" t="s">
        <v>23166</v>
      </c>
    </row>
    <row r="2649" spans="1:19" x14ac:dyDescent="0.25">
      <c r="A2649" s="1">
        <v>2647</v>
      </c>
      <c r="B2649" t="str">
        <f>HYPERLINK("https://www.dasschnelle.at/ennstaler-tischlerteam-reichraming-am-ortsplatz","Website")</f>
        <v>Website</v>
      </c>
      <c r="C2649" t="str">
        <f>HYPERLINK("http://www.ennstaler-tischlerteam.at","Website")</f>
        <v>Website</v>
      </c>
      <c r="D2649" t="str">
        <f>HYPERLINK("http://www.google.com/maps/place/47.88061,14.45009","Location")</f>
        <v>Location</v>
      </c>
      <c r="E2649" t="s">
        <v>23170</v>
      </c>
      <c r="F2649" t="s">
        <v>23171</v>
      </c>
      <c r="G2649" t="s">
        <v>83</v>
      </c>
      <c r="H2649" t="s">
        <v>84</v>
      </c>
      <c r="I2649" t="s">
        <v>85</v>
      </c>
      <c r="J2649" t="s">
        <v>22</v>
      </c>
      <c r="K2649" t="s">
        <v>23172</v>
      </c>
      <c r="L2649" t="s">
        <v>23175</v>
      </c>
      <c r="M2649" t="s">
        <v>25</v>
      </c>
      <c r="N2649" t="s">
        <v>23176</v>
      </c>
      <c r="O2649" t="s">
        <v>25</v>
      </c>
      <c r="P2649" t="s">
        <v>23177</v>
      </c>
      <c r="Q2649" t="s">
        <v>29</v>
      </c>
      <c r="R2649" t="s">
        <v>23173</v>
      </c>
      <c r="S2649" t="s">
        <v>23174</v>
      </c>
    </row>
    <row r="2650" spans="1:19" x14ac:dyDescent="0.25">
      <c r="A2650" s="1">
        <v>2648</v>
      </c>
      <c r="B2650" t="str">
        <f>HYPERLINK("https://www.dasschnelle.at/dr-bajlicz-und-partner-oberwart-hauptplatz","Website")</f>
        <v>Website</v>
      </c>
      <c r="C2650" t="str">
        <f>HYPERLINK("http://www.bajlicz.at","Website")</f>
        <v>Website</v>
      </c>
      <c r="D2650" t="str">
        <f>HYPERLINK("http://www.google.com/maps/place/47.2876100,16.2140100","Location")</f>
        <v>Location</v>
      </c>
      <c r="E2650" t="s">
        <v>23178</v>
      </c>
      <c r="F2650" t="s">
        <v>23179</v>
      </c>
      <c r="G2650" t="s">
        <v>20126</v>
      </c>
      <c r="H2650" t="s">
        <v>20127</v>
      </c>
      <c r="I2650" t="s">
        <v>1834</v>
      </c>
      <c r="J2650" t="s">
        <v>22</v>
      </c>
      <c r="K2650" t="s">
        <v>23180</v>
      </c>
      <c r="L2650" t="s">
        <v>23181</v>
      </c>
      <c r="M2650" t="s">
        <v>25</v>
      </c>
      <c r="N2650" t="s">
        <v>23182</v>
      </c>
      <c r="O2650" t="s">
        <v>25</v>
      </c>
      <c r="P2650" t="s">
        <v>23183</v>
      </c>
      <c r="Q2650" t="s">
        <v>29</v>
      </c>
      <c r="R2650" t="s">
        <v>20718</v>
      </c>
      <c r="S2650" t="s">
        <v>20719</v>
      </c>
    </row>
    <row r="2651" spans="1:19" x14ac:dyDescent="0.25">
      <c r="A2651" s="1">
        <v>2649</v>
      </c>
      <c r="B2651" t="str">
        <f>HYPERLINK("https://www.dasschnelle.at/gruber-thomas-laussa-sonnberg","Website")</f>
        <v>Website</v>
      </c>
      <c r="C2651" t="str">
        <f>HYPERLINK("https://www.dasschnelle.at/gruber-thomas-laussa-sonnberg","Website")</f>
        <v>Website</v>
      </c>
      <c r="D2651" t="str">
        <f>HYPERLINK("http://www.google.com/maps/place/47.9614809,14.4849737","Location")</f>
        <v>Location</v>
      </c>
      <c r="E2651" t="s">
        <v>23184</v>
      </c>
      <c r="F2651" t="s">
        <v>23185</v>
      </c>
      <c r="G2651" t="s">
        <v>262</v>
      </c>
      <c r="H2651" t="s">
        <v>263</v>
      </c>
      <c r="I2651" t="s">
        <v>85</v>
      </c>
      <c r="J2651" t="s">
        <v>22</v>
      </c>
      <c r="K2651" t="s">
        <v>23186</v>
      </c>
      <c r="L2651" t="s">
        <v>23189</v>
      </c>
      <c r="M2651" t="s">
        <v>25</v>
      </c>
      <c r="N2651" t="s">
        <v>23190</v>
      </c>
      <c r="O2651" t="s">
        <v>25</v>
      </c>
      <c r="P2651" t="s">
        <v>23191</v>
      </c>
      <c r="Q2651" t="s">
        <v>29</v>
      </c>
      <c r="R2651" t="s">
        <v>23187</v>
      </c>
      <c r="S2651" t="s">
        <v>23188</v>
      </c>
    </row>
    <row r="2652" spans="1:19" x14ac:dyDescent="0.25">
      <c r="A2652" s="1">
        <v>2650</v>
      </c>
      <c r="B2652" t="str">
        <f>HYPERLINK("https://www.dasschnelle.at/turner-elvis-dr-braunau-stadtplatz","Website")</f>
        <v>Website</v>
      </c>
      <c r="C2652" t="str">
        <f>HYPERLINK("http://www.orthobraunau.at","Website")</f>
        <v>Website</v>
      </c>
      <c r="D2652" t="str">
        <f>HYPERLINK("http://www.google.com/maps/place/48.2592629,13.0345698","Location")</f>
        <v>Location</v>
      </c>
      <c r="E2652" t="s">
        <v>23192</v>
      </c>
      <c r="F2652" t="s">
        <v>23193</v>
      </c>
      <c r="G2652" t="s">
        <v>1289</v>
      </c>
      <c r="H2652" t="s">
        <v>1290</v>
      </c>
      <c r="I2652" t="s">
        <v>85</v>
      </c>
      <c r="J2652" t="s">
        <v>22</v>
      </c>
      <c r="K2652" t="s">
        <v>1438</v>
      </c>
      <c r="L2652" t="s">
        <v>23194</v>
      </c>
      <c r="M2652" t="s">
        <v>25</v>
      </c>
      <c r="N2652" t="s">
        <v>25</v>
      </c>
      <c r="O2652" t="s">
        <v>25</v>
      </c>
      <c r="P2652" t="s">
        <v>23195</v>
      </c>
      <c r="Q2652" t="s">
        <v>29</v>
      </c>
      <c r="R2652" t="s">
        <v>16651</v>
      </c>
      <c r="S2652" t="s">
        <v>16652</v>
      </c>
    </row>
    <row r="2653" spans="1:19" x14ac:dyDescent="0.25">
      <c r="A2653" s="1">
        <v>2651</v>
      </c>
      <c r="B2653" t="str">
        <f>HYPERLINK("https://www.dasschnelle.at/pam-physikalisches-ambulatorium-gesmbh-mürzzuschlag-stadtplatz","Website")</f>
        <v>Website</v>
      </c>
      <c r="C2653" t="str">
        <f>HYPERLINK("https://www.dasschnelle.at/pam-physikalisches-ambulatorium-gesmbh-m%C3%BCrzzuschlag-stadtplatz","Website")</f>
        <v>Website</v>
      </c>
      <c r="D2653" t="str">
        <f>HYPERLINK("http://www.google.com/maps/place/47.60692,15.67242","Location")</f>
        <v>Location</v>
      </c>
      <c r="E2653" t="s">
        <v>23196</v>
      </c>
      <c r="F2653" t="s">
        <v>23197</v>
      </c>
      <c r="G2653" t="s">
        <v>6670</v>
      </c>
      <c r="H2653" t="s">
        <v>6671</v>
      </c>
      <c r="I2653" t="s">
        <v>451</v>
      </c>
      <c r="J2653" t="s">
        <v>22</v>
      </c>
      <c r="K2653" t="s">
        <v>23198</v>
      </c>
      <c r="L2653" t="s">
        <v>23201</v>
      </c>
      <c r="M2653" t="s">
        <v>25</v>
      </c>
      <c r="N2653" t="s">
        <v>23202</v>
      </c>
      <c r="O2653" t="s">
        <v>25</v>
      </c>
      <c r="P2653" t="s">
        <v>23203</v>
      </c>
      <c r="Q2653" t="s">
        <v>29</v>
      </c>
      <c r="R2653" t="s">
        <v>23199</v>
      </c>
      <c r="S2653" t="s">
        <v>23200</v>
      </c>
    </row>
    <row r="2654" spans="1:19" x14ac:dyDescent="0.25">
      <c r="A2654" s="1">
        <v>2652</v>
      </c>
      <c r="B2654" t="str">
        <f>HYPERLINK("https://www.dasschnelle.at/lebitsch-robert-dr-med-univ-mürzzuschlag-toni-schruf-gasse","Website")</f>
        <v>Website</v>
      </c>
      <c r="C2654" t="str">
        <f>HYPERLINK("https://www.dasschnelle.at/lebitsch-robert-dr-med-univ-m%C3%BCrzzuschlag-toni-schruf-gasse","Website")</f>
        <v>Website</v>
      </c>
      <c r="D2654" t="str">
        <f>HYPERLINK("http://www.google.com/maps/place/47.60708,15.67505","Location")</f>
        <v>Location</v>
      </c>
      <c r="E2654" t="s">
        <v>23204</v>
      </c>
      <c r="F2654" t="s">
        <v>23205</v>
      </c>
      <c r="G2654" t="s">
        <v>6670</v>
      </c>
      <c r="H2654" t="s">
        <v>6671</v>
      </c>
      <c r="I2654" t="s">
        <v>451</v>
      </c>
      <c r="J2654" t="s">
        <v>22</v>
      </c>
      <c r="K2654" t="s">
        <v>23206</v>
      </c>
      <c r="L2654" t="s">
        <v>23209</v>
      </c>
      <c r="M2654" t="s">
        <v>25</v>
      </c>
      <c r="N2654" t="s">
        <v>23210</v>
      </c>
      <c r="O2654" t="s">
        <v>23211</v>
      </c>
      <c r="P2654" t="s">
        <v>697</v>
      </c>
      <c r="Q2654" t="s">
        <v>29</v>
      </c>
      <c r="R2654" t="s">
        <v>23207</v>
      </c>
      <c r="S2654" t="s">
        <v>23208</v>
      </c>
    </row>
    <row r="2655" spans="1:19" x14ac:dyDescent="0.25">
      <c r="A2655" s="1">
        <v>2653</v>
      </c>
      <c r="B2655" t="str">
        <f>HYPERLINK("https://www.dasschnelle.at/dipl-ing-christian-liebfahrt-edelsbach-bei-graz-körblergasse","Website")</f>
        <v>Website</v>
      </c>
      <c r="C2655" t="str">
        <f>HYPERLINK("http://www.liebfahrt.at","Website")</f>
        <v>Website</v>
      </c>
      <c r="D2655" t="str">
        <f>HYPERLINK("http://www.google.com/maps/place/47.08434,15.44368","Location")</f>
        <v>Location</v>
      </c>
      <c r="E2655" t="s">
        <v>23212</v>
      </c>
      <c r="F2655" t="s">
        <v>23213</v>
      </c>
      <c r="G2655" t="s">
        <v>23215</v>
      </c>
      <c r="H2655" t="s">
        <v>23216</v>
      </c>
      <c r="I2655" t="s">
        <v>451</v>
      </c>
      <c r="J2655" t="s">
        <v>22</v>
      </c>
      <c r="K2655" t="s">
        <v>23214</v>
      </c>
      <c r="L2655" t="s">
        <v>23219</v>
      </c>
      <c r="M2655" t="s">
        <v>25</v>
      </c>
      <c r="N2655" t="s">
        <v>23220</v>
      </c>
      <c r="O2655" t="s">
        <v>25</v>
      </c>
      <c r="P2655" t="s">
        <v>23221</v>
      </c>
      <c r="Q2655" t="s">
        <v>29</v>
      </c>
      <c r="R2655" t="s">
        <v>23217</v>
      </c>
      <c r="S2655" t="s">
        <v>23218</v>
      </c>
    </row>
    <row r="2656" spans="1:19" x14ac:dyDescent="0.25">
      <c r="A2656" s="1">
        <v>2654</v>
      </c>
      <c r="B2656" t="str">
        <f>HYPERLINK("https://www.dasschnelle.at/tierärzte-team-kapfenberg-gmbh-kapfenberg-schinitzgasse","Website")</f>
        <v>Website</v>
      </c>
      <c r="C2656" t="str">
        <f>HYPERLINK("http://www.tieraerzteteam-kapfenberg.at","Website")</f>
        <v>Website</v>
      </c>
      <c r="D2656" t="str">
        <f>HYPERLINK("http://www.google.com/maps/place/47.43872,15.29018","Location")</f>
        <v>Location</v>
      </c>
      <c r="E2656" t="s">
        <v>23222</v>
      </c>
      <c r="F2656" t="s">
        <v>23223</v>
      </c>
      <c r="G2656" t="s">
        <v>14430</v>
      </c>
      <c r="H2656" t="s">
        <v>14431</v>
      </c>
      <c r="I2656" t="s">
        <v>451</v>
      </c>
      <c r="J2656" t="s">
        <v>22</v>
      </c>
      <c r="K2656" t="s">
        <v>23224</v>
      </c>
      <c r="L2656" t="s">
        <v>23227</v>
      </c>
      <c r="M2656" t="s">
        <v>25</v>
      </c>
      <c r="N2656" t="s">
        <v>23228</v>
      </c>
      <c r="O2656" t="s">
        <v>25</v>
      </c>
      <c r="P2656" t="s">
        <v>23229</v>
      </c>
      <c r="Q2656" t="s">
        <v>29</v>
      </c>
      <c r="R2656" t="s">
        <v>23225</v>
      </c>
      <c r="S2656" t="s">
        <v>23226</v>
      </c>
    </row>
    <row r="2657" spans="1:19" x14ac:dyDescent="0.25">
      <c r="A2657" s="1">
        <v>2655</v>
      </c>
      <c r="B2657" t="str">
        <f>HYPERLINK("https://www.dasschnelle.at/huber-adolf-sankt-georgen-bei-salzburg-unterechinger-straße","Website")</f>
        <v>Website</v>
      </c>
      <c r="C2657" t="str">
        <f>HYPERLINK("http://www.adolf-huber.at","Website")</f>
        <v>Website</v>
      </c>
      <c r="D2657" t="str">
        <f>HYPERLINK("http://www.google.com/maps/place/47.97436,12.88429","Location")</f>
        <v>Location</v>
      </c>
      <c r="E2657" t="s">
        <v>23230</v>
      </c>
      <c r="F2657" t="s">
        <v>23231</v>
      </c>
      <c r="G2657" t="s">
        <v>9266</v>
      </c>
      <c r="H2657" t="s">
        <v>9267</v>
      </c>
      <c r="I2657" t="s">
        <v>2239</v>
      </c>
      <c r="J2657" t="s">
        <v>22</v>
      </c>
      <c r="K2657" t="s">
        <v>23232</v>
      </c>
      <c r="L2657" t="s">
        <v>23235</v>
      </c>
      <c r="M2657" t="s">
        <v>25</v>
      </c>
      <c r="N2657" t="s">
        <v>23236</v>
      </c>
      <c r="O2657" t="s">
        <v>25</v>
      </c>
      <c r="P2657" t="s">
        <v>23237</v>
      </c>
      <c r="Q2657" t="s">
        <v>29</v>
      </c>
      <c r="R2657" t="s">
        <v>23233</v>
      </c>
      <c r="S2657" t="s">
        <v>23234</v>
      </c>
    </row>
    <row r="2658" spans="1:19" x14ac:dyDescent="0.25">
      <c r="A2658" s="1">
        <v>2656</v>
      </c>
      <c r="B2658" t="str">
        <f>HYPERLINK("https://www.dasschnelle.at/fluch-mag-steuerberatungs-gmbh-bruck-an-der-mur-am-grazer-tor","Website")</f>
        <v>Website</v>
      </c>
      <c r="C2658" t="str">
        <f>HYPERLINK("http://www.fluch-steuerberatung.at","Website")</f>
        <v>Website</v>
      </c>
      <c r="D2658" t="str">
        <f>HYPERLINK("http://www.google.com/maps/place/47.41043,15.27361","Location")</f>
        <v>Location</v>
      </c>
      <c r="E2658" t="s">
        <v>23238</v>
      </c>
      <c r="F2658" t="s">
        <v>23239</v>
      </c>
      <c r="G2658" t="s">
        <v>3052</v>
      </c>
      <c r="H2658" t="s">
        <v>3053</v>
      </c>
      <c r="I2658" t="s">
        <v>451</v>
      </c>
      <c r="J2658" t="s">
        <v>22</v>
      </c>
      <c r="K2658" t="s">
        <v>23240</v>
      </c>
      <c r="L2658" t="s">
        <v>23243</v>
      </c>
      <c r="M2658" t="s">
        <v>23244</v>
      </c>
      <c r="N2658" t="s">
        <v>23245</v>
      </c>
      <c r="O2658" t="s">
        <v>25</v>
      </c>
      <c r="P2658" t="s">
        <v>23246</v>
      </c>
      <c r="Q2658" t="s">
        <v>29</v>
      </c>
      <c r="R2658" t="s">
        <v>23241</v>
      </c>
      <c r="S2658" t="s">
        <v>23242</v>
      </c>
    </row>
    <row r="2659" spans="1:19" x14ac:dyDescent="0.25">
      <c r="A2659" s="1">
        <v>2657</v>
      </c>
      <c r="B2659" t="str">
        <f>HYPERLINK("https://www.dasschnelle.at/paar-nicole-dr-med-dent-kapfenberg-hugo-wolf-straße","Website")</f>
        <v>Website</v>
      </c>
      <c r="C2659" t="str">
        <f>HYPERLINK("http://www.paar-zahnarzt.at","Website")</f>
        <v>Website</v>
      </c>
      <c r="D2659" t="str">
        <f>HYPERLINK("http://www.google.com/maps/place/47.46481,15.32885","Location")</f>
        <v>Location</v>
      </c>
      <c r="E2659" t="s">
        <v>23247</v>
      </c>
      <c r="F2659" t="s">
        <v>23248</v>
      </c>
      <c r="G2659" t="s">
        <v>14430</v>
      </c>
      <c r="H2659" t="s">
        <v>14431</v>
      </c>
      <c r="I2659" t="s">
        <v>451</v>
      </c>
      <c r="J2659" t="s">
        <v>22</v>
      </c>
      <c r="K2659" t="s">
        <v>23249</v>
      </c>
      <c r="L2659" t="s">
        <v>23252</v>
      </c>
      <c r="M2659" t="s">
        <v>25</v>
      </c>
      <c r="N2659" t="s">
        <v>23253</v>
      </c>
      <c r="O2659" t="s">
        <v>25</v>
      </c>
      <c r="P2659" t="s">
        <v>23254</v>
      </c>
      <c r="Q2659" t="s">
        <v>29</v>
      </c>
      <c r="R2659" t="s">
        <v>23250</v>
      </c>
      <c r="S2659" t="s">
        <v>23251</v>
      </c>
    </row>
    <row r="2660" spans="1:19" x14ac:dyDescent="0.25">
      <c r="A2660" s="1">
        <v>2658</v>
      </c>
      <c r="B2660" t="str">
        <f>HYPERLINK("https://www.dasschnelle.at/kitzler-bernhard-dr-gmunden-georgstraße","Website")</f>
        <v>Website</v>
      </c>
      <c r="C2660" t="str">
        <f>HYPERLINK("http://www.kniepraxis.com","Website")</f>
        <v>Website</v>
      </c>
      <c r="D2660" t="str">
        <f>HYPERLINK("http://www.google.com/maps/place/47.91832,13.80486","Location")</f>
        <v>Location</v>
      </c>
      <c r="E2660" t="s">
        <v>23255</v>
      </c>
      <c r="F2660" t="s">
        <v>23256</v>
      </c>
      <c r="G2660" t="s">
        <v>6951</v>
      </c>
      <c r="H2660" t="s">
        <v>6952</v>
      </c>
      <c r="I2660" t="s">
        <v>85</v>
      </c>
      <c r="J2660" t="s">
        <v>22</v>
      </c>
      <c r="K2660" t="s">
        <v>23257</v>
      </c>
      <c r="L2660" t="s">
        <v>23260</v>
      </c>
      <c r="M2660" t="s">
        <v>25</v>
      </c>
      <c r="N2660" t="s">
        <v>23261</v>
      </c>
      <c r="O2660" t="s">
        <v>23262</v>
      </c>
      <c r="P2660" t="s">
        <v>23263</v>
      </c>
      <c r="Q2660" t="s">
        <v>29</v>
      </c>
      <c r="R2660" t="s">
        <v>23258</v>
      </c>
      <c r="S2660" t="s">
        <v>23259</v>
      </c>
    </row>
    <row r="2661" spans="1:19" x14ac:dyDescent="0.25">
      <c r="A2661" s="1">
        <v>2659</v>
      </c>
      <c r="B2661" t="str">
        <f>HYPERLINK("https://www.dasschnelle.at/lamprecht-wolfgang-dr-braunau-talstraße","Website")</f>
        <v>Website</v>
      </c>
      <c r="C2661" t="str">
        <f>HYPERLINK("http://www.kanzlei-lamprecht.at","Website")</f>
        <v>Website</v>
      </c>
      <c r="D2661" t="str">
        <f>HYPERLINK("http://www.google.com/maps/place/48.2551055,13.0335877","Location")</f>
        <v>Location</v>
      </c>
      <c r="E2661" t="s">
        <v>23264</v>
      </c>
      <c r="F2661" t="s">
        <v>23265</v>
      </c>
      <c r="G2661" t="s">
        <v>1289</v>
      </c>
      <c r="H2661" t="s">
        <v>1290</v>
      </c>
      <c r="I2661" t="s">
        <v>85</v>
      </c>
      <c r="J2661" t="s">
        <v>22</v>
      </c>
      <c r="K2661" t="s">
        <v>23266</v>
      </c>
      <c r="L2661" t="s">
        <v>23269</v>
      </c>
      <c r="M2661" t="s">
        <v>25</v>
      </c>
      <c r="N2661" t="s">
        <v>23270</v>
      </c>
      <c r="O2661" t="s">
        <v>23271</v>
      </c>
      <c r="P2661" t="s">
        <v>23272</v>
      </c>
      <c r="Q2661" t="s">
        <v>29</v>
      </c>
      <c r="R2661" t="s">
        <v>23267</v>
      </c>
      <c r="S2661" t="s">
        <v>23268</v>
      </c>
    </row>
    <row r="2662" spans="1:19" x14ac:dyDescent="0.25">
      <c r="A2662" s="1">
        <v>2660</v>
      </c>
      <c r="B2662" t="str">
        <f>HYPERLINK("https://www.dasschnelle.at/scharinger-christian-ostermiething-gewerbegebiet","Website")</f>
        <v>Website</v>
      </c>
      <c r="C2662" t="str">
        <f>HYPERLINK("http://www.fahrschule-scharinger.at","Website")</f>
        <v>Website</v>
      </c>
      <c r="D2662" t="str">
        <f>HYPERLINK("http://www.google.com/maps/place/48.04149,12.83857","Location")</f>
        <v>Location</v>
      </c>
      <c r="E2662" t="s">
        <v>23273</v>
      </c>
      <c r="F2662" t="s">
        <v>23274</v>
      </c>
      <c r="G2662" t="s">
        <v>22084</v>
      </c>
      <c r="H2662" t="s">
        <v>22220</v>
      </c>
      <c r="I2662" t="s">
        <v>85</v>
      </c>
      <c r="J2662" t="s">
        <v>22</v>
      </c>
      <c r="K2662" t="s">
        <v>16152</v>
      </c>
      <c r="L2662" t="s">
        <v>23277</v>
      </c>
      <c r="M2662" t="s">
        <v>23278</v>
      </c>
      <c r="N2662" t="s">
        <v>23279</v>
      </c>
      <c r="O2662" t="s">
        <v>23280</v>
      </c>
      <c r="P2662" t="s">
        <v>23281</v>
      </c>
      <c r="Q2662" t="s">
        <v>29</v>
      </c>
      <c r="R2662" t="s">
        <v>23275</v>
      </c>
      <c r="S2662" t="s">
        <v>23276</v>
      </c>
    </row>
    <row r="2663" spans="1:19" x14ac:dyDescent="0.25">
      <c r="A2663" s="1">
        <v>2661</v>
      </c>
      <c r="B2663" t="str">
        <f>HYPERLINK("https://www.dasschnelle.at/2rad-sport-ondrey-gmbh-leobersdorf-bahnhofplatz","Website")</f>
        <v>Website</v>
      </c>
      <c r="C2663" t="str">
        <f>HYPERLINK("http://www.brucki.at","Website")</f>
        <v>Website</v>
      </c>
      <c r="D2663" t="str">
        <f>HYPERLINK("http://www.google.com/maps/place/47.9368,16.2313","Location")</f>
        <v>Location</v>
      </c>
      <c r="E2663" t="s">
        <v>23282</v>
      </c>
      <c r="F2663" t="s">
        <v>23283</v>
      </c>
      <c r="G2663" t="s">
        <v>2091</v>
      </c>
      <c r="H2663" t="s">
        <v>2092</v>
      </c>
      <c r="I2663" t="s">
        <v>177</v>
      </c>
      <c r="J2663" t="s">
        <v>22</v>
      </c>
      <c r="K2663" t="s">
        <v>19792</v>
      </c>
      <c r="L2663" t="s">
        <v>23286</v>
      </c>
      <c r="M2663" t="s">
        <v>25</v>
      </c>
      <c r="N2663" t="s">
        <v>23287</v>
      </c>
      <c r="O2663" t="s">
        <v>23288</v>
      </c>
      <c r="P2663" t="s">
        <v>23289</v>
      </c>
      <c r="Q2663" t="s">
        <v>29</v>
      </c>
      <c r="R2663" t="s">
        <v>23284</v>
      </c>
      <c r="S2663" t="s">
        <v>23285</v>
      </c>
    </row>
    <row r="2664" spans="1:19" x14ac:dyDescent="0.25">
      <c r="A2664" s="1">
        <v>2662</v>
      </c>
      <c r="B2664" t="str">
        <f>HYPERLINK("https://www.dasschnelle.at/neureiter-michael-sankt-georgen-bei-salzburg-st-georgener-landesstraße","Website")</f>
        <v>Website</v>
      </c>
      <c r="C2664" t="str">
        <f>HYPERLINK("http://www.neureiter-gmbh.at","Website")</f>
        <v>Website</v>
      </c>
      <c r="D2664" t="str">
        <f>HYPERLINK("http://www.google.com/maps/place/47.9898748,12.8800116","Location")</f>
        <v>Location</v>
      </c>
      <c r="E2664" t="s">
        <v>23290</v>
      </c>
      <c r="F2664" t="s">
        <v>23291</v>
      </c>
      <c r="G2664" t="s">
        <v>9266</v>
      </c>
      <c r="H2664" t="s">
        <v>9267</v>
      </c>
      <c r="I2664" t="s">
        <v>2239</v>
      </c>
      <c r="J2664" t="s">
        <v>22</v>
      </c>
      <c r="K2664" t="s">
        <v>23292</v>
      </c>
      <c r="L2664" t="s">
        <v>23295</v>
      </c>
      <c r="M2664" t="s">
        <v>25</v>
      </c>
      <c r="N2664" t="s">
        <v>23296</v>
      </c>
      <c r="O2664" t="s">
        <v>25</v>
      </c>
      <c r="P2664" t="s">
        <v>23297</v>
      </c>
      <c r="Q2664" t="s">
        <v>29</v>
      </c>
      <c r="R2664" t="s">
        <v>23293</v>
      </c>
      <c r="S2664" t="s">
        <v>23294</v>
      </c>
    </row>
    <row r="2665" spans="1:19" x14ac:dyDescent="0.25">
      <c r="A2665" s="1">
        <v>2663</v>
      </c>
      <c r="B2665" t="str">
        <f>HYPERLINK("https://www.dasschnelle.at/pinter-oliver-dr-mürzzuschlag-wiener-straße","Website")</f>
        <v>Website</v>
      </c>
      <c r="C2665" t="str">
        <f>HYPERLINK("https://www.dasschnelle.at/pinter-oliver-dr-m%C3%BCrzzuschlag-wiener-stra%C3%9Fe","Website")</f>
        <v>Website</v>
      </c>
      <c r="D2665" t="str">
        <f>HYPERLINK("http://www.google.com/maps/place/47.60626,15.67387","Location")</f>
        <v>Location</v>
      </c>
      <c r="E2665" t="s">
        <v>23298</v>
      </c>
      <c r="F2665" t="s">
        <v>23299</v>
      </c>
      <c r="G2665" t="s">
        <v>6670</v>
      </c>
      <c r="H2665" t="s">
        <v>6671</v>
      </c>
      <c r="I2665" t="s">
        <v>451</v>
      </c>
      <c r="J2665" t="s">
        <v>22</v>
      </c>
      <c r="K2665" t="s">
        <v>23300</v>
      </c>
      <c r="L2665" t="s">
        <v>23303</v>
      </c>
      <c r="M2665" t="s">
        <v>25</v>
      </c>
      <c r="N2665" t="s">
        <v>25</v>
      </c>
      <c r="O2665" t="s">
        <v>25</v>
      </c>
      <c r="P2665" t="s">
        <v>23304</v>
      </c>
      <c r="Q2665" t="s">
        <v>29</v>
      </c>
      <c r="R2665" t="s">
        <v>23301</v>
      </c>
      <c r="S2665" t="s">
        <v>23302</v>
      </c>
    </row>
    <row r="2666" spans="1:19" x14ac:dyDescent="0.25">
      <c r="A2666" s="1">
        <v>2664</v>
      </c>
      <c r="B2666" t="str">
        <f>HYPERLINK("https://www.dasschnelle.at/weberstorfer-elke-gmunden-platz-der-sudetendeutschen","Website")</f>
        <v>Website</v>
      </c>
      <c r="C2666" t="str">
        <f>HYPERLINK("http://www.physiotherapie-traunsee.com","Website")</f>
        <v>Website</v>
      </c>
      <c r="D2666" t="str">
        <f>HYPERLINK("http://www.google.com/maps/place/47.91876,13.7881","Location")</f>
        <v>Location</v>
      </c>
      <c r="E2666" t="s">
        <v>23305</v>
      </c>
      <c r="F2666" t="s">
        <v>23306</v>
      </c>
      <c r="G2666" t="s">
        <v>6951</v>
      </c>
      <c r="H2666" t="s">
        <v>6952</v>
      </c>
      <c r="I2666" t="s">
        <v>85</v>
      </c>
      <c r="J2666" t="s">
        <v>22</v>
      </c>
      <c r="K2666" t="s">
        <v>23307</v>
      </c>
      <c r="L2666" t="s">
        <v>23310</v>
      </c>
      <c r="M2666" t="s">
        <v>25</v>
      </c>
      <c r="N2666" t="s">
        <v>23311</v>
      </c>
      <c r="O2666" t="s">
        <v>25</v>
      </c>
      <c r="P2666" t="s">
        <v>23312</v>
      </c>
      <c r="Q2666" t="s">
        <v>29</v>
      </c>
      <c r="R2666" t="s">
        <v>23308</v>
      </c>
      <c r="S2666" t="s">
        <v>23309</v>
      </c>
    </row>
    <row r="2667" spans="1:19" x14ac:dyDescent="0.25">
      <c r="A2667" s="1">
        <v>2665</v>
      </c>
      <c r="B2667" t="str">
        <f>HYPERLINK("https://www.dasschnelle.at/schaufler-reifen-gmbh-oberndorf-bei-salzburg-st-georgener-straße","Website")</f>
        <v>Website</v>
      </c>
      <c r="C2667" t="str">
        <f>HYPERLINK("https://www.dasschnelle.at/schaufler-reifen-gmbh-oberndorf-bei-salzburg-st-georgener-stra%C3%9Fe","Website")</f>
        <v>Website</v>
      </c>
      <c r="D2667" t="str">
        <f>HYPERLINK("http://www.google.com/maps/place/47.95043,12.93471","Location")</f>
        <v>Location</v>
      </c>
      <c r="E2667" t="s">
        <v>23313</v>
      </c>
      <c r="F2667" t="s">
        <v>23314</v>
      </c>
      <c r="G2667" t="s">
        <v>12780</v>
      </c>
      <c r="H2667" t="s">
        <v>12781</v>
      </c>
      <c r="I2667" t="s">
        <v>2239</v>
      </c>
      <c r="J2667" t="s">
        <v>22</v>
      </c>
      <c r="K2667" t="s">
        <v>23315</v>
      </c>
      <c r="L2667" t="s">
        <v>23318</v>
      </c>
      <c r="M2667" t="s">
        <v>25</v>
      </c>
      <c r="N2667" t="s">
        <v>25</v>
      </c>
      <c r="O2667" t="s">
        <v>25</v>
      </c>
      <c r="P2667" t="s">
        <v>23319</v>
      </c>
      <c r="Q2667" t="s">
        <v>29</v>
      </c>
      <c r="R2667" t="s">
        <v>23316</v>
      </c>
      <c r="S2667" t="s">
        <v>23317</v>
      </c>
    </row>
    <row r="2668" spans="1:19" x14ac:dyDescent="0.25">
      <c r="A2668" s="1">
        <v>2666</v>
      </c>
      <c r="B2668" t="str">
        <f>HYPERLINK("https://www.dasschnelle.at/notariat-am-marktplatz-loidl-enzmann-und-partner-og-gmunden-marktplatz","Website")</f>
        <v>Website</v>
      </c>
      <c r="C2668" t="str">
        <f>HYPERLINK("http://www.notare-gmunden.at","Website")</f>
        <v>Website</v>
      </c>
      <c r="D2668" t="str">
        <f>HYPERLINK("http://www.google.com/maps/place/47.9195500,13.8003500","Location")</f>
        <v>Location</v>
      </c>
      <c r="E2668" t="s">
        <v>23320</v>
      </c>
      <c r="F2668" t="s">
        <v>23321</v>
      </c>
      <c r="G2668" t="s">
        <v>6951</v>
      </c>
      <c r="H2668" t="s">
        <v>6952</v>
      </c>
      <c r="I2668" t="s">
        <v>85</v>
      </c>
      <c r="J2668" t="s">
        <v>22</v>
      </c>
      <c r="K2668" t="s">
        <v>23322</v>
      </c>
      <c r="L2668" t="s">
        <v>23325</v>
      </c>
      <c r="M2668" t="s">
        <v>25</v>
      </c>
      <c r="N2668" t="s">
        <v>23326</v>
      </c>
      <c r="O2668" t="s">
        <v>25</v>
      </c>
      <c r="P2668" t="s">
        <v>23327</v>
      </c>
      <c r="Q2668" t="s">
        <v>29</v>
      </c>
      <c r="R2668" t="s">
        <v>23323</v>
      </c>
      <c r="S2668" t="s">
        <v>23324</v>
      </c>
    </row>
    <row r="2669" spans="1:19" x14ac:dyDescent="0.25">
      <c r="A2669" s="1">
        <v>2667</v>
      </c>
      <c r="B2669" t="str">
        <f>HYPERLINK("https://www.dasschnelle.at/fußpflege-mißebner-mürzzuschlag-stadtplatz","Website")</f>
        <v>Website</v>
      </c>
      <c r="C2669" t="str">
        <f>HYPERLINK("https://www.dasschnelle.at/fu%C3%9Fpflege-mi%C3%9Febner-m%C3%BCrzzuschlag-stadtplatz","Website")</f>
        <v>Website</v>
      </c>
      <c r="D2669" t="str">
        <f>HYPERLINK("http://www.google.com/maps/place/47.60653,15.67229","Location")</f>
        <v>Location</v>
      </c>
      <c r="E2669" t="s">
        <v>23328</v>
      </c>
      <c r="F2669" t="s">
        <v>23329</v>
      </c>
      <c r="G2669" t="s">
        <v>6670</v>
      </c>
      <c r="H2669" t="s">
        <v>6671</v>
      </c>
      <c r="I2669" t="s">
        <v>451</v>
      </c>
      <c r="J2669" t="s">
        <v>22</v>
      </c>
      <c r="K2669" t="s">
        <v>14339</v>
      </c>
      <c r="L2669" t="s">
        <v>23330</v>
      </c>
      <c r="M2669" t="s">
        <v>25</v>
      </c>
      <c r="N2669" t="s">
        <v>25</v>
      </c>
      <c r="O2669" t="s">
        <v>25</v>
      </c>
      <c r="P2669" t="s">
        <v>23331</v>
      </c>
      <c r="Q2669" t="s">
        <v>29</v>
      </c>
      <c r="R2669" t="s">
        <v>14340</v>
      </c>
      <c r="S2669" t="s">
        <v>14341</v>
      </c>
    </row>
    <row r="2670" spans="1:19" x14ac:dyDescent="0.25">
      <c r="A2670" s="1">
        <v>2668</v>
      </c>
      <c r="B2670" t="str">
        <f>HYPERLINK("https://www.dasschnelle.at/danner-ernst-gesmbh-und-co-kg-altmünster-nachdemsee","Website")</f>
        <v>Website</v>
      </c>
      <c r="C2670" t="str">
        <f>HYPERLINK("http://www.danner-dach.at","Website")</f>
        <v>Website</v>
      </c>
      <c r="D2670" t="str">
        <f>HYPERLINK("http://www.google.com/maps/place/47.8786100,13.7734800","Location")</f>
        <v>Location</v>
      </c>
      <c r="E2670" t="s">
        <v>23332</v>
      </c>
      <c r="F2670" t="s">
        <v>23333</v>
      </c>
      <c r="G2670" t="s">
        <v>7000</v>
      </c>
      <c r="H2670" t="s">
        <v>7001</v>
      </c>
      <c r="I2670" t="s">
        <v>85</v>
      </c>
      <c r="J2670" t="s">
        <v>22</v>
      </c>
      <c r="K2670" t="s">
        <v>23334</v>
      </c>
      <c r="L2670" t="s">
        <v>23337</v>
      </c>
      <c r="M2670" t="s">
        <v>23338</v>
      </c>
      <c r="N2670" t="s">
        <v>23339</v>
      </c>
      <c r="O2670" t="s">
        <v>23340</v>
      </c>
      <c r="P2670" t="s">
        <v>23341</v>
      </c>
      <c r="Q2670" t="s">
        <v>29</v>
      </c>
      <c r="R2670" t="s">
        <v>23335</v>
      </c>
      <c r="S2670" t="s">
        <v>23336</v>
      </c>
    </row>
    <row r="2671" spans="1:19" x14ac:dyDescent="0.25">
      <c r="A2671" s="1">
        <v>2669</v>
      </c>
      <c r="B2671" t="str">
        <f>HYPERLINK("https://www.dasschnelle.at/pizzeria-san-angelo-altmünster-nachdemsee","Website")</f>
        <v>Website</v>
      </c>
      <c r="C2671" t="str">
        <f>HYPERLINK("http://www.pizzeria-sanangelo.com","Website")</f>
        <v>Website</v>
      </c>
      <c r="D2671" t="str">
        <f>HYPERLINK("http://www.google.com/maps/place/47.8797971,13.7749041","Location")</f>
        <v>Location</v>
      </c>
      <c r="E2671" t="s">
        <v>23342</v>
      </c>
      <c r="F2671" t="s">
        <v>23343</v>
      </c>
      <c r="G2671" t="s">
        <v>7000</v>
      </c>
      <c r="H2671" t="s">
        <v>7001</v>
      </c>
      <c r="I2671" t="s">
        <v>85</v>
      </c>
      <c r="J2671" t="s">
        <v>22</v>
      </c>
      <c r="K2671" t="s">
        <v>23344</v>
      </c>
      <c r="L2671" t="s">
        <v>23347</v>
      </c>
      <c r="M2671" t="s">
        <v>25</v>
      </c>
      <c r="N2671" t="s">
        <v>23348</v>
      </c>
      <c r="O2671" t="s">
        <v>25</v>
      </c>
      <c r="P2671" t="s">
        <v>23349</v>
      </c>
      <c r="Q2671" t="s">
        <v>29</v>
      </c>
      <c r="R2671" t="s">
        <v>23345</v>
      </c>
      <c r="S2671" t="s">
        <v>23346</v>
      </c>
    </row>
    <row r="2672" spans="1:19" x14ac:dyDescent="0.25">
      <c r="A2672" s="1">
        <v>2670</v>
      </c>
      <c r="B2672" t="str">
        <f>HYPERLINK("https://www.dasschnelle.at/mr-institut-gmunden-gmbh-prim-dr-lindner-und-univ-doz-dr-dirisamer-gmunden-miller-v-aichholz-straße","Website")</f>
        <v>Website</v>
      </c>
      <c r="C2672" t="str">
        <f>HYPERLINK("http://www.mr-gmunden.at","Website")</f>
        <v>Website</v>
      </c>
      <c r="D2672" t="str">
        <f>HYPERLINK("http://www.google.com/maps/place/47.9161706,13.7803279","Location")</f>
        <v>Location</v>
      </c>
      <c r="E2672" t="s">
        <v>23350</v>
      </c>
      <c r="F2672" t="s">
        <v>23351</v>
      </c>
      <c r="G2672" t="s">
        <v>6951</v>
      </c>
      <c r="H2672" t="s">
        <v>6952</v>
      </c>
      <c r="I2672" t="s">
        <v>85</v>
      </c>
      <c r="J2672" t="s">
        <v>22</v>
      </c>
      <c r="K2672" t="s">
        <v>23352</v>
      </c>
      <c r="L2672" t="s">
        <v>23355</v>
      </c>
      <c r="M2672" t="s">
        <v>25</v>
      </c>
      <c r="N2672" t="s">
        <v>23356</v>
      </c>
      <c r="O2672" t="s">
        <v>23357</v>
      </c>
      <c r="P2672" t="s">
        <v>23358</v>
      </c>
      <c r="Q2672" t="s">
        <v>29</v>
      </c>
      <c r="R2672" t="s">
        <v>23353</v>
      </c>
      <c r="S2672" t="s">
        <v>23354</v>
      </c>
    </row>
    <row r="2673" spans="1:19" x14ac:dyDescent="0.25">
      <c r="A2673" s="1">
        <v>2671</v>
      </c>
      <c r="B2673" t="str">
        <f>HYPERLINK("https://www.dasschnelle.at/höller-günter-fraunsdorf-windbüchelgasse","Website")</f>
        <v>Website</v>
      </c>
      <c r="C2673" t="str">
        <f>HYPERLINK("http://www.hoeller-gase.at","Website")</f>
        <v>Website</v>
      </c>
      <c r="D2673" t="str">
        <f>HYPERLINK("http://www.google.com/maps/place/47.9377900,13.7574500","Location")</f>
        <v>Location</v>
      </c>
      <c r="E2673" t="s">
        <v>23359</v>
      </c>
      <c r="F2673" t="s">
        <v>23360</v>
      </c>
      <c r="G2673" t="s">
        <v>6941</v>
      </c>
      <c r="H2673" t="s">
        <v>23362</v>
      </c>
      <c r="I2673" t="s">
        <v>85</v>
      </c>
      <c r="J2673" t="s">
        <v>22</v>
      </c>
      <c r="K2673" t="s">
        <v>23361</v>
      </c>
      <c r="L2673" t="s">
        <v>23365</v>
      </c>
      <c r="M2673" t="s">
        <v>25</v>
      </c>
      <c r="N2673" t="s">
        <v>23366</v>
      </c>
      <c r="O2673" t="s">
        <v>23367</v>
      </c>
      <c r="P2673" t="s">
        <v>23368</v>
      </c>
      <c r="Q2673" t="s">
        <v>29</v>
      </c>
      <c r="R2673" t="s">
        <v>23363</v>
      </c>
      <c r="S2673" t="s">
        <v>23364</v>
      </c>
    </row>
    <row r="2674" spans="1:19" x14ac:dyDescent="0.25">
      <c r="A2674" s="1">
        <v>2672</v>
      </c>
      <c r="B2674" t="str">
        <f>HYPERLINK("https://www.dasschnelle.at/sattelhacker-kapfenberg-hafendorf","Website")</f>
        <v>Website</v>
      </c>
      <c r="C2674" t="str">
        <f>HYPERLINK("https://sattelhacker.at/","Website")</f>
        <v>Website</v>
      </c>
      <c r="D2674" t="str">
        <f>HYPERLINK("http://www.google.com/maps/place/47.4562857,15.3190223","Location")</f>
        <v>Location</v>
      </c>
      <c r="E2674" t="s">
        <v>23369</v>
      </c>
      <c r="F2674" t="s">
        <v>23370</v>
      </c>
      <c r="G2674" t="s">
        <v>14430</v>
      </c>
      <c r="H2674" t="s">
        <v>14431</v>
      </c>
      <c r="I2674" t="s">
        <v>451</v>
      </c>
      <c r="J2674" t="s">
        <v>22</v>
      </c>
      <c r="K2674" t="s">
        <v>23371</v>
      </c>
      <c r="L2674" t="s">
        <v>23374</v>
      </c>
      <c r="M2674" t="s">
        <v>25</v>
      </c>
      <c r="N2674" t="s">
        <v>23375</v>
      </c>
      <c r="O2674" t="s">
        <v>25</v>
      </c>
      <c r="P2674" t="s">
        <v>23376</v>
      </c>
      <c r="Q2674" t="s">
        <v>29</v>
      </c>
      <c r="R2674" t="s">
        <v>23372</v>
      </c>
      <c r="S2674" t="s">
        <v>23373</v>
      </c>
    </row>
    <row r="2675" spans="1:19" x14ac:dyDescent="0.25">
      <c r="A2675" s="1">
        <v>2673</v>
      </c>
      <c r="B2675" t="str">
        <f>HYPERLINK("https://www.dasschnelle.at/meisel-hermann-gmbh-pinsdorf-wiesenstraße","Website")</f>
        <v>Website</v>
      </c>
      <c r="C2675" t="str">
        <f>HYPERLINK("http://www.planen-meisel.com","Website")</f>
        <v>Website</v>
      </c>
      <c r="D2675" t="str">
        <f>HYPERLINK("http://www.google.com/maps/place/47.94902,13.75033","Location")</f>
        <v>Location</v>
      </c>
      <c r="E2675" t="s">
        <v>23377</v>
      </c>
      <c r="F2675" t="s">
        <v>23378</v>
      </c>
      <c r="G2675" t="s">
        <v>6981</v>
      </c>
      <c r="H2675" t="s">
        <v>6982</v>
      </c>
      <c r="I2675" t="s">
        <v>85</v>
      </c>
      <c r="J2675" t="s">
        <v>22</v>
      </c>
      <c r="K2675" t="s">
        <v>23379</v>
      </c>
      <c r="L2675" t="s">
        <v>23382</v>
      </c>
      <c r="M2675" t="s">
        <v>23383</v>
      </c>
      <c r="N2675" t="s">
        <v>23384</v>
      </c>
      <c r="O2675" t="s">
        <v>25</v>
      </c>
      <c r="P2675" t="s">
        <v>23385</v>
      </c>
      <c r="Q2675" t="s">
        <v>29</v>
      </c>
      <c r="R2675" t="s">
        <v>23380</v>
      </c>
      <c r="S2675" t="s">
        <v>23381</v>
      </c>
    </row>
    <row r="2676" spans="1:19" x14ac:dyDescent="0.25">
      <c r="A2676" s="1">
        <v>2674</v>
      </c>
      <c r="B2676" t="str">
        <f>HYPERLINK("https://www.dasschnelle.at/moravec-andreas-gmunden-cumberlandstraße","Website")</f>
        <v>Website</v>
      </c>
      <c r="C2676" t="str">
        <f>HYPERLINK("http://www.gruenzone.at","Website")</f>
        <v>Website</v>
      </c>
      <c r="D2676" t="str">
        <f>HYPERLINK("http://www.google.com/maps/place/47.9250200,13.8071700","Location")</f>
        <v>Location</v>
      </c>
      <c r="E2676" t="s">
        <v>23386</v>
      </c>
      <c r="F2676" t="s">
        <v>23387</v>
      </c>
      <c r="G2676" t="s">
        <v>6951</v>
      </c>
      <c r="H2676" t="s">
        <v>6952</v>
      </c>
      <c r="I2676" t="s">
        <v>85</v>
      </c>
      <c r="J2676" t="s">
        <v>22</v>
      </c>
      <c r="K2676" t="s">
        <v>23388</v>
      </c>
      <c r="L2676" t="s">
        <v>23391</v>
      </c>
      <c r="M2676" t="s">
        <v>25</v>
      </c>
      <c r="N2676" t="s">
        <v>23392</v>
      </c>
      <c r="O2676" t="s">
        <v>23393</v>
      </c>
      <c r="P2676" t="s">
        <v>23394</v>
      </c>
      <c r="Q2676" t="s">
        <v>29</v>
      </c>
      <c r="R2676" t="s">
        <v>23389</v>
      </c>
      <c r="S2676" t="s">
        <v>23390</v>
      </c>
    </row>
    <row r="2677" spans="1:19" x14ac:dyDescent="0.25">
      <c r="A2677" s="1">
        <v>2675</v>
      </c>
      <c r="B2677" t="str">
        <f>HYPERLINK("https://www.dasschnelle.at/baumservice-bleier-e-u-baden-johannesgasse","Website")</f>
        <v>Website</v>
      </c>
      <c r="C2677" t="str">
        <f>HYPERLINK("https://baumservice-bleier.at/","Website")</f>
        <v>Website</v>
      </c>
      <c r="D2677" t="str">
        <f>HYPERLINK("http://www.google.com/maps/place/48.00706,16.22681","Location")</f>
        <v>Location</v>
      </c>
      <c r="E2677" t="s">
        <v>23395</v>
      </c>
      <c r="F2677" t="s">
        <v>23396</v>
      </c>
      <c r="G2677" t="s">
        <v>1979</v>
      </c>
      <c r="H2677" t="s">
        <v>1980</v>
      </c>
      <c r="I2677" t="s">
        <v>177</v>
      </c>
      <c r="J2677" t="s">
        <v>22</v>
      </c>
      <c r="K2677" t="s">
        <v>23397</v>
      </c>
      <c r="L2677" t="s">
        <v>23400</v>
      </c>
      <c r="M2677" t="s">
        <v>25</v>
      </c>
      <c r="N2677" t="s">
        <v>23401</v>
      </c>
      <c r="O2677" t="s">
        <v>23402</v>
      </c>
      <c r="P2677" t="s">
        <v>23403</v>
      </c>
      <c r="Q2677" t="s">
        <v>29</v>
      </c>
      <c r="R2677" t="s">
        <v>23398</v>
      </c>
      <c r="S2677" t="s">
        <v>23399</v>
      </c>
    </row>
    <row r="2678" spans="1:19" x14ac:dyDescent="0.25">
      <c r="A2678" s="1">
        <v>2676</v>
      </c>
      <c r="B2678" t="str">
        <f>HYPERLINK("https://www.dasschnelle.at/gruber-michaela-laakirchen-hauptstraße","Website")</f>
        <v>Website</v>
      </c>
      <c r="C2678" t="str">
        <f>HYPERLINK("http://www.muscari.at","Website")</f>
        <v>Website</v>
      </c>
      <c r="D2678" t="str">
        <f>HYPERLINK("http://www.google.com/maps/place/47.99172,13.80677","Location")</f>
        <v>Location</v>
      </c>
      <c r="E2678" t="s">
        <v>23404</v>
      </c>
      <c r="F2678" t="s">
        <v>23405</v>
      </c>
      <c r="G2678" t="s">
        <v>23406</v>
      </c>
      <c r="H2678" t="s">
        <v>6991</v>
      </c>
      <c r="I2678" t="s">
        <v>85</v>
      </c>
      <c r="J2678" t="s">
        <v>22</v>
      </c>
      <c r="K2678" t="s">
        <v>2041</v>
      </c>
      <c r="L2678" t="s">
        <v>23409</v>
      </c>
      <c r="M2678" t="s">
        <v>25</v>
      </c>
      <c r="N2678" t="s">
        <v>23410</v>
      </c>
      <c r="O2678" t="s">
        <v>25</v>
      </c>
      <c r="P2678" t="s">
        <v>23411</v>
      </c>
      <c r="Q2678" t="s">
        <v>29</v>
      </c>
      <c r="R2678" t="s">
        <v>23407</v>
      </c>
      <c r="S2678" t="s">
        <v>23408</v>
      </c>
    </row>
    <row r="2679" spans="1:19" x14ac:dyDescent="0.25">
      <c r="A2679" s="1">
        <v>2677</v>
      </c>
      <c r="B2679" t="str">
        <f>HYPERLINK("https://www.dasschnelle.at/scharrer-glaserei-baden-wassergasse","Website")</f>
        <v>Website</v>
      </c>
      <c r="C2679" t="str">
        <f>HYPERLINK("http://www.glas-scharrer.at","Website")</f>
        <v>Website</v>
      </c>
      <c r="D2679" t="str">
        <f>HYPERLINK("http://www.google.com/maps/place/48.00722,16.23491","Location")</f>
        <v>Location</v>
      </c>
      <c r="E2679" t="s">
        <v>23412</v>
      </c>
      <c r="F2679" t="s">
        <v>23413</v>
      </c>
      <c r="G2679" t="s">
        <v>1979</v>
      </c>
      <c r="H2679" t="s">
        <v>1980</v>
      </c>
      <c r="I2679" t="s">
        <v>177</v>
      </c>
      <c r="J2679" t="s">
        <v>22</v>
      </c>
      <c r="K2679" t="s">
        <v>23414</v>
      </c>
      <c r="L2679" t="s">
        <v>23417</v>
      </c>
      <c r="M2679" t="s">
        <v>25</v>
      </c>
      <c r="N2679" t="s">
        <v>23418</v>
      </c>
      <c r="O2679" t="s">
        <v>25</v>
      </c>
      <c r="P2679" t="s">
        <v>23419</v>
      </c>
      <c r="Q2679" t="s">
        <v>29</v>
      </c>
      <c r="R2679" t="s">
        <v>23415</v>
      </c>
      <c r="S2679" t="s">
        <v>23416</v>
      </c>
    </row>
    <row r="2680" spans="1:19" x14ac:dyDescent="0.25">
      <c r="A2680" s="1">
        <v>2678</v>
      </c>
      <c r="B2680" t="str">
        <f>HYPERLINK("https://www.dasschnelle.at/t-dach-gmbh-ohlsdorf-kleinreith-gewerbepark","Website")</f>
        <v>Website</v>
      </c>
      <c r="C2680" t="str">
        <f>HYPERLINK("http://www.tdach.at","Website")</f>
        <v>Website</v>
      </c>
      <c r="D2680" t="str">
        <f>HYPERLINK("http://www.google.com/maps/place/47.94043,13.79005","Location")</f>
        <v>Location</v>
      </c>
      <c r="E2680" t="s">
        <v>23420</v>
      </c>
      <c r="F2680" t="s">
        <v>23421</v>
      </c>
      <c r="G2680" t="s">
        <v>6941</v>
      </c>
      <c r="H2680" t="s">
        <v>23422</v>
      </c>
      <c r="I2680" t="s">
        <v>85</v>
      </c>
      <c r="J2680" t="s">
        <v>22</v>
      </c>
      <c r="K2680" t="s">
        <v>6940</v>
      </c>
      <c r="L2680" t="s">
        <v>23423</v>
      </c>
      <c r="M2680" t="s">
        <v>25</v>
      </c>
      <c r="N2680" t="s">
        <v>6946</v>
      </c>
      <c r="O2680" t="s">
        <v>23424</v>
      </c>
      <c r="P2680" t="s">
        <v>23425</v>
      </c>
      <c r="Q2680" t="s">
        <v>29</v>
      </c>
      <c r="R2680" t="s">
        <v>6943</v>
      </c>
      <c r="S2680" t="s">
        <v>6944</v>
      </c>
    </row>
    <row r="2681" spans="1:19" x14ac:dyDescent="0.25">
      <c r="A2681" s="1">
        <v>2679</v>
      </c>
      <c r="B2681" t="str">
        <f>HYPERLINK("https://www.dasschnelle.at/fidas-kindberg-steuerberatung-gmbh-kindberg-hauptstraße","Website")</f>
        <v>Website</v>
      </c>
      <c r="C2681" t="str">
        <f>HYPERLINK("http://www.fidas.at","Website")</f>
        <v>Website</v>
      </c>
      <c r="D2681" t="str">
        <f>HYPERLINK("http://www.google.com/maps/place/47.50595,15.44977","Location")</f>
        <v>Location</v>
      </c>
      <c r="E2681" t="s">
        <v>23426</v>
      </c>
      <c r="F2681" t="s">
        <v>23427</v>
      </c>
      <c r="G2681" t="s">
        <v>6633</v>
      </c>
      <c r="H2681" t="s">
        <v>6634</v>
      </c>
      <c r="I2681" t="s">
        <v>451</v>
      </c>
      <c r="J2681" t="s">
        <v>22</v>
      </c>
      <c r="K2681" t="s">
        <v>16819</v>
      </c>
      <c r="L2681" t="s">
        <v>23430</v>
      </c>
      <c r="M2681" t="s">
        <v>23431</v>
      </c>
      <c r="N2681" t="s">
        <v>23432</v>
      </c>
      <c r="O2681" t="s">
        <v>25</v>
      </c>
      <c r="P2681" t="s">
        <v>23433</v>
      </c>
      <c r="Q2681" t="s">
        <v>29</v>
      </c>
      <c r="R2681" t="s">
        <v>23428</v>
      </c>
      <c r="S2681" t="s">
        <v>23429</v>
      </c>
    </row>
    <row r="2682" spans="1:19" x14ac:dyDescent="0.25">
      <c r="A2682" s="1">
        <v>2680</v>
      </c>
      <c r="B2682" t="str">
        <f>HYPERLINK("https://www.dasschnelle.at/eybl-g-mag-gmunden-schlagenstraße","Website")</f>
        <v>Website</v>
      </c>
      <c r="C2682" t="str">
        <f>HYPERLINK("http://www.ra-eybl.at","Website")</f>
        <v>Website</v>
      </c>
      <c r="D2682" t="str">
        <f>HYPERLINK("http://www.google.com/maps/place/47.9178344,13.8084111","Location")</f>
        <v>Location</v>
      </c>
      <c r="E2682" t="s">
        <v>23434</v>
      </c>
      <c r="F2682" t="s">
        <v>23435</v>
      </c>
      <c r="G2682" t="s">
        <v>6951</v>
      </c>
      <c r="H2682" t="s">
        <v>6952</v>
      </c>
      <c r="I2682" t="s">
        <v>85</v>
      </c>
      <c r="J2682" t="s">
        <v>22</v>
      </c>
      <c r="K2682" t="s">
        <v>23436</v>
      </c>
      <c r="L2682" t="s">
        <v>23439</v>
      </c>
      <c r="M2682" t="s">
        <v>25</v>
      </c>
      <c r="N2682" t="s">
        <v>23440</v>
      </c>
      <c r="O2682" t="s">
        <v>23441</v>
      </c>
      <c r="P2682" t="s">
        <v>23442</v>
      </c>
      <c r="Q2682" t="s">
        <v>29</v>
      </c>
      <c r="R2682" t="s">
        <v>23437</v>
      </c>
      <c r="S2682" t="s">
        <v>23438</v>
      </c>
    </row>
    <row r="2683" spans="1:19" x14ac:dyDescent="0.25">
      <c r="A2683" s="1">
        <v>2681</v>
      </c>
      <c r="B2683" t="str">
        <f>HYPERLINK("https://www.dasschnelle.at/bergthaler-christoph-gasthof-engelhof-gmunden-engelhofstraße","Website")</f>
        <v>Website</v>
      </c>
      <c r="C2683" t="str">
        <f>HYPERLINK("http://www.engelhof.at","Website")</f>
        <v>Website</v>
      </c>
      <c r="D2683" t="str">
        <f>HYPERLINK("http://www.google.com/maps/place/47.92553,13.81797","Location")</f>
        <v>Location</v>
      </c>
      <c r="E2683" t="s">
        <v>23443</v>
      </c>
      <c r="F2683" t="s">
        <v>23444</v>
      </c>
      <c r="G2683" t="s">
        <v>6951</v>
      </c>
      <c r="H2683" t="s">
        <v>6952</v>
      </c>
      <c r="I2683" t="s">
        <v>85</v>
      </c>
      <c r="J2683" t="s">
        <v>22</v>
      </c>
      <c r="K2683" t="s">
        <v>23445</v>
      </c>
      <c r="L2683" t="s">
        <v>23448</v>
      </c>
      <c r="M2683" t="s">
        <v>25</v>
      </c>
      <c r="N2683" t="s">
        <v>23449</v>
      </c>
      <c r="O2683" t="s">
        <v>25</v>
      </c>
      <c r="P2683" t="s">
        <v>23450</v>
      </c>
      <c r="Q2683" t="s">
        <v>29</v>
      </c>
      <c r="R2683" t="s">
        <v>23446</v>
      </c>
      <c r="S2683" t="s">
        <v>23447</v>
      </c>
    </row>
    <row r="2684" spans="1:19" x14ac:dyDescent="0.25">
      <c r="A2684" s="1">
        <v>2682</v>
      </c>
      <c r="B2684" t="str">
        <f>HYPERLINK("https://www.dasschnelle.at/moshammer-wiesen-wiesenstraße","Website")</f>
        <v>Website</v>
      </c>
      <c r="C2684" t="str">
        <f>HYPERLINK("http://www.gasthof-moshammer.at","Website")</f>
        <v>Website</v>
      </c>
      <c r="D2684" t="str">
        <f>HYPERLINK("http://www.google.com/maps/place/47.9473,13.7522","Location")</f>
        <v>Location</v>
      </c>
      <c r="E2684" t="s">
        <v>23451</v>
      </c>
      <c r="F2684" t="s">
        <v>23452</v>
      </c>
      <c r="G2684" t="s">
        <v>6981</v>
      </c>
      <c r="H2684" t="s">
        <v>23454</v>
      </c>
      <c r="I2684" t="s">
        <v>85</v>
      </c>
      <c r="J2684" t="s">
        <v>22</v>
      </c>
      <c r="K2684" t="s">
        <v>23453</v>
      </c>
      <c r="L2684" t="s">
        <v>23457</v>
      </c>
      <c r="M2684" t="s">
        <v>25</v>
      </c>
      <c r="N2684" t="s">
        <v>23458</v>
      </c>
      <c r="O2684" t="s">
        <v>25</v>
      </c>
      <c r="P2684" t="s">
        <v>23459</v>
      </c>
      <c r="Q2684" t="s">
        <v>29</v>
      </c>
      <c r="R2684" t="s">
        <v>23455</v>
      </c>
      <c r="S2684" t="s">
        <v>23456</v>
      </c>
    </row>
    <row r="2685" spans="1:19" x14ac:dyDescent="0.25">
      <c r="A2685" s="1">
        <v>2683</v>
      </c>
      <c r="B2685" t="str">
        <f>HYPERLINK("https://www.dasschnelle.at/amerhauser-gmbh-sankt-georgen-bei-salzburg-holzhauser-straße","Website")</f>
        <v>Website</v>
      </c>
      <c r="C2685" t="str">
        <f>HYPERLINK("http://www.amerhauser.at","Website")</f>
        <v>Website</v>
      </c>
      <c r="D2685" t="str">
        <f>HYPERLINK("http://www.google.com/maps/place/48.0120000,12.9358500","Location")</f>
        <v>Location</v>
      </c>
      <c r="E2685" t="s">
        <v>23460</v>
      </c>
      <c r="F2685" t="s">
        <v>23461</v>
      </c>
      <c r="G2685" t="s">
        <v>9266</v>
      </c>
      <c r="H2685" t="s">
        <v>9267</v>
      </c>
      <c r="I2685" t="s">
        <v>2239</v>
      </c>
      <c r="J2685" t="s">
        <v>22</v>
      </c>
      <c r="K2685" t="s">
        <v>9265</v>
      </c>
      <c r="L2685" t="s">
        <v>9270</v>
      </c>
      <c r="M2685" t="s">
        <v>9271</v>
      </c>
      <c r="N2685" t="s">
        <v>9272</v>
      </c>
      <c r="O2685" t="s">
        <v>25</v>
      </c>
      <c r="P2685" t="s">
        <v>23462</v>
      </c>
      <c r="Q2685" t="s">
        <v>29</v>
      </c>
      <c r="R2685" t="s">
        <v>9268</v>
      </c>
      <c r="S2685" t="s">
        <v>9269</v>
      </c>
    </row>
    <row r="2686" spans="1:19" x14ac:dyDescent="0.25">
      <c r="A2686" s="1">
        <v>2684</v>
      </c>
      <c r="B2686" t="str">
        <f>HYPERLINK("https://www.dasschnelle.at/scheuringer-gerhard-gmunden-ohlsdorferstraße","Website")</f>
        <v>Website</v>
      </c>
      <c r="C2686" t="str">
        <f>HYPERLINK("http://www.gasthof-altmuehl.at","Website")</f>
        <v>Website</v>
      </c>
      <c r="D2686" t="str">
        <f>HYPERLINK("http://www.google.com/maps/place/47.93809,13.79632","Location")</f>
        <v>Location</v>
      </c>
      <c r="E2686" t="s">
        <v>23463</v>
      </c>
      <c r="F2686" t="s">
        <v>23464</v>
      </c>
      <c r="G2686" t="s">
        <v>6951</v>
      </c>
      <c r="H2686" t="s">
        <v>6952</v>
      </c>
      <c r="I2686" t="s">
        <v>85</v>
      </c>
      <c r="J2686" t="s">
        <v>22</v>
      </c>
      <c r="K2686" t="s">
        <v>23465</v>
      </c>
      <c r="L2686" t="s">
        <v>23468</v>
      </c>
      <c r="M2686" t="s">
        <v>25</v>
      </c>
      <c r="N2686" t="s">
        <v>23469</v>
      </c>
      <c r="O2686" t="s">
        <v>25</v>
      </c>
      <c r="P2686" t="s">
        <v>23470</v>
      </c>
      <c r="Q2686" t="s">
        <v>29</v>
      </c>
      <c r="R2686" t="s">
        <v>23466</v>
      </c>
      <c r="S2686" t="s">
        <v>23467</v>
      </c>
    </row>
    <row r="2687" spans="1:19" x14ac:dyDescent="0.25">
      <c r="A2687" s="1">
        <v>2685</v>
      </c>
      <c r="B2687" t="str">
        <f>HYPERLINK("https://www.dasschnelle.at/fischer-lucia-pinsdorf-moosweg","Website")</f>
        <v>Website</v>
      </c>
      <c r="C2687" t="str">
        <f>HYPERLINK("https://www.dasschnelle.at/fischer-lucia-pinsdorf-moosweg","Website")</f>
        <v>Website</v>
      </c>
      <c r="D2687" t="str">
        <f>HYPERLINK("http://www.google.com/maps/place/47.9296635,13.7683282","Location")</f>
        <v>Location</v>
      </c>
      <c r="E2687" t="s">
        <v>23471</v>
      </c>
      <c r="F2687" t="s">
        <v>23472</v>
      </c>
      <c r="G2687" t="s">
        <v>6981</v>
      </c>
      <c r="H2687" t="s">
        <v>6982</v>
      </c>
      <c r="I2687" t="s">
        <v>85</v>
      </c>
      <c r="J2687" t="s">
        <v>22</v>
      </c>
      <c r="K2687" t="s">
        <v>23473</v>
      </c>
      <c r="L2687" t="s">
        <v>23476</v>
      </c>
      <c r="M2687" t="s">
        <v>25</v>
      </c>
      <c r="N2687" t="s">
        <v>23477</v>
      </c>
      <c r="O2687" t="s">
        <v>23478</v>
      </c>
      <c r="P2687" t="s">
        <v>23479</v>
      </c>
      <c r="Q2687" t="s">
        <v>29</v>
      </c>
      <c r="R2687" t="s">
        <v>23474</v>
      </c>
      <c r="S2687" t="s">
        <v>23475</v>
      </c>
    </row>
    <row r="2688" spans="1:19" x14ac:dyDescent="0.25">
      <c r="A2688" s="1">
        <v>2686</v>
      </c>
      <c r="B2688" t="str">
        <f>HYPERLINK("https://www.dasschnelle.at/aigner-christian-mag-gmunden-traundorf-schlagenstraße","Website")</f>
        <v>Website</v>
      </c>
      <c r="C2688" t="str">
        <f>HYPERLINK("http://www.eybl-aigner.at","Website")</f>
        <v>Website</v>
      </c>
      <c r="D2688" t="str">
        <f>HYPERLINK("http://www.google.com/maps/place/47.9178344,13.8084111","Location")</f>
        <v>Location</v>
      </c>
      <c r="E2688" t="s">
        <v>23480</v>
      </c>
      <c r="F2688" t="s">
        <v>23481</v>
      </c>
      <c r="G2688" t="s">
        <v>6951</v>
      </c>
      <c r="H2688" t="s">
        <v>6952</v>
      </c>
      <c r="I2688" t="s">
        <v>85</v>
      </c>
      <c r="J2688" t="s">
        <v>22</v>
      </c>
      <c r="K2688" t="s">
        <v>23436</v>
      </c>
      <c r="L2688" t="s">
        <v>23482</v>
      </c>
      <c r="M2688" t="s">
        <v>25</v>
      </c>
      <c r="N2688" t="s">
        <v>23483</v>
      </c>
      <c r="O2688" t="s">
        <v>23484</v>
      </c>
      <c r="P2688" t="s">
        <v>697</v>
      </c>
      <c r="Q2688" t="s">
        <v>29</v>
      </c>
      <c r="R2688" t="s">
        <v>23437</v>
      </c>
      <c r="S2688" t="s">
        <v>23438</v>
      </c>
    </row>
    <row r="2689" spans="1:19" x14ac:dyDescent="0.25">
      <c r="A2689" s="1">
        <v>2687</v>
      </c>
      <c r="B2689" t="str">
        <f>HYPERLINK("https://www.dasschnelle.at/e-und-m-eiblmaier-mayrhofer-og-st-peter-am-hart-an-der-mattig","Website")</f>
        <v>Website</v>
      </c>
      <c r="C2689" t="str">
        <f>HYPERLINK("http://www.em-zaeune.at","Website")</f>
        <v>Website</v>
      </c>
      <c r="D2689" t="str">
        <f>HYPERLINK("http://www.google.com/maps/place/48.24635,13.07374","Location")</f>
        <v>Location</v>
      </c>
      <c r="E2689" t="s">
        <v>23485</v>
      </c>
      <c r="F2689" t="s">
        <v>23486</v>
      </c>
      <c r="G2689" t="s">
        <v>23488</v>
      </c>
      <c r="H2689" t="s">
        <v>23489</v>
      </c>
      <c r="I2689" t="s">
        <v>85</v>
      </c>
      <c r="J2689" t="s">
        <v>22</v>
      </c>
      <c r="K2689" t="s">
        <v>23487</v>
      </c>
      <c r="L2689" t="s">
        <v>23492</v>
      </c>
      <c r="M2689" t="s">
        <v>25</v>
      </c>
      <c r="N2689" t="s">
        <v>23493</v>
      </c>
      <c r="O2689" t="s">
        <v>23494</v>
      </c>
      <c r="P2689" t="s">
        <v>23495</v>
      </c>
      <c r="Q2689" t="s">
        <v>29</v>
      </c>
      <c r="R2689" t="s">
        <v>23490</v>
      </c>
      <c r="S2689" t="s">
        <v>23491</v>
      </c>
    </row>
    <row r="2690" spans="1:19" x14ac:dyDescent="0.25">
      <c r="A2690" s="1">
        <v>2688</v>
      </c>
      <c r="B2690" t="str">
        <f>HYPERLINK("https://www.dasschnelle.at/gurtner-michaela-braunau-am-inn-adalbert-stifter-straße","Website")</f>
        <v>Website</v>
      </c>
      <c r="C2690" t="str">
        <f>HYPERLINK("https://www.dasschnelle.at/gurtner-michaela-braunau-am-inn-adalbert-stifter-stra%C3%9Fe","Website")</f>
        <v>Website</v>
      </c>
      <c r="D2690" t="str">
        <f>HYPERLINK("http://www.google.com/maps/place/48.2501329,13.0317188","Location")</f>
        <v>Location</v>
      </c>
      <c r="E2690" t="s">
        <v>23496</v>
      </c>
      <c r="F2690" t="s">
        <v>23497</v>
      </c>
      <c r="G2690" t="s">
        <v>1289</v>
      </c>
      <c r="H2690" t="s">
        <v>1310</v>
      </c>
      <c r="I2690" t="s">
        <v>85</v>
      </c>
      <c r="J2690" t="s">
        <v>22</v>
      </c>
      <c r="K2690" t="s">
        <v>23498</v>
      </c>
      <c r="L2690" t="s">
        <v>23501</v>
      </c>
      <c r="M2690" t="s">
        <v>25</v>
      </c>
      <c r="N2690" t="s">
        <v>23502</v>
      </c>
      <c r="O2690" t="s">
        <v>25</v>
      </c>
      <c r="P2690" t="s">
        <v>23503</v>
      </c>
      <c r="Q2690" t="s">
        <v>29</v>
      </c>
      <c r="R2690" t="s">
        <v>23499</v>
      </c>
      <c r="S2690" t="s">
        <v>23500</v>
      </c>
    </row>
    <row r="2691" spans="1:19" x14ac:dyDescent="0.25">
      <c r="A2691" s="1">
        <v>2689</v>
      </c>
      <c r="B2691" t="str">
        <f>HYPERLINK("https://www.dasschnelle.at/ziegler-gesellschaft-m-b-h-ternitz-zwischeng","Website")</f>
        <v>Website</v>
      </c>
      <c r="C2691" t="str">
        <f>HYPERLINK("http://www.installateur-ziegler.at","Website")</f>
        <v>Website</v>
      </c>
      <c r="D2691" t="str">
        <f>HYPERLINK("http://www.google.com/maps/place/47.7178,16.03554","Location")</f>
        <v>Location</v>
      </c>
      <c r="E2691" t="s">
        <v>23504</v>
      </c>
      <c r="F2691" t="s">
        <v>23505</v>
      </c>
      <c r="G2691" t="s">
        <v>5667</v>
      </c>
      <c r="H2691" t="s">
        <v>5668</v>
      </c>
      <c r="I2691" t="s">
        <v>177</v>
      </c>
      <c r="J2691" t="s">
        <v>22</v>
      </c>
      <c r="K2691" t="s">
        <v>23506</v>
      </c>
      <c r="L2691" t="s">
        <v>23509</v>
      </c>
      <c r="M2691" t="s">
        <v>25</v>
      </c>
      <c r="N2691" t="s">
        <v>23510</v>
      </c>
      <c r="O2691" t="s">
        <v>25</v>
      </c>
      <c r="P2691" t="s">
        <v>23511</v>
      </c>
      <c r="Q2691" t="s">
        <v>29</v>
      </c>
      <c r="R2691" t="s">
        <v>23507</v>
      </c>
      <c r="S2691" t="s">
        <v>23508</v>
      </c>
    </row>
    <row r="2692" spans="1:19" x14ac:dyDescent="0.25">
      <c r="A2692" s="1">
        <v>2690</v>
      </c>
      <c r="B2692" t="str">
        <f>HYPERLINK("https://www.dasschnelle.at/franz-michael-leobersdorf-hauptstraße","Website")</f>
        <v>Website</v>
      </c>
      <c r="C2692" t="str">
        <f>HYPERLINK("http://www.tapezierer-franz.at","Website")</f>
        <v>Website</v>
      </c>
      <c r="D2692" t="str">
        <f>HYPERLINK("http://www.google.com/maps/place/47.9273173,16.2163496","Location")</f>
        <v>Location</v>
      </c>
      <c r="E2692" t="s">
        <v>23512</v>
      </c>
      <c r="F2692" t="s">
        <v>23513</v>
      </c>
      <c r="G2692" t="s">
        <v>2091</v>
      </c>
      <c r="H2692" t="s">
        <v>2092</v>
      </c>
      <c r="I2692" t="s">
        <v>177</v>
      </c>
      <c r="J2692" t="s">
        <v>22</v>
      </c>
      <c r="K2692" t="s">
        <v>23514</v>
      </c>
      <c r="L2692" t="s">
        <v>23517</v>
      </c>
      <c r="M2692" t="s">
        <v>23518</v>
      </c>
      <c r="N2692" t="s">
        <v>23519</v>
      </c>
      <c r="O2692" t="s">
        <v>25</v>
      </c>
      <c r="P2692" t="s">
        <v>23520</v>
      </c>
      <c r="Q2692" t="s">
        <v>29</v>
      </c>
      <c r="R2692" t="s">
        <v>23515</v>
      </c>
      <c r="S2692" t="s">
        <v>23516</v>
      </c>
    </row>
    <row r="2693" spans="1:19" x14ac:dyDescent="0.25">
      <c r="A2693" s="1">
        <v>2691</v>
      </c>
      <c r="B2693" t="str">
        <f>HYPERLINK("https://www.dasschnelle.at/wallner-elektrotechnik-gmbh-bad-vöslau-energiestraße","Website")</f>
        <v>Website</v>
      </c>
      <c r="C2693" t="str">
        <f>HYPERLINK("http://www.wallner-elektrotechnik.at","Website")</f>
        <v>Website</v>
      </c>
      <c r="D2693" t="str">
        <f>HYPERLINK("http://www.google.com/maps/place/47.9669,16.24106","Location")</f>
        <v>Location</v>
      </c>
      <c r="E2693" t="s">
        <v>23521</v>
      </c>
      <c r="F2693" t="s">
        <v>23522</v>
      </c>
      <c r="G2693" t="s">
        <v>2061</v>
      </c>
      <c r="H2693" t="s">
        <v>2062</v>
      </c>
      <c r="I2693" t="s">
        <v>177</v>
      </c>
      <c r="J2693" t="s">
        <v>22</v>
      </c>
      <c r="K2693" t="s">
        <v>23523</v>
      </c>
      <c r="L2693" t="s">
        <v>23526</v>
      </c>
      <c r="M2693" t="s">
        <v>25</v>
      </c>
      <c r="N2693" t="s">
        <v>23527</v>
      </c>
      <c r="O2693" t="s">
        <v>23528</v>
      </c>
      <c r="P2693" t="s">
        <v>23529</v>
      </c>
      <c r="Q2693" t="s">
        <v>29</v>
      </c>
      <c r="R2693" t="s">
        <v>23524</v>
      </c>
      <c r="S2693" t="s">
        <v>23525</v>
      </c>
    </row>
    <row r="2694" spans="1:19" x14ac:dyDescent="0.25">
      <c r="A2694" s="1">
        <v>2692</v>
      </c>
      <c r="B2694" t="str">
        <f>HYPERLINK("https://www.dasschnelle.at/promberger-elektrotechnik-gmbh-bad-ischl-sulzbacherstraße","Website")</f>
        <v>Website</v>
      </c>
      <c r="C2694" t="str">
        <f>HYPERLINK("http://www.promberger.at","Website")</f>
        <v>Website</v>
      </c>
      <c r="D2694" t="str">
        <f>HYPERLINK("http://www.google.com/maps/place/47.69776,13.62225","Location")</f>
        <v>Location</v>
      </c>
      <c r="E2694" t="s">
        <v>23530</v>
      </c>
      <c r="F2694" t="s">
        <v>23531</v>
      </c>
      <c r="G2694" t="s">
        <v>2377</v>
      </c>
      <c r="H2694" t="s">
        <v>2378</v>
      </c>
      <c r="I2694" t="s">
        <v>85</v>
      </c>
      <c r="J2694" t="s">
        <v>22</v>
      </c>
      <c r="K2694" t="s">
        <v>23532</v>
      </c>
      <c r="L2694" t="s">
        <v>23535</v>
      </c>
      <c r="M2694" t="s">
        <v>25</v>
      </c>
      <c r="N2694" t="s">
        <v>23536</v>
      </c>
      <c r="O2694" t="s">
        <v>23537</v>
      </c>
      <c r="P2694" t="s">
        <v>23538</v>
      </c>
      <c r="Q2694" t="s">
        <v>29</v>
      </c>
      <c r="R2694" t="s">
        <v>23533</v>
      </c>
      <c r="S2694" t="s">
        <v>23534</v>
      </c>
    </row>
    <row r="2695" spans="1:19" x14ac:dyDescent="0.25">
      <c r="A2695" s="1">
        <v>2693</v>
      </c>
      <c r="B2695" t="str">
        <f>HYPERLINK("https://www.dasschnelle.at/salletmayr-josef-h-dr-med-wilhering-eferdinger-straße","Website")</f>
        <v>Website</v>
      </c>
      <c r="C2695" t="str">
        <f>HYPERLINK("http://www.salletmayr.at","Website")</f>
        <v>Website</v>
      </c>
      <c r="D2695" t="str">
        <f>HYPERLINK("http://www.google.com/maps/place/48.30016,14.16647","Location")</f>
        <v>Location</v>
      </c>
      <c r="E2695" t="s">
        <v>23539</v>
      </c>
      <c r="F2695" t="s">
        <v>23540</v>
      </c>
      <c r="G2695" t="s">
        <v>10289</v>
      </c>
      <c r="H2695" t="s">
        <v>10290</v>
      </c>
      <c r="I2695" t="s">
        <v>85</v>
      </c>
      <c r="J2695" t="s">
        <v>22</v>
      </c>
      <c r="K2695" t="s">
        <v>23541</v>
      </c>
      <c r="L2695" t="s">
        <v>23544</v>
      </c>
      <c r="M2695" t="s">
        <v>25</v>
      </c>
      <c r="N2695" t="s">
        <v>23545</v>
      </c>
      <c r="O2695" t="s">
        <v>25</v>
      </c>
      <c r="P2695" t="s">
        <v>23546</v>
      </c>
      <c r="Q2695" t="s">
        <v>29</v>
      </c>
      <c r="R2695" t="s">
        <v>23542</v>
      </c>
      <c r="S2695" t="s">
        <v>23543</v>
      </c>
    </row>
    <row r="2696" spans="1:19" x14ac:dyDescent="0.25">
      <c r="A2696" s="1">
        <v>2694</v>
      </c>
      <c r="B2696" t="str">
        <f>HYPERLINK("https://www.dasschnelle.at/trieb-rainer-dr-kapfenberg-wiener-straße","Website")</f>
        <v>Website</v>
      </c>
      <c r="C2696" t="str">
        <f>HYPERLINK("https://www.dasschnelle.at/trieb-rainer-dr-kapfenberg-wiener-stra%C3%9Fe","Website")</f>
        <v>Website</v>
      </c>
      <c r="D2696" t="str">
        <f>HYPERLINK("http://www.google.com/maps/place/47.44284,15.29005","Location")</f>
        <v>Location</v>
      </c>
      <c r="E2696" t="s">
        <v>23547</v>
      </c>
      <c r="F2696" t="s">
        <v>23548</v>
      </c>
      <c r="G2696" t="s">
        <v>14430</v>
      </c>
      <c r="H2696" t="s">
        <v>14431</v>
      </c>
      <c r="I2696" t="s">
        <v>451</v>
      </c>
      <c r="J2696" t="s">
        <v>22</v>
      </c>
      <c r="K2696" t="s">
        <v>23549</v>
      </c>
      <c r="L2696" t="s">
        <v>23552</v>
      </c>
      <c r="M2696" t="s">
        <v>23553</v>
      </c>
      <c r="N2696" t="s">
        <v>25</v>
      </c>
      <c r="O2696" t="s">
        <v>25</v>
      </c>
      <c r="P2696" t="s">
        <v>23554</v>
      </c>
      <c r="Q2696" t="s">
        <v>29</v>
      </c>
      <c r="R2696" t="s">
        <v>23550</v>
      </c>
      <c r="S2696" t="s">
        <v>23551</v>
      </c>
    </row>
    <row r="2697" spans="1:19" x14ac:dyDescent="0.25">
      <c r="A2697" s="1">
        <v>2695</v>
      </c>
      <c r="B2697" t="str">
        <f>HYPERLINK("https://www.dasschnelle.at/schönberger-paul-schalchen-häuslberg","Website")</f>
        <v>Website</v>
      </c>
      <c r="C2697" t="str">
        <f>HYPERLINK("http://www.wohlig-warm.at","Website")</f>
        <v>Website</v>
      </c>
      <c r="D2697" t="str">
        <f>HYPERLINK("http://www.google.com/maps/place/48.1090683,13.1737493","Location")</f>
        <v>Location</v>
      </c>
      <c r="E2697" t="s">
        <v>23555</v>
      </c>
      <c r="F2697" t="s">
        <v>23556</v>
      </c>
      <c r="G2697" t="s">
        <v>1318</v>
      </c>
      <c r="H2697" t="s">
        <v>1319</v>
      </c>
      <c r="I2697" t="s">
        <v>85</v>
      </c>
      <c r="J2697" t="s">
        <v>22</v>
      </c>
      <c r="K2697" t="s">
        <v>23557</v>
      </c>
      <c r="L2697" t="s">
        <v>23560</v>
      </c>
      <c r="M2697" t="s">
        <v>25</v>
      </c>
      <c r="N2697" t="s">
        <v>23561</v>
      </c>
      <c r="O2697" t="s">
        <v>23562</v>
      </c>
      <c r="P2697" t="s">
        <v>23563</v>
      </c>
      <c r="Q2697" t="s">
        <v>29</v>
      </c>
      <c r="R2697" t="s">
        <v>23558</v>
      </c>
      <c r="S2697" t="s">
        <v>23559</v>
      </c>
    </row>
    <row r="2698" spans="1:19" x14ac:dyDescent="0.25">
      <c r="A2698" s="1">
        <v>2696</v>
      </c>
      <c r="B2698" t="str">
        <f>HYPERLINK("https://www.dasschnelle.at/hütter-helmut-uttendorf-sonnleiten","Website")</f>
        <v>Website</v>
      </c>
      <c r="C2698" t="str">
        <f>HYPERLINK("http://www.huetter-holz.at","Website")</f>
        <v>Website</v>
      </c>
      <c r="D2698" t="str">
        <f>HYPERLINK("http://www.google.com/maps/place/48.1593272,13.1798407","Location")</f>
        <v>Location</v>
      </c>
      <c r="E2698" t="s">
        <v>23564</v>
      </c>
      <c r="F2698" t="s">
        <v>23565</v>
      </c>
      <c r="G2698" t="s">
        <v>1328</v>
      </c>
      <c r="H2698" t="s">
        <v>1329</v>
      </c>
      <c r="I2698" t="s">
        <v>85</v>
      </c>
      <c r="J2698" t="s">
        <v>22</v>
      </c>
      <c r="K2698" t="s">
        <v>23566</v>
      </c>
      <c r="L2698" t="s">
        <v>23569</v>
      </c>
      <c r="M2698" t="s">
        <v>25</v>
      </c>
      <c r="N2698" t="s">
        <v>23570</v>
      </c>
      <c r="O2698" t="s">
        <v>25</v>
      </c>
      <c r="P2698" t="s">
        <v>23571</v>
      </c>
      <c r="Q2698" t="s">
        <v>29</v>
      </c>
      <c r="R2698" t="s">
        <v>23567</v>
      </c>
      <c r="S2698" t="s">
        <v>23568</v>
      </c>
    </row>
    <row r="2699" spans="1:19" x14ac:dyDescent="0.25">
      <c r="A2699" s="1">
        <v>2697</v>
      </c>
      <c r="B2699" t="str">
        <f>HYPERLINK("https://www.dasschnelle.at/bestattung-gangoly-oberwart-steinamangerer-straße","Website")</f>
        <v>Website</v>
      </c>
      <c r="C2699" t="str">
        <f>HYPERLINK("http://www.ing-gangoly.at/","Website")</f>
        <v>Website</v>
      </c>
      <c r="D2699" t="str">
        <f>HYPERLINK("http://www.google.com/maps/place/47.2852800,16.2157500","Location")</f>
        <v>Location</v>
      </c>
      <c r="E2699" t="s">
        <v>23572</v>
      </c>
      <c r="F2699" t="s">
        <v>23573</v>
      </c>
      <c r="G2699" t="s">
        <v>20126</v>
      </c>
      <c r="H2699" t="s">
        <v>20127</v>
      </c>
      <c r="I2699" t="s">
        <v>1834</v>
      </c>
      <c r="J2699" t="s">
        <v>22</v>
      </c>
      <c r="K2699" t="s">
        <v>23574</v>
      </c>
      <c r="L2699" t="s">
        <v>23577</v>
      </c>
      <c r="M2699" t="s">
        <v>25</v>
      </c>
      <c r="N2699" t="s">
        <v>23578</v>
      </c>
      <c r="O2699" t="s">
        <v>25</v>
      </c>
      <c r="P2699" t="s">
        <v>23579</v>
      </c>
      <c r="Q2699" t="s">
        <v>29</v>
      </c>
      <c r="R2699" t="s">
        <v>23575</v>
      </c>
      <c r="S2699" t="s">
        <v>23576</v>
      </c>
    </row>
    <row r="2700" spans="1:19" x14ac:dyDescent="0.25">
      <c r="A2700" s="1">
        <v>2698</v>
      </c>
      <c r="B2700" t="str">
        <f>HYPERLINK("https://www.dasschnelle.at/friseur-johanna-lamprechtshausen-franz-xaver-gruber-straße","Website")</f>
        <v>Website</v>
      </c>
      <c r="C2700" t="str">
        <f>HYPERLINK("https://www.dasschnelle.at/friseur-johanna-lamprechtshausen-franz-xaver-gruber-stra%C3%9Fe","Website")</f>
        <v>Website</v>
      </c>
      <c r="D2700" t="str">
        <f>HYPERLINK("http://www.google.com/maps/place/47.9926,12.95983","Location")</f>
        <v>Location</v>
      </c>
      <c r="E2700" t="s">
        <v>23580</v>
      </c>
      <c r="F2700" t="s">
        <v>23581</v>
      </c>
      <c r="G2700" t="s">
        <v>9277</v>
      </c>
      <c r="H2700" t="s">
        <v>9278</v>
      </c>
      <c r="I2700" t="s">
        <v>2239</v>
      </c>
      <c r="J2700" t="s">
        <v>22</v>
      </c>
      <c r="K2700" t="s">
        <v>23582</v>
      </c>
      <c r="L2700" t="s">
        <v>23585</v>
      </c>
      <c r="M2700" t="s">
        <v>25</v>
      </c>
      <c r="N2700" t="s">
        <v>23586</v>
      </c>
      <c r="O2700" t="s">
        <v>25</v>
      </c>
      <c r="P2700" t="s">
        <v>23587</v>
      </c>
      <c r="Q2700" t="s">
        <v>29</v>
      </c>
      <c r="R2700" t="s">
        <v>23583</v>
      </c>
      <c r="S2700" t="s">
        <v>23584</v>
      </c>
    </row>
    <row r="2701" spans="1:19" x14ac:dyDescent="0.25">
      <c r="A2701" s="1">
        <v>2699</v>
      </c>
      <c r="B2701" t="str">
        <f>HYPERLINK("https://www.dasschnelle.at/holzner-christoph-weyer-waidhofner-straße","Website")</f>
        <v>Website</v>
      </c>
      <c r="C2701" t="str">
        <f>HYPERLINK("http://www.holzner-tuning.at","Website")</f>
        <v>Website</v>
      </c>
      <c r="D2701" t="str">
        <f>HYPERLINK("http://www.google.com/maps/place/47.86896,14.67438","Location")</f>
        <v>Location</v>
      </c>
      <c r="E2701" t="s">
        <v>23588</v>
      </c>
      <c r="F2701" t="s">
        <v>23589</v>
      </c>
      <c r="G2701" t="s">
        <v>156</v>
      </c>
      <c r="H2701" t="s">
        <v>157</v>
      </c>
      <c r="I2701" t="s">
        <v>85</v>
      </c>
      <c r="J2701" t="s">
        <v>22</v>
      </c>
      <c r="K2701" t="s">
        <v>23590</v>
      </c>
      <c r="L2701" t="s">
        <v>23593</v>
      </c>
      <c r="M2701" t="s">
        <v>25</v>
      </c>
      <c r="N2701" t="s">
        <v>23594</v>
      </c>
      <c r="O2701" t="s">
        <v>25</v>
      </c>
      <c r="P2701" t="s">
        <v>23595</v>
      </c>
      <c r="Q2701" t="s">
        <v>29</v>
      </c>
      <c r="R2701" t="s">
        <v>23591</v>
      </c>
      <c r="S2701" t="s">
        <v>23592</v>
      </c>
    </row>
    <row r="2702" spans="1:19" x14ac:dyDescent="0.25">
      <c r="A2702" s="1">
        <v>2700</v>
      </c>
      <c r="B2702" t="str">
        <f>HYPERLINK("https://www.dasschnelle.at/erdbewegung-mining-amberg","Website")</f>
        <v>Website</v>
      </c>
      <c r="C2702" t="str">
        <f>HYPERLINK("https://www.dasschnelle.at/erdbewegung-mining-amberg","Website")</f>
        <v>Website</v>
      </c>
      <c r="D2702" t="str">
        <f>HYPERLINK("http://www.google.com/maps/place/48.2706209,13.1839326","Location")</f>
        <v>Location</v>
      </c>
      <c r="E2702" t="s">
        <v>23596</v>
      </c>
      <c r="F2702" t="s">
        <v>23597</v>
      </c>
      <c r="G2702" t="s">
        <v>20509</v>
      </c>
      <c r="H2702" t="s">
        <v>20510</v>
      </c>
      <c r="I2702" t="s">
        <v>85</v>
      </c>
      <c r="J2702" t="s">
        <v>22</v>
      </c>
      <c r="K2702" t="s">
        <v>23598</v>
      </c>
      <c r="L2702" t="s">
        <v>23601</v>
      </c>
      <c r="M2702" t="s">
        <v>25</v>
      </c>
      <c r="N2702" t="s">
        <v>23602</v>
      </c>
      <c r="O2702" t="s">
        <v>25</v>
      </c>
      <c r="P2702" t="s">
        <v>697</v>
      </c>
      <c r="Q2702" t="s">
        <v>29</v>
      </c>
      <c r="R2702" t="s">
        <v>23599</v>
      </c>
      <c r="S2702" t="s">
        <v>23600</v>
      </c>
    </row>
    <row r="2703" spans="1:19" x14ac:dyDescent="0.25">
      <c r="A2703" s="1">
        <v>2701</v>
      </c>
      <c r="B2703" t="str">
        <f>HYPERLINK("https://www.dasschnelle.at/neumayr-peter-neumayer-kg-baden-weilburgstraße","Website")</f>
        <v>Website</v>
      </c>
      <c r="C2703" t="str">
        <f>HYPERLINK("http://www.neumayer-dachdecker.at","Website")</f>
        <v>Website</v>
      </c>
      <c r="D2703" t="str">
        <f>HYPERLINK("http://www.google.com/maps/place/48.00595,16.23085","Location")</f>
        <v>Location</v>
      </c>
      <c r="E2703" t="s">
        <v>23603</v>
      </c>
      <c r="F2703" t="s">
        <v>23604</v>
      </c>
      <c r="G2703" t="s">
        <v>1979</v>
      </c>
      <c r="H2703" t="s">
        <v>1980</v>
      </c>
      <c r="I2703" t="s">
        <v>177</v>
      </c>
      <c r="J2703" t="s">
        <v>22</v>
      </c>
      <c r="K2703" t="s">
        <v>23605</v>
      </c>
      <c r="L2703" t="s">
        <v>23608</v>
      </c>
      <c r="M2703" t="s">
        <v>25</v>
      </c>
      <c r="N2703" t="s">
        <v>23609</v>
      </c>
      <c r="O2703" t="s">
        <v>25</v>
      </c>
      <c r="P2703" t="s">
        <v>23610</v>
      </c>
      <c r="Q2703" t="s">
        <v>29</v>
      </c>
      <c r="R2703" t="s">
        <v>23606</v>
      </c>
      <c r="S2703" t="s">
        <v>23607</v>
      </c>
    </row>
    <row r="2704" spans="1:19" x14ac:dyDescent="0.25">
      <c r="A2704" s="1">
        <v>2702</v>
      </c>
      <c r="B2704" t="str">
        <f>HYPERLINK("https://www.dasschnelle.at/spitzenberger-klaus-bürmoos-wahastraße","Website")</f>
        <v>Website</v>
      </c>
      <c r="C2704" t="str">
        <f>HYPERLINK("http://www.kfz-spitzenberger.at","Website")</f>
        <v>Website</v>
      </c>
      <c r="D2704" t="str">
        <f>HYPERLINK("http://www.google.com/maps/place/47.98597,12.93027","Location")</f>
        <v>Location</v>
      </c>
      <c r="E2704" t="s">
        <v>23611</v>
      </c>
      <c r="F2704" t="s">
        <v>23612</v>
      </c>
      <c r="G2704" t="s">
        <v>22723</v>
      </c>
      <c r="H2704" t="s">
        <v>22724</v>
      </c>
      <c r="I2704" t="s">
        <v>2239</v>
      </c>
      <c r="J2704" t="s">
        <v>22</v>
      </c>
      <c r="K2704" t="s">
        <v>23613</v>
      </c>
      <c r="L2704" t="s">
        <v>23616</v>
      </c>
      <c r="M2704" t="s">
        <v>25</v>
      </c>
      <c r="N2704" t="s">
        <v>23617</v>
      </c>
      <c r="O2704" t="s">
        <v>25</v>
      </c>
      <c r="P2704" t="s">
        <v>23618</v>
      </c>
      <c r="Q2704" t="s">
        <v>29</v>
      </c>
      <c r="R2704" t="s">
        <v>23614</v>
      </c>
      <c r="S2704" t="s">
        <v>23615</v>
      </c>
    </row>
    <row r="2705" spans="1:19" x14ac:dyDescent="0.25">
      <c r="A2705" s="1">
        <v>2703</v>
      </c>
      <c r="B2705" t="str">
        <f>HYPERLINK("https://www.dasschnelle.at/etr-elektrotechnik-roider-kg-sankt-georgen-bei-salzburg-pladenbachstraße","Website")</f>
        <v>Website</v>
      </c>
      <c r="C2705" t="str">
        <f>HYPERLINK("http://www.elektrotechnik-roider.at","Website")</f>
        <v>Website</v>
      </c>
      <c r="D2705" t="str">
        <f>HYPERLINK("http://www.google.com/maps/place/47.97295,12.88761","Location")</f>
        <v>Location</v>
      </c>
      <c r="E2705" t="s">
        <v>23619</v>
      </c>
      <c r="F2705" t="s">
        <v>23620</v>
      </c>
      <c r="G2705" t="s">
        <v>9266</v>
      </c>
      <c r="H2705" t="s">
        <v>9267</v>
      </c>
      <c r="I2705" t="s">
        <v>2239</v>
      </c>
      <c r="J2705" t="s">
        <v>22</v>
      </c>
      <c r="K2705" t="s">
        <v>23621</v>
      </c>
      <c r="L2705" t="s">
        <v>23624</v>
      </c>
      <c r="M2705" t="s">
        <v>25</v>
      </c>
      <c r="N2705" t="s">
        <v>23625</v>
      </c>
      <c r="O2705" t="s">
        <v>25</v>
      </c>
      <c r="P2705" t="s">
        <v>23626</v>
      </c>
      <c r="Q2705" t="s">
        <v>29</v>
      </c>
      <c r="R2705" t="s">
        <v>23622</v>
      </c>
      <c r="S2705" t="s">
        <v>23623</v>
      </c>
    </row>
    <row r="2706" spans="1:19" x14ac:dyDescent="0.25">
      <c r="A2706" s="1">
        <v>2704</v>
      </c>
      <c r="B2706" t="str">
        <f>HYPERLINK("https://www.dasschnelle.at/torprofi-heise-heise-mario-st-josef-st-josef","Website")</f>
        <v>Website</v>
      </c>
      <c r="C2706" t="str">
        <f>HYPERLINK("http://www.torprofi-heise.at","Website")</f>
        <v>Website</v>
      </c>
      <c r="D2706" t="str">
        <f>HYPERLINK("http://www.google.com/maps/place/46.9106728,15.3368906","Location")</f>
        <v>Location</v>
      </c>
      <c r="E2706" t="s">
        <v>23627</v>
      </c>
      <c r="F2706" t="s">
        <v>23628</v>
      </c>
      <c r="G2706" t="s">
        <v>2844</v>
      </c>
      <c r="H2706" t="s">
        <v>2845</v>
      </c>
      <c r="I2706" t="s">
        <v>451</v>
      </c>
      <c r="J2706" t="s">
        <v>22</v>
      </c>
      <c r="K2706" t="s">
        <v>23629</v>
      </c>
      <c r="L2706" t="s">
        <v>23630</v>
      </c>
      <c r="M2706" t="s">
        <v>25</v>
      </c>
      <c r="N2706" t="s">
        <v>23631</v>
      </c>
      <c r="O2706" t="s">
        <v>25</v>
      </c>
      <c r="P2706" t="s">
        <v>697</v>
      </c>
      <c r="Q2706" t="s">
        <v>29</v>
      </c>
      <c r="R2706" t="s">
        <v>2854</v>
      </c>
      <c r="S2706" t="s">
        <v>2855</v>
      </c>
    </row>
    <row r="2707" spans="1:19" x14ac:dyDescent="0.25">
      <c r="A2707" s="1">
        <v>2705</v>
      </c>
      <c r="B2707" t="str">
        <f>HYPERLINK("https://www.dasschnelle.at/hutter-josef-dr-aschach-an-der-steyr-saaßstraße","Website")</f>
        <v>Website</v>
      </c>
      <c r="C2707" t="str">
        <f>HYPERLINK("http://www.vitalogikum.at","Website")</f>
        <v>Website</v>
      </c>
      <c r="D2707" t="str">
        <f>HYPERLINK("http://www.google.com/maps/place/48.02272,14.36365","Location")</f>
        <v>Location</v>
      </c>
      <c r="E2707" t="s">
        <v>23632</v>
      </c>
      <c r="F2707" t="s">
        <v>23633</v>
      </c>
      <c r="G2707" t="s">
        <v>23635</v>
      </c>
      <c r="H2707" t="s">
        <v>23636</v>
      </c>
      <c r="I2707" t="s">
        <v>85</v>
      </c>
      <c r="J2707" t="s">
        <v>22</v>
      </c>
      <c r="K2707" t="s">
        <v>23634</v>
      </c>
      <c r="L2707" t="s">
        <v>23639</v>
      </c>
      <c r="M2707" t="s">
        <v>25</v>
      </c>
      <c r="N2707" t="s">
        <v>23640</v>
      </c>
      <c r="O2707" t="s">
        <v>25</v>
      </c>
      <c r="P2707" t="s">
        <v>23641</v>
      </c>
      <c r="Q2707" t="s">
        <v>29</v>
      </c>
      <c r="R2707" t="s">
        <v>23637</v>
      </c>
      <c r="S2707" t="s">
        <v>23638</v>
      </c>
    </row>
    <row r="2708" spans="1:19" x14ac:dyDescent="0.25">
      <c r="A2708" s="1">
        <v>2706</v>
      </c>
      <c r="B2708" t="str">
        <f>HYPERLINK("https://www.dasschnelle.at/meier-marcel-bad-vöslau-industriestraße","Website")</f>
        <v>Website</v>
      </c>
      <c r="C2708" t="str">
        <f>HYPERLINK("http://www.mm-meistermaler.at","Website")</f>
        <v>Website</v>
      </c>
      <c r="D2708" t="str">
        <f>HYPERLINK("http://www.google.com/maps/place/47.97463,16.22151","Location")</f>
        <v>Location</v>
      </c>
      <c r="E2708" t="s">
        <v>23642</v>
      </c>
      <c r="F2708" t="s">
        <v>23643</v>
      </c>
      <c r="G2708" t="s">
        <v>2061</v>
      </c>
      <c r="H2708" t="s">
        <v>2062</v>
      </c>
      <c r="I2708" t="s">
        <v>177</v>
      </c>
      <c r="J2708" t="s">
        <v>22</v>
      </c>
      <c r="K2708" t="s">
        <v>23644</v>
      </c>
      <c r="L2708" t="s">
        <v>23647</v>
      </c>
      <c r="M2708" t="s">
        <v>25</v>
      </c>
      <c r="N2708" t="s">
        <v>23648</v>
      </c>
      <c r="O2708" t="s">
        <v>25</v>
      </c>
      <c r="P2708" t="s">
        <v>23649</v>
      </c>
      <c r="Q2708" t="s">
        <v>29</v>
      </c>
      <c r="R2708" t="s">
        <v>23645</v>
      </c>
      <c r="S2708" t="s">
        <v>23646</v>
      </c>
    </row>
    <row r="2709" spans="1:19" x14ac:dyDescent="0.25">
      <c r="A2709" s="1">
        <v>2707</v>
      </c>
      <c r="B2709" t="str">
        <f>HYPERLINK("https://www.dasschnelle.at/malerei-weichhardt-sankt-georgen-bei-salzburg-oberndorfer-landesstraße","Website")</f>
        <v>Website</v>
      </c>
      <c r="C2709" t="str">
        <f>HYPERLINK("http://www.malerei-weichhardt.at","Website")</f>
        <v>Website</v>
      </c>
      <c r="D2709" t="str">
        <f>HYPERLINK("http://www.google.com/maps/place/48.0223351,12.8507695","Location")</f>
        <v>Location</v>
      </c>
      <c r="E2709" t="s">
        <v>23650</v>
      </c>
      <c r="F2709" t="s">
        <v>23651</v>
      </c>
      <c r="G2709" t="s">
        <v>9266</v>
      </c>
      <c r="H2709" t="s">
        <v>9267</v>
      </c>
      <c r="I2709" t="s">
        <v>85</v>
      </c>
      <c r="J2709" t="s">
        <v>22</v>
      </c>
      <c r="K2709" t="s">
        <v>23652</v>
      </c>
      <c r="L2709" t="s">
        <v>23655</v>
      </c>
      <c r="M2709" t="s">
        <v>25</v>
      </c>
      <c r="N2709" t="s">
        <v>23656</v>
      </c>
      <c r="O2709" t="s">
        <v>25</v>
      </c>
      <c r="P2709" t="s">
        <v>23657</v>
      </c>
      <c r="Q2709" t="s">
        <v>29</v>
      </c>
      <c r="R2709" t="s">
        <v>23653</v>
      </c>
      <c r="S2709" t="s">
        <v>23654</v>
      </c>
    </row>
    <row r="2710" spans="1:19" x14ac:dyDescent="0.25">
      <c r="A2710" s="1">
        <v>2708</v>
      </c>
      <c r="B2710" t="str">
        <f>HYPERLINK("https://www.dasschnelle.at/schörkhuber-montage-und-handel-gmbh-laussa-stoderstraße","Website")</f>
        <v>Website</v>
      </c>
      <c r="C2710" t="str">
        <f>HYPERLINK("http://www.montage-handel.at","Website")</f>
        <v>Website</v>
      </c>
      <c r="D2710" t="str">
        <f>HYPERLINK("http://www.google.com/maps/place/47.9533132,14.4569046","Location")</f>
        <v>Location</v>
      </c>
      <c r="E2710" t="s">
        <v>23658</v>
      </c>
      <c r="F2710" t="s">
        <v>23659</v>
      </c>
      <c r="G2710" t="s">
        <v>262</v>
      </c>
      <c r="H2710" t="s">
        <v>263</v>
      </c>
      <c r="I2710" t="s">
        <v>85</v>
      </c>
      <c r="J2710" t="s">
        <v>22</v>
      </c>
      <c r="K2710" t="s">
        <v>23660</v>
      </c>
      <c r="L2710" t="s">
        <v>23663</v>
      </c>
      <c r="M2710" t="s">
        <v>25</v>
      </c>
      <c r="N2710" t="s">
        <v>23664</v>
      </c>
      <c r="O2710" t="s">
        <v>23665</v>
      </c>
      <c r="P2710" t="s">
        <v>23666</v>
      </c>
      <c r="Q2710" t="s">
        <v>29</v>
      </c>
      <c r="R2710" t="s">
        <v>23661</v>
      </c>
      <c r="S2710" t="s">
        <v>23662</v>
      </c>
    </row>
    <row r="2711" spans="1:19" x14ac:dyDescent="0.25">
      <c r="A2711" s="1">
        <v>2709</v>
      </c>
      <c r="B2711" t="str">
        <f>HYPERLINK("https://www.dasschnelle.at/moosleitner-beton-salzburg-gmbh-lamprechtshausen-bürmooser-straße","Website")</f>
        <v>Website</v>
      </c>
      <c r="C2711" t="str">
        <f>HYPERLINK("http://www.moosleitner.eu","Website")</f>
        <v>Website</v>
      </c>
      <c r="D2711" t="str">
        <f>HYPERLINK("http://www.google.com/maps/place/47.99123,12.94576","Location")</f>
        <v>Location</v>
      </c>
      <c r="E2711" t="s">
        <v>23667</v>
      </c>
      <c r="F2711" t="s">
        <v>23668</v>
      </c>
      <c r="G2711" t="s">
        <v>9277</v>
      </c>
      <c r="H2711" t="s">
        <v>9278</v>
      </c>
      <c r="I2711" t="s">
        <v>2239</v>
      </c>
      <c r="J2711" t="s">
        <v>22</v>
      </c>
      <c r="K2711" t="s">
        <v>23669</v>
      </c>
      <c r="L2711" t="s">
        <v>23672</v>
      </c>
      <c r="M2711" t="s">
        <v>25</v>
      </c>
      <c r="N2711" t="s">
        <v>23673</v>
      </c>
      <c r="O2711" t="s">
        <v>25</v>
      </c>
      <c r="P2711" t="s">
        <v>23674</v>
      </c>
      <c r="Q2711" t="s">
        <v>29</v>
      </c>
      <c r="R2711" t="s">
        <v>23670</v>
      </c>
      <c r="S2711" t="s">
        <v>23671</v>
      </c>
    </row>
    <row r="2712" spans="1:19" x14ac:dyDescent="0.25">
      <c r="A2712" s="1">
        <v>2710</v>
      </c>
      <c r="B2712" t="str">
        <f>HYPERLINK("https://www.dasschnelle.at/reinhold-rettenbacher-e-u-sankt-koloman-urbanötzweg","Website")</f>
        <v>Website</v>
      </c>
      <c r="C2712" t="str">
        <f>HYPERLINK("http://www.set-rettenbacher.at","Website")</f>
        <v>Website</v>
      </c>
      <c r="D2712" t="str">
        <f>HYPERLINK("http://www.google.com/maps/place/47.64967,13.18185","Location")</f>
        <v>Location</v>
      </c>
      <c r="E2712" t="s">
        <v>23675</v>
      </c>
      <c r="F2712" t="s">
        <v>23676</v>
      </c>
      <c r="G2712" t="s">
        <v>14947</v>
      </c>
      <c r="H2712" t="s">
        <v>14948</v>
      </c>
      <c r="I2712" t="s">
        <v>2239</v>
      </c>
      <c r="J2712" t="s">
        <v>22</v>
      </c>
      <c r="K2712" t="s">
        <v>23677</v>
      </c>
      <c r="L2712" t="s">
        <v>23680</v>
      </c>
      <c r="M2712" t="s">
        <v>25</v>
      </c>
      <c r="N2712" t="s">
        <v>23681</v>
      </c>
      <c r="O2712" t="s">
        <v>25</v>
      </c>
      <c r="P2712" t="s">
        <v>23682</v>
      </c>
      <c r="Q2712" t="s">
        <v>29</v>
      </c>
      <c r="R2712" t="s">
        <v>23678</v>
      </c>
      <c r="S2712" t="s">
        <v>23679</v>
      </c>
    </row>
    <row r="2713" spans="1:19" x14ac:dyDescent="0.25">
      <c r="A2713" s="1">
        <v>2711</v>
      </c>
      <c r="B2713" t="str">
        <f>HYPERLINK("https://www.dasschnelle.at/mag-philip-schönauer-oberndorf-gaisbergstraße","Website")</f>
        <v>Website</v>
      </c>
      <c r="C2713" t="str">
        <f>HYPERLINK("http://www.ra-schoenauer.at","Website")</f>
        <v>Website</v>
      </c>
      <c r="D2713" t="str">
        <f>HYPERLINK("http://www.google.com/maps/place/47.93913,12.94345","Location")</f>
        <v>Location</v>
      </c>
      <c r="E2713" t="s">
        <v>23683</v>
      </c>
      <c r="F2713" t="s">
        <v>23684</v>
      </c>
      <c r="G2713" t="s">
        <v>12780</v>
      </c>
      <c r="H2713" t="s">
        <v>10116</v>
      </c>
      <c r="I2713" t="s">
        <v>2239</v>
      </c>
      <c r="J2713" t="s">
        <v>22</v>
      </c>
      <c r="K2713" t="s">
        <v>23685</v>
      </c>
      <c r="L2713" t="s">
        <v>23688</v>
      </c>
      <c r="M2713" t="s">
        <v>25</v>
      </c>
      <c r="N2713" t="s">
        <v>23689</v>
      </c>
      <c r="O2713" t="s">
        <v>25</v>
      </c>
      <c r="P2713" t="s">
        <v>23690</v>
      </c>
      <c r="Q2713" t="s">
        <v>29</v>
      </c>
      <c r="R2713" t="s">
        <v>23686</v>
      </c>
      <c r="S2713" t="s">
        <v>23687</v>
      </c>
    </row>
    <row r="2714" spans="1:19" x14ac:dyDescent="0.25">
      <c r="A2714" s="1">
        <v>2712</v>
      </c>
      <c r="B2714" t="str">
        <f>HYPERLINK("https://www.dasschnelle.at/pichler-klaus-bestattung-e-u-gmunden-burgfriedweg","Website")</f>
        <v>Website</v>
      </c>
      <c r="C2714" t="str">
        <f>HYPERLINK("http://www.bestattung-pichler.at","Website")</f>
        <v>Website</v>
      </c>
      <c r="D2714" t="str">
        <f>HYPERLINK("http://www.google.com/maps/place/47.92536,13.79593","Location")</f>
        <v>Location</v>
      </c>
      <c r="E2714" t="s">
        <v>23691</v>
      </c>
      <c r="F2714" t="s">
        <v>23692</v>
      </c>
      <c r="G2714" t="s">
        <v>6951</v>
      </c>
      <c r="H2714" t="s">
        <v>6952</v>
      </c>
      <c r="I2714" t="s">
        <v>85</v>
      </c>
      <c r="J2714" t="s">
        <v>22</v>
      </c>
      <c r="K2714" t="s">
        <v>23693</v>
      </c>
      <c r="L2714" t="s">
        <v>23696</v>
      </c>
      <c r="M2714" t="s">
        <v>25</v>
      </c>
      <c r="N2714" t="s">
        <v>23697</v>
      </c>
      <c r="O2714" t="s">
        <v>25</v>
      </c>
      <c r="P2714" t="s">
        <v>23698</v>
      </c>
      <c r="Q2714" t="s">
        <v>29</v>
      </c>
      <c r="R2714" t="s">
        <v>23694</v>
      </c>
      <c r="S2714" t="s">
        <v>23695</v>
      </c>
    </row>
    <row r="2715" spans="1:19" x14ac:dyDescent="0.25">
      <c r="A2715" s="1">
        <v>2713</v>
      </c>
      <c r="B2715" t="str">
        <f>HYPERLINK("https://www.dasschnelle.at/raffelsberger-alois-ohlsdorf-obere-hochleithen","Website")</f>
        <v>Website</v>
      </c>
      <c r="C2715" t="str">
        <f>HYPERLINK("http://www.kacheloefen-raffelsberger.at","Website")</f>
        <v>Website</v>
      </c>
      <c r="D2715" t="str">
        <f>HYPERLINK("http://www.google.com/maps/place/47.94887,13.79216","Location")</f>
        <v>Location</v>
      </c>
      <c r="E2715" t="s">
        <v>23699</v>
      </c>
      <c r="F2715" t="s">
        <v>23700</v>
      </c>
      <c r="G2715" t="s">
        <v>6941</v>
      </c>
      <c r="H2715" t="s">
        <v>23422</v>
      </c>
      <c r="I2715" t="s">
        <v>85</v>
      </c>
      <c r="J2715" t="s">
        <v>22</v>
      </c>
      <c r="K2715" t="s">
        <v>23701</v>
      </c>
      <c r="L2715" t="s">
        <v>23704</v>
      </c>
      <c r="M2715" t="s">
        <v>25</v>
      </c>
      <c r="N2715" t="s">
        <v>23705</v>
      </c>
      <c r="O2715" t="s">
        <v>25</v>
      </c>
      <c r="P2715" t="s">
        <v>23706</v>
      </c>
      <c r="Q2715" t="s">
        <v>29</v>
      </c>
      <c r="R2715" t="s">
        <v>23702</v>
      </c>
      <c r="S2715" t="s">
        <v>23703</v>
      </c>
    </row>
    <row r="2716" spans="1:19" x14ac:dyDescent="0.25">
      <c r="A2716" s="1">
        <v>2714</v>
      </c>
      <c r="B2716" t="str">
        <f>HYPERLINK("https://www.dasschnelle.at/running-sushi-bamboo-gmunden-druckereistraße","Website")</f>
        <v>Website</v>
      </c>
      <c r="C2716" t="str">
        <f>HYPERLINK("http://www.asia-restaurant.at","Website")</f>
        <v>Website</v>
      </c>
      <c r="D2716" t="str">
        <f>HYPERLINK("http://www.google.com/maps/place/47.92519,13.78812","Location")</f>
        <v>Location</v>
      </c>
      <c r="E2716" t="s">
        <v>23707</v>
      </c>
      <c r="F2716" t="s">
        <v>23708</v>
      </c>
      <c r="G2716" t="s">
        <v>6951</v>
      </c>
      <c r="H2716" t="s">
        <v>6952</v>
      </c>
      <c r="I2716" t="s">
        <v>85</v>
      </c>
      <c r="J2716" t="s">
        <v>22</v>
      </c>
      <c r="K2716" t="s">
        <v>20392</v>
      </c>
      <c r="L2716" t="s">
        <v>23711</v>
      </c>
      <c r="M2716" t="s">
        <v>25</v>
      </c>
      <c r="N2716" t="s">
        <v>23712</v>
      </c>
      <c r="O2716" t="s">
        <v>25</v>
      </c>
      <c r="P2716" t="s">
        <v>697</v>
      </c>
      <c r="Q2716" t="s">
        <v>29</v>
      </c>
      <c r="R2716" t="s">
        <v>23709</v>
      </c>
      <c r="S2716" t="s">
        <v>23710</v>
      </c>
    </row>
    <row r="2717" spans="1:19" x14ac:dyDescent="0.25">
      <c r="A2717" s="1">
        <v>2715</v>
      </c>
      <c r="B2717" t="str">
        <f>HYPERLINK("https://www.dasschnelle.at/ford-steckbauer-gmbh-prambachkirchen-passauer-str","Website")</f>
        <v>Website</v>
      </c>
      <c r="C2717" t="str">
        <f>HYPERLINK("http://www.ford-steckbauer.at","Website")</f>
        <v>Website</v>
      </c>
      <c r="D2717" t="str">
        <f>HYPERLINK("http://www.google.com/maps/place/48.32053,13.89011","Location")</f>
        <v>Location</v>
      </c>
      <c r="E2717" t="s">
        <v>23713</v>
      </c>
      <c r="F2717" t="s">
        <v>23714</v>
      </c>
      <c r="G2717" t="s">
        <v>23716</v>
      </c>
      <c r="H2717" t="s">
        <v>23717</v>
      </c>
      <c r="I2717" t="s">
        <v>85</v>
      </c>
      <c r="J2717" t="s">
        <v>22</v>
      </c>
      <c r="K2717" t="s">
        <v>23715</v>
      </c>
      <c r="L2717" t="s">
        <v>23720</v>
      </c>
      <c r="M2717" t="s">
        <v>25</v>
      </c>
      <c r="N2717" t="s">
        <v>23721</v>
      </c>
      <c r="O2717" t="s">
        <v>25</v>
      </c>
      <c r="P2717" t="s">
        <v>23722</v>
      </c>
      <c r="Q2717" t="s">
        <v>29</v>
      </c>
      <c r="R2717" t="s">
        <v>23718</v>
      </c>
      <c r="S2717" t="s">
        <v>23719</v>
      </c>
    </row>
    <row r="2718" spans="1:19" x14ac:dyDescent="0.25">
      <c r="A2718" s="1">
        <v>2716</v>
      </c>
      <c r="B2718" t="str">
        <f>HYPERLINK("https://www.dasschnelle.at/johannes-wunderler-rechnitz-bahnhofstraße","Website")</f>
        <v>Website</v>
      </c>
      <c r="C2718" t="str">
        <f>HYPERLINK("http://www.wunderler.at","Website")</f>
        <v>Website</v>
      </c>
      <c r="D2718" t="str">
        <f>HYPERLINK("http://www.google.com/maps/place/47.2995900,16.4445900","Location")</f>
        <v>Location</v>
      </c>
      <c r="E2718" t="s">
        <v>23723</v>
      </c>
      <c r="F2718" t="s">
        <v>23724</v>
      </c>
      <c r="G2718" t="s">
        <v>20097</v>
      </c>
      <c r="H2718" t="s">
        <v>20098</v>
      </c>
      <c r="I2718" t="s">
        <v>1834</v>
      </c>
      <c r="J2718" t="s">
        <v>22</v>
      </c>
      <c r="K2718" t="s">
        <v>23725</v>
      </c>
      <c r="L2718" t="s">
        <v>23728</v>
      </c>
      <c r="M2718" t="s">
        <v>25</v>
      </c>
      <c r="N2718" t="s">
        <v>23729</v>
      </c>
      <c r="O2718" t="s">
        <v>25</v>
      </c>
      <c r="P2718" t="s">
        <v>23730</v>
      </c>
      <c r="Q2718" t="s">
        <v>29</v>
      </c>
      <c r="R2718" t="s">
        <v>23726</v>
      </c>
      <c r="S2718" t="s">
        <v>23727</v>
      </c>
    </row>
    <row r="2719" spans="1:19" x14ac:dyDescent="0.25">
      <c r="A2719" s="1">
        <v>2717</v>
      </c>
      <c r="B2719" t="str">
        <f>HYPERLINK("https://www.dasschnelle.at/gemüsebetrieb-sieburg-eferding-taubenbrunn","Website")</f>
        <v>Website</v>
      </c>
      <c r="C2719" t="str">
        <f>HYPERLINK("https://www.dasschnelle.at/gem%C3%BCsebetrieb-sieburg-eferding-taubenbrunn","Website")</f>
        <v>Website</v>
      </c>
      <c r="D2719" t="str">
        <f>HYPERLINK("http://www.google.com/maps/place/48.3054659,14.0410073","Location")</f>
        <v>Location</v>
      </c>
      <c r="E2719" t="s">
        <v>23731</v>
      </c>
      <c r="F2719" t="s">
        <v>23732</v>
      </c>
      <c r="G2719" t="s">
        <v>3101</v>
      </c>
      <c r="H2719" t="s">
        <v>3102</v>
      </c>
      <c r="I2719" t="s">
        <v>85</v>
      </c>
      <c r="J2719" t="s">
        <v>22</v>
      </c>
      <c r="K2719" t="s">
        <v>23733</v>
      </c>
      <c r="L2719" t="s">
        <v>23736</v>
      </c>
      <c r="M2719" t="s">
        <v>25</v>
      </c>
      <c r="N2719" t="s">
        <v>23737</v>
      </c>
      <c r="O2719" t="s">
        <v>25</v>
      </c>
      <c r="P2719" t="s">
        <v>23738</v>
      </c>
      <c r="Q2719" t="s">
        <v>29</v>
      </c>
      <c r="R2719" t="s">
        <v>23734</v>
      </c>
      <c r="S2719" t="s">
        <v>23735</v>
      </c>
    </row>
    <row r="2720" spans="1:19" x14ac:dyDescent="0.25">
      <c r="A2720" s="1">
        <v>2718</v>
      </c>
      <c r="B2720" t="str">
        <f>HYPERLINK("https://www.dasschnelle.at/scholda-michaela-mag-pfaffstätten-stiftgasse","Website")</f>
        <v>Website</v>
      </c>
      <c r="C2720" t="str">
        <f>HYPERLINK("http://www.meinsteuerberater.co.at","Website")</f>
        <v>Website</v>
      </c>
      <c r="D2720" t="str">
        <f>HYPERLINK("http://www.google.com/maps/place/48.0163400,16.2622600","Location")</f>
        <v>Location</v>
      </c>
      <c r="E2720" t="s">
        <v>23739</v>
      </c>
      <c r="F2720" t="s">
        <v>23740</v>
      </c>
      <c r="G2720" t="s">
        <v>22514</v>
      </c>
      <c r="H2720" t="s">
        <v>22515</v>
      </c>
      <c r="I2720" t="s">
        <v>177</v>
      </c>
      <c r="J2720" t="s">
        <v>22</v>
      </c>
      <c r="K2720" t="s">
        <v>23741</v>
      </c>
      <c r="L2720" t="s">
        <v>23744</v>
      </c>
      <c r="M2720" t="s">
        <v>25</v>
      </c>
      <c r="N2720" t="s">
        <v>23745</v>
      </c>
      <c r="O2720" t="s">
        <v>23746</v>
      </c>
      <c r="P2720" t="s">
        <v>23747</v>
      </c>
      <c r="Q2720" t="s">
        <v>29</v>
      </c>
      <c r="R2720" t="s">
        <v>23742</v>
      </c>
      <c r="S2720" t="s">
        <v>23743</v>
      </c>
    </row>
    <row r="2721" spans="1:19" x14ac:dyDescent="0.25">
      <c r="A2721" s="1">
        <v>2719</v>
      </c>
      <c r="B2721" t="str">
        <f>HYPERLINK("https://www.dasschnelle.at/diakoniezentrum-oberwart-oberwart-evangelische-kirchengasse","Website")</f>
        <v>Website</v>
      </c>
      <c r="C2721" t="str">
        <f>HYPERLINK("http://www.diakonie-suedburgenland.at","Website")</f>
        <v>Website</v>
      </c>
      <c r="D2721" t="str">
        <f>HYPERLINK("http://www.google.com/maps/place/47.2880217,16.2092702","Location")</f>
        <v>Location</v>
      </c>
      <c r="E2721" t="s">
        <v>23748</v>
      </c>
      <c r="F2721" t="s">
        <v>23749</v>
      </c>
      <c r="G2721" t="s">
        <v>20126</v>
      </c>
      <c r="H2721" t="s">
        <v>20127</v>
      </c>
      <c r="I2721" t="s">
        <v>1834</v>
      </c>
      <c r="J2721" t="s">
        <v>22</v>
      </c>
      <c r="K2721" t="s">
        <v>23750</v>
      </c>
      <c r="L2721" t="s">
        <v>23753</v>
      </c>
      <c r="M2721" t="s">
        <v>25</v>
      </c>
      <c r="N2721" t="s">
        <v>23754</v>
      </c>
      <c r="O2721" t="s">
        <v>25</v>
      </c>
      <c r="P2721" t="s">
        <v>23755</v>
      </c>
      <c r="Q2721" t="s">
        <v>29</v>
      </c>
      <c r="R2721" t="s">
        <v>23751</v>
      </c>
      <c r="S2721" t="s">
        <v>23752</v>
      </c>
    </row>
    <row r="2722" spans="1:19" x14ac:dyDescent="0.25">
      <c r="A2722" s="1">
        <v>2720</v>
      </c>
      <c r="B2722" t="str">
        <f>HYPERLINK("https://www.dasschnelle.at/reifen-fischer-alkoven-weidach","Website")</f>
        <v>Website</v>
      </c>
      <c r="C2722" t="str">
        <f>HYPERLINK("http://www.fischer-reifen.at","Website")</f>
        <v>Website</v>
      </c>
      <c r="D2722" t="str">
        <f>HYPERLINK("http://www.google.com/maps/place/48.2791741,14.0974583","Location")</f>
        <v>Location</v>
      </c>
      <c r="E2722" t="s">
        <v>23756</v>
      </c>
      <c r="F2722" t="s">
        <v>23757</v>
      </c>
      <c r="G2722" t="s">
        <v>3146</v>
      </c>
      <c r="H2722" t="s">
        <v>3147</v>
      </c>
      <c r="I2722" t="s">
        <v>85</v>
      </c>
      <c r="J2722" t="s">
        <v>22</v>
      </c>
      <c r="K2722" t="s">
        <v>22261</v>
      </c>
      <c r="L2722" t="s">
        <v>23758</v>
      </c>
      <c r="M2722" t="s">
        <v>25</v>
      </c>
      <c r="N2722" t="s">
        <v>23759</v>
      </c>
      <c r="O2722" t="s">
        <v>25</v>
      </c>
      <c r="P2722" t="s">
        <v>23760</v>
      </c>
      <c r="Q2722" t="s">
        <v>29</v>
      </c>
      <c r="R2722" t="s">
        <v>22262</v>
      </c>
      <c r="S2722" t="s">
        <v>22263</v>
      </c>
    </row>
    <row r="2723" spans="1:19" x14ac:dyDescent="0.25">
      <c r="A2723" s="1">
        <v>2721</v>
      </c>
      <c r="B2723" t="str">
        <f>HYPERLINK("https://www.dasschnelle.at/helis-kfz-z-deutschlandsberg-mostbauerstraße","Website")</f>
        <v>Website</v>
      </c>
      <c r="C2723" t="str">
        <f>HYPERLINK("http://www.helis-kfz-reinigung.at","Website")</f>
        <v>Website</v>
      </c>
      <c r="D2723" t="str">
        <f>HYPERLINK("http://www.google.com/maps/place/46.8265000,15.2359200","Location")</f>
        <v>Location</v>
      </c>
      <c r="E2723" t="s">
        <v>23761</v>
      </c>
      <c r="F2723" t="s">
        <v>23762</v>
      </c>
      <c r="G2723" t="s">
        <v>2921</v>
      </c>
      <c r="H2723" t="s">
        <v>2922</v>
      </c>
      <c r="I2723" t="s">
        <v>451</v>
      </c>
      <c r="J2723" t="s">
        <v>22</v>
      </c>
      <c r="K2723" t="s">
        <v>23763</v>
      </c>
      <c r="L2723" t="s">
        <v>23766</v>
      </c>
      <c r="M2723" t="s">
        <v>25</v>
      </c>
      <c r="N2723" t="s">
        <v>23767</v>
      </c>
      <c r="O2723" t="s">
        <v>25</v>
      </c>
      <c r="P2723" t="s">
        <v>23768</v>
      </c>
      <c r="Q2723" t="s">
        <v>29</v>
      </c>
      <c r="R2723" t="s">
        <v>23764</v>
      </c>
      <c r="S2723" t="s">
        <v>23765</v>
      </c>
    </row>
    <row r="2724" spans="1:19" x14ac:dyDescent="0.25">
      <c r="A2724" s="1">
        <v>2722</v>
      </c>
      <c r="B2724" t="str">
        <f>HYPERLINK("https://www.dasschnelle.at/schmidhuber-karl-gmbh-und-co-kg-aschach-an-der-steyr-schulstraße","Website")</f>
        <v>Website</v>
      </c>
      <c r="C2724" t="str">
        <f>HYPERLINK("http://www.landtechnik-schmidhuber.at","Website")</f>
        <v>Website</v>
      </c>
      <c r="D2724" t="str">
        <f>HYPERLINK("http://www.google.com/maps/place/48.0061600,14.3352000","Location")</f>
        <v>Location</v>
      </c>
      <c r="E2724" t="s">
        <v>23769</v>
      </c>
      <c r="F2724" t="s">
        <v>23770</v>
      </c>
      <c r="G2724" t="s">
        <v>23635</v>
      </c>
      <c r="H2724" t="s">
        <v>23636</v>
      </c>
      <c r="I2724" t="s">
        <v>85</v>
      </c>
      <c r="J2724" t="s">
        <v>22</v>
      </c>
      <c r="K2724" t="s">
        <v>23771</v>
      </c>
      <c r="L2724" t="s">
        <v>23774</v>
      </c>
      <c r="M2724" t="s">
        <v>25</v>
      </c>
      <c r="N2724" t="s">
        <v>23775</v>
      </c>
      <c r="O2724" t="s">
        <v>25</v>
      </c>
      <c r="P2724" t="s">
        <v>23776</v>
      </c>
      <c r="Q2724" t="s">
        <v>29</v>
      </c>
      <c r="R2724" t="s">
        <v>23772</v>
      </c>
      <c r="S2724" t="s">
        <v>23773</v>
      </c>
    </row>
    <row r="2725" spans="1:19" x14ac:dyDescent="0.25">
      <c r="A2725" s="1">
        <v>2723</v>
      </c>
      <c r="B2725" t="str">
        <f>HYPERLINK("https://www.dasschnelle.at/gasthof-seefeldmühle-adnet-seefeldmühle","Website")</f>
        <v>Website</v>
      </c>
      <c r="C2725" t="str">
        <f>HYPERLINK("http://www.seefeldmuehle.com","Website")</f>
        <v>Website</v>
      </c>
      <c r="D2725" t="str">
        <f>HYPERLINK("http://www.google.com/maps/place/47.7089560,13.1319910","Location")</f>
        <v>Location</v>
      </c>
      <c r="E2725" t="s">
        <v>23777</v>
      </c>
      <c r="F2725" t="s">
        <v>23778</v>
      </c>
      <c r="G2725" t="s">
        <v>7604</v>
      </c>
      <c r="H2725" t="s">
        <v>7605</v>
      </c>
      <c r="I2725" t="s">
        <v>2239</v>
      </c>
      <c r="J2725" t="s">
        <v>22</v>
      </c>
      <c r="K2725" t="s">
        <v>23779</v>
      </c>
      <c r="L2725" t="s">
        <v>23782</v>
      </c>
      <c r="M2725" t="s">
        <v>25</v>
      </c>
      <c r="N2725" t="s">
        <v>23783</v>
      </c>
      <c r="O2725" t="s">
        <v>25</v>
      </c>
      <c r="P2725" t="s">
        <v>697</v>
      </c>
      <c r="Q2725" t="s">
        <v>29</v>
      </c>
      <c r="R2725" t="s">
        <v>23780</v>
      </c>
      <c r="S2725" t="s">
        <v>23781</v>
      </c>
    </row>
    <row r="2726" spans="1:19" x14ac:dyDescent="0.25">
      <c r="A2726" s="1">
        <v>2724</v>
      </c>
      <c r="B2726" t="str">
        <f>HYPERLINK("https://www.dasschnelle.at/tierambulatorium-st-lorenzen-sankt-lorenzen-hauptstraße","Website")</f>
        <v>Website</v>
      </c>
      <c r="C2726" t="str">
        <f>HYPERLINK("http://www.tierarzt-maurer.at","Website")</f>
        <v>Website</v>
      </c>
      <c r="D2726" t="str">
        <f>HYPERLINK("http://www.google.com/maps/place/47.4718767,15.3603433","Location")</f>
        <v>Location</v>
      </c>
      <c r="E2726" t="s">
        <v>23784</v>
      </c>
      <c r="F2726" t="s">
        <v>23785</v>
      </c>
      <c r="G2726" t="s">
        <v>3091</v>
      </c>
      <c r="H2726" t="s">
        <v>23787</v>
      </c>
      <c r="I2726" t="s">
        <v>451</v>
      </c>
      <c r="J2726" t="s">
        <v>10106</v>
      </c>
      <c r="K2726" t="s">
        <v>23786</v>
      </c>
      <c r="L2726" t="s">
        <v>23790</v>
      </c>
      <c r="M2726" t="s">
        <v>25</v>
      </c>
      <c r="N2726" t="s">
        <v>23791</v>
      </c>
      <c r="O2726" t="s">
        <v>25</v>
      </c>
      <c r="P2726" t="s">
        <v>23792</v>
      </c>
      <c r="Q2726" t="s">
        <v>29</v>
      </c>
      <c r="R2726" t="s">
        <v>23788</v>
      </c>
      <c r="S2726" t="s">
        <v>23789</v>
      </c>
    </row>
    <row r="2727" spans="1:19" x14ac:dyDescent="0.25">
      <c r="A2727" s="1">
        <v>2725</v>
      </c>
      <c r="B2727" t="str">
        <f>HYPERLINK("https://www.dasschnelle.at/optik-past-seekirchen-hauptstraße","Website")</f>
        <v>Website</v>
      </c>
      <c r="C2727" t="str">
        <f>HYPERLINK("http://www.optik-past.at","Website")</f>
        <v>Website</v>
      </c>
      <c r="D2727" t="str">
        <f>HYPERLINK("http://www.google.com/maps/place/47.8941378,13.1252312","Location")</f>
        <v>Location</v>
      </c>
      <c r="E2727" t="s">
        <v>23793</v>
      </c>
      <c r="F2727" t="s">
        <v>23794</v>
      </c>
      <c r="G2727" t="s">
        <v>1412</v>
      </c>
      <c r="H2727" t="s">
        <v>16372</v>
      </c>
      <c r="I2727" t="s">
        <v>2239</v>
      </c>
      <c r="J2727" t="s">
        <v>22</v>
      </c>
      <c r="K2727" t="s">
        <v>16819</v>
      </c>
      <c r="L2727" t="s">
        <v>23797</v>
      </c>
      <c r="M2727" t="s">
        <v>25</v>
      </c>
      <c r="N2727" t="s">
        <v>23798</v>
      </c>
      <c r="O2727" t="s">
        <v>25</v>
      </c>
      <c r="P2727" t="s">
        <v>23799</v>
      </c>
      <c r="Q2727" t="s">
        <v>29</v>
      </c>
      <c r="R2727" t="s">
        <v>23795</v>
      </c>
      <c r="S2727" t="s">
        <v>23796</v>
      </c>
    </row>
    <row r="2728" spans="1:19" x14ac:dyDescent="0.25">
      <c r="A2728" s="1">
        <v>2726</v>
      </c>
      <c r="B2728" t="str">
        <f>HYPERLINK("https://www.dasschnelle.at/druckenthaner-kurt-pinsdorf-leherbauernweg","Website")</f>
        <v>Website</v>
      </c>
      <c r="C2728" t="str">
        <f>HYPERLINK("http://www.hd2.at","Website")</f>
        <v>Website</v>
      </c>
      <c r="D2728" t="str">
        <f>HYPERLINK("http://www.google.com/maps/place/47.9422700,13.7560500","Location")</f>
        <v>Location</v>
      </c>
      <c r="E2728" t="s">
        <v>23800</v>
      </c>
      <c r="F2728" t="s">
        <v>23801</v>
      </c>
      <c r="G2728" t="s">
        <v>6981</v>
      </c>
      <c r="H2728" t="s">
        <v>6982</v>
      </c>
      <c r="I2728" t="s">
        <v>85</v>
      </c>
      <c r="J2728" t="s">
        <v>22</v>
      </c>
      <c r="K2728" t="s">
        <v>23802</v>
      </c>
      <c r="L2728" t="s">
        <v>23805</v>
      </c>
      <c r="M2728" t="s">
        <v>25</v>
      </c>
      <c r="N2728" t="s">
        <v>23806</v>
      </c>
      <c r="O2728" t="s">
        <v>23807</v>
      </c>
      <c r="P2728" t="s">
        <v>23808</v>
      </c>
      <c r="Q2728" t="s">
        <v>29</v>
      </c>
      <c r="R2728" t="s">
        <v>23803</v>
      </c>
      <c r="S2728" t="s">
        <v>23804</v>
      </c>
    </row>
    <row r="2729" spans="1:19" x14ac:dyDescent="0.25">
      <c r="A2729" s="1">
        <v>2727</v>
      </c>
      <c r="B2729" t="str">
        <f>HYPERLINK("https://www.dasschnelle.at/stena-stone-uttendorf-nr","Website")</f>
        <v>Website</v>
      </c>
      <c r="C2729" t="str">
        <f>HYPERLINK("https://www.dasschnelle.at/stena-stone-uttendorf-nr","Website")</f>
        <v>Website</v>
      </c>
      <c r="D2729" t="str">
        <f>HYPERLINK("http://www.google.com/maps/place/48.1559700,13.1182400","Location")</f>
        <v>Location</v>
      </c>
      <c r="E2729" t="s">
        <v>23809</v>
      </c>
      <c r="F2729" t="s">
        <v>23810</v>
      </c>
      <c r="G2729" t="s">
        <v>1328</v>
      </c>
      <c r="H2729" t="s">
        <v>1329</v>
      </c>
      <c r="I2729" t="s">
        <v>85</v>
      </c>
      <c r="J2729" t="s">
        <v>22</v>
      </c>
      <c r="K2729" t="s">
        <v>23811</v>
      </c>
      <c r="L2729" t="s">
        <v>23814</v>
      </c>
      <c r="M2729" t="s">
        <v>25</v>
      </c>
      <c r="N2729" t="s">
        <v>23815</v>
      </c>
      <c r="O2729" t="s">
        <v>25</v>
      </c>
      <c r="P2729" t="s">
        <v>23816</v>
      </c>
      <c r="Q2729" t="s">
        <v>29</v>
      </c>
      <c r="R2729" t="s">
        <v>23812</v>
      </c>
      <c r="S2729" t="s">
        <v>23813</v>
      </c>
    </row>
    <row r="2730" spans="1:19" x14ac:dyDescent="0.25">
      <c r="A2730" s="1">
        <v>2728</v>
      </c>
      <c r="B2730" t="str">
        <f>HYPERLINK("https://www.dasschnelle.at/m-partsch-neunkirchen-am-spitz","Website")</f>
        <v>Website</v>
      </c>
      <c r="C2730" t="str">
        <f>HYPERLINK("http://www.partsch.at","Website")</f>
        <v>Website</v>
      </c>
      <c r="D2730" t="str">
        <f>HYPERLINK("http://www.google.com/maps/place/47.71834,16.06745","Location")</f>
        <v>Location</v>
      </c>
      <c r="E2730" t="s">
        <v>23817</v>
      </c>
      <c r="F2730" t="s">
        <v>23818</v>
      </c>
      <c r="G2730" t="s">
        <v>5676</v>
      </c>
      <c r="H2730" t="s">
        <v>5677</v>
      </c>
      <c r="I2730" t="s">
        <v>177</v>
      </c>
      <c r="J2730" t="s">
        <v>22</v>
      </c>
      <c r="K2730" t="s">
        <v>23819</v>
      </c>
      <c r="L2730" t="s">
        <v>23822</v>
      </c>
      <c r="M2730" t="s">
        <v>25</v>
      </c>
      <c r="N2730" t="s">
        <v>23823</v>
      </c>
      <c r="O2730" t="s">
        <v>25</v>
      </c>
      <c r="P2730" t="s">
        <v>23824</v>
      </c>
      <c r="Q2730" t="s">
        <v>29</v>
      </c>
      <c r="R2730" t="s">
        <v>23820</v>
      </c>
      <c r="S2730" t="s">
        <v>23821</v>
      </c>
    </row>
    <row r="2731" spans="1:19" x14ac:dyDescent="0.25">
      <c r="A2731" s="1">
        <v>2729</v>
      </c>
      <c r="B2731" t="str">
        <f>HYPERLINK("https://www.dasschnelle.at/indras-planet-gloggnitz-novatzigasse","Website")</f>
        <v>Website</v>
      </c>
      <c r="C2731" t="str">
        <f>HYPERLINK("http://www.indrasplanet.at","Website")</f>
        <v>Website</v>
      </c>
      <c r="D2731" t="str">
        <f>HYPERLINK("http://www.google.com/maps/place/47.6738100,15.9429800","Location")</f>
        <v>Location</v>
      </c>
      <c r="E2731" t="s">
        <v>23825</v>
      </c>
      <c r="F2731" t="s">
        <v>23826</v>
      </c>
      <c r="G2731" t="s">
        <v>5703</v>
      </c>
      <c r="H2731" t="s">
        <v>5704</v>
      </c>
      <c r="I2731" t="s">
        <v>177</v>
      </c>
      <c r="J2731" t="s">
        <v>22</v>
      </c>
      <c r="K2731" t="s">
        <v>23827</v>
      </c>
      <c r="L2731" t="s">
        <v>23830</v>
      </c>
      <c r="M2731" t="s">
        <v>25</v>
      </c>
      <c r="N2731" t="s">
        <v>23831</v>
      </c>
      <c r="O2731" t="s">
        <v>25</v>
      </c>
      <c r="P2731" t="s">
        <v>23832</v>
      </c>
      <c r="Q2731" t="s">
        <v>29</v>
      </c>
      <c r="R2731" t="s">
        <v>23828</v>
      </c>
      <c r="S2731" t="s">
        <v>23829</v>
      </c>
    </row>
    <row r="2732" spans="1:19" x14ac:dyDescent="0.25">
      <c r="A2732" s="1">
        <v>2730</v>
      </c>
      <c r="B2732" t="str">
        <f>HYPERLINK("https://www.dasschnelle.at/adler-trans-henndorf-landestraße","Website")</f>
        <v>Website</v>
      </c>
      <c r="C2732" t="str">
        <f>HYPERLINK("http://www.adlertrans.at","Website")</f>
        <v>Website</v>
      </c>
      <c r="D2732" t="str">
        <f>HYPERLINK("http://www.google.com/maps/place/47.8904800,13.1816800","Location")</f>
        <v>Location</v>
      </c>
      <c r="E2732" t="s">
        <v>23833</v>
      </c>
      <c r="F2732" t="s">
        <v>23834</v>
      </c>
      <c r="G2732" t="s">
        <v>16337</v>
      </c>
      <c r="H2732" t="s">
        <v>23836</v>
      </c>
      <c r="I2732" t="s">
        <v>2239</v>
      </c>
      <c r="J2732" t="s">
        <v>22</v>
      </c>
      <c r="K2732" t="s">
        <v>23835</v>
      </c>
      <c r="L2732" t="s">
        <v>23839</v>
      </c>
      <c r="M2732" t="s">
        <v>25</v>
      </c>
      <c r="N2732" t="s">
        <v>23840</v>
      </c>
      <c r="O2732" t="s">
        <v>25</v>
      </c>
      <c r="P2732" t="s">
        <v>697</v>
      </c>
      <c r="Q2732" t="s">
        <v>29</v>
      </c>
      <c r="R2732" t="s">
        <v>23837</v>
      </c>
      <c r="S2732" t="s">
        <v>23838</v>
      </c>
    </row>
    <row r="2733" spans="1:19" x14ac:dyDescent="0.25">
      <c r="A2733" s="1">
        <v>2731</v>
      </c>
      <c r="B2733" t="str">
        <f>HYPERLINK("https://www.dasschnelle.at/meier-hubert-oberarnsdorf-holzleiten","Website")</f>
        <v>Website</v>
      </c>
      <c r="C2733" t="str">
        <f>HYPERLINK("http://www.elektro-meier-hubert.at","Website")</f>
        <v>Website</v>
      </c>
      <c r="D2733" t="str">
        <f>HYPERLINK("http://www.google.com/maps/place/47.97624,12.9527","Location")</f>
        <v>Location</v>
      </c>
      <c r="E2733" t="s">
        <v>23841</v>
      </c>
      <c r="F2733" t="s">
        <v>23842</v>
      </c>
      <c r="G2733" t="s">
        <v>9277</v>
      </c>
      <c r="H2733" t="s">
        <v>23844</v>
      </c>
      <c r="I2733" t="s">
        <v>2239</v>
      </c>
      <c r="J2733" t="s">
        <v>22</v>
      </c>
      <c r="K2733" t="s">
        <v>23843</v>
      </c>
      <c r="L2733" t="s">
        <v>23847</v>
      </c>
      <c r="M2733" t="s">
        <v>25</v>
      </c>
      <c r="N2733" t="s">
        <v>23848</v>
      </c>
      <c r="O2733" t="s">
        <v>23849</v>
      </c>
      <c r="P2733" t="s">
        <v>23850</v>
      </c>
      <c r="Q2733" t="s">
        <v>29</v>
      </c>
      <c r="R2733" t="s">
        <v>23845</v>
      </c>
      <c r="S2733" t="s">
        <v>23846</v>
      </c>
    </row>
    <row r="2734" spans="1:19" x14ac:dyDescent="0.25">
      <c r="A2734" s="1">
        <v>2732</v>
      </c>
      <c r="B2734" t="str">
        <f>HYPERLINK("https://www.dasschnelle.at/klaro-bau-gmbh-sankt-georgen-bei-salzburg-siedlungsstraße","Website")</f>
        <v>Website</v>
      </c>
      <c r="C2734" t="str">
        <f>HYPERLINK("http://www.klaro-bau.at","Website")</f>
        <v>Website</v>
      </c>
      <c r="D2734" t="str">
        <f>HYPERLINK("http://www.google.com/maps/place/47.9912124,12.8858273","Location")</f>
        <v>Location</v>
      </c>
      <c r="E2734" t="s">
        <v>23851</v>
      </c>
      <c r="F2734" t="s">
        <v>23852</v>
      </c>
      <c r="G2734" t="s">
        <v>9266</v>
      </c>
      <c r="H2734" t="s">
        <v>9267</v>
      </c>
      <c r="I2734" t="s">
        <v>2239</v>
      </c>
      <c r="J2734" t="s">
        <v>22</v>
      </c>
      <c r="K2734" t="s">
        <v>23853</v>
      </c>
      <c r="L2734" t="s">
        <v>23856</v>
      </c>
      <c r="M2734" t="s">
        <v>25</v>
      </c>
      <c r="N2734" t="s">
        <v>23857</v>
      </c>
      <c r="O2734" t="s">
        <v>25</v>
      </c>
      <c r="P2734" t="s">
        <v>23858</v>
      </c>
      <c r="Q2734" t="s">
        <v>29</v>
      </c>
      <c r="R2734" t="s">
        <v>23854</v>
      </c>
      <c r="S2734" t="s">
        <v>23855</v>
      </c>
    </row>
    <row r="2735" spans="1:19" x14ac:dyDescent="0.25">
      <c r="A2735" s="1">
        <v>2733</v>
      </c>
      <c r="B2735" t="str">
        <f>HYPERLINK("https://www.dasschnelle.at/frank-gerald-laufen-haiden-teisendorfer-straße","Website")</f>
        <v>Website</v>
      </c>
      <c r="C2735" t="str">
        <f>HYPERLINK("http://www.glaserei-frank.de","Website")</f>
        <v>Website</v>
      </c>
      <c r="D2735" t="str">
        <f>HYPERLINK("http://www.google.com/maps/place/-338102,181188","Location")</f>
        <v>Location</v>
      </c>
      <c r="E2735" t="s">
        <v>23859</v>
      </c>
      <c r="F2735" t="s">
        <v>23860</v>
      </c>
      <c r="G2735" t="s">
        <v>23862</v>
      </c>
      <c r="H2735" t="s">
        <v>23863</v>
      </c>
      <c r="I2735" t="s">
        <v>25</v>
      </c>
      <c r="J2735" t="s">
        <v>10106</v>
      </c>
      <c r="K2735" t="s">
        <v>23861</v>
      </c>
      <c r="L2735" t="s">
        <v>23866</v>
      </c>
      <c r="M2735" t="s">
        <v>23867</v>
      </c>
      <c r="N2735" t="s">
        <v>23868</v>
      </c>
      <c r="O2735" t="s">
        <v>25</v>
      </c>
      <c r="P2735" t="s">
        <v>23869</v>
      </c>
      <c r="Q2735" t="s">
        <v>29</v>
      </c>
      <c r="R2735" t="s">
        <v>23864</v>
      </c>
      <c r="S2735" t="s">
        <v>23865</v>
      </c>
    </row>
    <row r="2736" spans="1:19" x14ac:dyDescent="0.25">
      <c r="A2736" s="1">
        <v>2734</v>
      </c>
      <c r="B2736" t="str">
        <f>HYPERLINK("https://www.dasschnelle.at/musteralpe-plansee-karin-ratz-breitenwang-planseestraße","Website")</f>
        <v>Website</v>
      </c>
      <c r="C2736" t="str">
        <f>HYPERLINK("http://www.musteralpe-plansee.at","Website")</f>
        <v>Website</v>
      </c>
      <c r="D2736" t="str">
        <f>HYPERLINK("http://www.google.com/maps/place/47.48827,10.72709","Location")</f>
        <v>Location</v>
      </c>
      <c r="E2736" t="s">
        <v>23870</v>
      </c>
      <c r="F2736" t="s">
        <v>23871</v>
      </c>
      <c r="G2736" t="s">
        <v>6823</v>
      </c>
      <c r="H2736" t="s">
        <v>19097</v>
      </c>
      <c r="I2736" t="s">
        <v>21</v>
      </c>
      <c r="J2736" t="s">
        <v>22</v>
      </c>
      <c r="K2736" t="s">
        <v>23872</v>
      </c>
      <c r="L2736" t="s">
        <v>23875</v>
      </c>
      <c r="M2736" t="s">
        <v>25</v>
      </c>
      <c r="N2736" t="s">
        <v>23876</v>
      </c>
      <c r="O2736" t="s">
        <v>25</v>
      </c>
      <c r="P2736" t="s">
        <v>23877</v>
      </c>
      <c r="Q2736" t="s">
        <v>29</v>
      </c>
      <c r="R2736" t="s">
        <v>23873</v>
      </c>
      <c r="S2736" t="s">
        <v>23874</v>
      </c>
    </row>
    <row r="2737" spans="1:19" x14ac:dyDescent="0.25">
      <c r="A2737" s="1">
        <v>2735</v>
      </c>
      <c r="B2737" t="str">
        <f>HYPERLINK("https://www.dasschnelle.at/meyrhuber-albert-stroheimer-hof-kg-stroheim-stroheim","Website")</f>
        <v>Website</v>
      </c>
      <c r="C2737" t="str">
        <f>HYPERLINK("http://www.stroheimerhof.at","Website")</f>
        <v>Website</v>
      </c>
      <c r="D2737" t="str">
        <f>HYPERLINK("http://www.google.com/maps/place/48.3381377,13.9571138","Location")</f>
        <v>Location</v>
      </c>
      <c r="E2737" t="s">
        <v>23878</v>
      </c>
      <c r="F2737" t="s">
        <v>23879</v>
      </c>
      <c r="G2737" t="s">
        <v>3263</v>
      </c>
      <c r="H2737" t="s">
        <v>3264</v>
      </c>
      <c r="I2737" t="s">
        <v>85</v>
      </c>
      <c r="J2737" t="s">
        <v>22</v>
      </c>
      <c r="K2737" t="s">
        <v>23880</v>
      </c>
      <c r="L2737" t="s">
        <v>23883</v>
      </c>
      <c r="M2737" t="s">
        <v>25</v>
      </c>
      <c r="N2737" t="s">
        <v>23884</v>
      </c>
      <c r="O2737" t="s">
        <v>25</v>
      </c>
      <c r="P2737" t="s">
        <v>23885</v>
      </c>
      <c r="Q2737" t="s">
        <v>29</v>
      </c>
      <c r="R2737" t="s">
        <v>23881</v>
      </c>
      <c r="S2737" t="s">
        <v>23882</v>
      </c>
    </row>
    <row r="2738" spans="1:19" x14ac:dyDescent="0.25">
      <c r="A2738" s="1">
        <v>2736</v>
      </c>
      <c r="B2738" t="str">
        <f>HYPERLINK("https://www.dasschnelle.at/nosek-gmbh-baden-vöslauer-straße","Website")</f>
        <v>Website</v>
      </c>
      <c r="C2738" t="str">
        <f>HYPERLINK("http://www.nosek.at","Website")</f>
        <v>Website</v>
      </c>
      <c r="D2738" t="str">
        <f>HYPERLINK("http://www.google.com/maps/place/48.00324,16.23145","Location")</f>
        <v>Location</v>
      </c>
      <c r="E2738" t="s">
        <v>23886</v>
      </c>
      <c r="F2738" t="s">
        <v>23887</v>
      </c>
      <c r="G2738" t="s">
        <v>1979</v>
      </c>
      <c r="H2738" t="s">
        <v>1980</v>
      </c>
      <c r="I2738" t="s">
        <v>177</v>
      </c>
      <c r="J2738" t="s">
        <v>22</v>
      </c>
      <c r="K2738" t="s">
        <v>23888</v>
      </c>
      <c r="L2738" t="s">
        <v>23891</v>
      </c>
      <c r="M2738" t="s">
        <v>23892</v>
      </c>
      <c r="N2738" t="s">
        <v>23893</v>
      </c>
      <c r="O2738" t="s">
        <v>25</v>
      </c>
      <c r="P2738" t="s">
        <v>23894</v>
      </c>
      <c r="Q2738" t="s">
        <v>29</v>
      </c>
      <c r="R2738" t="s">
        <v>23889</v>
      </c>
      <c r="S2738" t="s">
        <v>23890</v>
      </c>
    </row>
    <row r="2739" spans="1:19" x14ac:dyDescent="0.25">
      <c r="A2739" s="1">
        <v>2737</v>
      </c>
      <c r="B2739" t="str">
        <f>HYPERLINK("https://www.dasschnelle.at/reitsberger-ludwig-lamprechtshausen-reit","Website")</f>
        <v>Website</v>
      </c>
      <c r="C2739" t="str">
        <f>HYPERLINK("https://www.dasschnelle.at/reitsberger-ludwig-lamprechtshausen-reit","Website")</f>
        <v>Website</v>
      </c>
      <c r="D2739" t="str">
        <f>HYPERLINK("http://www.google.com/maps/place/47.9729374,12.9447503","Location")</f>
        <v>Location</v>
      </c>
      <c r="E2739" t="s">
        <v>23895</v>
      </c>
      <c r="F2739" t="s">
        <v>23896</v>
      </c>
      <c r="G2739" t="s">
        <v>9277</v>
      </c>
      <c r="H2739" t="s">
        <v>9278</v>
      </c>
      <c r="I2739" t="s">
        <v>2239</v>
      </c>
      <c r="J2739" t="s">
        <v>22</v>
      </c>
      <c r="K2739" t="s">
        <v>23897</v>
      </c>
      <c r="L2739" t="s">
        <v>23900</v>
      </c>
      <c r="M2739" t="s">
        <v>25</v>
      </c>
      <c r="N2739" t="s">
        <v>23901</v>
      </c>
      <c r="O2739" t="s">
        <v>25</v>
      </c>
      <c r="P2739" t="s">
        <v>23902</v>
      </c>
      <c r="Q2739" t="s">
        <v>29</v>
      </c>
      <c r="R2739" t="s">
        <v>23898</v>
      </c>
      <c r="S2739" t="s">
        <v>23899</v>
      </c>
    </row>
    <row r="2740" spans="1:19" x14ac:dyDescent="0.25">
      <c r="A2740" s="1">
        <v>2738</v>
      </c>
      <c r="B2740" t="str">
        <f>HYPERLINK("https://www.dasschnelle.at/wilthoner-klaus-prim-dr-ohlsdorf-hauptstraße","Website")</f>
        <v>Website</v>
      </c>
      <c r="C2740" t="str">
        <f>HYPERLINK("https://www.dasschnelle.at/wilthoner-klaus-prim-dr-ohlsdorf-hauptstra%C3%9Fe","Website")</f>
        <v>Website</v>
      </c>
      <c r="D2740" t="str">
        <f>HYPERLINK("http://www.google.com/maps/place/47.95966,13.79057","Location")</f>
        <v>Location</v>
      </c>
      <c r="E2740" t="s">
        <v>23903</v>
      </c>
      <c r="F2740" t="s">
        <v>23904</v>
      </c>
      <c r="G2740" t="s">
        <v>6941</v>
      </c>
      <c r="H2740" t="s">
        <v>23422</v>
      </c>
      <c r="I2740" t="s">
        <v>85</v>
      </c>
      <c r="J2740" t="s">
        <v>22</v>
      </c>
      <c r="K2740" t="s">
        <v>3925</v>
      </c>
      <c r="L2740" t="s">
        <v>23907</v>
      </c>
      <c r="M2740" t="s">
        <v>25</v>
      </c>
      <c r="N2740" t="s">
        <v>23908</v>
      </c>
      <c r="O2740" t="s">
        <v>25</v>
      </c>
      <c r="P2740" t="s">
        <v>23909</v>
      </c>
      <c r="Q2740" t="s">
        <v>29</v>
      </c>
      <c r="R2740" t="s">
        <v>23905</v>
      </c>
      <c r="S2740" t="s">
        <v>23906</v>
      </c>
    </row>
    <row r="2741" spans="1:19" x14ac:dyDescent="0.25">
      <c r="A2741" s="1">
        <v>2739</v>
      </c>
      <c r="B2741" t="str">
        <f>HYPERLINK("https://www.dasschnelle.at/klaps-alexander-baden-friedrich-schiller-platz","Website")</f>
        <v>Website</v>
      </c>
      <c r="C2741" t="str">
        <f>HYPERLINK("http://www.klaps.at","Website")</f>
        <v>Website</v>
      </c>
      <c r="D2741" t="str">
        <f>HYPERLINK("http://www.google.com/maps/place/48.0014700,16.2171700","Location")</f>
        <v>Location</v>
      </c>
      <c r="E2741" t="s">
        <v>23910</v>
      </c>
      <c r="F2741" t="s">
        <v>23911</v>
      </c>
      <c r="G2741" t="s">
        <v>1979</v>
      </c>
      <c r="H2741" t="s">
        <v>1980</v>
      </c>
      <c r="I2741" t="s">
        <v>177</v>
      </c>
      <c r="J2741" t="s">
        <v>22</v>
      </c>
      <c r="K2741" t="s">
        <v>23912</v>
      </c>
      <c r="L2741" t="s">
        <v>23915</v>
      </c>
      <c r="M2741" t="s">
        <v>23916</v>
      </c>
      <c r="N2741" t="s">
        <v>23917</v>
      </c>
      <c r="O2741" t="s">
        <v>25</v>
      </c>
      <c r="P2741" t="s">
        <v>23918</v>
      </c>
      <c r="Q2741" t="s">
        <v>29</v>
      </c>
      <c r="R2741" t="s">
        <v>23913</v>
      </c>
      <c r="S2741" t="s">
        <v>23914</v>
      </c>
    </row>
    <row r="2742" spans="1:19" x14ac:dyDescent="0.25">
      <c r="A2742" s="1">
        <v>2740</v>
      </c>
      <c r="B2742" t="str">
        <f>HYPERLINK("https://www.dasschnelle.at/degeorgi-franz-tribuswinkel-gewerbestraße","Website")</f>
        <v>Website</v>
      </c>
      <c r="C2742" t="str">
        <f>HYPERLINK("http://www.degeorgi-spenglerei.at","Website")</f>
        <v>Website</v>
      </c>
      <c r="D2742" t="str">
        <f>HYPERLINK("http://www.google.com/maps/place/47.9834,16.28487","Location")</f>
        <v>Location</v>
      </c>
      <c r="E2742" t="s">
        <v>23919</v>
      </c>
      <c r="F2742" t="s">
        <v>23920</v>
      </c>
      <c r="G2742" t="s">
        <v>2032</v>
      </c>
      <c r="H2742" t="s">
        <v>2033</v>
      </c>
      <c r="I2742" t="s">
        <v>177</v>
      </c>
      <c r="J2742" t="s">
        <v>22</v>
      </c>
      <c r="K2742" t="s">
        <v>12442</v>
      </c>
      <c r="L2742" t="s">
        <v>23923</v>
      </c>
      <c r="M2742" t="s">
        <v>23924</v>
      </c>
      <c r="N2742" t="s">
        <v>23925</v>
      </c>
      <c r="O2742" t="s">
        <v>23926</v>
      </c>
      <c r="P2742" t="s">
        <v>23927</v>
      </c>
      <c r="Q2742" t="s">
        <v>29</v>
      </c>
      <c r="R2742" t="s">
        <v>23921</v>
      </c>
      <c r="S2742" t="s">
        <v>23922</v>
      </c>
    </row>
    <row r="2743" spans="1:19" x14ac:dyDescent="0.25">
      <c r="A2743" s="1">
        <v>2741</v>
      </c>
      <c r="B2743" t="str">
        <f>HYPERLINK("https://www.dasschnelle.at/secutek-sicherheitstüren-gmbh-baden-wassergasse","Website")</f>
        <v>Website</v>
      </c>
      <c r="C2743" t="str">
        <f>HYPERLINK("http://www.secutek.at","Website")</f>
        <v>Website</v>
      </c>
      <c r="D2743" t="str">
        <f>HYPERLINK("http://www.google.com/maps/place/48.0053431,16.2364388","Location")</f>
        <v>Location</v>
      </c>
      <c r="E2743" t="s">
        <v>23928</v>
      </c>
      <c r="F2743" t="s">
        <v>23929</v>
      </c>
      <c r="G2743" t="s">
        <v>1979</v>
      </c>
      <c r="H2743" t="s">
        <v>1980</v>
      </c>
      <c r="I2743" t="s">
        <v>177</v>
      </c>
      <c r="J2743" t="s">
        <v>22</v>
      </c>
      <c r="K2743" t="s">
        <v>12981</v>
      </c>
      <c r="L2743" t="s">
        <v>23930</v>
      </c>
      <c r="M2743" t="s">
        <v>25</v>
      </c>
      <c r="N2743" t="s">
        <v>23931</v>
      </c>
      <c r="O2743" t="s">
        <v>25</v>
      </c>
      <c r="P2743" t="s">
        <v>697</v>
      </c>
      <c r="Q2743" t="s">
        <v>29</v>
      </c>
      <c r="R2743" t="s">
        <v>12982</v>
      </c>
      <c r="S2743" t="s">
        <v>12983</v>
      </c>
    </row>
    <row r="2744" spans="1:19" x14ac:dyDescent="0.25">
      <c r="A2744" s="1">
        <v>2742</v>
      </c>
      <c r="B2744" t="str">
        <f>HYPERLINK("https://www.dasschnelle.at/jv-entsorgungs-gmbh-altmünster-römerstraße","Website")</f>
        <v>Website</v>
      </c>
      <c r="C2744" t="str">
        <f>HYPERLINK("http://www.mistweg.at","Website")</f>
        <v>Website</v>
      </c>
      <c r="D2744" t="str">
        <f>HYPERLINK("http://www.google.com/maps/place/47.90446,13.75979","Location")</f>
        <v>Location</v>
      </c>
      <c r="E2744" t="s">
        <v>23932</v>
      </c>
      <c r="F2744" t="s">
        <v>23933</v>
      </c>
      <c r="G2744" t="s">
        <v>7000</v>
      </c>
      <c r="H2744" t="s">
        <v>7001</v>
      </c>
      <c r="I2744" t="s">
        <v>85</v>
      </c>
      <c r="J2744" t="s">
        <v>22</v>
      </c>
      <c r="K2744" t="s">
        <v>23934</v>
      </c>
      <c r="L2744" t="s">
        <v>23937</v>
      </c>
      <c r="M2744" t="s">
        <v>25</v>
      </c>
      <c r="N2744" t="s">
        <v>23938</v>
      </c>
      <c r="O2744" t="s">
        <v>23939</v>
      </c>
      <c r="P2744" t="s">
        <v>23940</v>
      </c>
      <c r="Q2744" t="s">
        <v>29</v>
      </c>
      <c r="R2744" t="s">
        <v>23935</v>
      </c>
      <c r="S2744" t="s">
        <v>23936</v>
      </c>
    </row>
    <row r="2745" spans="1:19" x14ac:dyDescent="0.25">
      <c r="A2745" s="1">
        <v>2743</v>
      </c>
      <c r="B2745" t="str">
        <f>HYPERLINK("https://www.dasschnelle.at/forstservice-hufnagl-altmünster-eck","Website")</f>
        <v>Website</v>
      </c>
      <c r="C2745" t="str">
        <f>HYPERLINK("http://www.forstservice-hufnagl.at","Website")</f>
        <v>Website</v>
      </c>
      <c r="D2745" t="str">
        <f>HYPERLINK("http://www.google.com/maps/place/47.9141959,13.7721612","Location")</f>
        <v>Location</v>
      </c>
      <c r="E2745" t="s">
        <v>23941</v>
      </c>
      <c r="F2745" t="s">
        <v>23942</v>
      </c>
      <c r="G2745" t="s">
        <v>7000</v>
      </c>
      <c r="H2745" t="s">
        <v>7001</v>
      </c>
      <c r="I2745" t="s">
        <v>85</v>
      </c>
      <c r="J2745" t="s">
        <v>22</v>
      </c>
      <c r="K2745" t="s">
        <v>23943</v>
      </c>
      <c r="L2745" t="s">
        <v>23946</v>
      </c>
      <c r="M2745" t="s">
        <v>25</v>
      </c>
      <c r="N2745" t="s">
        <v>23947</v>
      </c>
      <c r="O2745" t="s">
        <v>23948</v>
      </c>
      <c r="P2745" t="s">
        <v>23949</v>
      </c>
      <c r="Q2745" t="s">
        <v>29</v>
      </c>
      <c r="R2745" t="s">
        <v>23944</v>
      </c>
      <c r="S2745" t="s">
        <v>23945</v>
      </c>
    </row>
    <row r="2746" spans="1:19" x14ac:dyDescent="0.25">
      <c r="A2746" s="1">
        <v>2744</v>
      </c>
      <c r="B2746" t="str">
        <f>HYPERLINK("https://www.dasschnelle.at/seehotel-schwan-gmunden-josef-nöstlinger-kg-gmunden-rathausplatz","Website")</f>
        <v>Website</v>
      </c>
      <c r="C2746" t="str">
        <f>HYPERLINK("http://www.seehotel-schwan.at","Website")</f>
        <v>Website</v>
      </c>
      <c r="D2746" t="str">
        <f>HYPERLINK("http://www.google.com/maps/place/47.91821,13.80042","Location")</f>
        <v>Location</v>
      </c>
      <c r="E2746" t="s">
        <v>23950</v>
      </c>
      <c r="F2746" t="s">
        <v>23951</v>
      </c>
      <c r="G2746" t="s">
        <v>6951</v>
      </c>
      <c r="H2746" t="s">
        <v>6952</v>
      </c>
      <c r="I2746" t="s">
        <v>85</v>
      </c>
      <c r="J2746" t="s">
        <v>22</v>
      </c>
      <c r="K2746" t="s">
        <v>23952</v>
      </c>
      <c r="L2746" t="s">
        <v>23955</v>
      </c>
      <c r="M2746" t="s">
        <v>23956</v>
      </c>
      <c r="N2746" t="s">
        <v>23957</v>
      </c>
      <c r="O2746" t="s">
        <v>25</v>
      </c>
      <c r="P2746" t="s">
        <v>23958</v>
      </c>
      <c r="Q2746" t="s">
        <v>29</v>
      </c>
      <c r="R2746" t="s">
        <v>23953</v>
      </c>
      <c r="S2746" t="s">
        <v>23954</v>
      </c>
    </row>
    <row r="2747" spans="1:19" x14ac:dyDescent="0.25">
      <c r="A2747" s="1">
        <v>2745</v>
      </c>
      <c r="B2747" t="str">
        <f>HYPERLINK("https://www.dasschnelle.at/autengruber-metalldesign-gmbh-pinsdorf-leherbauernweg","Website")</f>
        <v>Website</v>
      </c>
      <c r="C2747" t="str">
        <f>HYPERLINK("http://www.autengruber-metall.at","Website")</f>
        <v>Website</v>
      </c>
      <c r="D2747" t="str">
        <f>HYPERLINK("http://www.google.com/maps/place/47.94183,13.75615","Location")</f>
        <v>Location</v>
      </c>
      <c r="E2747" t="s">
        <v>23959</v>
      </c>
      <c r="F2747" t="s">
        <v>23960</v>
      </c>
      <c r="G2747" t="s">
        <v>6981</v>
      </c>
      <c r="H2747" t="s">
        <v>6982</v>
      </c>
      <c r="I2747" t="s">
        <v>85</v>
      </c>
      <c r="J2747" t="s">
        <v>22</v>
      </c>
      <c r="K2747" t="s">
        <v>23961</v>
      </c>
      <c r="L2747" t="s">
        <v>23964</v>
      </c>
      <c r="M2747" t="s">
        <v>25</v>
      </c>
      <c r="N2747" t="s">
        <v>23965</v>
      </c>
      <c r="O2747" t="s">
        <v>23966</v>
      </c>
      <c r="P2747" t="s">
        <v>23967</v>
      </c>
      <c r="Q2747" t="s">
        <v>29</v>
      </c>
      <c r="R2747" t="s">
        <v>23962</v>
      </c>
      <c r="S2747" t="s">
        <v>23963</v>
      </c>
    </row>
    <row r="2748" spans="1:19" x14ac:dyDescent="0.25">
      <c r="A2748" s="1">
        <v>2746</v>
      </c>
      <c r="B2748" t="str">
        <f>HYPERLINK("https://www.dasschnelle.at/schafleitner-fenster-u-sonnenschutz-gmbh-straßwalchen-mondseerstraße","Website")</f>
        <v>Website</v>
      </c>
      <c r="C2748" t="str">
        <f>HYPERLINK("http://www.schafleitner.at","Website")</f>
        <v>Website</v>
      </c>
      <c r="D2748" t="str">
        <f>HYPERLINK("http://www.google.com/maps/place/47.9763,13.2555","Location")</f>
        <v>Location</v>
      </c>
      <c r="E2748" t="s">
        <v>23968</v>
      </c>
      <c r="F2748" t="s">
        <v>23969</v>
      </c>
      <c r="G2748" t="s">
        <v>10545</v>
      </c>
      <c r="H2748" t="s">
        <v>10546</v>
      </c>
      <c r="I2748" t="s">
        <v>2239</v>
      </c>
      <c r="J2748" t="s">
        <v>22</v>
      </c>
      <c r="K2748" t="s">
        <v>23970</v>
      </c>
      <c r="L2748" t="s">
        <v>23973</v>
      </c>
      <c r="M2748" t="s">
        <v>25</v>
      </c>
      <c r="N2748" t="s">
        <v>23974</v>
      </c>
      <c r="O2748" t="s">
        <v>23975</v>
      </c>
      <c r="P2748" t="s">
        <v>23976</v>
      </c>
      <c r="Q2748" t="s">
        <v>29</v>
      </c>
      <c r="R2748" t="s">
        <v>23971</v>
      </c>
      <c r="S2748" t="s">
        <v>23972</v>
      </c>
    </row>
    <row r="2749" spans="1:19" x14ac:dyDescent="0.25">
      <c r="A2749" s="1">
        <v>2747</v>
      </c>
      <c r="B2749" t="str">
        <f>HYPERLINK("https://www.dasschnelle.at/a-d-l-estrich-regau-am-agersteg","Website")</f>
        <v>Website</v>
      </c>
      <c r="C2749" t="str">
        <f>HYPERLINK("http://www.adl-estrich.at","Website")</f>
        <v>Website</v>
      </c>
      <c r="D2749" t="str">
        <f>HYPERLINK("http://www.google.com/maps/place/48.00325,13.65702","Location")</f>
        <v>Location</v>
      </c>
      <c r="E2749" t="s">
        <v>23977</v>
      </c>
      <c r="F2749" t="s">
        <v>23978</v>
      </c>
      <c r="G2749" t="s">
        <v>3773</v>
      </c>
      <c r="H2749" t="s">
        <v>3774</v>
      </c>
      <c r="I2749" t="s">
        <v>85</v>
      </c>
      <c r="J2749" t="s">
        <v>22</v>
      </c>
      <c r="K2749" t="s">
        <v>23979</v>
      </c>
      <c r="L2749" t="s">
        <v>23982</v>
      </c>
      <c r="M2749" t="s">
        <v>25</v>
      </c>
      <c r="N2749" t="s">
        <v>23983</v>
      </c>
      <c r="O2749" t="s">
        <v>23984</v>
      </c>
      <c r="P2749" t="s">
        <v>23985</v>
      </c>
      <c r="Q2749" t="s">
        <v>29</v>
      </c>
      <c r="R2749" t="s">
        <v>23980</v>
      </c>
      <c r="S2749" t="s">
        <v>23981</v>
      </c>
    </row>
    <row r="2750" spans="1:19" x14ac:dyDescent="0.25">
      <c r="A2750" s="1">
        <v>2748</v>
      </c>
      <c r="B2750" t="str">
        <f>HYPERLINK("https://www.dasschnelle.at/dosti-karin-dr-pottendorf-marktplatz","Website")</f>
        <v>Website</v>
      </c>
      <c r="C2750" t="str">
        <f>HYPERLINK("http://www.dr-dosti.at/","Website")</f>
        <v>Website</v>
      </c>
      <c r="D2750" t="str">
        <f>HYPERLINK("http://www.google.com/maps/place/47.91005,16.38912","Location")</f>
        <v>Location</v>
      </c>
      <c r="E2750" t="s">
        <v>23986</v>
      </c>
      <c r="F2750" t="s">
        <v>23987</v>
      </c>
      <c r="G2750" t="s">
        <v>23989</v>
      </c>
      <c r="H2750" t="s">
        <v>23990</v>
      </c>
      <c r="I2750" t="s">
        <v>177</v>
      </c>
      <c r="J2750" t="s">
        <v>22</v>
      </c>
      <c r="K2750" t="s">
        <v>23988</v>
      </c>
      <c r="L2750" t="s">
        <v>23993</v>
      </c>
      <c r="M2750" t="s">
        <v>25</v>
      </c>
      <c r="N2750" t="s">
        <v>23994</v>
      </c>
      <c r="O2750" t="s">
        <v>23995</v>
      </c>
      <c r="P2750" t="s">
        <v>23996</v>
      </c>
      <c r="Q2750" t="s">
        <v>29</v>
      </c>
      <c r="R2750" t="s">
        <v>23991</v>
      </c>
      <c r="S2750" t="s">
        <v>23992</v>
      </c>
    </row>
    <row r="2751" spans="1:19" x14ac:dyDescent="0.25">
      <c r="A2751" s="1">
        <v>2749</v>
      </c>
      <c r="B2751" t="str">
        <f>HYPERLINK("https://www.dasschnelle.at/falkner-christian-dr-baden-marchetstraße","Website")</f>
        <v>Website</v>
      </c>
      <c r="C2751" t="str">
        <f>HYPERLINK("https://www.dasschnelle.at/falkner-christian-dr-baden-marchetstra%C3%9Fe","Website")</f>
        <v>Website</v>
      </c>
      <c r="D2751" t="str">
        <f>HYPERLINK("http://www.google.com/maps/place/48.0093863,16.2307769","Location")</f>
        <v>Location</v>
      </c>
      <c r="E2751" t="s">
        <v>23997</v>
      </c>
      <c r="F2751" t="s">
        <v>23998</v>
      </c>
      <c r="G2751" t="s">
        <v>1979</v>
      </c>
      <c r="H2751" t="s">
        <v>1980</v>
      </c>
      <c r="I2751" t="s">
        <v>177</v>
      </c>
      <c r="J2751" t="s">
        <v>22</v>
      </c>
      <c r="K2751" t="s">
        <v>23999</v>
      </c>
      <c r="L2751" t="s">
        <v>24002</v>
      </c>
      <c r="M2751" t="s">
        <v>25</v>
      </c>
      <c r="N2751" t="s">
        <v>24003</v>
      </c>
      <c r="O2751" t="s">
        <v>25</v>
      </c>
      <c r="P2751" t="s">
        <v>24004</v>
      </c>
      <c r="Q2751" t="s">
        <v>29</v>
      </c>
      <c r="R2751" t="s">
        <v>24000</v>
      </c>
      <c r="S2751" t="s">
        <v>24001</v>
      </c>
    </row>
    <row r="2752" spans="1:19" x14ac:dyDescent="0.25">
      <c r="A2752" s="1">
        <v>2750</v>
      </c>
      <c r="B2752" t="str">
        <f>HYPERLINK("https://www.dasschnelle.at/katzenschlager-gesmbh-tribuswinkel-sochorgasse","Website")</f>
        <v>Website</v>
      </c>
      <c r="C2752" t="str">
        <f>HYPERLINK("https://www.dasschnelle.at/katzenschlager-gesmbh-tribuswinkel-sochorgasse","Website")</f>
        <v>Website</v>
      </c>
      <c r="D2752" t="str">
        <f>HYPERLINK("http://www.google.com/maps/place/47.98445,16.2893","Location")</f>
        <v>Location</v>
      </c>
      <c r="E2752" t="s">
        <v>24005</v>
      </c>
      <c r="F2752" t="s">
        <v>24006</v>
      </c>
      <c r="G2752" t="s">
        <v>2032</v>
      </c>
      <c r="H2752" t="s">
        <v>2033</v>
      </c>
      <c r="I2752" t="s">
        <v>177</v>
      </c>
      <c r="J2752" t="s">
        <v>22</v>
      </c>
      <c r="K2752" t="s">
        <v>24007</v>
      </c>
      <c r="L2752" t="s">
        <v>24010</v>
      </c>
      <c r="M2752" t="s">
        <v>25</v>
      </c>
      <c r="N2752" t="s">
        <v>24011</v>
      </c>
      <c r="O2752" t="s">
        <v>24012</v>
      </c>
      <c r="P2752" t="s">
        <v>24013</v>
      </c>
      <c r="Q2752" t="s">
        <v>29</v>
      </c>
      <c r="R2752" t="s">
        <v>24008</v>
      </c>
      <c r="S2752" t="s">
        <v>24009</v>
      </c>
    </row>
    <row r="2753" spans="1:19" x14ac:dyDescent="0.25">
      <c r="A2753" s="1">
        <v>2751</v>
      </c>
      <c r="B2753" t="str">
        <f>HYPERLINK("https://www.dasschnelle.at/erdbau-franz-eder-gmbh-und-co-kg-lamprechtshausen-käsereistraße","Website")</f>
        <v>Website</v>
      </c>
      <c r="C2753" t="str">
        <f>HYPERLINK("http://www.erdbau-eder.at","Website")</f>
        <v>Website</v>
      </c>
      <c r="D2753" t="str">
        <f>HYPERLINK("http://www.google.com/maps/place/47.99006,12.96598","Location")</f>
        <v>Location</v>
      </c>
      <c r="E2753" t="s">
        <v>24014</v>
      </c>
      <c r="F2753" t="s">
        <v>24015</v>
      </c>
      <c r="G2753" t="s">
        <v>9277</v>
      </c>
      <c r="H2753" t="s">
        <v>9278</v>
      </c>
      <c r="I2753" t="s">
        <v>2239</v>
      </c>
      <c r="J2753" t="s">
        <v>22</v>
      </c>
      <c r="K2753" t="s">
        <v>24016</v>
      </c>
      <c r="L2753" t="s">
        <v>24019</v>
      </c>
      <c r="M2753" t="s">
        <v>25</v>
      </c>
      <c r="N2753" t="s">
        <v>24020</v>
      </c>
      <c r="O2753" t="s">
        <v>24021</v>
      </c>
      <c r="P2753" t="s">
        <v>24022</v>
      </c>
      <c r="Q2753" t="s">
        <v>29</v>
      </c>
      <c r="R2753" t="s">
        <v>24017</v>
      </c>
      <c r="S2753" t="s">
        <v>24018</v>
      </c>
    </row>
    <row r="2754" spans="1:19" x14ac:dyDescent="0.25">
      <c r="A2754" s="1">
        <v>2752</v>
      </c>
      <c r="B2754" t="str">
        <f>HYPERLINK("https://www.dasschnelle.at/wunderlich-und-schott-haustechnik-og-tribuswinkel-sängerhofgasse","Website")</f>
        <v>Website</v>
      </c>
      <c r="C2754" t="str">
        <f>HYPERLINK("http://www.dasschnelle.at/wunderlich-und-schott-haustechnik-og-tribuswinkel-s%C3%A4ngerhofgasse","Website")</f>
        <v>Website</v>
      </c>
      <c r="D2754" t="str">
        <f>HYPERLINK("http://www.google.com/maps/place/48.004912,16.266698","Location")</f>
        <v>Location</v>
      </c>
      <c r="E2754" t="s">
        <v>24023</v>
      </c>
      <c r="F2754" t="s">
        <v>24024</v>
      </c>
      <c r="G2754" t="s">
        <v>2032</v>
      </c>
      <c r="H2754" t="s">
        <v>2033</v>
      </c>
      <c r="I2754" t="s">
        <v>177</v>
      </c>
      <c r="J2754" t="s">
        <v>22</v>
      </c>
      <c r="K2754" t="s">
        <v>24025</v>
      </c>
      <c r="L2754" t="s">
        <v>24028</v>
      </c>
      <c r="M2754" t="s">
        <v>25</v>
      </c>
      <c r="N2754" t="s">
        <v>24029</v>
      </c>
      <c r="O2754" t="s">
        <v>25</v>
      </c>
      <c r="P2754" t="s">
        <v>24030</v>
      </c>
      <c r="Q2754" t="s">
        <v>29</v>
      </c>
      <c r="R2754" t="s">
        <v>24026</v>
      </c>
      <c r="S2754" t="s">
        <v>24027</v>
      </c>
    </row>
    <row r="2755" spans="1:19" x14ac:dyDescent="0.25">
      <c r="A2755" s="1">
        <v>2753</v>
      </c>
      <c r="B2755" t="str">
        <f>HYPERLINK("https://www.dasschnelle.at/leitner-florian-neukirchen-neukirchen","Website")</f>
        <v>Website</v>
      </c>
      <c r="C2755" t="str">
        <f>HYPERLINK("http://www.leitner-tischler.at","Website")</f>
        <v>Website</v>
      </c>
      <c r="D2755" t="str">
        <f>HYPERLINK("http://www.google.com/maps/place/47.8721800,13.7051600","Location")</f>
        <v>Location</v>
      </c>
      <c r="E2755" t="s">
        <v>24031</v>
      </c>
      <c r="F2755" t="s">
        <v>24032</v>
      </c>
      <c r="G2755" t="s">
        <v>23085</v>
      </c>
      <c r="H2755" t="s">
        <v>23086</v>
      </c>
      <c r="I2755" t="s">
        <v>85</v>
      </c>
      <c r="J2755" t="s">
        <v>22</v>
      </c>
      <c r="K2755" t="s">
        <v>24033</v>
      </c>
      <c r="L2755" t="s">
        <v>24036</v>
      </c>
      <c r="M2755" t="s">
        <v>25</v>
      </c>
      <c r="N2755" t="s">
        <v>24037</v>
      </c>
      <c r="O2755" t="s">
        <v>25</v>
      </c>
      <c r="P2755" t="s">
        <v>24038</v>
      </c>
      <c r="Q2755" t="s">
        <v>29</v>
      </c>
      <c r="R2755" t="s">
        <v>24034</v>
      </c>
      <c r="S2755" t="s">
        <v>24035</v>
      </c>
    </row>
    <row r="2756" spans="1:19" x14ac:dyDescent="0.25">
      <c r="A2756" s="1">
        <v>2754</v>
      </c>
      <c r="B2756" t="str">
        <f>HYPERLINK("https://www.dasschnelle.at/spitzwieser-hermann-michaelbeuern-vorau","Website")</f>
        <v>Website</v>
      </c>
      <c r="C2756" t="str">
        <f>HYPERLINK("https://www.dasschnelle.at/spitzwieser-hermann-michaelbeuern-vorau","Website")</f>
        <v>Website</v>
      </c>
      <c r="D2756" t="str">
        <f>HYPERLINK("http://www.google.com/maps/place/48.0091451,13.0287994","Location")</f>
        <v>Location</v>
      </c>
      <c r="E2756" t="s">
        <v>24039</v>
      </c>
      <c r="F2756" t="s">
        <v>24040</v>
      </c>
      <c r="G2756" t="s">
        <v>22977</v>
      </c>
      <c r="H2756" t="s">
        <v>22978</v>
      </c>
      <c r="I2756" t="s">
        <v>2239</v>
      </c>
      <c r="J2756" t="s">
        <v>22</v>
      </c>
      <c r="K2756" t="s">
        <v>24041</v>
      </c>
      <c r="L2756" t="s">
        <v>24044</v>
      </c>
      <c r="M2756" t="s">
        <v>24045</v>
      </c>
      <c r="N2756" t="s">
        <v>24046</v>
      </c>
      <c r="O2756" t="s">
        <v>25</v>
      </c>
      <c r="P2756" t="s">
        <v>24047</v>
      </c>
      <c r="Q2756" t="s">
        <v>29</v>
      </c>
      <c r="R2756" t="s">
        <v>24042</v>
      </c>
      <c r="S2756" t="s">
        <v>24043</v>
      </c>
    </row>
    <row r="2757" spans="1:19" x14ac:dyDescent="0.25">
      <c r="A2757" s="1">
        <v>2755</v>
      </c>
      <c r="B2757" t="str">
        <f>HYPERLINK("https://www.dasschnelle.at/lukas-breitfuß-dr-med-dent-oberndorf-franz-xaver-grimm-straße","Website")</f>
        <v>Website</v>
      </c>
      <c r="C2757" t="str">
        <f>HYPERLINK("http://www.zahnarzt-oberndorf.at","Website")</f>
        <v>Website</v>
      </c>
      <c r="D2757" t="str">
        <f>HYPERLINK("http://www.google.com/maps/place/47.94062,12.94302","Location")</f>
        <v>Location</v>
      </c>
      <c r="E2757" t="s">
        <v>24048</v>
      </c>
      <c r="F2757" t="s">
        <v>24049</v>
      </c>
      <c r="G2757" t="s">
        <v>12780</v>
      </c>
      <c r="H2757" t="s">
        <v>10116</v>
      </c>
      <c r="I2757" t="s">
        <v>2239</v>
      </c>
      <c r="J2757" t="s">
        <v>22</v>
      </c>
      <c r="K2757" t="s">
        <v>24050</v>
      </c>
      <c r="L2757" t="s">
        <v>24053</v>
      </c>
      <c r="M2757" t="s">
        <v>25</v>
      </c>
      <c r="N2757" t="s">
        <v>24054</v>
      </c>
      <c r="O2757" t="s">
        <v>25</v>
      </c>
      <c r="P2757" t="s">
        <v>24055</v>
      </c>
      <c r="Q2757" t="s">
        <v>29</v>
      </c>
      <c r="R2757" t="s">
        <v>24051</v>
      </c>
      <c r="S2757" t="s">
        <v>24052</v>
      </c>
    </row>
    <row r="2758" spans="1:19" x14ac:dyDescent="0.25">
      <c r="A2758" s="1">
        <v>2756</v>
      </c>
      <c r="B2758" t="str">
        <f>HYPERLINK("https://www.dasschnelle.at/üblagger-gert-ddr-seekirchen-mathias-bayrhammer-straße","Website")</f>
        <v>Website</v>
      </c>
      <c r="C2758" t="str">
        <f>HYPERLINK("https://www.dasschnelle.at/%C3%BCblagger-gert-ddr-seekirchen-mathias-bayrhammer-stra%C3%9Fe","Website")</f>
        <v>Website</v>
      </c>
      <c r="D2758" t="str">
        <f>HYPERLINK("http://www.google.com/maps/place/47.8931660,13.1230485","Location")</f>
        <v>Location</v>
      </c>
      <c r="E2758" t="s">
        <v>24056</v>
      </c>
      <c r="F2758" t="s">
        <v>24057</v>
      </c>
      <c r="G2758" t="s">
        <v>1412</v>
      </c>
      <c r="H2758" t="s">
        <v>16372</v>
      </c>
      <c r="I2758" t="s">
        <v>2239</v>
      </c>
      <c r="J2758" t="s">
        <v>22</v>
      </c>
      <c r="K2758" t="s">
        <v>24058</v>
      </c>
      <c r="L2758" t="s">
        <v>24061</v>
      </c>
      <c r="M2758" t="s">
        <v>25</v>
      </c>
      <c r="N2758" t="s">
        <v>24062</v>
      </c>
      <c r="O2758" t="s">
        <v>25</v>
      </c>
      <c r="P2758" t="s">
        <v>24063</v>
      </c>
      <c r="Q2758" t="s">
        <v>29</v>
      </c>
      <c r="R2758" t="s">
        <v>24059</v>
      </c>
      <c r="S2758" t="s">
        <v>24060</v>
      </c>
    </row>
    <row r="2759" spans="1:19" x14ac:dyDescent="0.25">
      <c r="A2759" s="1">
        <v>2757</v>
      </c>
      <c r="B2759" t="str">
        <f>HYPERLINK("https://www.dasschnelle.at/apotheke-zum-erlöser-mag-pharm-ilse-wunderlich-polzer-bad-vöslau-hochstraße","Website")</f>
        <v>Website</v>
      </c>
      <c r="C2759" t="str">
        <f>HYPERLINK("http://www.apotheke-erloeser.at","Website")</f>
        <v>Website</v>
      </c>
      <c r="D2759" t="str">
        <f>HYPERLINK("http://www.google.com/maps/place/47.96442,16.20913","Location")</f>
        <v>Location</v>
      </c>
      <c r="E2759" t="s">
        <v>24064</v>
      </c>
      <c r="F2759" t="s">
        <v>24065</v>
      </c>
      <c r="G2759" t="s">
        <v>2061</v>
      </c>
      <c r="H2759" t="s">
        <v>2062</v>
      </c>
      <c r="I2759" t="s">
        <v>177</v>
      </c>
      <c r="J2759" t="s">
        <v>22</v>
      </c>
      <c r="K2759" t="s">
        <v>24066</v>
      </c>
      <c r="L2759" t="s">
        <v>24069</v>
      </c>
      <c r="M2759" t="s">
        <v>24070</v>
      </c>
      <c r="N2759" t="s">
        <v>24071</v>
      </c>
      <c r="O2759" t="s">
        <v>25</v>
      </c>
      <c r="P2759" t="s">
        <v>24072</v>
      </c>
      <c r="Q2759" t="s">
        <v>29</v>
      </c>
      <c r="R2759" t="s">
        <v>24067</v>
      </c>
      <c r="S2759" t="s">
        <v>24068</v>
      </c>
    </row>
    <row r="2760" spans="1:19" x14ac:dyDescent="0.25">
      <c r="A2760" s="1">
        <v>2758</v>
      </c>
      <c r="B2760" t="str">
        <f>HYPERLINK("https://www.dasschnelle.at/skalnik-martin-baden-helenenstraße","Website")</f>
        <v>Website</v>
      </c>
      <c r="C2760" t="str">
        <f>HYPERLINK("https://www.dasschnelle.at/skalnik-martin-baden-helenenstra%C3%9Fe","Website")</f>
        <v>Website</v>
      </c>
      <c r="D2760" t="str">
        <f>HYPERLINK("http://www.google.com/maps/place/48.00794,16.21248","Location")</f>
        <v>Location</v>
      </c>
      <c r="E2760" t="s">
        <v>24073</v>
      </c>
      <c r="F2760" t="s">
        <v>24074</v>
      </c>
      <c r="G2760" t="s">
        <v>1979</v>
      </c>
      <c r="H2760" t="s">
        <v>1980</v>
      </c>
      <c r="I2760" t="s">
        <v>177</v>
      </c>
      <c r="J2760" t="s">
        <v>22</v>
      </c>
      <c r="K2760" t="s">
        <v>24075</v>
      </c>
      <c r="L2760" t="s">
        <v>24078</v>
      </c>
      <c r="M2760" t="s">
        <v>25</v>
      </c>
      <c r="N2760" t="s">
        <v>24079</v>
      </c>
      <c r="O2760" t="s">
        <v>25</v>
      </c>
      <c r="P2760" t="s">
        <v>24080</v>
      </c>
      <c r="Q2760" t="s">
        <v>29</v>
      </c>
      <c r="R2760" t="s">
        <v>24076</v>
      </c>
      <c r="S2760" t="s">
        <v>24077</v>
      </c>
    </row>
    <row r="2761" spans="1:19" x14ac:dyDescent="0.25">
      <c r="A2761" s="1">
        <v>2759</v>
      </c>
      <c r="B2761" t="str">
        <f>HYPERLINK("https://www.dasschnelle.at/andi-bau-e-u-desselbrunn-deutenham","Website")</f>
        <v>Website</v>
      </c>
      <c r="C2761" t="str">
        <f>HYPERLINK("http://www.andi-erdbau.at","Website")</f>
        <v>Website</v>
      </c>
      <c r="D2761" t="str">
        <f>HYPERLINK("http://www.google.com/maps/place/47.9580774,13.7519339","Location")</f>
        <v>Location</v>
      </c>
      <c r="E2761" t="s">
        <v>24081</v>
      </c>
      <c r="F2761" t="s">
        <v>24082</v>
      </c>
      <c r="G2761" t="s">
        <v>7025</v>
      </c>
      <c r="H2761" t="s">
        <v>3917</v>
      </c>
      <c r="I2761" t="s">
        <v>85</v>
      </c>
      <c r="J2761" t="s">
        <v>22</v>
      </c>
      <c r="K2761" t="s">
        <v>24083</v>
      </c>
      <c r="L2761" t="s">
        <v>24086</v>
      </c>
      <c r="M2761" t="s">
        <v>25</v>
      </c>
      <c r="N2761" t="s">
        <v>24087</v>
      </c>
      <c r="O2761" t="s">
        <v>24088</v>
      </c>
      <c r="P2761" t="s">
        <v>24089</v>
      </c>
      <c r="Q2761" t="s">
        <v>29</v>
      </c>
      <c r="R2761" t="s">
        <v>24084</v>
      </c>
      <c r="S2761" t="s">
        <v>24085</v>
      </c>
    </row>
    <row r="2762" spans="1:19" x14ac:dyDescent="0.25">
      <c r="A2762" s="1">
        <v>2760</v>
      </c>
      <c r="B2762" t="str">
        <f>HYPERLINK("https://www.dasschnelle.at/waltenberger-kurt-vorchdorf-eichham","Website")</f>
        <v>Website</v>
      </c>
      <c r="C2762" t="str">
        <f>HYPERLINK("http://www.boden-parkett.at","Website")</f>
        <v>Website</v>
      </c>
      <c r="D2762" t="str">
        <f>HYPERLINK("http://www.google.com/maps/place/47.9804202,13.9204754","Location")</f>
        <v>Location</v>
      </c>
      <c r="E2762" t="s">
        <v>24090</v>
      </c>
      <c r="F2762" t="s">
        <v>24091</v>
      </c>
      <c r="G2762" t="s">
        <v>6960</v>
      </c>
      <c r="H2762" t="s">
        <v>6961</v>
      </c>
      <c r="I2762" t="s">
        <v>85</v>
      </c>
      <c r="J2762" t="s">
        <v>22</v>
      </c>
      <c r="K2762" t="s">
        <v>24092</v>
      </c>
      <c r="L2762" t="s">
        <v>24095</v>
      </c>
      <c r="M2762" t="s">
        <v>25</v>
      </c>
      <c r="N2762" t="s">
        <v>24096</v>
      </c>
      <c r="O2762" t="s">
        <v>24097</v>
      </c>
      <c r="P2762" t="s">
        <v>24098</v>
      </c>
      <c r="Q2762" t="s">
        <v>29</v>
      </c>
      <c r="R2762" t="s">
        <v>24093</v>
      </c>
      <c r="S2762" t="s">
        <v>24094</v>
      </c>
    </row>
    <row r="2763" spans="1:19" x14ac:dyDescent="0.25">
      <c r="A2763" s="1">
        <v>2761</v>
      </c>
      <c r="B2763" t="str">
        <f>HYPERLINK("https://www.dasschnelle.at/ernst-winninger-gmbh-regau-handelsstrasse","Website")</f>
        <v>Website</v>
      </c>
      <c r="C2763" t="str">
        <f>HYPERLINK("http://www.winninger.at","Website")</f>
        <v>Website</v>
      </c>
      <c r="D2763" t="str">
        <f>HYPERLINK("http://www.google.com/maps/place/47.9959947,13.6853017","Location")</f>
        <v>Location</v>
      </c>
      <c r="E2763" t="s">
        <v>24099</v>
      </c>
      <c r="F2763" t="s">
        <v>24100</v>
      </c>
      <c r="G2763" t="s">
        <v>3773</v>
      </c>
      <c r="H2763" t="s">
        <v>3774</v>
      </c>
      <c r="I2763" t="s">
        <v>85</v>
      </c>
      <c r="J2763" t="s">
        <v>22</v>
      </c>
      <c r="K2763" t="s">
        <v>24101</v>
      </c>
      <c r="L2763" t="s">
        <v>24104</v>
      </c>
      <c r="M2763" t="s">
        <v>25</v>
      </c>
      <c r="N2763" t="s">
        <v>24105</v>
      </c>
      <c r="O2763" t="s">
        <v>24106</v>
      </c>
      <c r="P2763" t="s">
        <v>24107</v>
      </c>
      <c r="Q2763" t="s">
        <v>29</v>
      </c>
      <c r="R2763" t="s">
        <v>24102</v>
      </c>
      <c r="S2763" t="s">
        <v>24103</v>
      </c>
    </row>
    <row r="2764" spans="1:19" x14ac:dyDescent="0.25">
      <c r="A2764" s="1">
        <v>2762</v>
      </c>
      <c r="B2764" t="str">
        <f>HYPERLINK("https://www.dasschnelle.at/montagearbeiten-senfter-gmunden-neuhofenstrasse","Website")</f>
        <v>Website</v>
      </c>
      <c r="C2764" t="str">
        <f>HYPERLINK("http://www.montagearbeiten-senfter.at","Website")</f>
        <v>Website</v>
      </c>
      <c r="D2764" t="str">
        <f>HYPERLINK("http://www.google.com/maps/place/47.93195,13.78093","Location")</f>
        <v>Location</v>
      </c>
      <c r="E2764" t="s">
        <v>24108</v>
      </c>
      <c r="F2764" t="s">
        <v>24109</v>
      </c>
      <c r="G2764" t="s">
        <v>6951</v>
      </c>
      <c r="H2764" t="s">
        <v>6952</v>
      </c>
      <c r="I2764" t="s">
        <v>85</v>
      </c>
      <c r="J2764" t="s">
        <v>22</v>
      </c>
      <c r="K2764" t="s">
        <v>24110</v>
      </c>
      <c r="L2764" t="s">
        <v>24113</v>
      </c>
      <c r="M2764" t="s">
        <v>25</v>
      </c>
      <c r="N2764" t="s">
        <v>24114</v>
      </c>
      <c r="O2764" t="s">
        <v>24115</v>
      </c>
      <c r="P2764" t="s">
        <v>24116</v>
      </c>
      <c r="Q2764" t="s">
        <v>29</v>
      </c>
      <c r="R2764" t="s">
        <v>24111</v>
      </c>
      <c r="S2764" t="s">
        <v>24112</v>
      </c>
    </row>
    <row r="2765" spans="1:19" x14ac:dyDescent="0.25">
      <c r="A2765" s="1">
        <v>2763</v>
      </c>
      <c r="B2765" t="str">
        <f>HYPERLINK("https://www.dasschnelle.at/bures-andreas-kottingbrunn-lessinggasse","Website")</f>
        <v>Website</v>
      </c>
      <c r="C2765" t="str">
        <f>HYPERLINK("http://www.jalousien-markisen.at","Website")</f>
        <v>Website</v>
      </c>
      <c r="D2765" t="str">
        <f>HYPERLINK("http://www.google.com/maps/place/47.94394,16.23746","Location")</f>
        <v>Location</v>
      </c>
      <c r="E2765" t="s">
        <v>24117</v>
      </c>
      <c r="F2765" t="s">
        <v>24118</v>
      </c>
      <c r="G2765" t="s">
        <v>2147</v>
      </c>
      <c r="H2765" t="s">
        <v>2148</v>
      </c>
      <c r="I2765" t="s">
        <v>177</v>
      </c>
      <c r="J2765" t="s">
        <v>22</v>
      </c>
      <c r="K2765" t="s">
        <v>24119</v>
      </c>
      <c r="L2765" t="s">
        <v>24122</v>
      </c>
      <c r="M2765" t="s">
        <v>25</v>
      </c>
      <c r="N2765" t="s">
        <v>24123</v>
      </c>
      <c r="O2765" t="s">
        <v>25</v>
      </c>
      <c r="P2765" t="s">
        <v>24124</v>
      </c>
      <c r="Q2765" t="s">
        <v>29</v>
      </c>
      <c r="R2765" t="s">
        <v>24120</v>
      </c>
      <c r="S2765" t="s">
        <v>24121</v>
      </c>
    </row>
    <row r="2766" spans="1:19" x14ac:dyDescent="0.25">
      <c r="A2766" s="1">
        <v>2764</v>
      </c>
      <c r="B2766" t="str">
        <f>HYPERLINK("https://www.dasschnelle.at/at-elektrotechnik-tugrul-arslan-traiskirchen-tribuswinkler-straße","Website")</f>
        <v>Website</v>
      </c>
      <c r="C2766" t="str">
        <f>HYPERLINK("http://www.atelektrotechnik.at/","Website")</f>
        <v>Website</v>
      </c>
      <c r="D2766" t="str">
        <f>HYPERLINK("http://www.google.com/maps/place/48.0117532,16.2842370","Location")</f>
        <v>Location</v>
      </c>
      <c r="E2766" t="s">
        <v>24125</v>
      </c>
      <c r="F2766" t="s">
        <v>24126</v>
      </c>
      <c r="G2766" t="s">
        <v>2081</v>
      </c>
      <c r="H2766" t="s">
        <v>2082</v>
      </c>
      <c r="I2766" t="s">
        <v>177</v>
      </c>
      <c r="J2766" t="s">
        <v>22</v>
      </c>
      <c r="K2766" t="s">
        <v>24127</v>
      </c>
      <c r="L2766" t="s">
        <v>24130</v>
      </c>
      <c r="M2766" t="s">
        <v>25</v>
      </c>
      <c r="N2766" t="s">
        <v>24131</v>
      </c>
      <c r="O2766" t="s">
        <v>24132</v>
      </c>
      <c r="P2766" t="s">
        <v>24133</v>
      </c>
      <c r="Q2766" t="s">
        <v>29</v>
      </c>
      <c r="R2766" t="s">
        <v>24128</v>
      </c>
      <c r="S2766" t="s">
        <v>24129</v>
      </c>
    </row>
    <row r="2767" spans="1:19" x14ac:dyDescent="0.25">
      <c r="A2767" s="1">
        <v>2765</v>
      </c>
      <c r="B2767" t="str">
        <f>HYPERLINK("https://www.dasschnelle.at/mika-rainer-günselsdorf-leobersdorferstraße","Website")</f>
        <v>Website</v>
      </c>
      <c r="C2767" t="str">
        <f>HYPERLINK("https://www.dasschnelle.at/mika-rainer-g%C3%BCnselsdorf-leobersdorferstra%C3%9Fe","Website")</f>
        <v>Website</v>
      </c>
      <c r="D2767" t="str">
        <f>HYPERLINK("http://www.google.com/maps/place/47.94343,16.25108","Location")</f>
        <v>Location</v>
      </c>
      <c r="E2767" t="s">
        <v>24134</v>
      </c>
      <c r="F2767" t="s">
        <v>24135</v>
      </c>
      <c r="G2767" t="s">
        <v>24137</v>
      </c>
      <c r="H2767" t="s">
        <v>24138</v>
      </c>
      <c r="I2767" t="s">
        <v>177</v>
      </c>
      <c r="J2767" t="s">
        <v>22</v>
      </c>
      <c r="K2767" t="s">
        <v>24136</v>
      </c>
      <c r="L2767" t="s">
        <v>24141</v>
      </c>
      <c r="M2767" t="s">
        <v>25</v>
      </c>
      <c r="N2767" t="s">
        <v>24142</v>
      </c>
      <c r="O2767" t="s">
        <v>24143</v>
      </c>
      <c r="P2767" t="s">
        <v>24144</v>
      </c>
      <c r="Q2767" t="s">
        <v>29</v>
      </c>
      <c r="R2767" t="s">
        <v>24139</v>
      </c>
      <c r="S2767" t="s">
        <v>24140</v>
      </c>
    </row>
    <row r="2768" spans="1:19" x14ac:dyDescent="0.25">
      <c r="A2768" s="1">
        <v>2766</v>
      </c>
      <c r="B2768" t="str">
        <f>HYPERLINK("https://www.dasschnelle.at/writzmann-und-partner-steuerberatungsgesellschaft-mbh-baden-wassergasse","Website")</f>
        <v>Website</v>
      </c>
      <c r="C2768" t="str">
        <f>HYPERLINK("http://www.writzmann.at","Website")</f>
        <v>Website</v>
      </c>
      <c r="D2768" t="str">
        <f>HYPERLINK("http://www.google.com/maps/place/48.0053431,16.2364388","Location")</f>
        <v>Location</v>
      </c>
      <c r="E2768" t="s">
        <v>24145</v>
      </c>
      <c r="F2768" t="s">
        <v>24146</v>
      </c>
      <c r="G2768" t="s">
        <v>1979</v>
      </c>
      <c r="H2768" t="s">
        <v>1980</v>
      </c>
      <c r="I2768" t="s">
        <v>177</v>
      </c>
      <c r="J2768" t="s">
        <v>22</v>
      </c>
      <c r="K2768" t="s">
        <v>12981</v>
      </c>
      <c r="L2768" t="s">
        <v>12984</v>
      </c>
      <c r="M2768" t="s">
        <v>12985</v>
      </c>
      <c r="N2768" t="s">
        <v>12986</v>
      </c>
      <c r="O2768" t="s">
        <v>25</v>
      </c>
      <c r="P2768" t="s">
        <v>24147</v>
      </c>
      <c r="Q2768" t="s">
        <v>29</v>
      </c>
      <c r="R2768" t="s">
        <v>12982</v>
      </c>
      <c r="S2768" t="s">
        <v>12983</v>
      </c>
    </row>
    <row r="2769" spans="1:19" x14ac:dyDescent="0.25">
      <c r="A2769" s="1">
        <v>2767</v>
      </c>
      <c r="B2769" t="str">
        <f>HYPERLINK("https://www.dasschnelle.at/immo-zelzer-gmbh-remax-immobillien-leibnitz-marburger-straße","Website")</f>
        <v>Website</v>
      </c>
      <c r="C2769" t="str">
        <f>HYPERLINK("http://www.remax.at","Website")</f>
        <v>Website</v>
      </c>
      <c r="D2769" t="str">
        <f>HYPERLINK("http://www.google.com/maps/place/46.77311,15.55328","Location")</f>
        <v>Location</v>
      </c>
      <c r="E2769" t="s">
        <v>24148</v>
      </c>
      <c r="F2769" t="s">
        <v>24149</v>
      </c>
      <c r="G2769" t="s">
        <v>1013</v>
      </c>
      <c r="H2769" t="s">
        <v>1023</v>
      </c>
      <c r="I2769" t="s">
        <v>451</v>
      </c>
      <c r="J2769" t="s">
        <v>22</v>
      </c>
      <c r="K2769" t="s">
        <v>24150</v>
      </c>
      <c r="L2769" t="s">
        <v>24153</v>
      </c>
      <c r="M2769" t="s">
        <v>25</v>
      </c>
      <c r="N2769" t="s">
        <v>24154</v>
      </c>
      <c r="O2769" t="s">
        <v>25</v>
      </c>
      <c r="P2769" t="s">
        <v>24155</v>
      </c>
      <c r="Q2769" t="s">
        <v>29</v>
      </c>
      <c r="R2769" t="s">
        <v>24151</v>
      </c>
      <c r="S2769" t="s">
        <v>24152</v>
      </c>
    </row>
    <row r="2770" spans="1:19" x14ac:dyDescent="0.25">
      <c r="A2770" s="1">
        <v>2768</v>
      </c>
      <c r="B2770" t="str">
        <f>HYPERLINK("https://www.dasschnelle.at/pichler-thomas-weinburg-am-saßbach","Website")</f>
        <v>Website</v>
      </c>
      <c r="C2770" t="str">
        <f>HYPERLINK("http://www.pichler-parkett.at","Website")</f>
        <v>Website</v>
      </c>
      <c r="D2770" t="str">
        <f>HYPERLINK("http://www.google.com/maps/place/46.7583008,15.7091559","Location")</f>
        <v>Location</v>
      </c>
      <c r="E2770" t="s">
        <v>24156</v>
      </c>
      <c r="F2770" t="s">
        <v>24157</v>
      </c>
      <c r="G2770" t="s">
        <v>24158</v>
      </c>
      <c r="H2770" t="s">
        <v>24159</v>
      </c>
      <c r="I2770" t="s">
        <v>451</v>
      </c>
      <c r="J2770" t="s">
        <v>22</v>
      </c>
      <c r="K2770" t="s">
        <v>25</v>
      </c>
      <c r="L2770" t="s">
        <v>24162</v>
      </c>
      <c r="M2770" t="s">
        <v>25</v>
      </c>
      <c r="N2770" t="s">
        <v>24163</v>
      </c>
      <c r="O2770" t="s">
        <v>24164</v>
      </c>
      <c r="P2770" t="s">
        <v>24165</v>
      </c>
      <c r="Q2770" t="s">
        <v>29</v>
      </c>
      <c r="R2770" t="s">
        <v>24160</v>
      </c>
      <c r="S2770" t="s">
        <v>24161</v>
      </c>
    </row>
    <row r="2771" spans="1:19" x14ac:dyDescent="0.25">
      <c r="A2771" s="1">
        <v>2769</v>
      </c>
      <c r="B2771" t="str">
        <f>HYPERLINK("https://www.dasschnelle.at/kern-peter-dr-baden-emil-kraft-gasse","Website")</f>
        <v>Website</v>
      </c>
      <c r="C2771" t="str">
        <f>HYPERLINK("http://www.allgemeinmedizin-baden.at/","Website")</f>
        <v>Website</v>
      </c>
      <c r="D2771" t="str">
        <f>HYPERLINK("http://www.google.com/maps/place/48.01032,16.25311","Location")</f>
        <v>Location</v>
      </c>
      <c r="E2771" t="s">
        <v>24166</v>
      </c>
      <c r="F2771" t="s">
        <v>24167</v>
      </c>
      <c r="G2771" t="s">
        <v>1979</v>
      </c>
      <c r="H2771" t="s">
        <v>1980</v>
      </c>
      <c r="I2771" t="s">
        <v>177</v>
      </c>
      <c r="J2771" t="s">
        <v>22</v>
      </c>
      <c r="K2771" t="s">
        <v>24168</v>
      </c>
      <c r="L2771" t="s">
        <v>24171</v>
      </c>
      <c r="M2771" t="s">
        <v>25</v>
      </c>
      <c r="N2771" t="s">
        <v>24172</v>
      </c>
      <c r="O2771" t="s">
        <v>25</v>
      </c>
      <c r="P2771" t="s">
        <v>24173</v>
      </c>
      <c r="Q2771" t="s">
        <v>29</v>
      </c>
      <c r="R2771" t="s">
        <v>24169</v>
      </c>
      <c r="S2771" t="s">
        <v>24170</v>
      </c>
    </row>
    <row r="2772" spans="1:19" x14ac:dyDescent="0.25">
      <c r="A2772" s="1">
        <v>2770</v>
      </c>
      <c r="B2772" t="str">
        <f>HYPERLINK("https://www.dasschnelle.at/stefan-haan-vorchdorf-oberhörbach","Website")</f>
        <v>Website</v>
      </c>
      <c r="C2772" t="str">
        <f>HYPERLINK("http://www.stefan-haan.at","Website")</f>
        <v>Website</v>
      </c>
      <c r="D2772" t="str">
        <f>HYPERLINK("http://www.google.com/maps/place/48.0088436,13.8963829","Location")</f>
        <v>Location</v>
      </c>
      <c r="E2772" t="s">
        <v>24174</v>
      </c>
      <c r="F2772" t="s">
        <v>24175</v>
      </c>
      <c r="G2772" t="s">
        <v>6960</v>
      </c>
      <c r="H2772" t="s">
        <v>6961</v>
      </c>
      <c r="I2772" t="s">
        <v>85</v>
      </c>
      <c r="J2772" t="s">
        <v>22</v>
      </c>
      <c r="K2772" t="s">
        <v>24176</v>
      </c>
      <c r="L2772" t="s">
        <v>24179</v>
      </c>
      <c r="M2772" t="s">
        <v>25</v>
      </c>
      <c r="N2772" t="s">
        <v>24180</v>
      </c>
      <c r="O2772" t="s">
        <v>24181</v>
      </c>
      <c r="P2772" t="s">
        <v>24182</v>
      </c>
      <c r="Q2772" t="s">
        <v>29</v>
      </c>
      <c r="R2772" t="s">
        <v>24177</v>
      </c>
      <c r="S2772" t="s">
        <v>24178</v>
      </c>
    </row>
    <row r="2773" spans="1:19" x14ac:dyDescent="0.25">
      <c r="A2773" s="1">
        <v>2771</v>
      </c>
      <c r="B2773" t="str">
        <f>HYPERLINK("https://www.dasschnelle.at/m-bauteile-gmbh-gmunden-bahnhofstraße","Website")</f>
        <v>Website</v>
      </c>
      <c r="C2773" t="str">
        <f>HYPERLINK("http://www.mida.at","Website")</f>
        <v>Website</v>
      </c>
      <c r="D2773" t="str">
        <f>HYPERLINK("http://www.google.com/maps/place/47.92652,13.78598","Location")</f>
        <v>Location</v>
      </c>
      <c r="E2773" t="s">
        <v>24183</v>
      </c>
      <c r="F2773" t="s">
        <v>24184</v>
      </c>
      <c r="G2773" t="s">
        <v>6951</v>
      </c>
      <c r="H2773" t="s">
        <v>6952</v>
      </c>
      <c r="I2773" t="s">
        <v>85</v>
      </c>
      <c r="J2773" t="s">
        <v>22</v>
      </c>
      <c r="K2773" t="s">
        <v>24185</v>
      </c>
      <c r="L2773" t="s">
        <v>24188</v>
      </c>
      <c r="M2773" t="s">
        <v>25</v>
      </c>
      <c r="N2773" t="s">
        <v>24189</v>
      </c>
      <c r="O2773" t="s">
        <v>24190</v>
      </c>
      <c r="P2773" t="s">
        <v>24191</v>
      </c>
      <c r="Q2773" t="s">
        <v>29</v>
      </c>
      <c r="R2773" t="s">
        <v>24186</v>
      </c>
      <c r="S2773" t="s">
        <v>24187</v>
      </c>
    </row>
    <row r="2774" spans="1:19" x14ac:dyDescent="0.25">
      <c r="A2774" s="1">
        <v>2772</v>
      </c>
      <c r="B2774" t="str">
        <f>HYPERLINK("https://www.dasschnelle.at/performance-factory-gmunden-cumberlandstrasse","Website")</f>
        <v>Website</v>
      </c>
      <c r="C2774" t="str">
        <f>HYPERLINK("http://www.performance-factory.at/","Website")</f>
        <v>Website</v>
      </c>
      <c r="D2774" t="str">
        <f>HYPERLINK("http://www.google.com/maps/place/47.97883,13.79147","Location")</f>
        <v>Location</v>
      </c>
      <c r="E2774" t="s">
        <v>24192</v>
      </c>
      <c r="F2774" t="s">
        <v>24193</v>
      </c>
      <c r="G2774" t="s">
        <v>6951</v>
      </c>
      <c r="H2774" t="s">
        <v>6952</v>
      </c>
      <c r="I2774" t="s">
        <v>85</v>
      </c>
      <c r="J2774" t="s">
        <v>22</v>
      </c>
      <c r="K2774" t="s">
        <v>24194</v>
      </c>
      <c r="L2774" t="s">
        <v>24197</v>
      </c>
      <c r="M2774" t="s">
        <v>25</v>
      </c>
      <c r="N2774" t="s">
        <v>24198</v>
      </c>
      <c r="O2774" t="s">
        <v>24199</v>
      </c>
      <c r="P2774" t="s">
        <v>24200</v>
      </c>
      <c r="Q2774" t="s">
        <v>29</v>
      </c>
      <c r="R2774" t="s">
        <v>24195</v>
      </c>
      <c r="S2774" t="s">
        <v>24196</v>
      </c>
    </row>
    <row r="2775" spans="1:19" x14ac:dyDescent="0.25">
      <c r="A2775" s="1">
        <v>2773</v>
      </c>
      <c r="B2775" t="str">
        <f>HYPERLINK("https://www.dasschnelle.at/delemenschnig-steinmetzmeister-groß-sankt-florian-grazerstraße","Website")</f>
        <v>Website</v>
      </c>
      <c r="C2775" t="str">
        <f>HYPERLINK("http://www.delemeschnig.com","Website")</f>
        <v>Website</v>
      </c>
      <c r="D2775" t="str">
        <f>HYPERLINK("http://www.google.com/maps/place/46.82481,15.31799","Location")</f>
        <v>Location</v>
      </c>
      <c r="E2775" t="s">
        <v>24201</v>
      </c>
      <c r="F2775" t="s">
        <v>24202</v>
      </c>
      <c r="G2775" t="s">
        <v>2862</v>
      </c>
      <c r="H2775" t="s">
        <v>2863</v>
      </c>
      <c r="I2775" t="s">
        <v>451</v>
      </c>
      <c r="J2775" t="s">
        <v>22</v>
      </c>
      <c r="K2775" t="s">
        <v>583</v>
      </c>
      <c r="L2775" t="s">
        <v>24205</v>
      </c>
      <c r="M2775" t="s">
        <v>25</v>
      </c>
      <c r="N2775" t="s">
        <v>24206</v>
      </c>
      <c r="O2775" t="s">
        <v>24207</v>
      </c>
      <c r="P2775" t="s">
        <v>24208</v>
      </c>
      <c r="Q2775" t="s">
        <v>29</v>
      </c>
      <c r="R2775" t="s">
        <v>24203</v>
      </c>
      <c r="S2775" t="s">
        <v>24204</v>
      </c>
    </row>
    <row r="2776" spans="1:19" x14ac:dyDescent="0.25">
      <c r="A2776" s="1">
        <v>2774</v>
      </c>
      <c r="B2776" t="str">
        <f>HYPERLINK("https://www.dasschnelle.at/erdbau-gschaider-gmbh-pernitz-thal","Website")</f>
        <v>Website</v>
      </c>
      <c r="C2776" t="str">
        <f>HYPERLINK("http://www.gschaider-erdbau.at","Website")</f>
        <v>Website</v>
      </c>
      <c r="D2776" t="str">
        <f>HYPERLINK("http://www.google.com/maps/place/47.9189435,15.9230755","Location")</f>
        <v>Location</v>
      </c>
      <c r="E2776" t="s">
        <v>24209</v>
      </c>
      <c r="F2776" t="s">
        <v>24210</v>
      </c>
      <c r="G2776" t="s">
        <v>21627</v>
      </c>
      <c r="H2776" t="s">
        <v>21628</v>
      </c>
      <c r="I2776" t="s">
        <v>177</v>
      </c>
      <c r="J2776" t="s">
        <v>22</v>
      </c>
      <c r="K2776" t="s">
        <v>24211</v>
      </c>
      <c r="L2776" t="s">
        <v>24214</v>
      </c>
      <c r="M2776" t="s">
        <v>25</v>
      </c>
      <c r="N2776" t="s">
        <v>24215</v>
      </c>
      <c r="O2776" t="s">
        <v>25</v>
      </c>
      <c r="P2776" t="s">
        <v>24216</v>
      </c>
      <c r="Q2776" t="s">
        <v>29</v>
      </c>
      <c r="R2776" t="s">
        <v>24212</v>
      </c>
      <c r="S2776" t="s">
        <v>24213</v>
      </c>
    </row>
    <row r="2777" spans="1:19" x14ac:dyDescent="0.25">
      <c r="A2777" s="1">
        <v>2775</v>
      </c>
      <c r="B2777" t="str">
        <f>HYPERLINK("https://www.dasschnelle.at/glas-bauer-gmbh-münzkirchen-passauer-straße","Website")</f>
        <v>Website</v>
      </c>
      <c r="C2777" t="str">
        <f>HYPERLINK("http://www.glas-bauer.at","Website")</f>
        <v>Website</v>
      </c>
      <c r="D2777" t="str">
        <f>HYPERLINK("http://www.google.com/maps/place/48.48231,13.55218","Location")</f>
        <v>Location</v>
      </c>
      <c r="E2777" t="s">
        <v>24217</v>
      </c>
      <c r="F2777" t="s">
        <v>24218</v>
      </c>
      <c r="G2777" t="s">
        <v>11983</v>
      </c>
      <c r="H2777" t="s">
        <v>24220</v>
      </c>
      <c r="I2777" t="s">
        <v>85</v>
      </c>
      <c r="J2777" t="s">
        <v>22</v>
      </c>
      <c r="K2777" t="s">
        <v>24219</v>
      </c>
      <c r="L2777" t="s">
        <v>24223</v>
      </c>
      <c r="M2777" t="s">
        <v>24224</v>
      </c>
      <c r="N2777" t="s">
        <v>24225</v>
      </c>
      <c r="O2777" t="s">
        <v>25</v>
      </c>
      <c r="P2777" t="s">
        <v>24226</v>
      </c>
      <c r="Q2777" t="s">
        <v>29</v>
      </c>
      <c r="R2777" t="s">
        <v>24221</v>
      </c>
      <c r="S2777" t="s">
        <v>24222</v>
      </c>
    </row>
    <row r="2778" spans="1:19" x14ac:dyDescent="0.25">
      <c r="A2778" s="1">
        <v>2776</v>
      </c>
      <c r="B2778" t="str">
        <f>HYPERLINK("https://www.dasschnelle.at/orthopädie-obermeissner-stockerau-hauptstraße","Website")</f>
        <v>Website</v>
      </c>
      <c r="C2778" t="str">
        <f>HYPERLINK("http://www.allesgeht.at","Website")</f>
        <v>Website</v>
      </c>
      <c r="D2778" t="str">
        <f>HYPERLINK("http://www.google.com/maps/place/48.38584,16.2162","Location")</f>
        <v>Location</v>
      </c>
      <c r="E2778" t="s">
        <v>24227</v>
      </c>
      <c r="F2778" t="s">
        <v>24228</v>
      </c>
      <c r="G2778" t="s">
        <v>13026</v>
      </c>
      <c r="H2778" t="s">
        <v>13027</v>
      </c>
      <c r="I2778" t="s">
        <v>177</v>
      </c>
      <c r="J2778" t="s">
        <v>22</v>
      </c>
      <c r="K2778" t="s">
        <v>24229</v>
      </c>
      <c r="L2778" t="s">
        <v>24232</v>
      </c>
      <c r="M2778" t="s">
        <v>25</v>
      </c>
      <c r="N2778" t="s">
        <v>24233</v>
      </c>
      <c r="O2778" t="s">
        <v>25</v>
      </c>
      <c r="P2778" t="s">
        <v>24234</v>
      </c>
      <c r="Q2778" t="s">
        <v>29</v>
      </c>
      <c r="R2778" t="s">
        <v>24230</v>
      </c>
      <c r="S2778" t="s">
        <v>24231</v>
      </c>
    </row>
    <row r="2779" spans="1:19" x14ac:dyDescent="0.25">
      <c r="A2779" s="1">
        <v>2777</v>
      </c>
      <c r="B2779" t="str">
        <f>HYPERLINK("https://www.dasschnelle.at/orthopädie-obermeissner-wien-heiligenstädter-straße","Website")</f>
        <v>Website</v>
      </c>
      <c r="C2779" t="str">
        <f>HYPERLINK("http://www.allesgeht.at","Website")</f>
        <v>Website</v>
      </c>
      <c r="D2779" t="str">
        <f>HYPERLINK("http://www.google.com/maps/place/48.2515500,16.3633400","Location")</f>
        <v>Location</v>
      </c>
      <c r="E2779" t="s">
        <v>24235</v>
      </c>
      <c r="F2779" t="s">
        <v>24236</v>
      </c>
      <c r="G2779" t="s">
        <v>24238</v>
      </c>
      <c r="H2779" t="s">
        <v>6488</v>
      </c>
      <c r="I2779" t="s">
        <v>6488</v>
      </c>
      <c r="J2779" t="s">
        <v>22</v>
      </c>
      <c r="K2779" t="s">
        <v>24237</v>
      </c>
      <c r="L2779" t="s">
        <v>24232</v>
      </c>
      <c r="M2779" t="s">
        <v>25</v>
      </c>
      <c r="N2779" t="s">
        <v>24241</v>
      </c>
      <c r="O2779" t="s">
        <v>25</v>
      </c>
      <c r="P2779" t="s">
        <v>24242</v>
      </c>
      <c r="Q2779" t="s">
        <v>29</v>
      </c>
      <c r="R2779" t="s">
        <v>24239</v>
      </c>
      <c r="S2779" t="s">
        <v>24240</v>
      </c>
    </row>
    <row r="2780" spans="1:19" x14ac:dyDescent="0.25">
      <c r="A2780" s="1">
        <v>2778</v>
      </c>
      <c r="B2780" t="str">
        <f>HYPERLINK("https://www.dasschnelle.at/hochetlinger-gerold-tragwein-neumühlstraße","Website")</f>
        <v>Website</v>
      </c>
      <c r="C2780" t="str">
        <f>HYPERLINK("http://www.hochetlinger.at","Website")</f>
        <v>Website</v>
      </c>
      <c r="D2780" t="str">
        <f>HYPERLINK("http://www.google.com/maps/place/48.32659,14.62727","Location")</f>
        <v>Location</v>
      </c>
      <c r="E2780" t="s">
        <v>24243</v>
      </c>
      <c r="F2780" t="s">
        <v>24244</v>
      </c>
      <c r="G2780" t="s">
        <v>24246</v>
      </c>
      <c r="H2780" t="s">
        <v>24247</v>
      </c>
      <c r="I2780" t="s">
        <v>85</v>
      </c>
      <c r="J2780" t="s">
        <v>22</v>
      </c>
      <c r="K2780" t="s">
        <v>24245</v>
      </c>
      <c r="L2780" t="s">
        <v>24250</v>
      </c>
      <c r="M2780" t="s">
        <v>25</v>
      </c>
      <c r="N2780" t="s">
        <v>24251</v>
      </c>
      <c r="O2780" t="s">
        <v>25</v>
      </c>
      <c r="P2780" t="s">
        <v>24252</v>
      </c>
      <c r="Q2780" t="s">
        <v>29</v>
      </c>
      <c r="R2780" t="s">
        <v>24248</v>
      </c>
      <c r="S2780" t="s">
        <v>24249</v>
      </c>
    </row>
    <row r="2781" spans="1:19" x14ac:dyDescent="0.25">
      <c r="A2781" s="1">
        <v>2779</v>
      </c>
      <c r="B2781" t="str">
        <f>HYPERLINK("https://www.dasschnelle.at/weglehner-holzbau-gmbh-rainbach-im-mühlkreis-gewerbepark","Website")</f>
        <v>Website</v>
      </c>
      <c r="C2781" t="str">
        <f>HYPERLINK("http://www.weglehner-holzbau.at","Website")</f>
        <v>Website</v>
      </c>
      <c r="D2781" t="str">
        <f>HYPERLINK("http://www.google.com/maps/place/48.53492,14.48798","Location")</f>
        <v>Location</v>
      </c>
      <c r="E2781" t="s">
        <v>24253</v>
      </c>
      <c r="F2781" t="s">
        <v>24254</v>
      </c>
      <c r="G2781" t="s">
        <v>10800</v>
      </c>
      <c r="H2781" t="s">
        <v>10801</v>
      </c>
      <c r="I2781" t="s">
        <v>85</v>
      </c>
      <c r="J2781" t="s">
        <v>22</v>
      </c>
      <c r="K2781" t="s">
        <v>24255</v>
      </c>
      <c r="L2781" t="s">
        <v>24258</v>
      </c>
      <c r="M2781" t="s">
        <v>25</v>
      </c>
      <c r="N2781" t="s">
        <v>24259</v>
      </c>
      <c r="O2781" t="s">
        <v>25</v>
      </c>
      <c r="P2781" t="s">
        <v>24260</v>
      </c>
      <c r="Q2781" t="s">
        <v>29</v>
      </c>
      <c r="R2781" t="s">
        <v>24256</v>
      </c>
      <c r="S2781" t="s">
        <v>24257</v>
      </c>
    </row>
    <row r="2782" spans="1:19" x14ac:dyDescent="0.25">
      <c r="A2782" s="1">
        <v>2780</v>
      </c>
      <c r="B2782" t="str">
        <f>HYPERLINK("https://www.dasschnelle.at/ramazon-gmbh-mittersill-zellerstraße","Website")</f>
        <v>Website</v>
      </c>
      <c r="C2782" t="str">
        <f>HYPERLINK("https://www.dasschnelle.at/ramazon-gmbh-mittersill-zellerstra%C3%9Fe","Website")</f>
        <v>Website</v>
      </c>
      <c r="D2782" t="str">
        <f>HYPERLINK("http://www.google.com/maps/place/47.28734,12.4955","Location")</f>
        <v>Location</v>
      </c>
      <c r="E2782" t="s">
        <v>24261</v>
      </c>
      <c r="F2782" t="s">
        <v>24262</v>
      </c>
      <c r="G2782" t="s">
        <v>24264</v>
      </c>
      <c r="H2782" t="s">
        <v>24265</v>
      </c>
      <c r="I2782" t="s">
        <v>2239</v>
      </c>
      <c r="J2782" t="s">
        <v>22</v>
      </c>
      <c r="K2782" t="s">
        <v>24263</v>
      </c>
      <c r="L2782" t="s">
        <v>24268</v>
      </c>
      <c r="M2782" t="s">
        <v>25</v>
      </c>
      <c r="N2782" t="s">
        <v>24269</v>
      </c>
      <c r="O2782" t="s">
        <v>25</v>
      </c>
      <c r="P2782" t="s">
        <v>24270</v>
      </c>
      <c r="Q2782" t="s">
        <v>29</v>
      </c>
      <c r="R2782" t="s">
        <v>24266</v>
      </c>
      <c r="S2782" t="s">
        <v>24267</v>
      </c>
    </row>
    <row r="2783" spans="1:19" x14ac:dyDescent="0.25">
      <c r="A2783" s="1">
        <v>2781</v>
      </c>
      <c r="B2783" t="str">
        <f>HYPERLINK("https://www.dasschnelle.at/lidl-zt-gmbh-mondsee-dr-emanuel-jörgner-straße","Website")</f>
        <v>Website</v>
      </c>
      <c r="C2783" t="str">
        <f>HYPERLINK("http://www.vermessung-lidl.at","Website")</f>
        <v>Website</v>
      </c>
      <c r="D2783" t="str">
        <f>HYPERLINK("http://www.google.com/maps/place/47.85841,13.34415","Location")</f>
        <v>Location</v>
      </c>
      <c r="E2783" t="s">
        <v>24271</v>
      </c>
      <c r="F2783" t="s">
        <v>24272</v>
      </c>
      <c r="G2783" t="s">
        <v>6543</v>
      </c>
      <c r="H2783" t="s">
        <v>6544</v>
      </c>
      <c r="I2783" t="s">
        <v>85</v>
      </c>
      <c r="J2783" t="s">
        <v>22</v>
      </c>
      <c r="K2783" t="s">
        <v>24273</v>
      </c>
      <c r="L2783" t="s">
        <v>24276</v>
      </c>
      <c r="M2783" t="s">
        <v>25</v>
      </c>
      <c r="N2783" t="s">
        <v>24277</v>
      </c>
      <c r="O2783" t="s">
        <v>25</v>
      </c>
      <c r="P2783" t="s">
        <v>24278</v>
      </c>
      <c r="Q2783" t="s">
        <v>29</v>
      </c>
      <c r="R2783" t="s">
        <v>24274</v>
      </c>
      <c r="S2783" t="s">
        <v>24275</v>
      </c>
    </row>
    <row r="2784" spans="1:19" x14ac:dyDescent="0.25">
      <c r="A2784" s="1">
        <v>2782</v>
      </c>
      <c r="B2784" t="str">
        <f>HYPERLINK("https://www.dasschnelle.at/barth-neuhaus-passauer-straße","Website")</f>
        <v>Website</v>
      </c>
      <c r="C2784" t="str">
        <f>HYPERLINK("http://www.barth-uhren-optik.de","Website")</f>
        <v>Website</v>
      </c>
      <c r="D2784" t="str">
        <f>HYPERLINK("http://www.google.com/maps/place/-278041,215965","Location")</f>
        <v>Location</v>
      </c>
      <c r="E2784" t="s">
        <v>24279</v>
      </c>
      <c r="F2784" t="s">
        <v>24280</v>
      </c>
      <c r="G2784" t="s">
        <v>24282</v>
      </c>
      <c r="H2784" t="s">
        <v>24283</v>
      </c>
      <c r="I2784" t="s">
        <v>25</v>
      </c>
      <c r="J2784" t="s">
        <v>10106</v>
      </c>
      <c r="K2784" t="s">
        <v>24281</v>
      </c>
      <c r="L2784" t="s">
        <v>24286</v>
      </c>
      <c r="M2784" t="s">
        <v>25</v>
      </c>
      <c r="N2784" t="s">
        <v>24287</v>
      </c>
      <c r="O2784" t="s">
        <v>25</v>
      </c>
      <c r="P2784" t="s">
        <v>24288</v>
      </c>
      <c r="Q2784" t="s">
        <v>29</v>
      </c>
      <c r="R2784" t="s">
        <v>24284</v>
      </c>
      <c r="S2784" t="s">
        <v>24285</v>
      </c>
    </row>
    <row r="2785" spans="1:19" x14ac:dyDescent="0.25">
      <c r="A2785" s="1">
        <v>2783</v>
      </c>
      <c r="B2785" t="str">
        <f>HYPERLINK("https://www.dasschnelle.at/ebk-erdbau-kreuzer-oberwang-forsthaussiedlung","Website")</f>
        <v>Website</v>
      </c>
      <c r="C2785" t="str">
        <f>HYPERLINK("http://www.erdbau-kreuzer.at","Website")</f>
        <v>Website</v>
      </c>
      <c r="D2785" t="str">
        <f>HYPERLINK("http://www.google.com/maps/place/47.86975,13.42294","Location")</f>
        <v>Location</v>
      </c>
      <c r="E2785" t="s">
        <v>24289</v>
      </c>
      <c r="F2785" t="s">
        <v>24290</v>
      </c>
      <c r="G2785" t="s">
        <v>6553</v>
      </c>
      <c r="H2785" t="s">
        <v>6554</v>
      </c>
      <c r="I2785" t="s">
        <v>85</v>
      </c>
      <c r="J2785" t="s">
        <v>22</v>
      </c>
      <c r="K2785" t="s">
        <v>24291</v>
      </c>
      <c r="L2785" t="s">
        <v>24294</v>
      </c>
      <c r="M2785" t="s">
        <v>25</v>
      </c>
      <c r="N2785" t="s">
        <v>24295</v>
      </c>
      <c r="O2785" t="s">
        <v>25</v>
      </c>
      <c r="P2785" t="s">
        <v>24296</v>
      </c>
      <c r="Q2785" t="s">
        <v>29</v>
      </c>
      <c r="R2785" t="s">
        <v>24292</v>
      </c>
      <c r="S2785" t="s">
        <v>24293</v>
      </c>
    </row>
    <row r="2786" spans="1:19" x14ac:dyDescent="0.25">
      <c r="A2786" s="1">
        <v>2784</v>
      </c>
      <c r="B2786" t="str">
        <f>HYPERLINK("https://www.dasschnelle.at/der-poolbauer-gmbh-mario-grabner-pottenstein-bundesstraße","Website")</f>
        <v>Website</v>
      </c>
      <c r="C2786" t="str">
        <f>HYPERLINK("http://www.der-poolbauer.at","Website")</f>
        <v>Website</v>
      </c>
      <c r="D2786" t="str">
        <f>HYPERLINK("http://www.google.com/maps/place/47.9613800,16.0934800","Location")</f>
        <v>Location</v>
      </c>
      <c r="E2786" t="s">
        <v>24297</v>
      </c>
      <c r="F2786" t="s">
        <v>24298</v>
      </c>
      <c r="G2786" t="s">
        <v>24300</v>
      </c>
      <c r="H2786" t="s">
        <v>24301</v>
      </c>
      <c r="I2786" t="s">
        <v>177</v>
      </c>
      <c r="J2786" t="s">
        <v>22</v>
      </c>
      <c r="K2786" t="s">
        <v>24299</v>
      </c>
      <c r="L2786" t="s">
        <v>24304</v>
      </c>
      <c r="M2786" t="s">
        <v>25</v>
      </c>
      <c r="N2786" t="s">
        <v>24305</v>
      </c>
      <c r="O2786" t="s">
        <v>25</v>
      </c>
      <c r="P2786" t="s">
        <v>24306</v>
      </c>
      <c r="Q2786" t="s">
        <v>29</v>
      </c>
      <c r="R2786" t="s">
        <v>24302</v>
      </c>
      <c r="S2786" t="s">
        <v>24303</v>
      </c>
    </row>
    <row r="2787" spans="1:19" x14ac:dyDescent="0.25">
      <c r="A2787" s="1">
        <v>2785</v>
      </c>
      <c r="B2787" t="str">
        <f>HYPERLINK("https://www.dasschnelle.at/hell-alfred-tankstelle-und-mineralölhandel-e-u-schärding-linzer-straße","Website")</f>
        <v>Website</v>
      </c>
      <c r="C2787" t="str">
        <f>HYPERLINK("http://www.hell-alfred.at","Website")</f>
        <v>Website</v>
      </c>
      <c r="D2787" t="str">
        <f>HYPERLINK("http://www.google.com/maps/place/48.45113,13.43595","Location")</f>
        <v>Location</v>
      </c>
      <c r="E2787" t="s">
        <v>24307</v>
      </c>
      <c r="F2787" t="s">
        <v>24308</v>
      </c>
      <c r="G2787" t="s">
        <v>8850</v>
      </c>
      <c r="H2787" t="s">
        <v>8851</v>
      </c>
      <c r="I2787" t="s">
        <v>85</v>
      </c>
      <c r="J2787" t="s">
        <v>22</v>
      </c>
      <c r="K2787" t="s">
        <v>24309</v>
      </c>
      <c r="L2787" t="s">
        <v>24312</v>
      </c>
      <c r="M2787" t="s">
        <v>25</v>
      </c>
      <c r="N2787" t="s">
        <v>24313</v>
      </c>
      <c r="O2787" t="s">
        <v>25</v>
      </c>
      <c r="P2787" t="s">
        <v>24314</v>
      </c>
      <c r="Q2787" t="s">
        <v>29</v>
      </c>
      <c r="R2787" t="s">
        <v>24310</v>
      </c>
      <c r="S2787" t="s">
        <v>24311</v>
      </c>
    </row>
    <row r="2788" spans="1:19" x14ac:dyDescent="0.25">
      <c r="A2788" s="1">
        <v>2786</v>
      </c>
      <c r="B2788" t="str">
        <f>HYPERLINK("https://www.dasschnelle.at/psotka-franz-gmbh-und-co-kg-brunnenthal-haraberg","Website")</f>
        <v>Website</v>
      </c>
      <c r="C2788" t="str">
        <f>HYPERLINK("http://www.ford-psotka.at","Website")</f>
        <v>Website</v>
      </c>
      <c r="D2788" t="str">
        <f>HYPERLINK("http://www.google.com/maps/place/48.4652986,13.4455975","Location")</f>
        <v>Location</v>
      </c>
      <c r="E2788" t="s">
        <v>24315</v>
      </c>
      <c r="F2788" t="s">
        <v>24316</v>
      </c>
      <c r="G2788" t="s">
        <v>24318</v>
      </c>
      <c r="H2788" t="s">
        <v>24319</v>
      </c>
      <c r="I2788" t="s">
        <v>85</v>
      </c>
      <c r="J2788" t="s">
        <v>22</v>
      </c>
      <c r="K2788" t="s">
        <v>24317</v>
      </c>
      <c r="L2788" t="s">
        <v>24322</v>
      </c>
      <c r="M2788" t="s">
        <v>24323</v>
      </c>
      <c r="N2788" t="s">
        <v>24324</v>
      </c>
      <c r="O2788" t="s">
        <v>25</v>
      </c>
      <c r="P2788" t="s">
        <v>24325</v>
      </c>
      <c r="Q2788" t="s">
        <v>29</v>
      </c>
      <c r="R2788" t="s">
        <v>24320</v>
      </c>
      <c r="S2788" t="s">
        <v>24321</v>
      </c>
    </row>
    <row r="2789" spans="1:19" x14ac:dyDescent="0.25">
      <c r="A2789" s="1">
        <v>2787</v>
      </c>
      <c r="B2789" t="str">
        <f>HYPERLINK("https://www.dasschnelle.at/mulser-klaus-gutau-erdmannsdorf","Website")</f>
        <v>Website</v>
      </c>
      <c r="C2789" t="str">
        <f>HYPERLINK("https://www.dasschnelle.at/mulser-klaus-gutau-erdmannsdorf","Website")</f>
        <v>Website</v>
      </c>
      <c r="D2789" t="str">
        <f>HYPERLINK("http://www.google.com/maps/place/48.4473057,14.6053489","Location")</f>
        <v>Location</v>
      </c>
      <c r="E2789" t="s">
        <v>24326</v>
      </c>
      <c r="F2789" t="s">
        <v>24327</v>
      </c>
      <c r="G2789" t="s">
        <v>9054</v>
      </c>
      <c r="H2789" t="s">
        <v>24329</v>
      </c>
      <c r="I2789" t="s">
        <v>85</v>
      </c>
      <c r="J2789" t="s">
        <v>22</v>
      </c>
      <c r="K2789" t="s">
        <v>24328</v>
      </c>
      <c r="L2789" t="s">
        <v>24332</v>
      </c>
      <c r="M2789" t="s">
        <v>25</v>
      </c>
      <c r="N2789" t="s">
        <v>24333</v>
      </c>
      <c r="O2789" t="s">
        <v>25</v>
      </c>
      <c r="P2789" t="s">
        <v>24334</v>
      </c>
      <c r="Q2789" t="s">
        <v>29</v>
      </c>
      <c r="R2789" t="s">
        <v>24330</v>
      </c>
      <c r="S2789" t="s">
        <v>24331</v>
      </c>
    </row>
    <row r="2790" spans="1:19" x14ac:dyDescent="0.25">
      <c r="A2790" s="1">
        <v>2788</v>
      </c>
      <c r="B2790" t="str">
        <f>HYPERLINK("https://www.dasschnelle.at/elektro-heissenberger-og-litschau-stadtplatz","Website")</f>
        <v>Website</v>
      </c>
      <c r="C2790" t="str">
        <f>HYPERLINK("http://www.elektro-heissenberger.at","Website")</f>
        <v>Website</v>
      </c>
      <c r="D2790" t="str">
        <f>HYPERLINK("http://www.google.com/maps/place/48.94455,15.04224","Location")</f>
        <v>Location</v>
      </c>
      <c r="E2790" t="s">
        <v>24335</v>
      </c>
      <c r="F2790" t="s">
        <v>24336</v>
      </c>
      <c r="G2790" t="s">
        <v>7210</v>
      </c>
      <c r="H2790" t="s">
        <v>7211</v>
      </c>
      <c r="I2790" t="s">
        <v>177</v>
      </c>
      <c r="J2790" t="s">
        <v>22</v>
      </c>
      <c r="K2790" t="s">
        <v>24337</v>
      </c>
      <c r="L2790" t="s">
        <v>24340</v>
      </c>
      <c r="M2790" t="s">
        <v>25</v>
      </c>
      <c r="N2790" t="s">
        <v>24341</v>
      </c>
      <c r="O2790" t="s">
        <v>25</v>
      </c>
      <c r="P2790" t="s">
        <v>24342</v>
      </c>
      <c r="Q2790" t="s">
        <v>29</v>
      </c>
      <c r="R2790" t="s">
        <v>24338</v>
      </c>
      <c r="S2790" t="s">
        <v>24339</v>
      </c>
    </row>
    <row r="2791" spans="1:19" x14ac:dyDescent="0.25">
      <c r="A2791" s="1">
        <v>2789</v>
      </c>
      <c r="B2791" t="str">
        <f>HYPERLINK("https://www.dasschnelle.at/scharnböck-lisa-freinberg-haibach","Website")</f>
        <v>Website</v>
      </c>
      <c r="C2791" t="str">
        <f>HYPERLINK("https://www.dasschnelle.at/scharnb%C3%B6ck-lisa-freinberg-haibach","Website")</f>
        <v>Website</v>
      </c>
      <c r="D2791" t="str">
        <f>HYPERLINK("http://www.google.com/maps/place/48.5664992,13.4932459","Location")</f>
        <v>Location</v>
      </c>
      <c r="E2791" t="s">
        <v>24343</v>
      </c>
      <c r="F2791" t="s">
        <v>24344</v>
      </c>
      <c r="G2791" t="s">
        <v>24346</v>
      </c>
      <c r="H2791" t="s">
        <v>24347</v>
      </c>
      <c r="I2791" t="s">
        <v>85</v>
      </c>
      <c r="J2791" t="s">
        <v>22</v>
      </c>
      <c r="K2791" t="s">
        <v>24345</v>
      </c>
      <c r="L2791" t="s">
        <v>24350</v>
      </c>
      <c r="M2791" t="s">
        <v>25</v>
      </c>
      <c r="N2791" t="s">
        <v>24351</v>
      </c>
      <c r="O2791" t="s">
        <v>25</v>
      </c>
      <c r="P2791" t="s">
        <v>24352</v>
      </c>
      <c r="Q2791" t="s">
        <v>29</v>
      </c>
      <c r="R2791" t="s">
        <v>24348</v>
      </c>
      <c r="S2791" t="s">
        <v>24349</v>
      </c>
    </row>
    <row r="2792" spans="1:19" x14ac:dyDescent="0.25">
      <c r="A2792" s="1">
        <v>2790</v>
      </c>
      <c r="B2792" t="str">
        <f>HYPERLINK("https://www.dasschnelle.at/hahn-gmbh-langschlag-franz-diebl-straße","Website")</f>
        <v>Website</v>
      </c>
      <c r="C2792" t="str">
        <f>HYPERLINK("http://www.wasserhahn.at","Website")</f>
        <v>Website</v>
      </c>
      <c r="D2792" t="str">
        <f>HYPERLINK("http://www.google.com/maps/place/48.57492,14.89026","Location")</f>
        <v>Location</v>
      </c>
      <c r="E2792" t="s">
        <v>24353</v>
      </c>
      <c r="F2792" t="s">
        <v>24354</v>
      </c>
      <c r="G2792" t="s">
        <v>24356</v>
      </c>
      <c r="H2792" t="s">
        <v>24357</v>
      </c>
      <c r="I2792" t="s">
        <v>177</v>
      </c>
      <c r="J2792" t="s">
        <v>22</v>
      </c>
      <c r="K2792" t="s">
        <v>24355</v>
      </c>
      <c r="L2792" t="s">
        <v>24360</v>
      </c>
      <c r="M2792" t="s">
        <v>25</v>
      </c>
      <c r="N2792" t="s">
        <v>24361</v>
      </c>
      <c r="O2792" t="s">
        <v>25</v>
      </c>
      <c r="P2792" t="s">
        <v>24362</v>
      </c>
      <c r="Q2792" t="s">
        <v>29</v>
      </c>
      <c r="R2792" t="s">
        <v>24358</v>
      </c>
      <c r="S2792" t="s">
        <v>24359</v>
      </c>
    </row>
    <row r="2793" spans="1:19" x14ac:dyDescent="0.25">
      <c r="A2793" s="1">
        <v>2791</v>
      </c>
      <c r="B2793" t="str">
        <f>HYPERLINK("https://www.dasschnelle.at/der-druckladen-e-u-münzkirchen-ludham","Website")</f>
        <v>Website</v>
      </c>
      <c r="C2793" t="str">
        <f>HYPERLINK("http://www.derdruckladen.at","Website")</f>
        <v>Website</v>
      </c>
      <c r="D2793" t="str">
        <f>HYPERLINK("http://www.google.com/maps/place/48.4631796,13.5974258","Location")</f>
        <v>Location</v>
      </c>
      <c r="E2793" t="s">
        <v>24363</v>
      </c>
      <c r="F2793" t="s">
        <v>24364</v>
      </c>
      <c r="G2793" t="s">
        <v>11983</v>
      </c>
      <c r="H2793" t="s">
        <v>24220</v>
      </c>
      <c r="I2793" t="s">
        <v>85</v>
      </c>
      <c r="J2793" t="s">
        <v>22</v>
      </c>
      <c r="K2793" t="s">
        <v>24365</v>
      </c>
      <c r="L2793" t="s">
        <v>24368</v>
      </c>
      <c r="M2793" t="s">
        <v>25</v>
      </c>
      <c r="N2793" t="s">
        <v>24369</v>
      </c>
      <c r="O2793" t="s">
        <v>25</v>
      </c>
      <c r="P2793" t="s">
        <v>24370</v>
      </c>
      <c r="Q2793" t="s">
        <v>29</v>
      </c>
      <c r="R2793" t="s">
        <v>24366</v>
      </c>
      <c r="S2793" t="s">
        <v>24367</v>
      </c>
    </row>
    <row r="2794" spans="1:19" x14ac:dyDescent="0.25">
      <c r="A2794" s="1">
        <v>2792</v>
      </c>
      <c r="B2794" t="str">
        <f>HYPERLINK("https://www.dasschnelle.at/masser-bäckerei-und-cafe-sankt-johann-im-saggautal-sankt-johann-im-saggautal","Website")</f>
        <v>Website</v>
      </c>
      <c r="C2794" t="str">
        <f>HYPERLINK("http://www.baeckerei-masser.at","Website")</f>
        <v>Website</v>
      </c>
      <c r="D2794" t="str">
        <f>HYPERLINK("http://www.google.com/maps/place/46.7009473,15.3998429","Location")</f>
        <v>Location</v>
      </c>
      <c r="E2794" t="s">
        <v>24371</v>
      </c>
      <c r="F2794" t="s">
        <v>24372</v>
      </c>
      <c r="G2794" t="s">
        <v>24374</v>
      </c>
      <c r="H2794" t="s">
        <v>24375</v>
      </c>
      <c r="I2794" t="s">
        <v>451</v>
      </c>
      <c r="J2794" t="s">
        <v>22</v>
      </c>
      <c r="K2794" t="s">
        <v>24373</v>
      </c>
      <c r="L2794" t="s">
        <v>24378</v>
      </c>
      <c r="M2794" t="s">
        <v>25</v>
      </c>
      <c r="N2794" t="s">
        <v>24379</v>
      </c>
      <c r="O2794" t="s">
        <v>25</v>
      </c>
      <c r="P2794" t="s">
        <v>24380</v>
      </c>
      <c r="Q2794" t="s">
        <v>29</v>
      </c>
      <c r="R2794" t="s">
        <v>24376</v>
      </c>
      <c r="S2794" t="s">
        <v>24377</v>
      </c>
    </row>
    <row r="2795" spans="1:19" x14ac:dyDescent="0.25">
      <c r="A2795" s="1">
        <v>2793</v>
      </c>
      <c r="B2795" t="str">
        <f>HYPERLINK("https://www.dasschnelle.at/grabler-doris-frankenmarkt-piereth","Website")</f>
        <v>Website</v>
      </c>
      <c r="C2795" t="str">
        <f>HYPERLINK("https://www.dasschnelle.at/grabler-doris-frankenmarkt-piereth","Website")</f>
        <v>Website</v>
      </c>
      <c r="D2795" t="str">
        <f>HYPERLINK("http://www.google.com/maps/place/48.0045116,13.4294714","Location")</f>
        <v>Location</v>
      </c>
      <c r="E2795" t="s">
        <v>24381</v>
      </c>
      <c r="F2795" t="s">
        <v>24382</v>
      </c>
      <c r="G2795" t="s">
        <v>13301</v>
      </c>
      <c r="H2795" t="s">
        <v>13311</v>
      </c>
      <c r="I2795" t="s">
        <v>85</v>
      </c>
      <c r="J2795" t="s">
        <v>22</v>
      </c>
      <c r="K2795" t="s">
        <v>24383</v>
      </c>
      <c r="L2795" t="s">
        <v>24386</v>
      </c>
      <c r="M2795" t="s">
        <v>25</v>
      </c>
      <c r="N2795" t="s">
        <v>24387</v>
      </c>
      <c r="O2795" t="s">
        <v>25</v>
      </c>
      <c r="P2795" t="s">
        <v>697</v>
      </c>
      <c r="Q2795" t="s">
        <v>29</v>
      </c>
      <c r="R2795" t="s">
        <v>24384</v>
      </c>
      <c r="S2795" t="s">
        <v>24385</v>
      </c>
    </row>
    <row r="2796" spans="1:19" x14ac:dyDescent="0.25">
      <c r="A2796" s="1">
        <v>2794</v>
      </c>
      <c r="B2796" t="str">
        <f>HYPERLINK("https://www.dasschnelle.at/landgasthof-schardenberg-zum-kirchenwirt-fam-hofbauer-schardenberg-kirchenplatz","Website")</f>
        <v>Website</v>
      </c>
      <c r="C2796" t="str">
        <f>HYPERLINK("http://www.kirchenwirt-schardenberg.at","Website")</f>
        <v>Website</v>
      </c>
      <c r="D2796" t="str">
        <f>HYPERLINK("http://www.google.com/maps/place/48.52012,13.49901","Location")</f>
        <v>Location</v>
      </c>
      <c r="E2796" t="s">
        <v>24388</v>
      </c>
      <c r="F2796" t="s">
        <v>24389</v>
      </c>
      <c r="G2796" t="s">
        <v>10951</v>
      </c>
      <c r="H2796" t="s">
        <v>10952</v>
      </c>
      <c r="I2796" t="s">
        <v>85</v>
      </c>
      <c r="J2796" t="s">
        <v>22</v>
      </c>
      <c r="K2796" t="s">
        <v>11151</v>
      </c>
      <c r="L2796" t="s">
        <v>24392</v>
      </c>
      <c r="M2796" t="s">
        <v>24393</v>
      </c>
      <c r="N2796" t="s">
        <v>24394</v>
      </c>
      <c r="O2796" t="s">
        <v>24395</v>
      </c>
      <c r="P2796" t="s">
        <v>24396</v>
      </c>
      <c r="Q2796" t="s">
        <v>29</v>
      </c>
      <c r="R2796" t="s">
        <v>24390</v>
      </c>
      <c r="S2796" t="s">
        <v>24391</v>
      </c>
    </row>
    <row r="2797" spans="1:19" x14ac:dyDescent="0.25">
      <c r="A2797" s="1">
        <v>2795</v>
      </c>
      <c r="B2797" t="str">
        <f>HYPERLINK("https://www.dasschnelle.at/grasmeier-alois-jun-brunnenthal-wallensham","Website")</f>
        <v>Website</v>
      </c>
      <c r="C2797" t="str">
        <f>HYPERLINK("http://www.grasmeier.at","Website")</f>
        <v>Website</v>
      </c>
      <c r="D2797" t="str">
        <f>HYPERLINK("http://www.google.com/maps/place/48.4815563,13.5047727","Location")</f>
        <v>Location</v>
      </c>
      <c r="E2797" t="s">
        <v>24397</v>
      </c>
      <c r="F2797" t="s">
        <v>24398</v>
      </c>
      <c r="G2797" t="s">
        <v>24318</v>
      </c>
      <c r="H2797" t="s">
        <v>24319</v>
      </c>
      <c r="I2797" t="s">
        <v>85</v>
      </c>
      <c r="J2797" t="s">
        <v>22</v>
      </c>
      <c r="K2797" t="s">
        <v>24399</v>
      </c>
      <c r="L2797" t="s">
        <v>24402</v>
      </c>
      <c r="M2797" t="s">
        <v>25</v>
      </c>
      <c r="N2797" t="s">
        <v>24403</v>
      </c>
      <c r="O2797" t="s">
        <v>25</v>
      </c>
      <c r="P2797" t="s">
        <v>24404</v>
      </c>
      <c r="Q2797" t="s">
        <v>29</v>
      </c>
      <c r="R2797" t="s">
        <v>24400</v>
      </c>
      <c r="S2797" t="s">
        <v>24401</v>
      </c>
    </row>
    <row r="2798" spans="1:19" x14ac:dyDescent="0.25">
      <c r="A2798" s="1">
        <v>2796</v>
      </c>
      <c r="B2798" t="str">
        <f>HYPERLINK("https://www.dasschnelle.at/schreinerei-eichinger-gmbh-neuhaus-am-inn-rothof","Website")</f>
        <v>Website</v>
      </c>
      <c r="C2798" t="str">
        <f>HYPERLINK("http://www.eichinger-wintergarten.de","Website")</f>
        <v>Website</v>
      </c>
      <c r="D2798" t="str">
        <f>HYPERLINK("http://www.google.com/maps/place/48.4833900,13.4205300","Location")</f>
        <v>Location</v>
      </c>
      <c r="E2798" t="s">
        <v>24405</v>
      </c>
      <c r="F2798" t="s">
        <v>24406</v>
      </c>
      <c r="G2798" t="s">
        <v>24282</v>
      </c>
      <c r="H2798" t="s">
        <v>24408</v>
      </c>
      <c r="I2798" t="s">
        <v>25</v>
      </c>
      <c r="J2798" t="s">
        <v>10106</v>
      </c>
      <c r="K2798" t="s">
        <v>24407</v>
      </c>
      <c r="L2798" t="s">
        <v>24411</v>
      </c>
      <c r="M2798" t="s">
        <v>25</v>
      </c>
      <c r="N2798" t="s">
        <v>24412</v>
      </c>
      <c r="O2798" t="s">
        <v>25</v>
      </c>
      <c r="P2798" t="s">
        <v>24413</v>
      </c>
      <c r="Q2798" t="s">
        <v>29</v>
      </c>
      <c r="R2798" t="s">
        <v>24409</v>
      </c>
      <c r="S2798" t="s">
        <v>24410</v>
      </c>
    </row>
    <row r="2799" spans="1:19" x14ac:dyDescent="0.25">
      <c r="A2799" s="1">
        <v>2797</v>
      </c>
      <c r="B2799" t="str">
        <f>HYPERLINK("https://www.dasschnelle.at/marchhart-günter-dr-gmünd-conrathstraße","Website")</f>
        <v>Website</v>
      </c>
      <c r="C2799" t="str">
        <f>HYPERLINK("https://www.dasschnelle.at/marchhart-g%C3%BCnter-dr-gm%C3%BCnd-conrathstra%C3%9Fe","Website")</f>
        <v>Website</v>
      </c>
      <c r="D2799" t="str">
        <f>HYPERLINK("http://www.google.com/maps/place/48.76255,14.97588","Location")</f>
        <v>Location</v>
      </c>
      <c r="E2799" t="s">
        <v>24414</v>
      </c>
      <c r="F2799" t="s">
        <v>24415</v>
      </c>
      <c r="G2799" t="s">
        <v>13116</v>
      </c>
      <c r="H2799" t="s">
        <v>13117</v>
      </c>
      <c r="I2799" t="s">
        <v>177</v>
      </c>
      <c r="J2799" t="s">
        <v>22</v>
      </c>
      <c r="K2799" t="s">
        <v>13115</v>
      </c>
      <c r="L2799" t="s">
        <v>24416</v>
      </c>
      <c r="M2799" t="s">
        <v>24417</v>
      </c>
      <c r="N2799" t="s">
        <v>24418</v>
      </c>
      <c r="O2799" t="s">
        <v>25</v>
      </c>
      <c r="P2799" t="s">
        <v>24419</v>
      </c>
      <c r="Q2799" t="s">
        <v>29</v>
      </c>
      <c r="R2799" t="s">
        <v>13118</v>
      </c>
      <c r="S2799" t="s">
        <v>13119</v>
      </c>
    </row>
    <row r="2800" spans="1:19" x14ac:dyDescent="0.25">
      <c r="A2800" s="1">
        <v>2798</v>
      </c>
      <c r="B2800" t="str">
        <f>HYPERLINK("https://www.dasschnelle.at/tierärztliche-gemeinschaftspraxis-mag-h-bruggraber-u-mag-r-waschnig-deutschfeistritz-grazer-straße","Website")</f>
        <v>Website</v>
      </c>
      <c r="C2800" t="str">
        <f>HYPERLINK("https://www.dasschnelle.at/tier%C3%A4rztliche-gemeinschaftspraxis-mag-h-bruggraber-u-mag-r-waschnig-deutschfeistritz-grazer-stra%C3%9Fe","Website")</f>
        <v>Website</v>
      </c>
      <c r="D2800" t="str">
        <f>HYPERLINK("http://www.google.com/maps/place/47.19818,15.33671","Location")</f>
        <v>Location</v>
      </c>
      <c r="E2800" t="s">
        <v>24420</v>
      </c>
      <c r="F2800" t="s">
        <v>24421</v>
      </c>
      <c r="G2800" t="s">
        <v>24423</v>
      </c>
      <c r="H2800" t="s">
        <v>24424</v>
      </c>
      <c r="I2800" t="s">
        <v>451</v>
      </c>
      <c r="J2800" t="s">
        <v>22</v>
      </c>
      <c r="K2800" t="s">
        <v>24422</v>
      </c>
      <c r="L2800" t="s">
        <v>24427</v>
      </c>
      <c r="M2800" t="s">
        <v>25</v>
      </c>
      <c r="N2800" t="s">
        <v>24428</v>
      </c>
      <c r="O2800" t="s">
        <v>25</v>
      </c>
      <c r="P2800" t="s">
        <v>24429</v>
      </c>
      <c r="Q2800" t="s">
        <v>29</v>
      </c>
      <c r="R2800" t="s">
        <v>24425</v>
      </c>
      <c r="S2800" t="s">
        <v>24426</v>
      </c>
    </row>
    <row r="2801" spans="1:19" x14ac:dyDescent="0.25">
      <c r="A2801" s="1">
        <v>2799</v>
      </c>
      <c r="B2801" t="str">
        <f>HYPERLINK("https://www.dasschnelle.at/vischer-hans-martin-mr-dr-med-gmünd-stadtplatz","Website")</f>
        <v>Website</v>
      </c>
      <c r="C2801" t="str">
        <f>HYPERLINK("http://www.dr-vischer.at","Website")</f>
        <v>Website</v>
      </c>
      <c r="D2801" t="str">
        <f>HYPERLINK("http://www.google.com/maps/place/48.7732300,14.9875300","Location")</f>
        <v>Location</v>
      </c>
      <c r="E2801" t="s">
        <v>24430</v>
      </c>
      <c r="F2801" t="s">
        <v>24431</v>
      </c>
      <c r="G2801" t="s">
        <v>13116</v>
      </c>
      <c r="H2801" t="s">
        <v>13117</v>
      </c>
      <c r="I2801" t="s">
        <v>177</v>
      </c>
      <c r="J2801" t="s">
        <v>22</v>
      </c>
      <c r="K2801" t="s">
        <v>24432</v>
      </c>
      <c r="L2801" t="s">
        <v>24435</v>
      </c>
      <c r="M2801" t="s">
        <v>25</v>
      </c>
      <c r="N2801" t="s">
        <v>24436</v>
      </c>
      <c r="O2801" t="s">
        <v>25</v>
      </c>
      <c r="P2801" t="s">
        <v>24437</v>
      </c>
      <c r="Q2801" t="s">
        <v>29</v>
      </c>
      <c r="R2801" t="s">
        <v>24433</v>
      </c>
      <c r="S2801" t="s">
        <v>24434</v>
      </c>
    </row>
    <row r="2802" spans="1:19" x14ac:dyDescent="0.25">
      <c r="A2802" s="1">
        <v>2800</v>
      </c>
      <c r="B2802" t="str">
        <f>HYPERLINK("https://www.dasschnelle.at/kahr-gmbh-und-co-kg-fürstenfeld-burgauer-straße","Website")</f>
        <v>Website</v>
      </c>
      <c r="C2802" t="str">
        <f>HYPERLINK("https://www.dasschnelle.at/kahr-gmbh-und-co-kg-f%C3%BCrstenfeld-burgauer-stra%C3%9Fe","Website")</f>
        <v>Website</v>
      </c>
      <c r="D2802" t="str">
        <f>HYPERLINK("http://www.google.com/maps/place/47.0616043,16.0766515","Location")</f>
        <v>Location</v>
      </c>
      <c r="E2802" t="s">
        <v>24438</v>
      </c>
      <c r="F2802" t="s">
        <v>24439</v>
      </c>
      <c r="G2802" t="s">
        <v>24441</v>
      </c>
      <c r="H2802" t="s">
        <v>24442</v>
      </c>
      <c r="I2802" t="s">
        <v>451</v>
      </c>
      <c r="J2802" t="s">
        <v>22</v>
      </c>
      <c r="K2802" t="s">
        <v>24440</v>
      </c>
      <c r="L2802" t="s">
        <v>24445</v>
      </c>
      <c r="M2802" t="s">
        <v>25</v>
      </c>
      <c r="N2802" t="s">
        <v>24446</v>
      </c>
      <c r="O2802" t="s">
        <v>25</v>
      </c>
      <c r="P2802" t="s">
        <v>24447</v>
      </c>
      <c r="Q2802" t="s">
        <v>29</v>
      </c>
      <c r="R2802" t="s">
        <v>24443</v>
      </c>
      <c r="S2802" t="s">
        <v>24444</v>
      </c>
    </row>
    <row r="2803" spans="1:19" x14ac:dyDescent="0.25">
      <c r="A2803" s="1">
        <v>2801</v>
      </c>
      <c r="B2803" t="str">
        <f>HYPERLINK("https://www.dasschnelle.at/greifeneder-markus-niederthalheim-hauptstraße","Website")</f>
        <v>Website</v>
      </c>
      <c r="C2803" t="str">
        <f>HYPERLINK("http://www.salon-markus-greifeneder.stadtausstellung.at","Website")</f>
        <v>Website</v>
      </c>
      <c r="D2803" t="str">
        <f>HYPERLINK("http://www.google.com/maps/place/48.09718,13.77062","Location")</f>
        <v>Location</v>
      </c>
      <c r="E2803" t="s">
        <v>24448</v>
      </c>
      <c r="F2803" t="s">
        <v>24449</v>
      </c>
      <c r="G2803" t="s">
        <v>24450</v>
      </c>
      <c r="H2803" t="s">
        <v>24451</v>
      </c>
      <c r="I2803" t="s">
        <v>85</v>
      </c>
      <c r="J2803" t="s">
        <v>22</v>
      </c>
      <c r="K2803" t="s">
        <v>23146</v>
      </c>
      <c r="L2803" t="s">
        <v>24454</v>
      </c>
      <c r="M2803" t="s">
        <v>25</v>
      </c>
      <c r="N2803" t="s">
        <v>24455</v>
      </c>
      <c r="O2803" t="s">
        <v>25</v>
      </c>
      <c r="P2803" t="s">
        <v>697</v>
      </c>
      <c r="Q2803" t="s">
        <v>29</v>
      </c>
      <c r="R2803" t="s">
        <v>24452</v>
      </c>
      <c r="S2803" t="s">
        <v>24453</v>
      </c>
    </row>
    <row r="2804" spans="1:19" x14ac:dyDescent="0.25">
      <c r="A2804" s="1">
        <v>2802</v>
      </c>
      <c r="B2804" t="str">
        <f>HYPERLINK("https://www.dasschnelle.at/blumen-beatrix-grabenwarter-gratkorn-brucker-straße","Website")</f>
        <v>Website</v>
      </c>
      <c r="C2804" t="str">
        <f>HYPERLINK("https://www.dasschnelle.at/blumen-beatrix-grabenwarter-gratkorn-brucker-stra%C3%9Fe","Website")</f>
        <v>Website</v>
      </c>
      <c r="D2804" t="str">
        <f>HYPERLINK("http://www.google.com/maps/place/47.13702,15.32902","Location")</f>
        <v>Location</v>
      </c>
      <c r="E2804" t="s">
        <v>24456</v>
      </c>
      <c r="F2804" t="s">
        <v>24457</v>
      </c>
      <c r="G2804" t="s">
        <v>7958</v>
      </c>
      <c r="H2804" t="s">
        <v>7959</v>
      </c>
      <c r="I2804" t="s">
        <v>451</v>
      </c>
      <c r="J2804" t="s">
        <v>22</v>
      </c>
      <c r="K2804" t="s">
        <v>24458</v>
      </c>
      <c r="L2804" t="s">
        <v>24461</v>
      </c>
      <c r="M2804" t="s">
        <v>25</v>
      </c>
      <c r="N2804" t="s">
        <v>25</v>
      </c>
      <c r="O2804" t="s">
        <v>24462</v>
      </c>
      <c r="P2804" t="s">
        <v>24463</v>
      </c>
      <c r="Q2804" t="s">
        <v>29</v>
      </c>
      <c r="R2804" t="s">
        <v>24459</v>
      </c>
      <c r="S2804" t="s">
        <v>24460</v>
      </c>
    </row>
    <row r="2805" spans="1:19" x14ac:dyDescent="0.25">
      <c r="A2805" s="1">
        <v>2803</v>
      </c>
      <c r="B2805" t="str">
        <f>HYPERLINK("https://www.dasschnelle.at/friseurstudio-niva-og-sankt-oswald-bei-plankenwarth-sankt-oswald-bei-plankenwarth","Website")</f>
        <v>Website</v>
      </c>
      <c r="C2805" t="str">
        <f>HYPERLINK("http://www.friseurstudio-niva.at","Website")</f>
        <v>Website</v>
      </c>
      <c r="D2805" t="str">
        <f>HYPERLINK("http://www.google.com/maps/place/47.0867750,15.2909106","Location")</f>
        <v>Location</v>
      </c>
      <c r="E2805" t="s">
        <v>24464</v>
      </c>
      <c r="F2805" t="s">
        <v>24465</v>
      </c>
      <c r="G2805" t="s">
        <v>7884</v>
      </c>
      <c r="H2805" t="s">
        <v>7885</v>
      </c>
      <c r="I2805" t="s">
        <v>451</v>
      </c>
      <c r="J2805" t="s">
        <v>22</v>
      </c>
      <c r="K2805" t="s">
        <v>7883</v>
      </c>
      <c r="L2805" t="s">
        <v>24466</v>
      </c>
      <c r="M2805" t="s">
        <v>25</v>
      </c>
      <c r="N2805" t="s">
        <v>24467</v>
      </c>
      <c r="O2805" t="s">
        <v>25</v>
      </c>
      <c r="P2805" t="s">
        <v>24468</v>
      </c>
      <c r="Q2805" t="s">
        <v>29</v>
      </c>
      <c r="R2805" t="s">
        <v>7886</v>
      </c>
      <c r="S2805" t="s">
        <v>7887</v>
      </c>
    </row>
    <row r="2806" spans="1:19" x14ac:dyDescent="0.25">
      <c r="A2806" s="1">
        <v>2804</v>
      </c>
      <c r="B2806" t="str">
        <f>HYPERLINK("https://www.dasschnelle.at/team-oblasser-kg-judendorf-im-herrgottswinkel","Website")</f>
        <v>Website</v>
      </c>
      <c r="C2806" t="str">
        <f>HYPERLINK("http://www.kosmetikerin.at","Website")</f>
        <v>Website</v>
      </c>
      <c r="D2806" t="str">
        <f>HYPERLINK("http://www.google.com/maps/place/47.11404,15.34417","Location")</f>
        <v>Location</v>
      </c>
      <c r="E2806" t="s">
        <v>24469</v>
      </c>
      <c r="F2806" t="s">
        <v>24470</v>
      </c>
      <c r="G2806" t="s">
        <v>7854</v>
      </c>
      <c r="H2806" t="s">
        <v>24472</v>
      </c>
      <c r="I2806" t="s">
        <v>451</v>
      </c>
      <c r="J2806" t="s">
        <v>22</v>
      </c>
      <c r="K2806" t="s">
        <v>24471</v>
      </c>
      <c r="L2806" t="s">
        <v>24475</v>
      </c>
      <c r="M2806" t="s">
        <v>25</v>
      </c>
      <c r="N2806" t="s">
        <v>24476</v>
      </c>
      <c r="O2806" t="s">
        <v>24477</v>
      </c>
      <c r="P2806" t="s">
        <v>24478</v>
      </c>
      <c r="Q2806" t="s">
        <v>29</v>
      </c>
      <c r="R2806" t="s">
        <v>24473</v>
      </c>
      <c r="S2806" t="s">
        <v>24474</v>
      </c>
    </row>
    <row r="2807" spans="1:19" x14ac:dyDescent="0.25">
      <c r="A2807" s="1">
        <v>2805</v>
      </c>
      <c r="B2807" t="str">
        <f>HYPERLINK("https://www.dasschnelle.at/poglitsch-michael-e-u-bestattung-übelbach-markt-übelbach-alter-markt","Website")</f>
        <v>Website</v>
      </c>
      <c r="C2807" t="str">
        <f>HYPERLINK("http://www.bestattung-uebelbach.at","Website")</f>
        <v>Website</v>
      </c>
      <c r="D2807" t="str">
        <f>HYPERLINK("http://www.google.com/maps/place/47.22594,15.23656","Location")</f>
        <v>Location</v>
      </c>
      <c r="E2807" t="s">
        <v>24479</v>
      </c>
      <c r="F2807" t="s">
        <v>24480</v>
      </c>
      <c r="G2807" t="s">
        <v>24482</v>
      </c>
      <c r="H2807" t="s">
        <v>24483</v>
      </c>
      <c r="I2807" t="s">
        <v>451</v>
      </c>
      <c r="J2807" t="s">
        <v>22</v>
      </c>
      <c r="K2807" t="s">
        <v>24481</v>
      </c>
      <c r="L2807" t="s">
        <v>24486</v>
      </c>
      <c r="M2807" t="s">
        <v>25</v>
      </c>
      <c r="N2807" t="s">
        <v>24487</v>
      </c>
      <c r="O2807" t="s">
        <v>25</v>
      </c>
      <c r="P2807" t="s">
        <v>24488</v>
      </c>
      <c r="Q2807" t="s">
        <v>29</v>
      </c>
      <c r="R2807" t="s">
        <v>24484</v>
      </c>
      <c r="S2807" t="s">
        <v>24485</v>
      </c>
    </row>
    <row r="2808" spans="1:19" x14ac:dyDescent="0.25">
      <c r="A2808" s="1">
        <v>2806</v>
      </c>
      <c r="B2808" t="str">
        <f>HYPERLINK("https://www.dasschnelle.at/papst-günter-frohnleiten-laufnitzdorf","Website")</f>
        <v>Website</v>
      </c>
      <c r="C2808" t="str">
        <f>HYPERLINK("http://www.trend-lokal.at","Website")</f>
        <v>Website</v>
      </c>
      <c r="D2808" t="str">
        <f>HYPERLINK("http://www.google.com/maps/place/47.2915476,15.3202640","Location")</f>
        <v>Location</v>
      </c>
      <c r="E2808" t="s">
        <v>24489</v>
      </c>
      <c r="F2808" t="s">
        <v>24490</v>
      </c>
      <c r="G2808" t="s">
        <v>7874</v>
      </c>
      <c r="H2808" t="s">
        <v>7875</v>
      </c>
      <c r="I2808" t="s">
        <v>451</v>
      </c>
      <c r="J2808" t="s">
        <v>22</v>
      </c>
      <c r="K2808" t="s">
        <v>24491</v>
      </c>
      <c r="L2808" t="s">
        <v>24494</v>
      </c>
      <c r="M2808" t="s">
        <v>25</v>
      </c>
      <c r="N2808" t="s">
        <v>24495</v>
      </c>
      <c r="O2808" t="s">
        <v>25</v>
      </c>
      <c r="P2808" t="s">
        <v>24496</v>
      </c>
      <c r="Q2808" t="s">
        <v>29</v>
      </c>
      <c r="R2808" t="s">
        <v>24492</v>
      </c>
      <c r="S2808" t="s">
        <v>24493</v>
      </c>
    </row>
    <row r="2809" spans="1:19" x14ac:dyDescent="0.25">
      <c r="A2809" s="1">
        <v>2807</v>
      </c>
      <c r="B2809" t="str">
        <f>HYPERLINK("https://www.dasschnelle.at/mühlböck-raumausstattung-büro-und-werkstatt-zell-an-der-pram-am-wassen","Website")</f>
        <v>Website</v>
      </c>
      <c r="C2809" t="str">
        <f>HYPERLINK("http://www.wohnen-muehlboeck.at","Website")</f>
        <v>Website</v>
      </c>
      <c r="D2809" t="str">
        <f>HYPERLINK("http://www.google.com/maps/place/48.31408,13.62228","Location")</f>
        <v>Location</v>
      </c>
      <c r="E2809" t="s">
        <v>24497</v>
      </c>
      <c r="F2809" t="s">
        <v>24498</v>
      </c>
      <c r="G2809" t="s">
        <v>24500</v>
      </c>
      <c r="H2809" t="s">
        <v>24501</v>
      </c>
      <c r="I2809" t="s">
        <v>85</v>
      </c>
      <c r="J2809" t="s">
        <v>22</v>
      </c>
      <c r="K2809" t="s">
        <v>24499</v>
      </c>
      <c r="L2809" t="s">
        <v>24504</v>
      </c>
      <c r="M2809" t="s">
        <v>25</v>
      </c>
      <c r="N2809" t="s">
        <v>24505</v>
      </c>
      <c r="O2809" t="s">
        <v>24506</v>
      </c>
      <c r="P2809" t="s">
        <v>24507</v>
      </c>
      <c r="Q2809" t="s">
        <v>29</v>
      </c>
      <c r="R2809" t="s">
        <v>24502</v>
      </c>
      <c r="S2809" t="s">
        <v>24503</v>
      </c>
    </row>
    <row r="2810" spans="1:19" x14ac:dyDescent="0.25">
      <c r="A2810" s="1">
        <v>2808</v>
      </c>
      <c r="B2810" t="str">
        <f>HYPERLINK("https://www.dasschnelle.at/pagitsch-edith-straßengel-hauptplatz","Website")</f>
        <v>Website</v>
      </c>
      <c r="C2810" t="str">
        <f>HYPERLINK("http://www.sonnenschutz-fieder.at","Website")</f>
        <v>Website</v>
      </c>
      <c r="D2810" t="str">
        <f>HYPERLINK("http://www.google.com/maps/place/47.1146,15.33694","Location")</f>
        <v>Location</v>
      </c>
      <c r="E2810" t="s">
        <v>24508</v>
      </c>
      <c r="F2810" t="s">
        <v>24509</v>
      </c>
      <c r="G2810" t="s">
        <v>7854</v>
      </c>
      <c r="H2810" t="s">
        <v>24510</v>
      </c>
      <c r="I2810" t="s">
        <v>451</v>
      </c>
      <c r="J2810" t="s">
        <v>22</v>
      </c>
      <c r="K2810" t="s">
        <v>1594</v>
      </c>
      <c r="L2810" t="s">
        <v>24513</v>
      </c>
      <c r="M2810" t="s">
        <v>25</v>
      </c>
      <c r="N2810" t="s">
        <v>24514</v>
      </c>
      <c r="O2810" t="s">
        <v>24515</v>
      </c>
      <c r="P2810" t="s">
        <v>24516</v>
      </c>
      <c r="Q2810" t="s">
        <v>29</v>
      </c>
      <c r="R2810" t="s">
        <v>24511</v>
      </c>
      <c r="S2810" t="s">
        <v>24512</v>
      </c>
    </row>
    <row r="2811" spans="1:19" x14ac:dyDescent="0.25">
      <c r="A2811" s="1">
        <v>2809</v>
      </c>
      <c r="B2811" t="str">
        <f>HYPERLINK("https://www.dasschnelle.at/gerauer-ingeburg-st-florian-am-inn-sankt-florian-am-inn","Website")</f>
        <v>Website</v>
      </c>
      <c r="C2811" t="str">
        <f>HYPERLINK("https://www.dasschnelle.at/gerauer-ingeburg-st-florian-am-inn-sankt-florian-am-inn","Website")</f>
        <v>Website</v>
      </c>
      <c r="D2811" t="str">
        <f>HYPERLINK("http://www.google.com/maps/place/48.4416800,13.4451300","Location")</f>
        <v>Location</v>
      </c>
      <c r="E2811" t="s">
        <v>24517</v>
      </c>
      <c r="F2811" t="s">
        <v>24518</v>
      </c>
      <c r="G2811" t="s">
        <v>24520</v>
      </c>
      <c r="H2811" t="s">
        <v>24521</v>
      </c>
      <c r="I2811" t="s">
        <v>85</v>
      </c>
      <c r="J2811" t="s">
        <v>22</v>
      </c>
      <c r="K2811" t="s">
        <v>24519</v>
      </c>
      <c r="L2811" t="s">
        <v>24524</v>
      </c>
      <c r="M2811" t="s">
        <v>25</v>
      </c>
      <c r="N2811" t="s">
        <v>24525</v>
      </c>
      <c r="O2811" t="s">
        <v>25</v>
      </c>
      <c r="P2811" t="s">
        <v>24526</v>
      </c>
      <c r="Q2811" t="s">
        <v>29</v>
      </c>
      <c r="R2811" t="s">
        <v>24522</v>
      </c>
      <c r="S2811" t="s">
        <v>24523</v>
      </c>
    </row>
    <row r="2812" spans="1:19" x14ac:dyDescent="0.25">
      <c r="A2812" s="1">
        <v>2810</v>
      </c>
      <c r="B2812" t="str">
        <f>HYPERLINK("https://www.dasschnelle.at/hitzinger-michael-st-florian-am-inn-bubing","Website")</f>
        <v>Website</v>
      </c>
      <c r="C2812" t="str">
        <f>HYPERLINK("http://www.fischersweinheuriger.at","Website")</f>
        <v>Website</v>
      </c>
      <c r="D2812" t="str">
        <f>HYPERLINK("http://www.google.com/maps/place/48.454,13.45872","Location")</f>
        <v>Location</v>
      </c>
      <c r="E2812" t="s">
        <v>24527</v>
      </c>
      <c r="F2812" t="s">
        <v>24528</v>
      </c>
      <c r="G2812" t="s">
        <v>24520</v>
      </c>
      <c r="H2812" t="s">
        <v>24521</v>
      </c>
      <c r="I2812" t="s">
        <v>85</v>
      </c>
      <c r="J2812" t="s">
        <v>22</v>
      </c>
      <c r="K2812" t="s">
        <v>24529</v>
      </c>
      <c r="L2812" t="s">
        <v>24532</v>
      </c>
      <c r="M2812" t="s">
        <v>25</v>
      </c>
      <c r="N2812" t="s">
        <v>24533</v>
      </c>
      <c r="O2812" t="s">
        <v>25</v>
      </c>
      <c r="P2812" t="s">
        <v>24534</v>
      </c>
      <c r="Q2812" t="s">
        <v>29</v>
      </c>
      <c r="R2812" t="s">
        <v>24530</v>
      </c>
      <c r="S2812" t="s">
        <v>24531</v>
      </c>
    </row>
    <row r="2813" spans="1:19" x14ac:dyDescent="0.25">
      <c r="A2813" s="1">
        <v>2811</v>
      </c>
      <c r="B2813" t="str">
        <f>HYPERLINK("https://www.dasschnelle.at/karosserie-und-lack-neuburger-groß-siegharts-franz-hiess-straße","Website")</f>
        <v>Website</v>
      </c>
      <c r="C2813" t="str">
        <f>HYPERLINK("https://www.dasschnelle.at/karosserie-und-lack-neuburger-gro%C3%9F-siegharts-franz-hiess-stra%C3%9Fe","Website")</f>
        <v>Website</v>
      </c>
      <c r="D2813" t="str">
        <f>HYPERLINK("http://www.google.com/maps/place/48.79748,15.41184","Location")</f>
        <v>Location</v>
      </c>
      <c r="E2813" t="s">
        <v>24535</v>
      </c>
      <c r="F2813" t="s">
        <v>24536</v>
      </c>
      <c r="G2813" t="s">
        <v>24538</v>
      </c>
      <c r="H2813" t="s">
        <v>24539</v>
      </c>
      <c r="I2813" t="s">
        <v>177</v>
      </c>
      <c r="J2813" t="s">
        <v>22</v>
      </c>
      <c r="K2813" t="s">
        <v>24537</v>
      </c>
      <c r="L2813" t="s">
        <v>24542</v>
      </c>
      <c r="M2813" t="s">
        <v>25</v>
      </c>
      <c r="N2813" t="s">
        <v>24543</v>
      </c>
      <c r="O2813" t="s">
        <v>25</v>
      </c>
      <c r="P2813" t="s">
        <v>24544</v>
      </c>
      <c r="Q2813" t="s">
        <v>29</v>
      </c>
      <c r="R2813" t="s">
        <v>24540</v>
      </c>
      <c r="S2813" t="s">
        <v>24541</v>
      </c>
    </row>
    <row r="2814" spans="1:19" x14ac:dyDescent="0.25">
      <c r="A2814" s="1">
        <v>2812</v>
      </c>
      <c r="B2814" t="str">
        <f>HYPERLINK("https://www.dasschnelle.at/fleischhaker-thomas-e-u-groß-siegharts-roseggergasse","Website")</f>
        <v>Website</v>
      </c>
      <c r="C2814" t="str">
        <f>HYPERLINK("http://www.fleischerei-fleischhaker.at","Website")</f>
        <v>Website</v>
      </c>
      <c r="D2814" t="str">
        <f>HYPERLINK("http://www.google.com/maps/place/48.7940194,15.4049047","Location")</f>
        <v>Location</v>
      </c>
      <c r="E2814" t="s">
        <v>24545</v>
      </c>
      <c r="F2814" t="s">
        <v>24546</v>
      </c>
      <c r="G2814" t="s">
        <v>24538</v>
      </c>
      <c r="H2814" t="s">
        <v>24539</v>
      </c>
      <c r="I2814" t="s">
        <v>177</v>
      </c>
      <c r="J2814" t="s">
        <v>22</v>
      </c>
      <c r="K2814" t="s">
        <v>24547</v>
      </c>
      <c r="L2814" t="s">
        <v>24550</v>
      </c>
      <c r="M2814" t="s">
        <v>25</v>
      </c>
      <c r="N2814" t="s">
        <v>24551</v>
      </c>
      <c r="O2814" t="s">
        <v>25</v>
      </c>
      <c r="P2814" t="s">
        <v>24552</v>
      </c>
      <c r="Q2814" t="s">
        <v>29</v>
      </c>
      <c r="R2814" t="s">
        <v>24548</v>
      </c>
      <c r="S2814" t="s">
        <v>24549</v>
      </c>
    </row>
    <row r="2815" spans="1:19" x14ac:dyDescent="0.25">
      <c r="A2815" s="1">
        <v>2813</v>
      </c>
      <c r="B2815" t="str">
        <f>HYPERLINK("https://www.dasschnelle.at/hörmanseder-meisterbetrieb-kachelofen-u-fliesen-stefan-zell-an-der-pram-kranzlweg","Website")</f>
        <v>Website</v>
      </c>
      <c r="C2815" t="str">
        <f>HYPERLINK("http://www.hoermanseder.co.at","Website")</f>
        <v>Website</v>
      </c>
      <c r="D2815" t="str">
        <f>HYPERLINK("http://www.google.com/maps/place/48.31472,13.62798","Location")</f>
        <v>Location</v>
      </c>
      <c r="E2815" t="s">
        <v>24553</v>
      </c>
      <c r="F2815" t="s">
        <v>24554</v>
      </c>
      <c r="G2815" t="s">
        <v>24500</v>
      </c>
      <c r="H2815" t="s">
        <v>24501</v>
      </c>
      <c r="I2815" t="s">
        <v>85</v>
      </c>
      <c r="J2815" t="s">
        <v>22</v>
      </c>
      <c r="K2815" t="s">
        <v>24555</v>
      </c>
      <c r="L2815" t="s">
        <v>24558</v>
      </c>
      <c r="M2815" t="s">
        <v>24559</v>
      </c>
      <c r="N2815" t="s">
        <v>24560</v>
      </c>
      <c r="O2815" t="s">
        <v>25</v>
      </c>
      <c r="P2815" t="s">
        <v>24561</v>
      </c>
      <c r="Q2815" t="s">
        <v>29</v>
      </c>
      <c r="R2815" t="s">
        <v>24556</v>
      </c>
      <c r="S2815" t="s">
        <v>24557</v>
      </c>
    </row>
    <row r="2816" spans="1:19" x14ac:dyDescent="0.25">
      <c r="A2816" s="1">
        <v>2814</v>
      </c>
      <c r="B2816" t="str">
        <f>HYPERLINK("https://www.dasschnelle.at/allianz-agenturen-pirstinger-und-stampler-og-frohnleiten-mauritzener-hauptstraße","Website")</f>
        <v>Website</v>
      </c>
      <c r="C2816" t="str">
        <f>HYPERLINK("http://www.frohnleiten.allianz.at","Website")</f>
        <v>Website</v>
      </c>
      <c r="D2816" t="str">
        <f>HYPERLINK("http://www.google.com/maps/place/47.26782,15.32627","Location")</f>
        <v>Location</v>
      </c>
      <c r="E2816" t="s">
        <v>24562</v>
      </c>
      <c r="F2816" t="s">
        <v>24563</v>
      </c>
      <c r="G2816" t="s">
        <v>7874</v>
      </c>
      <c r="H2816" t="s">
        <v>7875</v>
      </c>
      <c r="I2816" t="s">
        <v>451</v>
      </c>
      <c r="J2816" t="s">
        <v>22</v>
      </c>
      <c r="K2816" t="s">
        <v>24564</v>
      </c>
      <c r="L2816" t="s">
        <v>24567</v>
      </c>
      <c r="M2816" t="s">
        <v>25</v>
      </c>
      <c r="N2816" t="s">
        <v>24568</v>
      </c>
      <c r="O2816" t="s">
        <v>24569</v>
      </c>
      <c r="P2816" t="s">
        <v>24570</v>
      </c>
      <c r="Q2816" t="s">
        <v>29</v>
      </c>
      <c r="R2816" t="s">
        <v>24565</v>
      </c>
      <c r="S2816" t="s">
        <v>24566</v>
      </c>
    </row>
    <row r="2817" spans="1:19" x14ac:dyDescent="0.25">
      <c r="A2817" s="1">
        <v>2815</v>
      </c>
      <c r="B2817" t="str">
        <f>HYPERLINK("https://www.dasschnelle.at/paar-matthias-groß-siegharts-raabserstraße","Website")</f>
        <v>Website</v>
      </c>
      <c r="C2817" t="str">
        <f>HYPERLINK("http://www.paaronline.at","Website")</f>
        <v>Website</v>
      </c>
      <c r="D2817" t="str">
        <f>HYPERLINK("http://www.google.com/maps/place/48.79251,15.40504","Location")</f>
        <v>Location</v>
      </c>
      <c r="E2817" t="s">
        <v>24571</v>
      </c>
      <c r="F2817" t="s">
        <v>24572</v>
      </c>
      <c r="G2817" t="s">
        <v>24538</v>
      </c>
      <c r="H2817" t="s">
        <v>24539</v>
      </c>
      <c r="I2817" t="s">
        <v>177</v>
      </c>
      <c r="J2817" t="s">
        <v>22</v>
      </c>
      <c r="K2817" t="s">
        <v>24573</v>
      </c>
      <c r="L2817" t="s">
        <v>24576</v>
      </c>
      <c r="M2817" t="s">
        <v>25</v>
      </c>
      <c r="N2817" t="s">
        <v>24577</v>
      </c>
      <c r="O2817" t="s">
        <v>25</v>
      </c>
      <c r="P2817" t="s">
        <v>24578</v>
      </c>
      <c r="Q2817" t="s">
        <v>29</v>
      </c>
      <c r="R2817" t="s">
        <v>24574</v>
      </c>
      <c r="S2817" t="s">
        <v>24575</v>
      </c>
    </row>
    <row r="2818" spans="1:19" x14ac:dyDescent="0.25">
      <c r="A2818" s="1">
        <v>2816</v>
      </c>
      <c r="B2818" t="str">
        <f>HYPERLINK("https://www.dasschnelle.at/lenz-norbert-loibes-loibes","Website")</f>
        <v>Website</v>
      </c>
      <c r="C2818" t="str">
        <f>HYPERLINK("http://www.spenglerei-lenz.at","Website")</f>
        <v>Website</v>
      </c>
      <c r="D2818" t="str">
        <f>HYPERLINK("http://www.google.com/maps/place/48.8392044,15.3870704","Location")</f>
        <v>Location</v>
      </c>
      <c r="E2818" t="s">
        <v>24579</v>
      </c>
      <c r="F2818" t="s">
        <v>24580</v>
      </c>
      <c r="G2818" t="s">
        <v>24538</v>
      </c>
      <c r="H2818" t="s">
        <v>24582</v>
      </c>
      <c r="I2818" t="s">
        <v>177</v>
      </c>
      <c r="J2818" t="s">
        <v>22</v>
      </c>
      <c r="K2818" t="s">
        <v>24581</v>
      </c>
      <c r="L2818" t="s">
        <v>24585</v>
      </c>
      <c r="M2818" t="s">
        <v>25</v>
      </c>
      <c r="N2818" t="s">
        <v>24586</v>
      </c>
      <c r="O2818" t="s">
        <v>24587</v>
      </c>
      <c r="P2818" t="s">
        <v>24588</v>
      </c>
      <c r="Q2818" t="s">
        <v>29</v>
      </c>
      <c r="R2818" t="s">
        <v>24583</v>
      </c>
      <c r="S2818" t="s">
        <v>24584</v>
      </c>
    </row>
    <row r="2819" spans="1:19" x14ac:dyDescent="0.25">
      <c r="A2819" s="1">
        <v>2817</v>
      </c>
      <c r="B2819" t="str">
        <f>HYPERLINK("https://www.dasschnelle.at/pöppl-bernhard-waldreichs-kreuzackergasse","Website")</f>
        <v>Website</v>
      </c>
      <c r="C2819" t="str">
        <f>HYPERLINK("http://www.poeppl.at","Website")</f>
        <v>Website</v>
      </c>
      <c r="D2819" t="str">
        <f>HYPERLINK("http://www.google.com/maps/place/48.7982,15.40133","Location")</f>
        <v>Location</v>
      </c>
      <c r="E2819" t="s">
        <v>24589</v>
      </c>
      <c r="F2819" t="s">
        <v>24590</v>
      </c>
      <c r="G2819" t="s">
        <v>24538</v>
      </c>
      <c r="H2819" t="s">
        <v>24592</v>
      </c>
      <c r="I2819" t="s">
        <v>177</v>
      </c>
      <c r="J2819" t="s">
        <v>22</v>
      </c>
      <c r="K2819" t="s">
        <v>24591</v>
      </c>
      <c r="L2819" t="s">
        <v>24595</v>
      </c>
      <c r="M2819" t="s">
        <v>25</v>
      </c>
      <c r="N2819" t="s">
        <v>24596</v>
      </c>
      <c r="O2819" t="s">
        <v>25</v>
      </c>
      <c r="P2819" t="s">
        <v>24597</v>
      </c>
      <c r="Q2819" t="s">
        <v>29</v>
      </c>
      <c r="R2819" t="s">
        <v>24593</v>
      </c>
      <c r="S2819" t="s">
        <v>24594</v>
      </c>
    </row>
    <row r="2820" spans="1:19" x14ac:dyDescent="0.25">
      <c r="A2820" s="1">
        <v>2818</v>
      </c>
      <c r="B2820" t="str">
        <f>HYPERLINK("https://www.dasschnelle.at/fritz-bischof-grabanlagen-natursteine-münzkirchen-passauer-straße","Website")</f>
        <v>Website</v>
      </c>
      <c r="C2820" t="str">
        <f>HYPERLINK("http://www.steinmetz-bischof.at","Website")</f>
        <v>Website</v>
      </c>
      <c r="D2820" t="str">
        <f>HYPERLINK("http://www.google.com/maps/place/48.4819475,13.5532162","Location")</f>
        <v>Location</v>
      </c>
      <c r="E2820" t="s">
        <v>24598</v>
      </c>
      <c r="F2820" t="s">
        <v>24599</v>
      </c>
      <c r="G2820" t="s">
        <v>11983</v>
      </c>
      <c r="H2820" t="s">
        <v>24220</v>
      </c>
      <c r="I2820" t="s">
        <v>85</v>
      </c>
      <c r="J2820" t="s">
        <v>22</v>
      </c>
      <c r="K2820" t="s">
        <v>24600</v>
      </c>
      <c r="L2820" t="s">
        <v>24603</v>
      </c>
      <c r="M2820" t="s">
        <v>25</v>
      </c>
      <c r="N2820" t="s">
        <v>24604</v>
      </c>
      <c r="O2820" t="s">
        <v>25</v>
      </c>
      <c r="P2820" t="s">
        <v>24605</v>
      </c>
      <c r="Q2820" t="s">
        <v>29</v>
      </c>
      <c r="R2820" t="s">
        <v>24601</v>
      </c>
      <c r="S2820" t="s">
        <v>24602</v>
      </c>
    </row>
    <row r="2821" spans="1:19" x14ac:dyDescent="0.25">
      <c r="A2821" s="1">
        <v>2819</v>
      </c>
      <c r="B2821" t="str">
        <f>HYPERLINK("https://www.dasschnelle.at/stöckl-alois-gmbh-baumschulen-zell-an-der-pram-stöckl-allee","Website")</f>
        <v>Website</v>
      </c>
      <c r="C2821" t="str">
        <f>HYPERLINK("http://www.baumschule-stoeckl.at","Website")</f>
        <v>Website</v>
      </c>
      <c r="D2821" t="str">
        <f>HYPERLINK("http://www.google.com/maps/place/48.31247,13.62934","Location")</f>
        <v>Location</v>
      </c>
      <c r="E2821" t="s">
        <v>24606</v>
      </c>
      <c r="F2821" t="s">
        <v>24607</v>
      </c>
      <c r="G2821" t="s">
        <v>24500</v>
      </c>
      <c r="H2821" t="s">
        <v>24501</v>
      </c>
      <c r="I2821" t="s">
        <v>85</v>
      </c>
      <c r="J2821" t="s">
        <v>22</v>
      </c>
      <c r="K2821" t="s">
        <v>24608</v>
      </c>
      <c r="L2821" t="s">
        <v>24611</v>
      </c>
      <c r="M2821" t="s">
        <v>25</v>
      </c>
      <c r="N2821" t="s">
        <v>24612</v>
      </c>
      <c r="O2821" t="s">
        <v>25</v>
      </c>
      <c r="P2821" t="s">
        <v>24613</v>
      </c>
      <c r="Q2821" t="s">
        <v>29</v>
      </c>
      <c r="R2821" t="s">
        <v>24609</v>
      </c>
      <c r="S2821" t="s">
        <v>24610</v>
      </c>
    </row>
    <row r="2822" spans="1:19" x14ac:dyDescent="0.25">
      <c r="A2822" s="1">
        <v>2820</v>
      </c>
      <c r="B2822" t="str">
        <f>HYPERLINK("https://www.dasschnelle.at/tischlerei-egger-gmbh-seeboden-seestraße","Website")</f>
        <v>Website</v>
      </c>
      <c r="C2822" t="str">
        <f>HYPERLINK("http://www.tischlereiegger.at","Website")</f>
        <v>Website</v>
      </c>
      <c r="D2822" t="str">
        <f>HYPERLINK("http://www.google.com/maps/place/46.81866,13.52187","Location")</f>
        <v>Location</v>
      </c>
      <c r="E2822" t="s">
        <v>24614</v>
      </c>
      <c r="F2822" t="s">
        <v>24615</v>
      </c>
      <c r="G2822" t="s">
        <v>24617</v>
      </c>
      <c r="H2822" t="s">
        <v>24618</v>
      </c>
      <c r="I2822" t="s">
        <v>4130</v>
      </c>
      <c r="J2822" t="s">
        <v>22</v>
      </c>
      <c r="K2822" t="s">
        <v>24616</v>
      </c>
      <c r="L2822" t="s">
        <v>24621</v>
      </c>
      <c r="M2822" t="s">
        <v>25</v>
      </c>
      <c r="N2822" t="s">
        <v>24622</v>
      </c>
      <c r="O2822" t="s">
        <v>25</v>
      </c>
      <c r="P2822" t="s">
        <v>24623</v>
      </c>
      <c r="Q2822" t="s">
        <v>29</v>
      </c>
      <c r="R2822" t="s">
        <v>24619</v>
      </c>
      <c r="S2822" t="s">
        <v>24620</v>
      </c>
    </row>
    <row r="2823" spans="1:19" x14ac:dyDescent="0.25">
      <c r="A2823" s="1">
        <v>2821</v>
      </c>
      <c r="B2823" t="str">
        <f>HYPERLINK("https://www.dasschnelle.at/happl-hana-raabs-an-der-thaya-puchheimstraße","Website")</f>
        <v>Website</v>
      </c>
      <c r="C2823" t="str">
        <f>HYPERLINK("http://www.happl.at","Website")</f>
        <v>Website</v>
      </c>
      <c r="D2823" t="str">
        <f>HYPERLINK("http://www.google.com/maps/place/48.85016,15.49075","Location")</f>
        <v>Location</v>
      </c>
      <c r="E2823" t="s">
        <v>24624</v>
      </c>
      <c r="F2823" t="s">
        <v>24625</v>
      </c>
      <c r="G2823" t="s">
        <v>24627</v>
      </c>
      <c r="H2823" t="s">
        <v>24628</v>
      </c>
      <c r="I2823" t="s">
        <v>177</v>
      </c>
      <c r="J2823" t="s">
        <v>22</v>
      </c>
      <c r="K2823" t="s">
        <v>24626</v>
      </c>
      <c r="L2823" t="s">
        <v>24631</v>
      </c>
      <c r="M2823" t="s">
        <v>25</v>
      </c>
      <c r="N2823" t="s">
        <v>24632</v>
      </c>
      <c r="O2823" t="s">
        <v>25</v>
      </c>
      <c r="P2823" t="s">
        <v>24633</v>
      </c>
      <c r="Q2823" t="s">
        <v>29</v>
      </c>
      <c r="R2823" t="s">
        <v>24629</v>
      </c>
      <c r="S2823" t="s">
        <v>24630</v>
      </c>
    </row>
    <row r="2824" spans="1:19" x14ac:dyDescent="0.25">
      <c r="A2824" s="1">
        <v>2822</v>
      </c>
      <c r="B2824" t="str">
        <f>HYPERLINK("https://www.dasschnelle.at/wia-z-haus-kern-alt-dietmanns-hauptstraße","Website")</f>
        <v>Website</v>
      </c>
      <c r="C2824" t="str">
        <f>HYPERLINK("http://www.wiazhaus-kern.at","Website")</f>
        <v>Website</v>
      </c>
      <c r="D2824" t="str">
        <f>HYPERLINK("http://www.google.com/maps/place/48.7930000,15.3814500","Location")</f>
        <v>Location</v>
      </c>
      <c r="E2824" t="s">
        <v>24634</v>
      </c>
      <c r="F2824" t="s">
        <v>24635</v>
      </c>
      <c r="G2824" t="s">
        <v>24636</v>
      </c>
      <c r="H2824" t="s">
        <v>24637</v>
      </c>
      <c r="I2824" t="s">
        <v>177</v>
      </c>
      <c r="J2824" t="s">
        <v>22</v>
      </c>
      <c r="K2824" t="s">
        <v>19503</v>
      </c>
      <c r="L2824" t="s">
        <v>24640</v>
      </c>
      <c r="M2824" t="s">
        <v>25</v>
      </c>
      <c r="N2824" t="s">
        <v>24641</v>
      </c>
      <c r="O2824" t="s">
        <v>25</v>
      </c>
      <c r="P2824" t="s">
        <v>24642</v>
      </c>
      <c r="Q2824" t="s">
        <v>29</v>
      </c>
      <c r="R2824" t="s">
        <v>24638</v>
      </c>
      <c r="S2824" t="s">
        <v>24639</v>
      </c>
    </row>
    <row r="2825" spans="1:19" x14ac:dyDescent="0.25">
      <c r="A2825" s="1">
        <v>2823</v>
      </c>
      <c r="B2825" t="str">
        <f>HYPERLINK("https://www.dasschnelle.at/morscher-elektro-gmbh-waidhofen-an-der-thaya-bahnhofstraße","Website")</f>
        <v>Website</v>
      </c>
      <c r="C2825" t="str">
        <f>HYPERLINK("http://www.ep-morscher.at","Website")</f>
        <v>Website</v>
      </c>
      <c r="D2825" t="str">
        <f>HYPERLINK("http://www.google.com/maps/place/48.81384,15.2835","Location")</f>
        <v>Location</v>
      </c>
      <c r="E2825" t="s">
        <v>24643</v>
      </c>
      <c r="F2825" t="s">
        <v>24644</v>
      </c>
      <c r="G2825" t="s">
        <v>10987</v>
      </c>
      <c r="H2825" t="s">
        <v>10988</v>
      </c>
      <c r="I2825" t="s">
        <v>177</v>
      </c>
      <c r="J2825" t="s">
        <v>22</v>
      </c>
      <c r="K2825" t="s">
        <v>24645</v>
      </c>
      <c r="L2825" t="s">
        <v>24648</v>
      </c>
      <c r="M2825" t="s">
        <v>24649</v>
      </c>
      <c r="N2825" t="s">
        <v>24650</v>
      </c>
      <c r="O2825" t="s">
        <v>25</v>
      </c>
      <c r="P2825" t="s">
        <v>24651</v>
      </c>
      <c r="Q2825" t="s">
        <v>29</v>
      </c>
      <c r="R2825" t="s">
        <v>24646</v>
      </c>
      <c r="S2825" t="s">
        <v>24647</v>
      </c>
    </row>
    <row r="2826" spans="1:19" x14ac:dyDescent="0.25">
      <c r="A2826" s="1">
        <v>2824</v>
      </c>
      <c r="B2826" t="str">
        <f>HYPERLINK("https://www.dasschnelle.at/autohaus-hofstetter-gmbh-waidhofen-an-der-thaya-thayastraße","Website")</f>
        <v>Website</v>
      </c>
      <c r="C2826" t="str">
        <f>HYPERLINK("http://kfz-hofstetter.at","Website")</f>
        <v>Website</v>
      </c>
      <c r="D2826" t="str">
        <f>HYPERLINK("http://www.google.com/maps/place/48.82047,15.28278","Location")</f>
        <v>Location</v>
      </c>
      <c r="E2826" t="s">
        <v>24652</v>
      </c>
      <c r="F2826" t="s">
        <v>24653</v>
      </c>
      <c r="G2826" t="s">
        <v>10987</v>
      </c>
      <c r="H2826" t="s">
        <v>10988</v>
      </c>
      <c r="I2826" t="s">
        <v>177</v>
      </c>
      <c r="J2826" t="s">
        <v>22</v>
      </c>
      <c r="K2826" t="s">
        <v>24654</v>
      </c>
      <c r="L2826" t="s">
        <v>24657</v>
      </c>
      <c r="M2826" t="s">
        <v>25</v>
      </c>
      <c r="N2826" t="s">
        <v>24658</v>
      </c>
      <c r="O2826" t="s">
        <v>25</v>
      </c>
      <c r="P2826" t="s">
        <v>24659</v>
      </c>
      <c r="Q2826" t="s">
        <v>29</v>
      </c>
      <c r="R2826" t="s">
        <v>24655</v>
      </c>
      <c r="S2826" t="s">
        <v>24656</v>
      </c>
    </row>
    <row r="2827" spans="1:19" x14ac:dyDescent="0.25">
      <c r="A2827" s="1">
        <v>2825</v>
      </c>
      <c r="B2827" t="str">
        <f>HYPERLINK("https://www.dasschnelle.at/hauer-fenster-gmbh-waidhofen-an-der-thaya-wienerstraße","Website")</f>
        <v>Website</v>
      </c>
      <c r="C2827" t="str">
        <f>HYPERLINK("http://www.hauer-windows.at","Website")</f>
        <v>Website</v>
      </c>
      <c r="D2827" t="str">
        <f>HYPERLINK("http://www.google.com/maps/place/48.81105,15.29702","Location")</f>
        <v>Location</v>
      </c>
      <c r="E2827" t="s">
        <v>24660</v>
      </c>
      <c r="F2827" t="s">
        <v>24661</v>
      </c>
      <c r="G2827" t="s">
        <v>10987</v>
      </c>
      <c r="H2827" t="s">
        <v>10988</v>
      </c>
      <c r="I2827" t="s">
        <v>177</v>
      </c>
      <c r="J2827" t="s">
        <v>22</v>
      </c>
      <c r="K2827" t="s">
        <v>24662</v>
      </c>
      <c r="L2827" t="s">
        <v>24665</v>
      </c>
      <c r="M2827" t="s">
        <v>25</v>
      </c>
      <c r="N2827" t="s">
        <v>24666</v>
      </c>
      <c r="O2827" t="s">
        <v>25</v>
      </c>
      <c r="P2827" t="s">
        <v>24667</v>
      </c>
      <c r="Q2827" t="s">
        <v>29</v>
      </c>
      <c r="R2827" t="s">
        <v>24663</v>
      </c>
      <c r="S2827" t="s">
        <v>24664</v>
      </c>
    </row>
    <row r="2828" spans="1:19" x14ac:dyDescent="0.25">
      <c r="A2828" s="1">
        <v>2826</v>
      </c>
      <c r="B2828" t="str">
        <f>HYPERLINK("https://www.dasschnelle.at/schuecker-kg-waidhofen-a-d-thaya-pfaffenschlag","Website")</f>
        <v>Website</v>
      </c>
      <c r="C2828" t="str">
        <f>HYPERLINK("http://www.schuecker.eu","Website")</f>
        <v>Website</v>
      </c>
      <c r="D2828" t="str">
        <f>HYPERLINK("http://www.google.com/maps/place/48.8438060,15.1931963","Location")</f>
        <v>Location</v>
      </c>
      <c r="E2828" t="s">
        <v>24668</v>
      </c>
      <c r="F2828" t="s">
        <v>24669</v>
      </c>
      <c r="G2828" t="s">
        <v>24671</v>
      </c>
      <c r="H2828" t="s">
        <v>24672</v>
      </c>
      <c r="I2828" t="s">
        <v>177</v>
      </c>
      <c r="J2828" t="s">
        <v>22</v>
      </c>
      <c r="K2828" t="s">
        <v>24670</v>
      </c>
      <c r="L2828" t="s">
        <v>24675</v>
      </c>
      <c r="M2828" t="s">
        <v>25</v>
      </c>
      <c r="N2828" t="s">
        <v>24676</v>
      </c>
      <c r="O2828" t="s">
        <v>25</v>
      </c>
      <c r="P2828" t="s">
        <v>24677</v>
      </c>
      <c r="Q2828" t="s">
        <v>29</v>
      </c>
      <c r="R2828" t="s">
        <v>24673</v>
      </c>
      <c r="S2828" t="s">
        <v>24674</v>
      </c>
    </row>
    <row r="2829" spans="1:19" x14ac:dyDescent="0.25">
      <c r="A2829" s="1">
        <v>2827</v>
      </c>
      <c r="B2829" t="str">
        <f>HYPERLINK("https://www.dasschnelle.at/olsacher-werner-karosserie-reparaturen-lackierungen-e-u-treffling","Website")</f>
        <v>Website</v>
      </c>
      <c r="C2829" t="str">
        <f>HYPERLINK("http://www.auto-olsacher.at","Website")</f>
        <v>Website</v>
      </c>
      <c r="D2829" t="str">
        <f>HYPERLINK("http://www.google.com/maps/place/46.8373515,13.5238034","Location")</f>
        <v>Location</v>
      </c>
      <c r="E2829" t="s">
        <v>24678</v>
      </c>
      <c r="F2829" t="s">
        <v>24679</v>
      </c>
      <c r="G2829" t="s">
        <v>24617</v>
      </c>
      <c r="H2829" t="s">
        <v>24680</v>
      </c>
      <c r="I2829" t="s">
        <v>4130</v>
      </c>
      <c r="J2829" t="s">
        <v>22</v>
      </c>
      <c r="K2829" t="s">
        <v>25</v>
      </c>
      <c r="L2829" t="s">
        <v>24683</v>
      </c>
      <c r="M2829" t="s">
        <v>25</v>
      </c>
      <c r="N2829" t="s">
        <v>24684</v>
      </c>
      <c r="O2829" t="s">
        <v>25</v>
      </c>
      <c r="P2829" t="s">
        <v>24685</v>
      </c>
      <c r="Q2829" t="s">
        <v>29</v>
      </c>
      <c r="R2829" t="s">
        <v>24681</v>
      </c>
      <c r="S2829" t="s">
        <v>24682</v>
      </c>
    </row>
    <row r="2830" spans="1:19" x14ac:dyDescent="0.25">
      <c r="A2830" s="1">
        <v>2828</v>
      </c>
      <c r="B2830" t="str">
        <f>HYPERLINK("https://www.dasschnelle.at/wühl-gerhard-waidhofen-an-der-thaya-thayastraße","Website")</f>
        <v>Website</v>
      </c>
      <c r="C2830" t="str">
        <f>HYPERLINK("http://www.autoglas-wuehl.at","Website")</f>
        <v>Website</v>
      </c>
      <c r="D2830" t="str">
        <f>HYPERLINK("http://www.google.com/maps/place/48.9173231,15.2429328","Location")</f>
        <v>Location</v>
      </c>
      <c r="E2830" t="s">
        <v>24686</v>
      </c>
      <c r="F2830" t="s">
        <v>24687</v>
      </c>
      <c r="G2830" t="s">
        <v>10987</v>
      </c>
      <c r="H2830" t="s">
        <v>10988</v>
      </c>
      <c r="I2830" t="s">
        <v>177</v>
      </c>
      <c r="J2830" t="s">
        <v>22</v>
      </c>
      <c r="K2830" t="s">
        <v>24688</v>
      </c>
      <c r="L2830" t="s">
        <v>24691</v>
      </c>
      <c r="M2830" t="s">
        <v>25</v>
      </c>
      <c r="N2830" t="s">
        <v>24692</v>
      </c>
      <c r="O2830" t="s">
        <v>25</v>
      </c>
      <c r="P2830" t="s">
        <v>697</v>
      </c>
      <c r="Q2830" t="s">
        <v>29</v>
      </c>
      <c r="R2830" t="s">
        <v>24689</v>
      </c>
      <c r="S2830" t="s">
        <v>24690</v>
      </c>
    </row>
    <row r="2831" spans="1:19" x14ac:dyDescent="0.25">
      <c r="A2831" s="1">
        <v>2829</v>
      </c>
      <c r="B2831" t="str">
        <f>HYPERLINK("https://www.dasschnelle.at/franz-sajowitz-kg-mariazell-friedhofgasse","Website")</f>
        <v>Website</v>
      </c>
      <c r="C2831" t="str">
        <f>HYPERLINK("http://www.sajowitz-kapfenberg.at","Website")</f>
        <v>Website</v>
      </c>
      <c r="D2831" t="str">
        <f>HYPERLINK("http://www.google.com/maps/place/47.77262,15.3144","Location")</f>
        <v>Location</v>
      </c>
      <c r="E2831" t="s">
        <v>24693</v>
      </c>
      <c r="F2831" t="s">
        <v>24694</v>
      </c>
      <c r="G2831" t="s">
        <v>12529</v>
      </c>
      <c r="H2831" t="s">
        <v>24696</v>
      </c>
      <c r="I2831" t="s">
        <v>451</v>
      </c>
      <c r="J2831" t="s">
        <v>22</v>
      </c>
      <c r="K2831" t="s">
        <v>24695</v>
      </c>
      <c r="L2831" t="s">
        <v>24699</v>
      </c>
      <c r="M2831" t="s">
        <v>25</v>
      </c>
      <c r="N2831" t="s">
        <v>14435</v>
      </c>
      <c r="O2831" t="s">
        <v>24700</v>
      </c>
      <c r="P2831" t="s">
        <v>24701</v>
      </c>
      <c r="Q2831" t="s">
        <v>29</v>
      </c>
      <c r="R2831" t="s">
        <v>24697</v>
      </c>
      <c r="S2831" t="s">
        <v>24698</v>
      </c>
    </row>
    <row r="2832" spans="1:19" x14ac:dyDescent="0.25">
      <c r="A2832" s="1">
        <v>2830</v>
      </c>
      <c r="B2832" t="str">
        <f>HYPERLINK("https://www.dasschnelle.at/siebler-günther-simmerlach-simmerlach","Website")</f>
        <v>Website</v>
      </c>
      <c r="C2832" t="str">
        <f>HYPERLINK("http://www.derdrautaler.at","Website")</f>
        <v>Website</v>
      </c>
      <c r="D2832" t="str">
        <f>HYPERLINK("http://www.google.com/maps/place/46.7506562,12.9941650","Location")</f>
        <v>Location</v>
      </c>
      <c r="E2832" t="s">
        <v>24702</v>
      </c>
      <c r="F2832" t="s">
        <v>24703</v>
      </c>
      <c r="G2832" t="s">
        <v>24705</v>
      </c>
      <c r="H2832" t="s">
        <v>24706</v>
      </c>
      <c r="I2832" t="s">
        <v>4130</v>
      </c>
      <c r="J2832" t="s">
        <v>22</v>
      </c>
      <c r="K2832" t="s">
        <v>24704</v>
      </c>
      <c r="L2832" t="s">
        <v>24709</v>
      </c>
      <c r="M2832" t="s">
        <v>24710</v>
      </c>
      <c r="N2832" t="s">
        <v>24711</v>
      </c>
      <c r="O2832" t="s">
        <v>25</v>
      </c>
      <c r="P2832" t="s">
        <v>24712</v>
      </c>
      <c r="Q2832" t="s">
        <v>29</v>
      </c>
      <c r="R2832" t="s">
        <v>24707</v>
      </c>
      <c r="S2832" t="s">
        <v>24708</v>
      </c>
    </row>
    <row r="2833" spans="1:19" x14ac:dyDescent="0.25">
      <c r="A2833" s="1">
        <v>2831</v>
      </c>
      <c r="B2833" t="str">
        <f>HYPERLINK("https://www.dasschnelle.at/kurzmann-werner-weitra-wilhelm-szabo-straße","Website")</f>
        <v>Website</v>
      </c>
      <c r="C2833" t="str">
        <f>HYPERLINK("http://www.massivholzwerkstatt.at","Website")</f>
        <v>Website</v>
      </c>
      <c r="D2833" t="str">
        <f>HYPERLINK("http://www.google.com/maps/place/48.6502648,14.9421406","Location")</f>
        <v>Location</v>
      </c>
      <c r="E2833" t="s">
        <v>24713</v>
      </c>
      <c r="F2833" t="s">
        <v>24714</v>
      </c>
      <c r="G2833" t="s">
        <v>11931</v>
      </c>
      <c r="H2833" t="s">
        <v>11932</v>
      </c>
      <c r="I2833" t="s">
        <v>177</v>
      </c>
      <c r="J2833" t="s">
        <v>22</v>
      </c>
      <c r="K2833" t="s">
        <v>24715</v>
      </c>
      <c r="L2833" t="s">
        <v>24718</v>
      </c>
      <c r="M2833" t="s">
        <v>25</v>
      </c>
      <c r="N2833" t="s">
        <v>24719</v>
      </c>
      <c r="O2833" t="s">
        <v>25</v>
      </c>
      <c r="P2833" t="s">
        <v>24720</v>
      </c>
      <c r="Q2833" t="s">
        <v>29</v>
      </c>
      <c r="R2833" t="s">
        <v>24716</v>
      </c>
      <c r="S2833" t="s">
        <v>24717</v>
      </c>
    </row>
    <row r="2834" spans="1:19" x14ac:dyDescent="0.25">
      <c r="A2834" s="1">
        <v>2832</v>
      </c>
      <c r="B2834" t="str">
        <f>HYPERLINK("https://www.dasschnelle.at/holzbau-willibald-longin-gmbh-dobersberg-siedlungsgasse","Website")</f>
        <v>Website</v>
      </c>
      <c r="C2834" t="str">
        <f>HYPERLINK("http://www.longin.at","Website")</f>
        <v>Website</v>
      </c>
      <c r="D2834" t="str">
        <f>HYPERLINK("http://www.google.com/maps/place/48.9197200,15.3205500","Location")</f>
        <v>Location</v>
      </c>
      <c r="E2834" t="s">
        <v>24721</v>
      </c>
      <c r="F2834" t="s">
        <v>24722</v>
      </c>
      <c r="G2834" t="s">
        <v>24724</v>
      </c>
      <c r="H2834" t="s">
        <v>24725</v>
      </c>
      <c r="I2834" t="s">
        <v>177</v>
      </c>
      <c r="J2834" t="s">
        <v>22</v>
      </c>
      <c r="K2834" t="s">
        <v>24723</v>
      </c>
      <c r="L2834" t="s">
        <v>24728</v>
      </c>
      <c r="M2834" t="s">
        <v>25</v>
      </c>
      <c r="N2834" t="s">
        <v>24729</v>
      </c>
      <c r="O2834" t="s">
        <v>25</v>
      </c>
      <c r="P2834" t="s">
        <v>24730</v>
      </c>
      <c r="Q2834" t="s">
        <v>29</v>
      </c>
      <c r="R2834" t="s">
        <v>24726</v>
      </c>
      <c r="S2834" t="s">
        <v>24727</v>
      </c>
    </row>
    <row r="2835" spans="1:19" x14ac:dyDescent="0.25">
      <c r="A2835" s="1">
        <v>2833</v>
      </c>
      <c r="B2835" t="str">
        <f>HYPERLINK("https://www.dasschnelle.at/eggenberger-jürgen-gastern-wiesmaden","Website")</f>
        <v>Website</v>
      </c>
      <c r="C2835" t="str">
        <f>HYPERLINK("http://www.holzbau-eggenberger.at","Website")</f>
        <v>Website</v>
      </c>
      <c r="D2835" t="str">
        <f>HYPERLINK("http://www.google.com/maps/place/48.8837997,15.1919752","Location")</f>
        <v>Location</v>
      </c>
      <c r="E2835" t="s">
        <v>24731</v>
      </c>
      <c r="F2835" t="s">
        <v>24732</v>
      </c>
      <c r="G2835" t="s">
        <v>24734</v>
      </c>
      <c r="H2835" t="s">
        <v>24735</v>
      </c>
      <c r="I2835" t="s">
        <v>177</v>
      </c>
      <c r="J2835" t="s">
        <v>22</v>
      </c>
      <c r="K2835" t="s">
        <v>24733</v>
      </c>
      <c r="L2835" t="s">
        <v>24738</v>
      </c>
      <c r="M2835" t="s">
        <v>25</v>
      </c>
      <c r="N2835" t="s">
        <v>24739</v>
      </c>
      <c r="O2835" t="s">
        <v>25</v>
      </c>
      <c r="P2835" t="s">
        <v>24740</v>
      </c>
      <c r="Q2835" t="s">
        <v>29</v>
      </c>
      <c r="R2835" t="s">
        <v>24736</v>
      </c>
      <c r="S2835" t="s">
        <v>24737</v>
      </c>
    </row>
    <row r="2836" spans="1:19" x14ac:dyDescent="0.25">
      <c r="A2836" s="1">
        <v>2834</v>
      </c>
      <c r="B2836" t="str">
        <f>HYPERLINK("https://www.dasschnelle.at/hager-ingeborg-pleßberg-pleßberg","Website")</f>
        <v>Website</v>
      </c>
      <c r="C2836" t="str">
        <f>HYPERLINK("http://www.erdbau-hager.at","Website")</f>
        <v>Website</v>
      </c>
      <c r="D2836" t="str">
        <f>HYPERLINK("http://www.google.com/maps/place/48.9141820,15.2557790","Location")</f>
        <v>Location</v>
      </c>
      <c r="E2836" t="s">
        <v>24741</v>
      </c>
      <c r="F2836" t="s">
        <v>24742</v>
      </c>
      <c r="G2836" t="s">
        <v>24744</v>
      </c>
      <c r="H2836" t="s">
        <v>24745</v>
      </c>
      <c r="I2836" t="s">
        <v>177</v>
      </c>
      <c r="J2836" t="s">
        <v>22</v>
      </c>
      <c r="K2836" t="s">
        <v>24743</v>
      </c>
      <c r="L2836" t="s">
        <v>24748</v>
      </c>
      <c r="M2836" t="s">
        <v>25</v>
      </c>
      <c r="N2836" t="s">
        <v>24749</v>
      </c>
      <c r="O2836" t="s">
        <v>25</v>
      </c>
      <c r="P2836" t="s">
        <v>24750</v>
      </c>
      <c r="Q2836" t="s">
        <v>29</v>
      </c>
      <c r="R2836" t="s">
        <v>24746</v>
      </c>
      <c r="S2836" t="s">
        <v>24747</v>
      </c>
    </row>
    <row r="2837" spans="1:19" x14ac:dyDescent="0.25">
      <c r="A2837" s="1">
        <v>2835</v>
      </c>
      <c r="B2837" t="str">
        <f>HYPERLINK("https://www.dasschnelle.at/schuh-silvia-waidhofen-an-der-thaya-vitiserstraße","Website")</f>
        <v>Website</v>
      </c>
      <c r="C2837" t="str">
        <f>HYPERLINK("http://www.friseur-wellness.at","Website")</f>
        <v>Website</v>
      </c>
      <c r="D2837" t="str">
        <f>HYPERLINK("http://www.google.com/maps/place/48.81224,15.28061","Location")</f>
        <v>Location</v>
      </c>
      <c r="E2837" t="s">
        <v>24751</v>
      </c>
      <c r="F2837" t="s">
        <v>24752</v>
      </c>
      <c r="G2837" t="s">
        <v>10987</v>
      </c>
      <c r="H2837" t="s">
        <v>10988</v>
      </c>
      <c r="I2837" t="s">
        <v>177</v>
      </c>
      <c r="J2837" t="s">
        <v>22</v>
      </c>
      <c r="K2837" t="s">
        <v>24753</v>
      </c>
      <c r="L2837" t="s">
        <v>24756</v>
      </c>
      <c r="M2837" t="s">
        <v>25</v>
      </c>
      <c r="N2837" t="s">
        <v>24757</v>
      </c>
      <c r="O2837" t="s">
        <v>25</v>
      </c>
      <c r="P2837" t="s">
        <v>24758</v>
      </c>
      <c r="Q2837" t="s">
        <v>29</v>
      </c>
      <c r="R2837" t="s">
        <v>24754</v>
      </c>
      <c r="S2837" t="s">
        <v>24755</v>
      </c>
    </row>
    <row r="2838" spans="1:19" x14ac:dyDescent="0.25">
      <c r="A2838" s="1">
        <v>2836</v>
      </c>
      <c r="B2838" t="str">
        <f>HYPERLINK("https://www.dasschnelle.at/wohnträume-hauer-gmbh-waidhofen-thaya-südtiroler-straße","Website")</f>
        <v>Website</v>
      </c>
      <c r="C2838" t="str">
        <f>HYPERLINK("http://www.hauer-wohntraum.at","Website")</f>
        <v>Website</v>
      </c>
      <c r="D2838" t="str">
        <f>HYPERLINK("http://www.google.com/maps/place/48.8148938,15.2792933","Location")</f>
        <v>Location</v>
      </c>
      <c r="E2838" t="s">
        <v>24759</v>
      </c>
      <c r="F2838" t="s">
        <v>24760</v>
      </c>
      <c r="G2838" t="s">
        <v>10987</v>
      </c>
      <c r="H2838" t="s">
        <v>24762</v>
      </c>
      <c r="I2838" t="s">
        <v>177</v>
      </c>
      <c r="J2838" t="s">
        <v>22</v>
      </c>
      <c r="K2838" t="s">
        <v>24761</v>
      </c>
      <c r="L2838" t="s">
        <v>24765</v>
      </c>
      <c r="M2838" t="s">
        <v>25</v>
      </c>
      <c r="N2838" t="s">
        <v>24766</v>
      </c>
      <c r="O2838" t="s">
        <v>25</v>
      </c>
      <c r="P2838" t="s">
        <v>24767</v>
      </c>
      <c r="Q2838" t="s">
        <v>29</v>
      </c>
      <c r="R2838" t="s">
        <v>24763</v>
      </c>
      <c r="S2838" t="s">
        <v>24764</v>
      </c>
    </row>
    <row r="2839" spans="1:19" x14ac:dyDescent="0.25">
      <c r="A2839" s="1">
        <v>2837</v>
      </c>
      <c r="B2839" t="str">
        <f>HYPERLINK("https://www.dasschnelle.at/restaurant-burgstüberl-heidenreichstein-waidhofener-straße","Website")</f>
        <v>Website</v>
      </c>
      <c r="C2839" t="str">
        <f>HYPERLINK("http://www.burgstueberl.at","Website")</f>
        <v>Website</v>
      </c>
      <c r="D2839" t="str">
        <f>HYPERLINK("http://www.google.com/maps/place/48.86513,15.12237","Location")</f>
        <v>Location</v>
      </c>
      <c r="E2839" t="s">
        <v>24768</v>
      </c>
      <c r="F2839" t="s">
        <v>24769</v>
      </c>
      <c r="G2839" t="s">
        <v>24771</v>
      </c>
      <c r="H2839" t="s">
        <v>24772</v>
      </c>
      <c r="I2839" t="s">
        <v>177</v>
      </c>
      <c r="J2839" t="s">
        <v>22</v>
      </c>
      <c r="K2839" t="s">
        <v>24770</v>
      </c>
      <c r="L2839" t="s">
        <v>24775</v>
      </c>
      <c r="M2839" t="s">
        <v>25</v>
      </c>
      <c r="N2839" t="s">
        <v>24776</v>
      </c>
      <c r="O2839" t="s">
        <v>25</v>
      </c>
      <c r="P2839" t="s">
        <v>24777</v>
      </c>
      <c r="Q2839" t="s">
        <v>29</v>
      </c>
      <c r="R2839" t="s">
        <v>24773</v>
      </c>
      <c r="S2839" t="s">
        <v>24774</v>
      </c>
    </row>
    <row r="2840" spans="1:19" x14ac:dyDescent="0.25">
      <c r="A2840" s="1">
        <v>2838</v>
      </c>
      <c r="B2840" t="str">
        <f>HYPERLINK("https://www.dasschnelle.at/dely-christian-stockerau-anna-grundschober-gasse","Website")</f>
        <v>Website</v>
      </c>
      <c r="C2840" t="str">
        <f>HYPERLINK("http://www.sandstrahlen-stockerau.at","Website")</f>
        <v>Website</v>
      </c>
      <c r="D2840" t="str">
        <f>HYPERLINK("http://www.google.com/maps/place/48.38372,16.18493","Location")</f>
        <v>Location</v>
      </c>
      <c r="E2840" t="s">
        <v>24778</v>
      </c>
      <c r="F2840" t="s">
        <v>24779</v>
      </c>
      <c r="G2840" t="s">
        <v>13026</v>
      </c>
      <c r="H2840" t="s">
        <v>13027</v>
      </c>
      <c r="I2840" t="s">
        <v>177</v>
      </c>
      <c r="J2840" t="s">
        <v>22</v>
      </c>
      <c r="K2840" t="s">
        <v>24780</v>
      </c>
      <c r="L2840" t="s">
        <v>24783</v>
      </c>
      <c r="M2840" t="s">
        <v>25</v>
      </c>
      <c r="N2840" t="s">
        <v>24784</v>
      </c>
      <c r="O2840" t="s">
        <v>25</v>
      </c>
      <c r="P2840" t="s">
        <v>24785</v>
      </c>
      <c r="Q2840" t="s">
        <v>29</v>
      </c>
      <c r="R2840" t="s">
        <v>24781</v>
      </c>
      <c r="S2840" t="s">
        <v>24782</v>
      </c>
    </row>
    <row r="2841" spans="1:19" x14ac:dyDescent="0.25">
      <c r="A2841" s="1">
        <v>2839</v>
      </c>
      <c r="B2841" t="str">
        <f>HYPERLINK("https://www.dasschnelle.at/weinlinger-gesmbh-unterzögersdorf-am-anger","Website")</f>
        <v>Website</v>
      </c>
      <c r="C2841" t="str">
        <f>HYPERLINK("http://www.weinlinger.com","Website")</f>
        <v>Website</v>
      </c>
      <c r="D2841" t="str">
        <f>HYPERLINK("http://www.google.com/maps/place/48.37993,16.17486","Location")</f>
        <v>Location</v>
      </c>
      <c r="E2841" t="s">
        <v>24786</v>
      </c>
      <c r="F2841" t="s">
        <v>24787</v>
      </c>
      <c r="G2841" t="s">
        <v>13026</v>
      </c>
      <c r="H2841" t="s">
        <v>24789</v>
      </c>
      <c r="I2841" t="s">
        <v>177</v>
      </c>
      <c r="J2841" t="s">
        <v>22</v>
      </c>
      <c r="K2841" t="s">
        <v>24788</v>
      </c>
      <c r="L2841" t="s">
        <v>24792</v>
      </c>
      <c r="M2841" t="s">
        <v>25</v>
      </c>
      <c r="N2841" t="s">
        <v>24793</v>
      </c>
      <c r="O2841" t="s">
        <v>24794</v>
      </c>
      <c r="P2841" t="s">
        <v>24795</v>
      </c>
      <c r="Q2841" t="s">
        <v>29</v>
      </c>
      <c r="R2841" t="s">
        <v>24790</v>
      </c>
      <c r="S2841" t="s">
        <v>24791</v>
      </c>
    </row>
    <row r="2842" spans="1:19" x14ac:dyDescent="0.25">
      <c r="A2842" s="1">
        <v>2840</v>
      </c>
      <c r="B2842" t="str">
        <f>HYPERLINK("https://www.dasschnelle.at/wieser-andreas-steinfeld-lindenweg","Website")</f>
        <v>Website</v>
      </c>
      <c r="C2842" t="str">
        <f>HYPERLINK("http://www.andreaswieser.at","Website")</f>
        <v>Website</v>
      </c>
      <c r="D2842" t="str">
        <f>HYPERLINK("http://www.google.com/maps/place/46.75538,13.24661","Location")</f>
        <v>Location</v>
      </c>
      <c r="E2842" t="s">
        <v>24796</v>
      </c>
      <c r="F2842" t="s">
        <v>24797</v>
      </c>
      <c r="G2842" t="s">
        <v>24799</v>
      </c>
      <c r="H2842" t="s">
        <v>24800</v>
      </c>
      <c r="I2842" t="s">
        <v>4130</v>
      </c>
      <c r="J2842" t="s">
        <v>22</v>
      </c>
      <c r="K2842" t="s">
        <v>24798</v>
      </c>
      <c r="L2842" t="s">
        <v>24803</v>
      </c>
      <c r="M2842" t="s">
        <v>25</v>
      </c>
      <c r="N2842" t="s">
        <v>24804</v>
      </c>
      <c r="O2842" t="s">
        <v>24805</v>
      </c>
      <c r="P2842" t="s">
        <v>24806</v>
      </c>
      <c r="Q2842" t="s">
        <v>29</v>
      </c>
      <c r="R2842" t="s">
        <v>24801</v>
      </c>
      <c r="S2842" t="s">
        <v>24802</v>
      </c>
    </row>
    <row r="2843" spans="1:19" x14ac:dyDescent="0.25">
      <c r="A2843" s="1">
        <v>2841</v>
      </c>
      <c r="B2843" t="str">
        <f>HYPERLINK("https://www.dasschnelle.at/jarusch-johann-dr-mondsee-herzog-odilo-straße","Website")</f>
        <v>Website</v>
      </c>
      <c r="C2843" t="str">
        <f>HYPERLINK("http://www.dr-johann-jarusch.stadtausstellung.at","Website")</f>
        <v>Website</v>
      </c>
      <c r="D2843" t="str">
        <f>HYPERLINK("http://www.google.com/maps/place/47.85886,13.34664","Location")</f>
        <v>Location</v>
      </c>
      <c r="E2843" t="s">
        <v>24807</v>
      </c>
      <c r="F2843" t="s">
        <v>24808</v>
      </c>
      <c r="G2843" t="s">
        <v>6543</v>
      </c>
      <c r="H2843" t="s">
        <v>6544</v>
      </c>
      <c r="I2843" t="s">
        <v>85</v>
      </c>
      <c r="J2843" t="s">
        <v>22</v>
      </c>
      <c r="K2843" t="s">
        <v>24809</v>
      </c>
      <c r="L2843" t="s">
        <v>24812</v>
      </c>
      <c r="M2843" t="s">
        <v>25</v>
      </c>
      <c r="N2843" t="s">
        <v>24813</v>
      </c>
      <c r="O2843" t="s">
        <v>25</v>
      </c>
      <c r="P2843" t="s">
        <v>24814</v>
      </c>
      <c r="Q2843" t="s">
        <v>29</v>
      </c>
      <c r="R2843" t="s">
        <v>24810</v>
      </c>
      <c r="S2843" t="s">
        <v>24811</v>
      </c>
    </row>
    <row r="2844" spans="1:19" x14ac:dyDescent="0.25">
      <c r="A2844" s="1">
        <v>2842</v>
      </c>
      <c r="B2844" t="str">
        <f>HYPERLINK("https://www.dasschnelle.at/studio-hairstyle-anibas-und-anibas-og-heidwenreichstein-schremser-straße","Website")</f>
        <v>Website</v>
      </c>
      <c r="C2844" t="str">
        <f>HYPERLINK("http://www.studio-hairstyle.at","Website")</f>
        <v>Website</v>
      </c>
      <c r="D2844" t="str">
        <f>HYPERLINK("http://www.google.com/maps/place/48.86683,15.12115","Location")</f>
        <v>Location</v>
      </c>
      <c r="E2844" t="s">
        <v>24815</v>
      </c>
      <c r="F2844" t="s">
        <v>24816</v>
      </c>
      <c r="G2844" t="s">
        <v>24771</v>
      </c>
      <c r="H2844" t="s">
        <v>24818</v>
      </c>
      <c r="I2844" t="s">
        <v>177</v>
      </c>
      <c r="J2844" t="s">
        <v>22</v>
      </c>
      <c r="K2844" t="s">
        <v>24817</v>
      </c>
      <c r="L2844" t="s">
        <v>24821</v>
      </c>
      <c r="M2844" t="s">
        <v>25</v>
      </c>
      <c r="N2844" t="s">
        <v>24822</v>
      </c>
      <c r="O2844" t="s">
        <v>25</v>
      </c>
      <c r="P2844" t="s">
        <v>24823</v>
      </c>
      <c r="Q2844" t="s">
        <v>29</v>
      </c>
      <c r="R2844" t="s">
        <v>24819</v>
      </c>
      <c r="S2844" t="s">
        <v>24820</v>
      </c>
    </row>
    <row r="2845" spans="1:19" x14ac:dyDescent="0.25">
      <c r="A2845" s="1">
        <v>2843</v>
      </c>
      <c r="B2845" t="str">
        <f>HYPERLINK("https://www.dasschnelle.at/kfz-technik-christian-schwab-gmbh-bischofshofen-bundesstraße","Website")</f>
        <v>Website</v>
      </c>
      <c r="C2845" t="str">
        <f>HYPERLINK("http://www.kfz-schwab.at","Website")</f>
        <v>Website</v>
      </c>
      <c r="D2845" t="str">
        <f>HYPERLINK("http://www.google.com/maps/place/47.39603,13.22249","Location")</f>
        <v>Location</v>
      </c>
      <c r="E2845" t="s">
        <v>24824</v>
      </c>
      <c r="F2845" t="s">
        <v>24825</v>
      </c>
      <c r="G2845" t="s">
        <v>24827</v>
      </c>
      <c r="H2845" t="s">
        <v>24828</v>
      </c>
      <c r="I2845" t="s">
        <v>2239</v>
      </c>
      <c r="J2845" t="s">
        <v>22</v>
      </c>
      <c r="K2845" t="s">
        <v>24826</v>
      </c>
      <c r="L2845" t="s">
        <v>24831</v>
      </c>
      <c r="M2845" t="s">
        <v>25</v>
      </c>
      <c r="N2845" t="s">
        <v>24832</v>
      </c>
      <c r="O2845" t="s">
        <v>25</v>
      </c>
      <c r="P2845" t="s">
        <v>24833</v>
      </c>
      <c r="Q2845" t="s">
        <v>29</v>
      </c>
      <c r="R2845" t="s">
        <v>24829</v>
      </c>
      <c r="S2845" t="s">
        <v>24830</v>
      </c>
    </row>
    <row r="2846" spans="1:19" x14ac:dyDescent="0.25">
      <c r="A2846" s="1">
        <v>2844</v>
      </c>
      <c r="B2846" t="str">
        <f>HYPERLINK("https://www.dasschnelle.at/huber-wolfgang-sankt-johann-im-pongau-gerbergasse","Website")</f>
        <v>Website</v>
      </c>
      <c r="C2846" t="str">
        <f>HYPERLINK("http://www.itixpert.at","Website")</f>
        <v>Website</v>
      </c>
      <c r="D2846" t="str">
        <f>HYPERLINK("http://www.google.com/maps/place/47.35338,13.19544","Location")</f>
        <v>Location</v>
      </c>
      <c r="E2846" t="s">
        <v>24834</v>
      </c>
      <c r="F2846" t="s">
        <v>24835</v>
      </c>
      <c r="G2846" t="s">
        <v>24837</v>
      </c>
      <c r="H2846" t="s">
        <v>24838</v>
      </c>
      <c r="I2846" t="s">
        <v>2239</v>
      </c>
      <c r="J2846" t="s">
        <v>22</v>
      </c>
      <c r="K2846" t="s">
        <v>24836</v>
      </c>
      <c r="L2846" t="s">
        <v>24841</v>
      </c>
      <c r="M2846" t="s">
        <v>25</v>
      </c>
      <c r="N2846" t="s">
        <v>24842</v>
      </c>
      <c r="O2846" t="s">
        <v>25</v>
      </c>
      <c r="P2846" t="s">
        <v>24843</v>
      </c>
      <c r="Q2846" t="s">
        <v>29</v>
      </c>
      <c r="R2846" t="s">
        <v>24839</v>
      </c>
      <c r="S2846" t="s">
        <v>24840</v>
      </c>
    </row>
    <row r="2847" spans="1:19" x14ac:dyDescent="0.25">
      <c r="A2847" s="1">
        <v>2845</v>
      </c>
      <c r="B2847" t="str">
        <f>HYPERLINK("https://www.dasschnelle.at/knoth-autoreparatur-u-handelsgesmbh-stockerau-ing-josef-heckl-straße","Website")</f>
        <v>Website</v>
      </c>
      <c r="C2847" t="str">
        <f>HYPERLINK("http://www.autohaus-knoth.at","Website")</f>
        <v>Website</v>
      </c>
      <c r="D2847" t="str">
        <f>HYPERLINK("http://www.google.com/maps/place/48.3885968,16.1879468","Location")</f>
        <v>Location</v>
      </c>
      <c r="E2847" t="s">
        <v>24844</v>
      </c>
      <c r="F2847" t="s">
        <v>24845</v>
      </c>
      <c r="G2847" t="s">
        <v>13026</v>
      </c>
      <c r="H2847" t="s">
        <v>13027</v>
      </c>
      <c r="I2847" t="s">
        <v>177</v>
      </c>
      <c r="J2847" t="s">
        <v>22</v>
      </c>
      <c r="K2847" t="s">
        <v>24846</v>
      </c>
      <c r="L2847" t="s">
        <v>24849</v>
      </c>
      <c r="M2847" t="s">
        <v>25</v>
      </c>
      <c r="N2847" t="s">
        <v>24850</v>
      </c>
      <c r="O2847" t="s">
        <v>25</v>
      </c>
      <c r="P2847" t="s">
        <v>24851</v>
      </c>
      <c r="Q2847" t="s">
        <v>29</v>
      </c>
      <c r="R2847" t="s">
        <v>24847</v>
      </c>
      <c r="S2847" t="s">
        <v>24848</v>
      </c>
    </row>
    <row r="2848" spans="1:19" x14ac:dyDescent="0.25">
      <c r="A2848" s="1">
        <v>2846</v>
      </c>
      <c r="B2848" t="str">
        <f>HYPERLINK("https://www.dasschnelle.at/baudesign-immobilien-gmbh-inh-michael-ryba-korneuburg-salzstraße","Website")</f>
        <v>Website</v>
      </c>
      <c r="C2848" t="str">
        <f>HYPERLINK("http://www.baudesign-immobilien.at","Website")</f>
        <v>Website</v>
      </c>
      <c r="D2848" t="str">
        <f>HYPERLINK("http://www.google.com/maps/place/48.3447031,16.3343313","Location")</f>
        <v>Location</v>
      </c>
      <c r="E2848" t="s">
        <v>24852</v>
      </c>
      <c r="F2848" t="s">
        <v>24853</v>
      </c>
      <c r="G2848" t="s">
        <v>440</v>
      </c>
      <c r="H2848" t="s">
        <v>441</v>
      </c>
      <c r="I2848" t="s">
        <v>177</v>
      </c>
      <c r="J2848" t="s">
        <v>22</v>
      </c>
      <c r="K2848" t="s">
        <v>24854</v>
      </c>
      <c r="L2848" t="s">
        <v>24857</v>
      </c>
      <c r="M2848" t="s">
        <v>25</v>
      </c>
      <c r="N2848" t="s">
        <v>24858</v>
      </c>
      <c r="O2848" t="s">
        <v>25</v>
      </c>
      <c r="P2848" t="s">
        <v>24859</v>
      </c>
      <c r="Q2848" t="s">
        <v>29</v>
      </c>
      <c r="R2848" t="s">
        <v>24855</v>
      </c>
      <c r="S2848" t="s">
        <v>24856</v>
      </c>
    </row>
    <row r="2849" spans="1:19" x14ac:dyDescent="0.25">
      <c r="A2849" s="1">
        <v>2847</v>
      </c>
      <c r="B2849" t="str">
        <f>HYPERLINK("https://www.dasschnelle.at/expert-nordwaldcenter-bad-großpertholz-bad-großpertholz","Website")</f>
        <v>Website</v>
      </c>
      <c r="C2849" t="str">
        <f>HYPERLINK("http://www.nordwaldcenter.at","Website")</f>
        <v>Website</v>
      </c>
      <c r="D2849" t="str">
        <f>HYPERLINK("http://www.google.com/maps/place/48.6260263,14.8328756","Location")</f>
        <v>Location</v>
      </c>
      <c r="E2849" t="s">
        <v>24860</v>
      </c>
      <c r="F2849" t="s">
        <v>24861</v>
      </c>
      <c r="G2849" t="s">
        <v>24863</v>
      </c>
      <c r="H2849" t="s">
        <v>24864</v>
      </c>
      <c r="I2849" t="s">
        <v>177</v>
      </c>
      <c r="J2849" t="s">
        <v>22</v>
      </c>
      <c r="K2849" t="s">
        <v>24862</v>
      </c>
      <c r="L2849" t="s">
        <v>24867</v>
      </c>
      <c r="M2849" t="s">
        <v>25</v>
      </c>
      <c r="N2849" t="s">
        <v>24868</v>
      </c>
      <c r="O2849" t="s">
        <v>25</v>
      </c>
      <c r="P2849" t="s">
        <v>24869</v>
      </c>
      <c r="Q2849" t="s">
        <v>29</v>
      </c>
      <c r="R2849" t="s">
        <v>24865</v>
      </c>
      <c r="S2849" t="s">
        <v>24866</v>
      </c>
    </row>
    <row r="2850" spans="1:19" x14ac:dyDescent="0.25">
      <c r="A2850" s="1">
        <v>2848</v>
      </c>
      <c r="B2850" t="str">
        <f>HYPERLINK("https://www.dasschnelle.at/klaus-auto-lackier-und-spengler-gesmbh-tresdorf-korneuburger-straße","Website")</f>
        <v>Website</v>
      </c>
      <c r="C2850" t="str">
        <f>HYPERLINK("http://www.auto-klaus.at","Website")</f>
        <v>Website</v>
      </c>
      <c r="D2850" t="str">
        <f>HYPERLINK("http://www.google.com/maps/place/48.3930000,16.3712000","Location")</f>
        <v>Location</v>
      </c>
      <c r="E2850" t="s">
        <v>24870</v>
      </c>
      <c r="F2850" t="s">
        <v>24871</v>
      </c>
      <c r="G2850" t="s">
        <v>24873</v>
      </c>
      <c r="H2850" t="s">
        <v>24874</v>
      </c>
      <c r="I2850" t="s">
        <v>177</v>
      </c>
      <c r="J2850" t="s">
        <v>22</v>
      </c>
      <c r="K2850" t="s">
        <v>24872</v>
      </c>
      <c r="L2850" t="s">
        <v>24877</v>
      </c>
      <c r="M2850" t="s">
        <v>25</v>
      </c>
      <c r="N2850" t="s">
        <v>24878</v>
      </c>
      <c r="O2850" t="s">
        <v>25</v>
      </c>
      <c r="P2850" t="s">
        <v>24879</v>
      </c>
      <c r="Q2850" t="s">
        <v>29</v>
      </c>
      <c r="R2850" t="s">
        <v>24875</v>
      </c>
      <c r="S2850" t="s">
        <v>24876</v>
      </c>
    </row>
    <row r="2851" spans="1:19" x14ac:dyDescent="0.25">
      <c r="A2851" s="1">
        <v>2849</v>
      </c>
      <c r="B2851" t="str">
        <f>HYPERLINK("https://www.dasschnelle.at/reiter-maler-gmbh-raab-marktstraße","Website")</f>
        <v>Website</v>
      </c>
      <c r="C2851" t="str">
        <f>HYPERLINK("http://www.reiter-maler.at","Website")</f>
        <v>Website</v>
      </c>
      <c r="D2851" t="str">
        <f>HYPERLINK("http://www.google.com/maps/place/48.3519,13.64726","Location")</f>
        <v>Location</v>
      </c>
      <c r="E2851" t="s">
        <v>24880</v>
      </c>
      <c r="F2851" t="s">
        <v>24881</v>
      </c>
      <c r="G2851" t="s">
        <v>8869</v>
      </c>
      <c r="H2851" t="s">
        <v>8870</v>
      </c>
      <c r="I2851" t="s">
        <v>85</v>
      </c>
      <c r="J2851" t="s">
        <v>22</v>
      </c>
      <c r="K2851" t="s">
        <v>24882</v>
      </c>
      <c r="L2851" t="s">
        <v>24885</v>
      </c>
      <c r="M2851" t="s">
        <v>25</v>
      </c>
      <c r="N2851" t="s">
        <v>24886</v>
      </c>
      <c r="O2851" t="s">
        <v>25</v>
      </c>
      <c r="P2851" t="s">
        <v>24887</v>
      </c>
      <c r="Q2851" t="s">
        <v>29</v>
      </c>
      <c r="R2851" t="s">
        <v>24883</v>
      </c>
      <c r="S2851" t="s">
        <v>24884</v>
      </c>
    </row>
    <row r="2852" spans="1:19" x14ac:dyDescent="0.25">
      <c r="A2852" s="1">
        <v>2850</v>
      </c>
      <c r="B2852" t="str">
        <f>HYPERLINK("https://www.dasschnelle.at/gelbmann-werner-spittal-aichergasse","Website")</f>
        <v>Website</v>
      </c>
      <c r="C2852" t="str">
        <f>HYPERLINK("https://www.dasschnelle.at/gelbmann-werner-spittal-aichergasse","Website")</f>
        <v>Website</v>
      </c>
      <c r="D2852" t="str">
        <f>HYPERLINK("http://www.google.com/maps/place/46.7952176,13.5001931","Location")</f>
        <v>Location</v>
      </c>
      <c r="E2852" t="s">
        <v>24888</v>
      </c>
      <c r="F2852" t="s">
        <v>24889</v>
      </c>
      <c r="G2852" t="s">
        <v>4160</v>
      </c>
      <c r="H2852" t="s">
        <v>4161</v>
      </c>
      <c r="I2852" t="s">
        <v>4130</v>
      </c>
      <c r="J2852" t="s">
        <v>22</v>
      </c>
      <c r="K2852" t="s">
        <v>24890</v>
      </c>
      <c r="L2852" t="s">
        <v>24893</v>
      </c>
      <c r="M2852" t="s">
        <v>25</v>
      </c>
      <c r="N2852" t="s">
        <v>24894</v>
      </c>
      <c r="O2852" t="s">
        <v>25</v>
      </c>
      <c r="P2852" t="s">
        <v>24895</v>
      </c>
      <c r="Q2852" t="s">
        <v>29</v>
      </c>
      <c r="R2852" t="s">
        <v>24891</v>
      </c>
      <c r="S2852" t="s">
        <v>24892</v>
      </c>
    </row>
    <row r="2853" spans="1:19" x14ac:dyDescent="0.25">
      <c r="A2853" s="1">
        <v>2851</v>
      </c>
      <c r="B2853" t="str">
        <f>HYPERLINK("https://www.dasschnelle.at/hermann-haag-harmannsdorf-rückersdorf-harmannsdorf-harmannsdorfer-straße","Website")</f>
        <v>Website</v>
      </c>
      <c r="C2853" t="str">
        <f>HYPERLINK("http://www.kfz-haag.at","Website")</f>
        <v>Website</v>
      </c>
      <c r="D2853" t="str">
        <f>HYPERLINK("http://www.google.com/maps/place/48.3897075,16.3687648","Location")</f>
        <v>Location</v>
      </c>
      <c r="E2853" t="s">
        <v>24896</v>
      </c>
      <c r="F2853" t="s">
        <v>24897</v>
      </c>
      <c r="G2853" t="s">
        <v>24873</v>
      </c>
      <c r="H2853" t="s">
        <v>24899</v>
      </c>
      <c r="I2853" t="s">
        <v>177</v>
      </c>
      <c r="J2853" t="s">
        <v>22</v>
      </c>
      <c r="K2853" t="s">
        <v>24898</v>
      </c>
      <c r="L2853" t="s">
        <v>24902</v>
      </c>
      <c r="M2853" t="s">
        <v>25</v>
      </c>
      <c r="N2853" t="s">
        <v>24903</v>
      </c>
      <c r="O2853" t="s">
        <v>24904</v>
      </c>
      <c r="P2853" t="s">
        <v>24905</v>
      </c>
      <c r="Q2853" t="s">
        <v>29</v>
      </c>
      <c r="R2853" t="s">
        <v>24900</v>
      </c>
      <c r="S2853" t="s">
        <v>24901</v>
      </c>
    </row>
    <row r="2854" spans="1:19" x14ac:dyDescent="0.25">
      <c r="A2854" s="1">
        <v>2852</v>
      </c>
      <c r="B2854" t="str">
        <f>HYPERLINK("https://www.dasschnelle.at/leonhartsberger-andreas-pierbach-höfnerberg","Website")</f>
        <v>Website</v>
      </c>
      <c r="C2854" t="str">
        <f>HYPERLINK("https://www.dasschnelle.at/leonhartsberger-andreas-pierbach-h%C3%B6fnerberg","Website")</f>
        <v>Website</v>
      </c>
      <c r="D2854" t="str">
        <f>HYPERLINK("http://www.google.com/maps/place/48.3435277,14.7289151","Location")</f>
        <v>Location</v>
      </c>
      <c r="E2854" t="s">
        <v>24906</v>
      </c>
      <c r="F2854" t="s">
        <v>24907</v>
      </c>
      <c r="G2854" t="s">
        <v>24909</v>
      </c>
      <c r="H2854" t="s">
        <v>24910</v>
      </c>
      <c r="I2854" t="s">
        <v>85</v>
      </c>
      <c r="J2854" t="s">
        <v>22</v>
      </c>
      <c r="K2854" t="s">
        <v>24908</v>
      </c>
      <c r="L2854" t="s">
        <v>24913</v>
      </c>
      <c r="M2854" t="s">
        <v>25</v>
      </c>
      <c r="N2854" t="s">
        <v>24914</v>
      </c>
      <c r="O2854" t="s">
        <v>25</v>
      </c>
      <c r="P2854" t="s">
        <v>24915</v>
      </c>
      <c r="Q2854" t="s">
        <v>29</v>
      </c>
      <c r="R2854" t="s">
        <v>24911</v>
      </c>
      <c r="S2854" t="s">
        <v>24912</v>
      </c>
    </row>
    <row r="2855" spans="1:19" x14ac:dyDescent="0.25">
      <c r="A2855" s="1">
        <v>2853</v>
      </c>
      <c r="B2855" t="str">
        <f>HYPERLINK("https://www.dasschnelle.at/lechner-karl-ing-heidenreichstein-bahnhofstraße","Website")</f>
        <v>Website</v>
      </c>
      <c r="C2855" t="str">
        <f>HYPERLINK("http://www.blumen-lechner.at","Website")</f>
        <v>Website</v>
      </c>
      <c r="D2855" t="str">
        <f>HYPERLINK("http://www.google.com/maps/place/48.86304,15.11913","Location")</f>
        <v>Location</v>
      </c>
      <c r="E2855" t="s">
        <v>24916</v>
      </c>
      <c r="F2855" t="s">
        <v>24917</v>
      </c>
      <c r="G2855" t="s">
        <v>24771</v>
      </c>
      <c r="H2855" t="s">
        <v>24772</v>
      </c>
      <c r="I2855" t="s">
        <v>177</v>
      </c>
      <c r="J2855" t="s">
        <v>22</v>
      </c>
      <c r="K2855" t="s">
        <v>2279</v>
      </c>
      <c r="L2855" t="s">
        <v>24920</v>
      </c>
      <c r="M2855" t="s">
        <v>25</v>
      </c>
      <c r="N2855" t="s">
        <v>24921</v>
      </c>
      <c r="O2855" t="s">
        <v>25</v>
      </c>
      <c r="P2855" t="s">
        <v>24922</v>
      </c>
      <c r="Q2855" t="s">
        <v>29</v>
      </c>
      <c r="R2855" t="s">
        <v>24918</v>
      </c>
      <c r="S2855" t="s">
        <v>24919</v>
      </c>
    </row>
    <row r="2856" spans="1:19" x14ac:dyDescent="0.25">
      <c r="A2856" s="1">
        <v>2854</v>
      </c>
      <c r="B2856" t="str">
        <f>HYPERLINK("https://www.dasschnelle.at/schachner-christian-obervellach-obervellach","Website")</f>
        <v>Website</v>
      </c>
      <c r="C2856" t="str">
        <f>HYPERLINK("http://www.maschinenverleih.eu","Website")</f>
        <v>Website</v>
      </c>
      <c r="D2856" t="str">
        <f>HYPERLINK("http://www.google.com/maps/place/46.9384352,13.1870589","Location")</f>
        <v>Location</v>
      </c>
      <c r="E2856" t="s">
        <v>24923</v>
      </c>
      <c r="F2856" t="s">
        <v>24924</v>
      </c>
      <c r="G2856" t="s">
        <v>24926</v>
      </c>
      <c r="H2856" t="s">
        <v>24927</v>
      </c>
      <c r="I2856" t="s">
        <v>4130</v>
      </c>
      <c r="J2856" t="s">
        <v>22</v>
      </c>
      <c r="K2856" t="s">
        <v>24925</v>
      </c>
      <c r="L2856" t="s">
        <v>24930</v>
      </c>
      <c r="M2856" t="s">
        <v>25</v>
      </c>
      <c r="N2856" t="s">
        <v>24931</v>
      </c>
      <c r="O2856" t="s">
        <v>24932</v>
      </c>
      <c r="P2856" t="s">
        <v>24933</v>
      </c>
      <c r="Q2856" t="s">
        <v>29</v>
      </c>
      <c r="R2856" t="s">
        <v>24928</v>
      </c>
      <c r="S2856" t="s">
        <v>24929</v>
      </c>
    </row>
    <row r="2857" spans="1:19" x14ac:dyDescent="0.25">
      <c r="A2857" s="1">
        <v>2855</v>
      </c>
      <c r="B2857" t="str">
        <f>HYPERLINK("https://www.dasschnelle.at/schwaiger-und-lettner-salzburg-rottfeld","Website")</f>
        <v>Website</v>
      </c>
      <c r="C2857" t="str">
        <f>HYPERLINK("http://www.finanzensteuern.at","Website")</f>
        <v>Website</v>
      </c>
      <c r="D2857" t="str">
        <f>HYPERLINK("http://www.google.com/maps/place/47.85159,13.33573","Location")</f>
        <v>Location</v>
      </c>
      <c r="E2857" t="s">
        <v>24934</v>
      </c>
      <c r="F2857" t="s">
        <v>24935</v>
      </c>
      <c r="G2857" t="s">
        <v>24937</v>
      </c>
      <c r="H2857" t="s">
        <v>2239</v>
      </c>
      <c r="I2857" t="s">
        <v>85</v>
      </c>
      <c r="J2857" t="s">
        <v>22</v>
      </c>
      <c r="K2857" t="s">
        <v>24936</v>
      </c>
      <c r="L2857" t="s">
        <v>24940</v>
      </c>
      <c r="M2857" t="s">
        <v>25</v>
      </c>
      <c r="N2857" t="s">
        <v>24941</v>
      </c>
      <c r="O2857" t="s">
        <v>24942</v>
      </c>
      <c r="P2857" t="s">
        <v>24943</v>
      </c>
      <c r="Q2857" t="s">
        <v>29</v>
      </c>
      <c r="R2857" t="s">
        <v>24938</v>
      </c>
      <c r="S2857" t="s">
        <v>24939</v>
      </c>
    </row>
    <row r="2858" spans="1:19" x14ac:dyDescent="0.25">
      <c r="A2858" s="1">
        <v>2856</v>
      </c>
      <c r="B2858" t="str">
        <f>HYPERLINK("https://www.dasschnelle.at/fleischerei-pierer-frohnleiten-brucker-straße","Website")</f>
        <v>Website</v>
      </c>
      <c r="C2858" t="str">
        <f>HYPERLINK("http://www.fleischerei-pierer.at","Website")</f>
        <v>Website</v>
      </c>
      <c r="D2858" t="str">
        <f>HYPERLINK("http://www.google.com/maps/place/47.28103,15.30925","Location")</f>
        <v>Location</v>
      </c>
      <c r="E2858" t="s">
        <v>24944</v>
      </c>
      <c r="F2858" t="s">
        <v>24945</v>
      </c>
      <c r="G2858" t="s">
        <v>7874</v>
      </c>
      <c r="H2858" t="s">
        <v>7875</v>
      </c>
      <c r="I2858" t="s">
        <v>451</v>
      </c>
      <c r="J2858" t="s">
        <v>22</v>
      </c>
      <c r="K2858" t="s">
        <v>24946</v>
      </c>
      <c r="L2858" t="s">
        <v>24948</v>
      </c>
      <c r="M2858" t="s">
        <v>25</v>
      </c>
      <c r="N2858" t="s">
        <v>24949</v>
      </c>
      <c r="O2858" t="s">
        <v>25</v>
      </c>
      <c r="P2858" t="s">
        <v>697</v>
      </c>
      <c r="Q2858" t="s">
        <v>29</v>
      </c>
      <c r="R2858" t="s">
        <v>24947</v>
      </c>
      <c r="S2858" t="s">
        <v>2865</v>
      </c>
    </row>
    <row r="2859" spans="1:19" x14ac:dyDescent="0.25">
      <c r="A2859" s="1">
        <v>2857</v>
      </c>
      <c r="B2859" t="str">
        <f>HYPERLINK("https://www.dasschnelle.at/koch-peter-ing-falkendorf-feldgasse","Website")</f>
        <v>Website</v>
      </c>
      <c r="C2859" t="str">
        <f>HYPERLINK("https://www.dasschnelle.at/koch-peter-ing-falkendorf-feldgasse","Website")</f>
        <v>Website</v>
      </c>
      <c r="D2859" t="str">
        <f>HYPERLINK("http://www.google.com/maps/place/48.83333,15.07408","Location")</f>
        <v>Location</v>
      </c>
      <c r="E2859" t="s">
        <v>24950</v>
      </c>
      <c r="F2859" t="s">
        <v>24951</v>
      </c>
      <c r="G2859" t="s">
        <v>24953</v>
      </c>
      <c r="H2859" t="s">
        <v>24954</v>
      </c>
      <c r="I2859" t="s">
        <v>177</v>
      </c>
      <c r="J2859" t="s">
        <v>22</v>
      </c>
      <c r="K2859" t="s">
        <v>24952</v>
      </c>
      <c r="L2859" t="s">
        <v>24957</v>
      </c>
      <c r="M2859" t="s">
        <v>25</v>
      </c>
      <c r="N2859" t="s">
        <v>24958</v>
      </c>
      <c r="O2859" t="s">
        <v>25</v>
      </c>
      <c r="P2859" t="s">
        <v>24959</v>
      </c>
      <c r="Q2859" t="s">
        <v>29</v>
      </c>
      <c r="R2859" t="s">
        <v>24955</v>
      </c>
      <c r="S2859" t="s">
        <v>24956</v>
      </c>
    </row>
    <row r="2860" spans="1:19" x14ac:dyDescent="0.25">
      <c r="A2860" s="1">
        <v>2858</v>
      </c>
      <c r="B2860" t="str">
        <f>HYPERLINK("https://www.dasschnelle.at/schiener-e-vorm-müllner-litschau-hörmannser-straße","Website")</f>
        <v>Website</v>
      </c>
      <c r="C2860" t="str">
        <f>HYPERLINK("https://www.dasschnelle.at/schiener-e-vorm-m%C3%BCllner-litschau-h%C3%B6rmannser-stra%C3%9Fe","Website")</f>
        <v>Website</v>
      </c>
      <c r="D2860" t="str">
        <f>HYPERLINK("http://www.google.com/maps/place/48.94675,15.04919","Location")</f>
        <v>Location</v>
      </c>
      <c r="E2860" t="s">
        <v>24960</v>
      </c>
      <c r="F2860" t="s">
        <v>24961</v>
      </c>
      <c r="G2860" t="s">
        <v>7210</v>
      </c>
      <c r="H2860" t="s">
        <v>7211</v>
      </c>
      <c r="I2860" t="s">
        <v>177</v>
      </c>
      <c r="J2860" t="s">
        <v>22</v>
      </c>
      <c r="K2860" t="s">
        <v>24962</v>
      </c>
      <c r="L2860" t="s">
        <v>24965</v>
      </c>
      <c r="M2860" t="s">
        <v>25</v>
      </c>
      <c r="N2860" t="s">
        <v>24966</v>
      </c>
      <c r="O2860" t="s">
        <v>25</v>
      </c>
      <c r="P2860" t="s">
        <v>24967</v>
      </c>
      <c r="Q2860" t="s">
        <v>29</v>
      </c>
      <c r="R2860" t="s">
        <v>24963</v>
      </c>
      <c r="S2860" t="s">
        <v>24964</v>
      </c>
    </row>
    <row r="2861" spans="1:19" x14ac:dyDescent="0.25">
      <c r="A2861" s="1">
        <v>2859</v>
      </c>
      <c r="B2861" t="str">
        <f>HYPERLINK("https://www.dasschnelle.at/jöbstl-gmbh-althofen-marktstraße","Website")</f>
        <v>Website</v>
      </c>
      <c r="C2861" t="str">
        <f>HYPERLINK("http://www.kfz-joebstl.at","Website")</f>
        <v>Website</v>
      </c>
      <c r="D2861" t="str">
        <f>HYPERLINK("http://www.google.com/maps/place/46.8611,14.47143","Location")</f>
        <v>Location</v>
      </c>
      <c r="E2861" t="s">
        <v>24968</v>
      </c>
      <c r="F2861" t="s">
        <v>24969</v>
      </c>
      <c r="G2861" t="s">
        <v>9679</v>
      </c>
      <c r="H2861" t="s">
        <v>24971</v>
      </c>
      <c r="I2861" t="s">
        <v>4130</v>
      </c>
      <c r="J2861" t="s">
        <v>22</v>
      </c>
      <c r="K2861" t="s">
        <v>24970</v>
      </c>
      <c r="L2861" t="s">
        <v>24974</v>
      </c>
      <c r="M2861" t="s">
        <v>25</v>
      </c>
      <c r="N2861" t="s">
        <v>24975</v>
      </c>
      <c r="O2861" t="s">
        <v>25</v>
      </c>
      <c r="P2861" t="s">
        <v>24976</v>
      </c>
      <c r="Q2861" t="s">
        <v>29</v>
      </c>
      <c r="R2861" t="s">
        <v>24972</v>
      </c>
      <c r="S2861" t="s">
        <v>24973</v>
      </c>
    </row>
    <row r="2862" spans="1:19" x14ac:dyDescent="0.25">
      <c r="A2862" s="1">
        <v>2860</v>
      </c>
      <c r="B2862" t="str">
        <f>HYPERLINK("https://www.dasschnelle.at/hober-wilhelm-leitzersdorf-ahornstraße","Website")</f>
        <v>Website</v>
      </c>
      <c r="C2862" t="str">
        <f>HYPERLINK("http://www.hober.co.at","Website")</f>
        <v>Website</v>
      </c>
      <c r="D2862" t="str">
        <f>HYPERLINK("http://www.google.com/maps/place/48.4143200,16.2465700","Location")</f>
        <v>Location</v>
      </c>
      <c r="E2862" t="s">
        <v>24977</v>
      </c>
      <c r="F2862" t="s">
        <v>24978</v>
      </c>
      <c r="G2862" t="s">
        <v>24980</v>
      </c>
      <c r="H2862" t="s">
        <v>24981</v>
      </c>
      <c r="I2862" t="s">
        <v>177</v>
      </c>
      <c r="J2862" t="s">
        <v>22</v>
      </c>
      <c r="K2862" t="s">
        <v>24979</v>
      </c>
      <c r="L2862" t="s">
        <v>24984</v>
      </c>
      <c r="M2862" t="s">
        <v>25</v>
      </c>
      <c r="N2862" t="s">
        <v>24985</v>
      </c>
      <c r="O2862" t="s">
        <v>24986</v>
      </c>
      <c r="P2862" t="s">
        <v>24987</v>
      </c>
      <c r="Q2862" t="s">
        <v>29</v>
      </c>
      <c r="R2862" t="s">
        <v>24982</v>
      </c>
      <c r="S2862" t="s">
        <v>24983</v>
      </c>
    </row>
    <row r="2863" spans="1:19" x14ac:dyDescent="0.25">
      <c r="A2863" s="1">
        <v>2861</v>
      </c>
      <c r="B2863" t="str">
        <f>HYPERLINK("https://www.dasschnelle.at/marcellos-schnittstelle-korneuburg-lebzeltergasse","Website")</f>
        <v>Website</v>
      </c>
      <c r="C2863" t="str">
        <f>HYPERLINK("http://www.marcellos-schnittstelle.at","Website")</f>
        <v>Website</v>
      </c>
      <c r="D2863" t="str">
        <f>HYPERLINK("http://www.google.com/maps/place/48.34535,16.33294","Location")</f>
        <v>Location</v>
      </c>
      <c r="E2863" t="s">
        <v>24988</v>
      </c>
      <c r="F2863" t="s">
        <v>24989</v>
      </c>
      <c r="G2863" t="s">
        <v>440</v>
      </c>
      <c r="H2863" t="s">
        <v>441</v>
      </c>
      <c r="I2863" t="s">
        <v>177</v>
      </c>
      <c r="J2863" t="s">
        <v>22</v>
      </c>
      <c r="K2863" t="s">
        <v>24990</v>
      </c>
      <c r="L2863" t="s">
        <v>24993</v>
      </c>
      <c r="M2863" t="s">
        <v>25</v>
      </c>
      <c r="N2863" t="s">
        <v>24994</v>
      </c>
      <c r="O2863" t="s">
        <v>25</v>
      </c>
      <c r="P2863" t="s">
        <v>24995</v>
      </c>
      <c r="Q2863" t="s">
        <v>29</v>
      </c>
      <c r="R2863" t="s">
        <v>24991</v>
      </c>
      <c r="S2863" t="s">
        <v>24992</v>
      </c>
    </row>
    <row r="2864" spans="1:19" x14ac:dyDescent="0.25">
      <c r="A2864" s="1">
        <v>2862</v>
      </c>
      <c r="B2864" t="str">
        <f>HYPERLINK("https://www.dasschnelle.at/kfz-eibensteiner-alt-nagelberg-hauptstraße","Website")</f>
        <v>Website</v>
      </c>
      <c r="C2864" t="str">
        <f>HYPERLINK("http://www.kfz-eibensteiner.at","Website")</f>
        <v>Website</v>
      </c>
      <c r="D2864" t="str">
        <f>HYPERLINK("http://www.google.com/maps/place/48.8472,14.99849","Location")</f>
        <v>Location</v>
      </c>
      <c r="E2864" t="s">
        <v>24996</v>
      </c>
      <c r="F2864" t="s">
        <v>24997</v>
      </c>
      <c r="G2864" t="s">
        <v>24999</v>
      </c>
      <c r="H2864" t="s">
        <v>25000</v>
      </c>
      <c r="I2864" t="s">
        <v>177</v>
      </c>
      <c r="J2864" t="s">
        <v>22</v>
      </c>
      <c r="K2864" t="s">
        <v>24998</v>
      </c>
      <c r="L2864" t="s">
        <v>25003</v>
      </c>
      <c r="M2864" t="s">
        <v>25</v>
      </c>
      <c r="N2864" t="s">
        <v>25004</v>
      </c>
      <c r="O2864" t="s">
        <v>25</v>
      </c>
      <c r="P2864" t="s">
        <v>25005</v>
      </c>
      <c r="Q2864" t="s">
        <v>29</v>
      </c>
      <c r="R2864" t="s">
        <v>25001</v>
      </c>
      <c r="S2864" t="s">
        <v>25002</v>
      </c>
    </row>
    <row r="2865" spans="1:19" x14ac:dyDescent="0.25">
      <c r="A2865" s="1">
        <v>2863</v>
      </c>
      <c r="B2865" t="str">
        <f>HYPERLINK("https://www.dasschnelle.at/andreas-bartl-langegg-hauptstraße","Website")</f>
        <v>Website</v>
      </c>
      <c r="C2865" t="str">
        <f>HYPERLINK("http://www.glas-bartl.at","Website")</f>
        <v>Website</v>
      </c>
      <c r="D2865" t="str">
        <f>HYPERLINK("http://www.google.com/maps/place/48.8362500,15.0927500","Location")</f>
        <v>Location</v>
      </c>
      <c r="E2865" t="s">
        <v>25006</v>
      </c>
      <c r="F2865" t="s">
        <v>25007</v>
      </c>
      <c r="G2865" t="s">
        <v>24953</v>
      </c>
      <c r="H2865" t="s">
        <v>25009</v>
      </c>
      <c r="I2865" t="s">
        <v>177</v>
      </c>
      <c r="J2865" t="s">
        <v>22</v>
      </c>
      <c r="K2865" t="s">
        <v>25008</v>
      </c>
      <c r="L2865" t="s">
        <v>25012</v>
      </c>
      <c r="M2865" t="s">
        <v>25</v>
      </c>
      <c r="N2865" t="s">
        <v>25013</v>
      </c>
      <c r="O2865" t="s">
        <v>25</v>
      </c>
      <c r="P2865" t="s">
        <v>25014</v>
      </c>
      <c r="Q2865" t="s">
        <v>29</v>
      </c>
      <c r="R2865" t="s">
        <v>25010</v>
      </c>
      <c r="S2865" t="s">
        <v>25011</v>
      </c>
    </row>
    <row r="2866" spans="1:19" x14ac:dyDescent="0.25">
      <c r="A2866" s="1">
        <v>2864</v>
      </c>
      <c r="B2866" t="str">
        <f>HYPERLINK("https://www.dasschnelle.at/malerei-ml-inh-mario-lijesnic-langenzersdorf-plantagenstraße","Website")</f>
        <v>Website</v>
      </c>
      <c r="C2866" t="str">
        <f>HYPERLINK("http://www.malerei-ml.at","Website")</f>
        <v>Website</v>
      </c>
      <c r="D2866" t="str">
        <f>HYPERLINK("http://www.google.com/maps/place/48.2898316,16.3691656","Location")</f>
        <v>Location</v>
      </c>
      <c r="E2866" t="s">
        <v>25015</v>
      </c>
      <c r="F2866" t="s">
        <v>25016</v>
      </c>
      <c r="G2866" t="s">
        <v>13262</v>
      </c>
      <c r="H2866" t="s">
        <v>13263</v>
      </c>
      <c r="I2866" t="s">
        <v>177</v>
      </c>
      <c r="J2866" t="s">
        <v>22</v>
      </c>
      <c r="K2866" t="s">
        <v>25017</v>
      </c>
      <c r="L2866" t="s">
        <v>25020</v>
      </c>
      <c r="M2866" t="s">
        <v>25</v>
      </c>
      <c r="N2866" t="s">
        <v>25021</v>
      </c>
      <c r="O2866" t="s">
        <v>25022</v>
      </c>
      <c r="P2866" t="s">
        <v>25023</v>
      </c>
      <c r="Q2866" t="s">
        <v>29</v>
      </c>
      <c r="R2866" t="s">
        <v>25018</v>
      </c>
      <c r="S2866" t="s">
        <v>25019</v>
      </c>
    </row>
    <row r="2867" spans="1:19" x14ac:dyDescent="0.25">
      <c r="A2867" s="1">
        <v>2865</v>
      </c>
      <c r="B2867" t="str">
        <f>HYPERLINK("https://www.dasschnelle.at/htl-hollabrunn-hollabrunn-anton-ehrenfried-straße","Website")</f>
        <v>Website</v>
      </c>
      <c r="C2867" t="str">
        <f>HYPERLINK("http://www.htl-hl.ac.at","Website")</f>
        <v>Website</v>
      </c>
      <c r="D2867" t="str">
        <f>HYPERLINK("http://www.google.com/maps/place/48.5599,16.06939","Location")</f>
        <v>Location</v>
      </c>
      <c r="E2867" t="s">
        <v>25024</v>
      </c>
      <c r="F2867" t="s">
        <v>25025</v>
      </c>
      <c r="G2867" t="s">
        <v>8370</v>
      </c>
      <c r="H2867" t="s">
        <v>8371</v>
      </c>
      <c r="I2867" t="s">
        <v>177</v>
      </c>
      <c r="J2867" t="s">
        <v>22</v>
      </c>
      <c r="K2867" t="s">
        <v>25026</v>
      </c>
      <c r="L2867" t="s">
        <v>25029</v>
      </c>
      <c r="M2867" t="s">
        <v>25</v>
      </c>
      <c r="N2867" t="s">
        <v>25030</v>
      </c>
      <c r="O2867" t="s">
        <v>25</v>
      </c>
      <c r="P2867" t="s">
        <v>25031</v>
      </c>
      <c r="Q2867" t="s">
        <v>29</v>
      </c>
      <c r="R2867" t="s">
        <v>25027</v>
      </c>
      <c r="S2867" t="s">
        <v>25028</v>
      </c>
    </row>
    <row r="2868" spans="1:19" x14ac:dyDescent="0.25">
      <c r="A2868" s="1">
        <v>2866</v>
      </c>
      <c r="B2868" t="str">
        <f>HYPERLINK("https://www.dasschnelle.at/trügler-raumausstattung-gmbh-und-co-kg-althofen-türkenstraße","Website")</f>
        <v>Website</v>
      </c>
      <c r="C2868" t="str">
        <f>HYPERLINK("http://www.truegler.at","Website")</f>
        <v>Website</v>
      </c>
      <c r="D2868" t="str">
        <f>HYPERLINK("http://www.google.com/maps/place/46.87258,14.46779","Location")</f>
        <v>Location</v>
      </c>
      <c r="E2868" t="s">
        <v>25032</v>
      </c>
      <c r="F2868" t="s">
        <v>25033</v>
      </c>
      <c r="G2868" t="s">
        <v>9679</v>
      </c>
      <c r="H2868" t="s">
        <v>24971</v>
      </c>
      <c r="I2868" t="s">
        <v>4130</v>
      </c>
      <c r="J2868" t="s">
        <v>22</v>
      </c>
      <c r="K2868" t="s">
        <v>25034</v>
      </c>
      <c r="L2868" t="s">
        <v>25037</v>
      </c>
      <c r="M2868" t="s">
        <v>25038</v>
      </c>
      <c r="N2868" t="s">
        <v>25039</v>
      </c>
      <c r="O2868" t="s">
        <v>25</v>
      </c>
      <c r="P2868" t="s">
        <v>25040</v>
      </c>
      <c r="Q2868" t="s">
        <v>29</v>
      </c>
      <c r="R2868" t="s">
        <v>25035</v>
      </c>
      <c r="S2868" t="s">
        <v>25036</v>
      </c>
    </row>
    <row r="2869" spans="1:19" x14ac:dyDescent="0.25">
      <c r="A2869" s="1">
        <v>2867</v>
      </c>
      <c r="B2869" t="str">
        <f>HYPERLINK("https://www.dasschnelle.at/petrasch-roswitha-litschau-stadtplatz","Website")</f>
        <v>Website</v>
      </c>
      <c r="C2869" t="str">
        <f>HYPERLINK("https://www.dasschnelle.at/petrasch-roswitha-litschau-stadtplatz","Website")</f>
        <v>Website</v>
      </c>
      <c r="D2869" t="str">
        <f>HYPERLINK("http://www.google.com/maps/place/48.94472,15.04273","Location")</f>
        <v>Location</v>
      </c>
      <c r="E2869" t="s">
        <v>25041</v>
      </c>
      <c r="F2869" t="s">
        <v>25042</v>
      </c>
      <c r="G2869" t="s">
        <v>7210</v>
      </c>
      <c r="H2869" t="s">
        <v>7211</v>
      </c>
      <c r="I2869" t="s">
        <v>177</v>
      </c>
      <c r="J2869" t="s">
        <v>22</v>
      </c>
      <c r="K2869" t="s">
        <v>25043</v>
      </c>
      <c r="L2869" t="s">
        <v>25045</v>
      </c>
      <c r="M2869" t="s">
        <v>25</v>
      </c>
      <c r="N2869" t="s">
        <v>25046</v>
      </c>
      <c r="O2869" t="s">
        <v>25</v>
      </c>
      <c r="P2869" t="s">
        <v>25047</v>
      </c>
      <c r="Q2869" t="s">
        <v>29</v>
      </c>
      <c r="R2869" t="s">
        <v>7212</v>
      </c>
      <c r="S2869" t="s">
        <v>25044</v>
      </c>
    </row>
    <row r="2870" spans="1:19" x14ac:dyDescent="0.25">
      <c r="A2870" s="1">
        <v>2868</v>
      </c>
      <c r="B2870" t="str">
        <f>HYPERLINK("https://www.dasschnelle.at/miedler-kfz-technik-gmünd-industriestraße","Website")</f>
        <v>Website</v>
      </c>
      <c r="C2870" t="str">
        <f>HYPERLINK("http://www.miedlercc.at","Website")</f>
        <v>Website</v>
      </c>
      <c r="D2870" t="str">
        <f>HYPERLINK("http://www.google.com/maps/place/48.93851,15.03999","Location")</f>
        <v>Location</v>
      </c>
      <c r="E2870" t="s">
        <v>25048</v>
      </c>
      <c r="F2870" t="s">
        <v>25049</v>
      </c>
      <c r="G2870" t="s">
        <v>7210</v>
      </c>
      <c r="H2870" t="s">
        <v>13117</v>
      </c>
      <c r="I2870" t="s">
        <v>177</v>
      </c>
      <c r="J2870" t="s">
        <v>22</v>
      </c>
      <c r="K2870" t="s">
        <v>25050</v>
      </c>
      <c r="L2870" t="s">
        <v>25053</v>
      </c>
      <c r="M2870" t="s">
        <v>25</v>
      </c>
      <c r="N2870" t="s">
        <v>25054</v>
      </c>
      <c r="O2870" t="s">
        <v>25</v>
      </c>
      <c r="P2870" t="s">
        <v>25055</v>
      </c>
      <c r="Q2870" t="s">
        <v>29</v>
      </c>
      <c r="R2870" t="s">
        <v>25051</v>
      </c>
      <c r="S2870" t="s">
        <v>25052</v>
      </c>
    </row>
    <row r="2871" spans="1:19" x14ac:dyDescent="0.25">
      <c r="A2871" s="1">
        <v>2869</v>
      </c>
      <c r="B2871" t="str">
        <f>HYPERLINK("https://www.dasschnelle.at/maier-rupert-flachau-unterberggasse","Website")</f>
        <v>Website</v>
      </c>
      <c r="C2871" t="str">
        <f>HYPERLINK("http://www.pflasterbau-ruap.at","Website")</f>
        <v>Website</v>
      </c>
      <c r="D2871" t="str">
        <f>HYPERLINK("http://www.google.com/maps/place/47.37078,13.38612","Location")</f>
        <v>Location</v>
      </c>
      <c r="E2871" t="s">
        <v>25056</v>
      </c>
      <c r="F2871" t="s">
        <v>25057</v>
      </c>
      <c r="G2871" t="s">
        <v>5896</v>
      </c>
      <c r="H2871" t="s">
        <v>25059</v>
      </c>
      <c r="I2871" t="s">
        <v>2239</v>
      </c>
      <c r="J2871" t="s">
        <v>22</v>
      </c>
      <c r="K2871" t="s">
        <v>25058</v>
      </c>
      <c r="L2871" t="s">
        <v>25062</v>
      </c>
      <c r="M2871" t="s">
        <v>25</v>
      </c>
      <c r="N2871" t="s">
        <v>25063</v>
      </c>
      <c r="O2871" t="s">
        <v>25064</v>
      </c>
      <c r="P2871" t="s">
        <v>25065</v>
      </c>
      <c r="Q2871" t="s">
        <v>29</v>
      </c>
      <c r="R2871" t="s">
        <v>25060</v>
      </c>
      <c r="S2871" t="s">
        <v>25061</v>
      </c>
    </row>
    <row r="2872" spans="1:19" x14ac:dyDescent="0.25">
      <c r="A2872" s="1">
        <v>2870</v>
      </c>
      <c r="B2872" t="str">
        <f>HYPERLINK("https://www.dasschnelle.at/pollak-silvia-weitra-sparkasseplatz","Website")</f>
        <v>Website</v>
      </c>
      <c r="C2872" t="str">
        <f>HYPERLINK("http://www.silviasmobilefusspflege.at","Website")</f>
        <v>Website</v>
      </c>
      <c r="D2872" t="str">
        <f>HYPERLINK("http://www.google.com/maps/place/48.7012000,14.8963100","Location")</f>
        <v>Location</v>
      </c>
      <c r="E2872" t="s">
        <v>25066</v>
      </c>
      <c r="F2872" t="s">
        <v>25067</v>
      </c>
      <c r="G2872" t="s">
        <v>11931</v>
      </c>
      <c r="H2872" t="s">
        <v>11932</v>
      </c>
      <c r="I2872" t="s">
        <v>177</v>
      </c>
      <c r="J2872" t="s">
        <v>22</v>
      </c>
      <c r="K2872" t="s">
        <v>25068</v>
      </c>
      <c r="L2872" t="s">
        <v>25071</v>
      </c>
      <c r="M2872" t="s">
        <v>25</v>
      </c>
      <c r="N2872" t="s">
        <v>25072</v>
      </c>
      <c r="O2872" t="s">
        <v>25</v>
      </c>
      <c r="P2872" t="s">
        <v>25073</v>
      </c>
      <c r="Q2872" t="s">
        <v>29</v>
      </c>
      <c r="R2872" t="s">
        <v>25069</v>
      </c>
      <c r="S2872" t="s">
        <v>25070</v>
      </c>
    </row>
    <row r="2873" spans="1:19" x14ac:dyDescent="0.25">
      <c r="A2873" s="1">
        <v>2871</v>
      </c>
      <c r="B2873" t="str">
        <f>HYPERLINK("https://www.dasschnelle.at/für-ihr-wohlsein-jauk-rezac-sandra-mag-rer-nat-hitzendorf-oberberg","Website")</f>
        <v>Website</v>
      </c>
      <c r="C2873" t="str">
        <f>HYPERLINK("http://www.fuer-ihr-wohlsein.at","Website")</f>
        <v>Website</v>
      </c>
      <c r="D2873" t="str">
        <f>HYPERLINK("http://www.google.com/maps/place/47.0675361,15.3229899","Location")</f>
        <v>Location</v>
      </c>
      <c r="E2873" t="s">
        <v>25074</v>
      </c>
      <c r="F2873" t="s">
        <v>25075</v>
      </c>
      <c r="G2873" t="s">
        <v>7844</v>
      </c>
      <c r="H2873" t="s">
        <v>7845</v>
      </c>
      <c r="I2873" t="s">
        <v>451</v>
      </c>
      <c r="J2873" t="s">
        <v>22</v>
      </c>
      <c r="K2873" t="s">
        <v>25076</v>
      </c>
      <c r="L2873" t="s">
        <v>25079</v>
      </c>
      <c r="M2873" t="s">
        <v>25</v>
      </c>
      <c r="N2873" t="s">
        <v>25080</v>
      </c>
      <c r="O2873" t="s">
        <v>25</v>
      </c>
      <c r="P2873" t="s">
        <v>25081</v>
      </c>
      <c r="Q2873" t="s">
        <v>29</v>
      </c>
      <c r="R2873" t="s">
        <v>25077</v>
      </c>
      <c r="S2873" t="s">
        <v>25078</v>
      </c>
    </row>
    <row r="2874" spans="1:19" x14ac:dyDescent="0.25">
      <c r="A2874" s="1">
        <v>2872</v>
      </c>
      <c r="B2874" t="str">
        <f>HYPERLINK("https://www.dasschnelle.at/kohl-josef-fürstenfeld-mozartstraße","Website")</f>
        <v>Website</v>
      </c>
      <c r="C2874" t="str">
        <f>HYPERLINK("https://www.dasschnelle.at/kohl-josef-f%C3%BCrstenfeld-mozartstra%C3%9Fe","Website")</f>
        <v>Website</v>
      </c>
      <c r="D2874" t="str">
        <f>HYPERLINK("http://www.google.com/maps/place/47.05274,16.06812","Location")</f>
        <v>Location</v>
      </c>
      <c r="E2874" t="s">
        <v>25082</v>
      </c>
      <c r="F2874" t="s">
        <v>25083</v>
      </c>
      <c r="G2874" t="s">
        <v>24441</v>
      </c>
      <c r="H2874" t="s">
        <v>24442</v>
      </c>
      <c r="I2874" t="s">
        <v>451</v>
      </c>
      <c r="J2874" t="s">
        <v>22</v>
      </c>
      <c r="K2874" t="s">
        <v>25084</v>
      </c>
      <c r="L2874" t="s">
        <v>25087</v>
      </c>
      <c r="M2874" t="s">
        <v>25</v>
      </c>
      <c r="N2874" t="s">
        <v>25088</v>
      </c>
      <c r="O2874" t="s">
        <v>25</v>
      </c>
      <c r="P2874" t="s">
        <v>25089</v>
      </c>
      <c r="Q2874" t="s">
        <v>29</v>
      </c>
      <c r="R2874" t="s">
        <v>25085</v>
      </c>
      <c r="S2874" t="s">
        <v>25086</v>
      </c>
    </row>
    <row r="2875" spans="1:19" x14ac:dyDescent="0.25">
      <c r="A2875" s="1">
        <v>2873</v>
      </c>
      <c r="B2875" t="str">
        <f>HYPERLINK("https://www.dasschnelle.at/style-lounge-michaela-köck-waidhofen-an-der-thaya-vestenpoppen","Website")</f>
        <v>Website</v>
      </c>
      <c r="C2875" t="str">
        <f>HYPERLINK("http://www.style-lounge.at","Website")</f>
        <v>Website</v>
      </c>
      <c r="D2875" t="str">
        <f>HYPERLINK("http://www.google.com/maps/place/48.79547,15.30125","Location")</f>
        <v>Location</v>
      </c>
      <c r="E2875" t="s">
        <v>25090</v>
      </c>
      <c r="F2875" t="s">
        <v>25091</v>
      </c>
      <c r="G2875" t="s">
        <v>10987</v>
      </c>
      <c r="H2875" t="s">
        <v>10988</v>
      </c>
      <c r="I2875" t="s">
        <v>177</v>
      </c>
      <c r="J2875" t="s">
        <v>22</v>
      </c>
      <c r="K2875" t="s">
        <v>25092</v>
      </c>
      <c r="L2875" t="s">
        <v>25095</v>
      </c>
      <c r="M2875" t="s">
        <v>25</v>
      </c>
      <c r="N2875" t="s">
        <v>25096</v>
      </c>
      <c r="O2875" t="s">
        <v>25</v>
      </c>
      <c r="P2875" t="s">
        <v>25097</v>
      </c>
      <c r="Q2875" t="s">
        <v>29</v>
      </c>
      <c r="R2875" t="s">
        <v>25093</v>
      </c>
      <c r="S2875" t="s">
        <v>25094</v>
      </c>
    </row>
    <row r="2876" spans="1:19" x14ac:dyDescent="0.25">
      <c r="A2876" s="1">
        <v>2874</v>
      </c>
      <c r="B2876" t="str">
        <f>HYPERLINK("https://www.dasschnelle.at/elisabeth-s-beautystudio-rudersdorf-hauptstraße","Website")</f>
        <v>Website</v>
      </c>
      <c r="C2876" t="str">
        <f>HYPERLINK("http://www.elisabeth-beauty.at","Website")</f>
        <v>Website</v>
      </c>
      <c r="D2876" t="str">
        <f>HYPERLINK("http://www.google.com/maps/place/47.05052,16.12001","Location")</f>
        <v>Location</v>
      </c>
      <c r="E2876" t="s">
        <v>25098</v>
      </c>
      <c r="F2876" t="s">
        <v>25099</v>
      </c>
      <c r="G2876" t="s">
        <v>25101</v>
      </c>
      <c r="H2876" t="s">
        <v>25102</v>
      </c>
      <c r="I2876" t="s">
        <v>1834</v>
      </c>
      <c r="J2876" t="s">
        <v>22</v>
      </c>
      <c r="K2876" t="s">
        <v>25100</v>
      </c>
      <c r="L2876" t="s">
        <v>25105</v>
      </c>
      <c r="M2876" t="s">
        <v>25</v>
      </c>
      <c r="N2876" t="s">
        <v>25106</v>
      </c>
      <c r="O2876" t="s">
        <v>25</v>
      </c>
      <c r="P2876" t="s">
        <v>25107</v>
      </c>
      <c r="Q2876" t="s">
        <v>29</v>
      </c>
      <c r="R2876" t="s">
        <v>25103</v>
      </c>
      <c r="S2876" t="s">
        <v>25104</v>
      </c>
    </row>
    <row r="2877" spans="1:19" x14ac:dyDescent="0.25">
      <c r="A2877" s="1">
        <v>2875</v>
      </c>
      <c r="B2877" t="str">
        <f>HYPERLINK("https://www.dasschnelle.at/sorger-gmbh-und-co-kg-loipersdorf-bei-fürstenfeld-loipersdorfer-hauptstraße","Website")</f>
        <v>Website</v>
      </c>
      <c r="C2877" t="str">
        <f>HYPERLINK("http://www.schlosserei-sorger.at","Website")</f>
        <v>Website</v>
      </c>
      <c r="D2877" t="str">
        <f>HYPERLINK("http://www.google.com/maps/place/47.0162521,16.1028302","Location")</f>
        <v>Location</v>
      </c>
      <c r="E2877" t="s">
        <v>25108</v>
      </c>
      <c r="F2877" t="s">
        <v>25109</v>
      </c>
      <c r="G2877" t="s">
        <v>25111</v>
      </c>
      <c r="H2877" t="s">
        <v>25112</v>
      </c>
      <c r="I2877" t="s">
        <v>451</v>
      </c>
      <c r="J2877" t="s">
        <v>22</v>
      </c>
      <c r="K2877" t="s">
        <v>25110</v>
      </c>
      <c r="L2877" t="s">
        <v>25115</v>
      </c>
      <c r="M2877" t="s">
        <v>25</v>
      </c>
      <c r="N2877" t="s">
        <v>25116</v>
      </c>
      <c r="O2877" t="s">
        <v>25</v>
      </c>
      <c r="P2877" t="s">
        <v>25117</v>
      </c>
      <c r="Q2877" t="s">
        <v>29</v>
      </c>
      <c r="R2877" t="s">
        <v>25113</v>
      </c>
      <c r="S2877" t="s">
        <v>25114</v>
      </c>
    </row>
    <row r="2878" spans="1:19" x14ac:dyDescent="0.25">
      <c r="A2878" s="1">
        <v>2876</v>
      </c>
      <c r="B2878" t="str">
        <f>HYPERLINK("https://www.dasschnelle.at/baumdienst-hofer-stefan-hausmening-schulstraße","Website")</f>
        <v>Website</v>
      </c>
      <c r="C2878" t="str">
        <f>HYPERLINK("http://www.grabmaier.com","Website")</f>
        <v>Website</v>
      </c>
      <c r="D2878" t="str">
        <f>HYPERLINK("http://www.google.com/maps/place/48.07909,14.81906","Location")</f>
        <v>Location</v>
      </c>
      <c r="E2878" t="s">
        <v>25118</v>
      </c>
      <c r="F2878" t="s">
        <v>25119</v>
      </c>
      <c r="G2878" t="s">
        <v>1603</v>
      </c>
      <c r="H2878" t="s">
        <v>25121</v>
      </c>
      <c r="I2878" t="s">
        <v>177</v>
      </c>
      <c r="J2878" t="s">
        <v>22</v>
      </c>
      <c r="K2878" t="s">
        <v>25120</v>
      </c>
      <c r="L2878" t="s">
        <v>25124</v>
      </c>
      <c r="M2878" t="s">
        <v>25</v>
      </c>
      <c r="N2878" t="s">
        <v>25125</v>
      </c>
      <c r="O2878" t="s">
        <v>25</v>
      </c>
      <c r="P2878" t="s">
        <v>25126</v>
      </c>
      <c r="Q2878" t="s">
        <v>29</v>
      </c>
      <c r="R2878" t="s">
        <v>25122</v>
      </c>
      <c r="S2878" t="s">
        <v>25123</v>
      </c>
    </row>
    <row r="2879" spans="1:19" x14ac:dyDescent="0.25">
      <c r="A2879" s="1">
        <v>2877</v>
      </c>
      <c r="B2879" t="str">
        <f>HYPERLINK("https://www.dasschnelle.at/paap-transporte-gmbh-frankenmarkt-kühschinken","Website")</f>
        <v>Website</v>
      </c>
      <c r="C2879" t="str">
        <f>HYPERLINK("http://www.paap.at","Website")</f>
        <v>Website</v>
      </c>
      <c r="D2879" t="str">
        <f>HYPERLINK("http://www.google.com/maps/place/47.9779894,13.4112189","Location")</f>
        <v>Location</v>
      </c>
      <c r="E2879" t="s">
        <v>25127</v>
      </c>
      <c r="F2879" t="s">
        <v>25128</v>
      </c>
      <c r="G2879" t="s">
        <v>13301</v>
      </c>
      <c r="H2879" t="s">
        <v>13311</v>
      </c>
      <c r="I2879" t="s">
        <v>85</v>
      </c>
      <c r="J2879" t="s">
        <v>22</v>
      </c>
      <c r="K2879" t="s">
        <v>25129</v>
      </c>
      <c r="L2879" t="s">
        <v>25132</v>
      </c>
      <c r="M2879" t="s">
        <v>25133</v>
      </c>
      <c r="N2879" t="s">
        <v>25134</v>
      </c>
      <c r="O2879" t="s">
        <v>25135</v>
      </c>
      <c r="P2879" t="s">
        <v>25136</v>
      </c>
      <c r="Q2879" t="s">
        <v>29</v>
      </c>
      <c r="R2879" t="s">
        <v>25130</v>
      </c>
      <c r="S2879" t="s">
        <v>25131</v>
      </c>
    </row>
    <row r="2880" spans="1:19" x14ac:dyDescent="0.25">
      <c r="A2880" s="1">
        <v>2878</v>
      </c>
      <c r="B2880" t="str">
        <f>HYPERLINK("https://www.dasschnelle.at/haberhauer-wolfgang-amstetten-dieselstraße","Website")</f>
        <v>Website</v>
      </c>
      <c r="C2880" t="str">
        <f>HYPERLINK("http://www.dachzentrum.at","Website")</f>
        <v>Website</v>
      </c>
      <c r="D2880" t="str">
        <f>HYPERLINK("http://www.google.com/maps/place/48.1044141,14.8261090","Location")</f>
        <v>Location</v>
      </c>
      <c r="E2880" t="s">
        <v>25137</v>
      </c>
      <c r="F2880" t="s">
        <v>25138</v>
      </c>
      <c r="G2880" t="s">
        <v>25140</v>
      </c>
      <c r="H2880" t="s">
        <v>1475</v>
      </c>
      <c r="I2880" t="s">
        <v>177</v>
      </c>
      <c r="J2880" t="s">
        <v>22</v>
      </c>
      <c r="K2880" t="s">
        <v>25139</v>
      </c>
      <c r="L2880" t="s">
        <v>25143</v>
      </c>
      <c r="M2880" t="s">
        <v>25144</v>
      </c>
      <c r="N2880" t="s">
        <v>25145</v>
      </c>
      <c r="O2880" t="s">
        <v>25</v>
      </c>
      <c r="P2880" t="s">
        <v>25146</v>
      </c>
      <c r="Q2880" t="s">
        <v>29</v>
      </c>
      <c r="R2880" t="s">
        <v>25141</v>
      </c>
      <c r="S2880" t="s">
        <v>25142</v>
      </c>
    </row>
    <row r="2881" spans="1:19" x14ac:dyDescent="0.25">
      <c r="A2881" s="1">
        <v>2879</v>
      </c>
      <c r="B2881" t="str">
        <f>HYPERLINK("https://www.dasschnelle.at/kreiter-gerald-brückl-wulfeniastraße","Website")</f>
        <v>Website</v>
      </c>
      <c r="C2881" t="str">
        <f>HYPERLINK("http://www.tischlerei-kreiter.at","Website")</f>
        <v>Website</v>
      </c>
      <c r="D2881" t="str">
        <f>HYPERLINK("http://www.google.com/maps/place/46.75036,14.53242","Location")</f>
        <v>Location</v>
      </c>
      <c r="E2881" t="s">
        <v>25147</v>
      </c>
      <c r="F2881" t="s">
        <v>25148</v>
      </c>
      <c r="G2881" t="s">
        <v>25150</v>
      </c>
      <c r="H2881" t="s">
        <v>25151</v>
      </c>
      <c r="I2881" t="s">
        <v>4130</v>
      </c>
      <c r="J2881" t="s">
        <v>22</v>
      </c>
      <c r="K2881" t="s">
        <v>25149</v>
      </c>
      <c r="L2881" t="s">
        <v>25154</v>
      </c>
      <c r="M2881" t="s">
        <v>25155</v>
      </c>
      <c r="N2881" t="s">
        <v>25156</v>
      </c>
      <c r="O2881" t="s">
        <v>25</v>
      </c>
      <c r="P2881" t="s">
        <v>25157</v>
      </c>
      <c r="Q2881" t="s">
        <v>29</v>
      </c>
      <c r="R2881" t="s">
        <v>25152</v>
      </c>
      <c r="S2881" t="s">
        <v>25153</v>
      </c>
    </row>
    <row r="2882" spans="1:19" x14ac:dyDescent="0.25">
      <c r="A2882" s="1">
        <v>2880</v>
      </c>
      <c r="B2882" t="str">
        <f>HYPERLINK("https://www.dasschnelle.at/hk-metalltechnik-reichenthal-summerauerstraße","Website")</f>
        <v>Website</v>
      </c>
      <c r="C2882" t="str">
        <f>HYPERLINK("http://www.hoffelner-metalltechnik.at","Website")</f>
        <v>Website</v>
      </c>
      <c r="D2882" t="str">
        <f>HYPERLINK("http://www.google.com/maps/place/48.54531,14.38939","Location")</f>
        <v>Location</v>
      </c>
      <c r="E2882" t="s">
        <v>25158</v>
      </c>
      <c r="F2882" t="s">
        <v>25159</v>
      </c>
      <c r="G2882" t="s">
        <v>25161</v>
      </c>
      <c r="H2882" t="s">
        <v>25162</v>
      </c>
      <c r="I2882" t="s">
        <v>85</v>
      </c>
      <c r="J2882" t="s">
        <v>22</v>
      </c>
      <c r="K2882" t="s">
        <v>25160</v>
      </c>
      <c r="L2882" t="s">
        <v>25165</v>
      </c>
      <c r="M2882" t="s">
        <v>25</v>
      </c>
      <c r="N2882" t="s">
        <v>25166</v>
      </c>
      <c r="O2882" t="s">
        <v>25167</v>
      </c>
      <c r="P2882" t="s">
        <v>25168</v>
      </c>
      <c r="Q2882" t="s">
        <v>29</v>
      </c>
      <c r="R2882" t="s">
        <v>25163</v>
      </c>
      <c r="S2882" t="s">
        <v>25164</v>
      </c>
    </row>
    <row r="2883" spans="1:19" x14ac:dyDescent="0.25">
      <c r="A2883" s="1">
        <v>2881</v>
      </c>
      <c r="B2883" t="str">
        <f>HYPERLINK("https://www.dasschnelle.at/stern-naturstein-und-pflasterbau-og-rainbach-im-mühlkreis-freistädter-straße","Website")</f>
        <v>Website</v>
      </c>
      <c r="C2883" t="str">
        <f>HYPERLINK("http://www.pflasterbau-stern.at","Website")</f>
        <v>Website</v>
      </c>
      <c r="D2883" t="str">
        <f>HYPERLINK("http://www.google.com/maps/place/48.55265,14.48482","Location")</f>
        <v>Location</v>
      </c>
      <c r="E2883" t="s">
        <v>25169</v>
      </c>
      <c r="F2883" t="s">
        <v>25170</v>
      </c>
      <c r="G2883" t="s">
        <v>10800</v>
      </c>
      <c r="H2883" t="s">
        <v>10801</v>
      </c>
      <c r="I2883" t="s">
        <v>85</v>
      </c>
      <c r="J2883" t="s">
        <v>22</v>
      </c>
      <c r="K2883" t="s">
        <v>25171</v>
      </c>
      <c r="L2883" t="s">
        <v>25174</v>
      </c>
      <c r="M2883" t="s">
        <v>25</v>
      </c>
      <c r="N2883" t="s">
        <v>25175</v>
      </c>
      <c r="O2883" t="s">
        <v>25176</v>
      </c>
      <c r="P2883" t="s">
        <v>25177</v>
      </c>
      <c r="Q2883" t="s">
        <v>29</v>
      </c>
      <c r="R2883" t="s">
        <v>25172</v>
      </c>
      <c r="S2883" t="s">
        <v>25173</v>
      </c>
    </row>
    <row r="2884" spans="1:19" x14ac:dyDescent="0.25">
      <c r="A2884" s="1">
        <v>2882</v>
      </c>
      <c r="B2884" t="str">
        <f>HYPERLINK("https://www.dasschnelle.at/ried-günter-korneuburg-donaustraße","Website")</f>
        <v>Website</v>
      </c>
      <c r="C2884" t="str">
        <f>HYPERLINK("http://www.trauerfeier.info","Website")</f>
        <v>Website</v>
      </c>
      <c r="D2884" t="str">
        <f>HYPERLINK("http://www.google.com/maps/place/48.3425,16.33145","Location")</f>
        <v>Location</v>
      </c>
      <c r="E2884" t="s">
        <v>25178</v>
      </c>
      <c r="F2884" t="s">
        <v>25179</v>
      </c>
      <c r="G2884" t="s">
        <v>440</v>
      </c>
      <c r="H2884" t="s">
        <v>441</v>
      </c>
      <c r="I2884" t="s">
        <v>177</v>
      </c>
      <c r="J2884" t="s">
        <v>22</v>
      </c>
      <c r="K2884" t="s">
        <v>25180</v>
      </c>
      <c r="L2884" t="s">
        <v>25183</v>
      </c>
      <c r="M2884" t="s">
        <v>25</v>
      </c>
      <c r="N2884" t="s">
        <v>25184</v>
      </c>
      <c r="O2884" t="s">
        <v>25</v>
      </c>
      <c r="P2884" t="s">
        <v>25185</v>
      </c>
      <c r="Q2884" t="s">
        <v>29</v>
      </c>
      <c r="R2884" t="s">
        <v>25181</v>
      </c>
      <c r="S2884" t="s">
        <v>25182</v>
      </c>
    </row>
    <row r="2885" spans="1:19" x14ac:dyDescent="0.25">
      <c r="A2885" s="1">
        <v>2883</v>
      </c>
      <c r="B2885" t="str">
        <f>HYPERLINK("https://www.dasschnelle.at/scharm-helmut-eberstein-unterer-platz","Website")</f>
        <v>Website</v>
      </c>
      <c r="C2885" t="str">
        <f>HYPERLINK("https://www.dasschnelle.at/scharm-helmut-eberstein-unterer-platz","Website")</f>
        <v>Website</v>
      </c>
      <c r="D2885" t="str">
        <f>HYPERLINK("http://www.google.com/maps/place/46.80722,14.55822","Location")</f>
        <v>Location</v>
      </c>
      <c r="E2885" t="s">
        <v>25186</v>
      </c>
      <c r="F2885" t="s">
        <v>25187</v>
      </c>
      <c r="G2885" t="s">
        <v>25189</v>
      </c>
      <c r="H2885" t="s">
        <v>25190</v>
      </c>
      <c r="I2885" t="s">
        <v>4130</v>
      </c>
      <c r="J2885" t="s">
        <v>22</v>
      </c>
      <c r="K2885" t="s">
        <v>25188</v>
      </c>
      <c r="L2885" t="s">
        <v>25193</v>
      </c>
      <c r="M2885" t="s">
        <v>25</v>
      </c>
      <c r="N2885" t="s">
        <v>25194</v>
      </c>
      <c r="O2885" t="s">
        <v>25</v>
      </c>
      <c r="P2885" t="s">
        <v>25195</v>
      </c>
      <c r="Q2885" t="s">
        <v>29</v>
      </c>
      <c r="R2885" t="s">
        <v>25191</v>
      </c>
      <c r="S2885" t="s">
        <v>25192</v>
      </c>
    </row>
    <row r="2886" spans="1:19" x14ac:dyDescent="0.25">
      <c r="A2886" s="1">
        <v>2884</v>
      </c>
      <c r="B2886" t="str">
        <f>HYPERLINK("https://www.dasschnelle.at/hotel-b3-gmbh-mauthausen-kaplanstraße","Website")</f>
        <v>Website</v>
      </c>
      <c r="C2886" t="str">
        <f>HYPERLINK("http://www.hotel-b3.at","Website")</f>
        <v>Website</v>
      </c>
      <c r="D2886" t="str">
        <f>HYPERLINK("http://www.google.com/maps/place/48.24388,14.55001","Location")</f>
        <v>Location</v>
      </c>
      <c r="E2886" t="s">
        <v>25196</v>
      </c>
      <c r="F2886" t="s">
        <v>25197</v>
      </c>
      <c r="G2886" t="s">
        <v>6513</v>
      </c>
      <c r="H2886" t="s">
        <v>6514</v>
      </c>
      <c r="I2886" t="s">
        <v>85</v>
      </c>
      <c r="J2886" t="s">
        <v>22</v>
      </c>
      <c r="K2886" t="s">
        <v>25198</v>
      </c>
      <c r="L2886" t="s">
        <v>25201</v>
      </c>
      <c r="M2886" t="s">
        <v>25</v>
      </c>
      <c r="N2886" t="s">
        <v>25202</v>
      </c>
      <c r="O2886" t="s">
        <v>25</v>
      </c>
      <c r="P2886" t="s">
        <v>25203</v>
      </c>
      <c r="Q2886" t="s">
        <v>29</v>
      </c>
      <c r="R2886" t="s">
        <v>25199</v>
      </c>
      <c r="S2886" t="s">
        <v>25200</v>
      </c>
    </row>
    <row r="2887" spans="1:19" x14ac:dyDescent="0.25">
      <c r="A2887" s="1">
        <v>2885</v>
      </c>
      <c r="B2887" t="str">
        <f>HYPERLINK("https://www.dasschnelle.at/haslinger-ernst-mauthausen-machlandstraße","Website")</f>
        <v>Website</v>
      </c>
      <c r="C2887" t="str">
        <f>HYPERLINK("https://www.dasschnelle.at/haslinger-ernst-mauthausen-machlandstra%C3%9Fe","Website")</f>
        <v>Website</v>
      </c>
      <c r="D2887" t="str">
        <f>HYPERLINK("http://www.google.com/maps/place/48.2428400,14.5337600","Location")</f>
        <v>Location</v>
      </c>
      <c r="E2887" t="s">
        <v>25204</v>
      </c>
      <c r="F2887" t="s">
        <v>25205</v>
      </c>
      <c r="G2887" t="s">
        <v>6513</v>
      </c>
      <c r="H2887" t="s">
        <v>6514</v>
      </c>
      <c r="I2887" t="s">
        <v>85</v>
      </c>
      <c r="J2887" t="s">
        <v>22</v>
      </c>
      <c r="K2887" t="s">
        <v>25206</v>
      </c>
      <c r="L2887" t="s">
        <v>25209</v>
      </c>
      <c r="M2887" t="s">
        <v>25</v>
      </c>
      <c r="N2887" t="s">
        <v>25210</v>
      </c>
      <c r="O2887" t="s">
        <v>25211</v>
      </c>
      <c r="P2887" t="s">
        <v>25212</v>
      </c>
      <c r="Q2887" t="s">
        <v>29</v>
      </c>
      <c r="R2887" t="s">
        <v>25207</v>
      </c>
      <c r="S2887" t="s">
        <v>25208</v>
      </c>
    </row>
    <row r="2888" spans="1:19" x14ac:dyDescent="0.25">
      <c r="A2888" s="1">
        <v>2886</v>
      </c>
      <c r="B2888" t="str">
        <f>HYPERLINK("https://www.dasschnelle.at/klingler-meinrad-straß-in-steiermark-bundesstraße","Website")</f>
        <v>Website</v>
      </c>
      <c r="C2888" t="str">
        <f>HYPERLINK("http://www.autohausklingler.at","Website")</f>
        <v>Website</v>
      </c>
      <c r="D2888" t="str">
        <f>HYPERLINK("http://www.google.com/maps/place/46.7083110,15.6342970","Location")</f>
        <v>Location</v>
      </c>
      <c r="E2888" t="s">
        <v>25213</v>
      </c>
      <c r="F2888" t="s">
        <v>25214</v>
      </c>
      <c r="G2888" t="s">
        <v>25216</v>
      </c>
      <c r="H2888" t="s">
        <v>25217</v>
      </c>
      <c r="I2888" t="s">
        <v>451</v>
      </c>
      <c r="J2888" t="s">
        <v>22</v>
      </c>
      <c r="K2888" t="s">
        <v>25215</v>
      </c>
      <c r="L2888" t="s">
        <v>25220</v>
      </c>
      <c r="M2888" t="s">
        <v>25</v>
      </c>
      <c r="N2888" t="s">
        <v>25221</v>
      </c>
      <c r="O2888" t="s">
        <v>25</v>
      </c>
      <c r="P2888" t="s">
        <v>25222</v>
      </c>
      <c r="Q2888" t="s">
        <v>29</v>
      </c>
      <c r="R2888" t="s">
        <v>25218</v>
      </c>
      <c r="S2888" t="s">
        <v>25219</v>
      </c>
    </row>
    <row r="2889" spans="1:19" x14ac:dyDescent="0.25">
      <c r="A2889" s="1">
        <v>2887</v>
      </c>
      <c r="B2889" t="str">
        <f>HYPERLINK("https://www.dasschnelle.at/bestattung-sterzl-gmbh-sankt-johann-im-pongau-kirchengasse","Website")</f>
        <v>Website</v>
      </c>
      <c r="C2889" t="str">
        <f>HYPERLINK("http://www.sterzl.at","Website")</f>
        <v>Website</v>
      </c>
      <c r="D2889" t="str">
        <f>HYPERLINK("http://www.google.com/maps/place/47.3481120,13.2048587","Location")</f>
        <v>Location</v>
      </c>
      <c r="E2889" t="s">
        <v>25223</v>
      </c>
      <c r="F2889" t="s">
        <v>25224</v>
      </c>
      <c r="G2889" t="s">
        <v>24837</v>
      </c>
      <c r="H2889" t="s">
        <v>24838</v>
      </c>
      <c r="I2889" t="s">
        <v>2239</v>
      </c>
      <c r="J2889" t="s">
        <v>22</v>
      </c>
      <c r="K2889" t="s">
        <v>25225</v>
      </c>
      <c r="L2889" t="s">
        <v>25228</v>
      </c>
      <c r="M2889" t="s">
        <v>25</v>
      </c>
      <c r="N2889" t="s">
        <v>25229</v>
      </c>
      <c r="O2889" t="s">
        <v>25</v>
      </c>
      <c r="P2889" t="s">
        <v>25230</v>
      </c>
      <c r="Q2889" t="s">
        <v>29</v>
      </c>
      <c r="R2889" t="s">
        <v>25226</v>
      </c>
      <c r="S2889" t="s">
        <v>25227</v>
      </c>
    </row>
    <row r="2890" spans="1:19" x14ac:dyDescent="0.25">
      <c r="A2890" s="1">
        <v>2888</v>
      </c>
      <c r="B2890" t="str">
        <f>HYPERLINK("https://www.dasschnelle.at/leitner-installationsgesmbh-hilde-allhartsberg-graben","Website")</f>
        <v>Website</v>
      </c>
      <c r="C2890" t="str">
        <f>HYPERLINK("http://www.leitner-installationen.at","Website")</f>
        <v>Website</v>
      </c>
      <c r="D2890" t="str">
        <f>HYPERLINK("http://www.google.com/maps/place/48.02485,14.78318","Location")</f>
        <v>Location</v>
      </c>
      <c r="E2890" t="s">
        <v>25231</v>
      </c>
      <c r="F2890" t="s">
        <v>25232</v>
      </c>
      <c r="G2890" t="s">
        <v>25234</v>
      </c>
      <c r="H2890" t="s">
        <v>25235</v>
      </c>
      <c r="I2890" t="s">
        <v>177</v>
      </c>
      <c r="J2890" t="s">
        <v>22</v>
      </c>
      <c r="K2890" t="s">
        <v>25233</v>
      </c>
      <c r="L2890" t="s">
        <v>25238</v>
      </c>
      <c r="M2890" t="s">
        <v>25</v>
      </c>
      <c r="N2890" t="s">
        <v>25239</v>
      </c>
      <c r="O2890" t="s">
        <v>25240</v>
      </c>
      <c r="P2890" t="s">
        <v>25241</v>
      </c>
      <c r="Q2890" t="s">
        <v>29</v>
      </c>
      <c r="R2890" t="s">
        <v>25236</v>
      </c>
      <c r="S2890" t="s">
        <v>25237</v>
      </c>
    </row>
    <row r="2891" spans="1:19" x14ac:dyDescent="0.25">
      <c r="A2891" s="1">
        <v>2889</v>
      </c>
      <c r="B2891" t="str">
        <f>HYPERLINK("https://www.dasschnelle.at/taxi-kleiner-sabina-neumarkt-am-wallersee-wallbachstraße","Website")</f>
        <v>Website</v>
      </c>
      <c r="C2891" t="str">
        <f>HYPERLINK("http://www.taxi-kleiner.at","Website")</f>
        <v>Website</v>
      </c>
      <c r="D2891" t="str">
        <f>HYPERLINK("http://www.google.com/maps/place/47.94738,13.22122","Location")</f>
        <v>Location</v>
      </c>
      <c r="E2891" t="s">
        <v>25242</v>
      </c>
      <c r="F2891" t="s">
        <v>25243</v>
      </c>
      <c r="G2891" t="s">
        <v>10564</v>
      </c>
      <c r="H2891" t="s">
        <v>10565</v>
      </c>
      <c r="I2891" t="s">
        <v>2239</v>
      </c>
      <c r="J2891" t="s">
        <v>22</v>
      </c>
      <c r="K2891" t="s">
        <v>25244</v>
      </c>
      <c r="L2891" t="s">
        <v>19195</v>
      </c>
      <c r="M2891" t="s">
        <v>25</v>
      </c>
      <c r="N2891" t="s">
        <v>19196</v>
      </c>
      <c r="O2891" t="s">
        <v>25</v>
      </c>
      <c r="P2891" t="s">
        <v>25245</v>
      </c>
      <c r="Q2891" t="s">
        <v>29</v>
      </c>
      <c r="R2891" t="s">
        <v>19193</v>
      </c>
      <c r="S2891" t="s">
        <v>19194</v>
      </c>
    </row>
    <row r="2892" spans="1:19" x14ac:dyDescent="0.25">
      <c r="A2892" s="1">
        <v>2890</v>
      </c>
      <c r="B2892" t="str">
        <f>HYPERLINK("https://www.dasschnelle.at/höfferer-michael-klein-st-paul-marktstraße","Website")</f>
        <v>Website</v>
      </c>
      <c r="C2892" t="str">
        <f>HYPERLINK("https://www.dasschnelle.at/h%C3%B6fferer-michael-klein-st-paul-marktstra%C3%9Fe","Website")</f>
        <v>Website</v>
      </c>
      <c r="D2892" t="str">
        <f>HYPERLINK("http://www.google.com/maps/place/46.83545,14.54096","Location")</f>
        <v>Location</v>
      </c>
      <c r="E2892" t="s">
        <v>25246</v>
      </c>
      <c r="F2892" t="s">
        <v>25247</v>
      </c>
      <c r="G2892" t="s">
        <v>25249</v>
      </c>
      <c r="H2892" t="s">
        <v>25250</v>
      </c>
      <c r="I2892" t="s">
        <v>4130</v>
      </c>
      <c r="J2892" t="s">
        <v>22</v>
      </c>
      <c r="K2892" t="s">
        <v>25248</v>
      </c>
      <c r="L2892" t="s">
        <v>25253</v>
      </c>
      <c r="M2892" t="s">
        <v>25</v>
      </c>
      <c r="N2892" t="s">
        <v>25254</v>
      </c>
      <c r="O2892" t="s">
        <v>25</v>
      </c>
      <c r="P2892" t="s">
        <v>25255</v>
      </c>
      <c r="Q2892" t="s">
        <v>29</v>
      </c>
      <c r="R2892" t="s">
        <v>25251</v>
      </c>
      <c r="S2892" t="s">
        <v>25252</v>
      </c>
    </row>
    <row r="2893" spans="1:19" x14ac:dyDescent="0.25">
      <c r="A2893" s="1">
        <v>2891</v>
      </c>
      <c r="B2893" t="str">
        <f>HYPERLINK("https://www.dasschnelle.at/haller-hermann-flandorf-kreuzweg","Website")</f>
        <v>Website</v>
      </c>
      <c r="C2893" t="str">
        <f>HYPERLINK("https://www.dasschnelle.at/haller-hermann-flandorf-kreuzweg","Website")</f>
        <v>Website</v>
      </c>
      <c r="D2893" t="str">
        <f>HYPERLINK("http://www.google.com/maps/place/48.34805,16.38196","Location")</f>
        <v>Location</v>
      </c>
      <c r="E2893" t="s">
        <v>25256</v>
      </c>
      <c r="F2893" t="s">
        <v>25257</v>
      </c>
      <c r="G2893" t="s">
        <v>13271</v>
      </c>
      <c r="H2893" t="s">
        <v>13272</v>
      </c>
      <c r="I2893" t="s">
        <v>177</v>
      </c>
      <c r="J2893" t="s">
        <v>22</v>
      </c>
      <c r="K2893" t="s">
        <v>25258</v>
      </c>
      <c r="L2893" t="s">
        <v>25261</v>
      </c>
      <c r="M2893" t="s">
        <v>25</v>
      </c>
      <c r="N2893" t="s">
        <v>25262</v>
      </c>
      <c r="O2893" t="s">
        <v>25</v>
      </c>
      <c r="P2893" t="s">
        <v>25263</v>
      </c>
      <c r="Q2893" t="s">
        <v>29</v>
      </c>
      <c r="R2893" t="s">
        <v>25259</v>
      </c>
      <c r="S2893" t="s">
        <v>25260</v>
      </c>
    </row>
    <row r="2894" spans="1:19" x14ac:dyDescent="0.25">
      <c r="A2894" s="1">
        <v>2892</v>
      </c>
      <c r="B2894" t="str">
        <f>HYPERLINK("https://www.dasschnelle.at/expert-prommegger-e-u-großarl-marktstraße","Website")</f>
        <v>Website</v>
      </c>
      <c r="C2894" t="str">
        <f>HYPERLINK("http://www.expert-prommegger.at","Website")</f>
        <v>Website</v>
      </c>
      <c r="D2894" t="str">
        <f>HYPERLINK("http://www.google.com/maps/place/47.24088,13.2003","Location")</f>
        <v>Location</v>
      </c>
      <c r="E2894" t="s">
        <v>25264</v>
      </c>
      <c r="F2894" t="s">
        <v>25265</v>
      </c>
      <c r="G2894" t="s">
        <v>25267</v>
      </c>
      <c r="H2894" t="s">
        <v>25268</v>
      </c>
      <c r="I2894" t="s">
        <v>2239</v>
      </c>
      <c r="J2894" t="s">
        <v>22</v>
      </c>
      <c r="K2894" t="s">
        <v>25266</v>
      </c>
      <c r="L2894" t="s">
        <v>25271</v>
      </c>
      <c r="M2894" t="s">
        <v>25272</v>
      </c>
      <c r="N2894" t="s">
        <v>25273</v>
      </c>
      <c r="O2894" t="s">
        <v>25274</v>
      </c>
      <c r="P2894" t="s">
        <v>25275</v>
      </c>
      <c r="Q2894" t="s">
        <v>29</v>
      </c>
      <c r="R2894" t="s">
        <v>25269</v>
      </c>
      <c r="S2894" t="s">
        <v>25270</v>
      </c>
    </row>
    <row r="2895" spans="1:19" x14ac:dyDescent="0.25">
      <c r="A2895" s="1">
        <v>2893</v>
      </c>
      <c r="B2895" t="str">
        <f>HYPERLINK("https://www.dasschnelle.at/ihr-frisör-marion-bad-großpertholz-bad-großpertholz","Website")</f>
        <v>Website</v>
      </c>
      <c r="C2895" t="str">
        <f>HYPERLINK("https://www.dasschnelle.at/ihr-fris%C3%B6r-marion-bad-gro%C3%9Fpertholz-bad-gro%C3%9Fpertholz","Website")</f>
        <v>Website</v>
      </c>
      <c r="D2895" t="str">
        <f>HYPERLINK("http://www.google.com/maps/place/48.6286300,14.8213706","Location")</f>
        <v>Location</v>
      </c>
      <c r="E2895" t="s">
        <v>25276</v>
      </c>
      <c r="F2895" t="s">
        <v>25277</v>
      </c>
      <c r="G2895" t="s">
        <v>24863</v>
      </c>
      <c r="H2895" t="s">
        <v>24864</v>
      </c>
      <c r="I2895" t="s">
        <v>177</v>
      </c>
      <c r="J2895" t="s">
        <v>22</v>
      </c>
      <c r="K2895" t="s">
        <v>25278</v>
      </c>
      <c r="L2895" t="s">
        <v>25281</v>
      </c>
      <c r="M2895" t="s">
        <v>25</v>
      </c>
      <c r="N2895" t="s">
        <v>25282</v>
      </c>
      <c r="O2895" t="s">
        <v>25</v>
      </c>
      <c r="P2895" t="s">
        <v>25283</v>
      </c>
      <c r="Q2895" t="s">
        <v>29</v>
      </c>
      <c r="R2895" t="s">
        <v>25279</v>
      </c>
      <c r="S2895" t="s">
        <v>25280</v>
      </c>
    </row>
    <row r="2896" spans="1:19" x14ac:dyDescent="0.25">
      <c r="A2896" s="1">
        <v>2894</v>
      </c>
      <c r="B2896" t="str">
        <f>HYPERLINK("https://www.dasschnelle.at/holzbau-gastinger-gmbh-vitis-eschenau","Website")</f>
        <v>Website</v>
      </c>
      <c r="C2896" t="str">
        <f>HYPERLINK("http://www.holzbau-gastinger.at","Website")</f>
        <v>Website</v>
      </c>
      <c r="D2896" t="str">
        <f>HYPERLINK("http://www.google.com/maps/place/48.7800745,15.2346696","Location")</f>
        <v>Location</v>
      </c>
      <c r="E2896" t="s">
        <v>25284</v>
      </c>
      <c r="F2896" t="s">
        <v>25285</v>
      </c>
      <c r="G2896" t="s">
        <v>25287</v>
      </c>
      <c r="H2896" t="s">
        <v>25288</v>
      </c>
      <c r="I2896" t="s">
        <v>177</v>
      </c>
      <c r="J2896" t="s">
        <v>22</v>
      </c>
      <c r="K2896" t="s">
        <v>25286</v>
      </c>
      <c r="L2896" t="s">
        <v>25291</v>
      </c>
      <c r="M2896" t="s">
        <v>25</v>
      </c>
      <c r="N2896" t="s">
        <v>25292</v>
      </c>
      <c r="O2896" t="s">
        <v>25</v>
      </c>
      <c r="P2896" t="s">
        <v>25293</v>
      </c>
      <c r="Q2896" t="s">
        <v>29</v>
      </c>
      <c r="R2896" t="s">
        <v>25289</v>
      </c>
      <c r="S2896" t="s">
        <v>25290</v>
      </c>
    </row>
    <row r="2897" spans="1:19" x14ac:dyDescent="0.25">
      <c r="A2897" s="1">
        <v>2895</v>
      </c>
      <c r="B2897" t="str">
        <f>HYPERLINK("https://www.dasschnelle.at/singer-birgit-pregarten-tragweiner-straße","Website")</f>
        <v>Website</v>
      </c>
      <c r="C2897" t="str">
        <f>HYPERLINK("http://www.bp-singer.at","Website")</f>
        <v>Website</v>
      </c>
      <c r="D2897" t="str">
        <f>HYPERLINK("http://www.google.com/maps/place/48.35345,14.53583","Location")</f>
        <v>Location</v>
      </c>
      <c r="E2897" t="s">
        <v>25294</v>
      </c>
      <c r="F2897" t="s">
        <v>25295</v>
      </c>
      <c r="G2897" t="s">
        <v>25297</v>
      </c>
      <c r="H2897" t="s">
        <v>25298</v>
      </c>
      <c r="I2897" t="s">
        <v>85</v>
      </c>
      <c r="J2897" t="s">
        <v>22</v>
      </c>
      <c r="K2897" t="s">
        <v>25296</v>
      </c>
      <c r="L2897" t="s">
        <v>25301</v>
      </c>
      <c r="M2897" t="s">
        <v>25</v>
      </c>
      <c r="N2897" t="s">
        <v>25302</v>
      </c>
      <c r="O2897" t="s">
        <v>25</v>
      </c>
      <c r="P2897" t="s">
        <v>25303</v>
      </c>
      <c r="Q2897" t="s">
        <v>29</v>
      </c>
      <c r="R2897" t="s">
        <v>25299</v>
      </c>
      <c r="S2897" t="s">
        <v>25300</v>
      </c>
    </row>
    <row r="2898" spans="1:19" x14ac:dyDescent="0.25">
      <c r="A2898" s="1">
        <v>2896</v>
      </c>
      <c r="B2898" t="str">
        <f>HYPERLINK("https://www.dasschnelle.at/egger-installationen-gmbh-und-co-kg-sankt-veit-villacher-straße","Website")</f>
        <v>Website</v>
      </c>
      <c r="C2898" t="str">
        <f>HYPERLINK("http://www.egger-installationen.at","Website")</f>
        <v>Website</v>
      </c>
      <c r="D2898" t="str">
        <f>HYPERLINK("http://www.google.com/maps/place/46.7644300,14.3523400","Location")</f>
        <v>Location</v>
      </c>
      <c r="E2898" t="s">
        <v>25304</v>
      </c>
      <c r="F2898" t="s">
        <v>25305</v>
      </c>
      <c r="G2898" t="s">
        <v>9689</v>
      </c>
      <c r="H2898" t="s">
        <v>25307</v>
      </c>
      <c r="I2898" t="s">
        <v>4130</v>
      </c>
      <c r="J2898" t="s">
        <v>22</v>
      </c>
      <c r="K2898" t="s">
        <v>25306</v>
      </c>
      <c r="L2898" t="s">
        <v>25310</v>
      </c>
      <c r="M2898" t="s">
        <v>25311</v>
      </c>
      <c r="N2898" t="s">
        <v>25312</v>
      </c>
      <c r="O2898" t="s">
        <v>25313</v>
      </c>
      <c r="P2898" t="s">
        <v>25314</v>
      </c>
      <c r="Q2898" t="s">
        <v>29</v>
      </c>
      <c r="R2898" t="s">
        <v>25308</v>
      </c>
      <c r="S2898" t="s">
        <v>25309</v>
      </c>
    </row>
    <row r="2899" spans="1:19" x14ac:dyDescent="0.25">
      <c r="A2899" s="1">
        <v>2897</v>
      </c>
      <c r="B2899" t="str">
        <f>HYPERLINK("https://www.dasschnelle.at/höher-g-steinmetzbetrieb-gesmbh-und-co-kg-hermagor-bürgerfeldstraße","Website")</f>
        <v>Website</v>
      </c>
      <c r="C2899" t="str">
        <f>HYPERLINK("http://www.hoeher.at","Website")</f>
        <v>Website</v>
      </c>
      <c r="D2899" t="str">
        <f>HYPERLINK("http://www.google.com/maps/place/46.6291247,13.3798053","Location")</f>
        <v>Location</v>
      </c>
      <c r="E2899" t="s">
        <v>25315</v>
      </c>
      <c r="F2899" t="s">
        <v>25316</v>
      </c>
      <c r="G2899" t="s">
        <v>9153</v>
      </c>
      <c r="H2899" t="s">
        <v>9154</v>
      </c>
      <c r="I2899" t="s">
        <v>4130</v>
      </c>
      <c r="J2899" t="s">
        <v>22</v>
      </c>
      <c r="K2899" t="s">
        <v>25317</v>
      </c>
      <c r="L2899" t="s">
        <v>25320</v>
      </c>
      <c r="M2899" t="s">
        <v>25</v>
      </c>
      <c r="N2899" t="s">
        <v>25321</v>
      </c>
      <c r="O2899" t="s">
        <v>25</v>
      </c>
      <c r="P2899" t="s">
        <v>25322</v>
      </c>
      <c r="Q2899" t="s">
        <v>29</v>
      </c>
      <c r="R2899" t="s">
        <v>25318</v>
      </c>
      <c r="S2899" t="s">
        <v>25319</v>
      </c>
    </row>
    <row r="2900" spans="1:19" x14ac:dyDescent="0.25">
      <c r="A2900" s="1">
        <v>2898</v>
      </c>
      <c r="B2900" t="str">
        <f>HYPERLINK("https://www.dasschnelle.at/malerwerkstätte-schrammel-bisamberg-gewerbestraße","Website")</f>
        <v>Website</v>
      </c>
      <c r="C2900" t="str">
        <f>HYPERLINK("http://www.maler-schrammel.at","Website")</f>
        <v>Website</v>
      </c>
      <c r="D2900" t="str">
        <f>HYPERLINK("http://www.google.com/maps/place/48.34373,16.36695","Location")</f>
        <v>Location</v>
      </c>
      <c r="E2900" t="s">
        <v>25323</v>
      </c>
      <c r="F2900" t="s">
        <v>25324</v>
      </c>
      <c r="G2900" t="s">
        <v>13271</v>
      </c>
      <c r="H2900" t="s">
        <v>13290</v>
      </c>
      <c r="I2900" t="s">
        <v>177</v>
      </c>
      <c r="J2900" t="s">
        <v>22</v>
      </c>
      <c r="K2900" t="s">
        <v>21070</v>
      </c>
      <c r="L2900" t="s">
        <v>25327</v>
      </c>
      <c r="M2900" t="s">
        <v>25</v>
      </c>
      <c r="N2900" t="s">
        <v>25328</v>
      </c>
      <c r="O2900" t="s">
        <v>25</v>
      </c>
      <c r="P2900" t="s">
        <v>25329</v>
      </c>
      <c r="Q2900" t="s">
        <v>29</v>
      </c>
      <c r="R2900" t="s">
        <v>25325</v>
      </c>
      <c r="S2900" t="s">
        <v>25326</v>
      </c>
    </row>
    <row r="2901" spans="1:19" x14ac:dyDescent="0.25">
      <c r="A2901" s="1">
        <v>2899</v>
      </c>
      <c r="B2901" t="str">
        <f>HYPERLINK("https://www.dasschnelle.at/schimautz-josef-gamlitz-josef-zierer-weg","Website")</f>
        <v>Website</v>
      </c>
      <c r="C2901" t="str">
        <f>HYPERLINK("http://www.taxi-schimautz.at","Website")</f>
        <v>Website</v>
      </c>
      <c r="D2901" t="str">
        <f>HYPERLINK("http://www.google.com/maps/place/46.71882,15.55268","Location")</f>
        <v>Location</v>
      </c>
      <c r="E2901" t="s">
        <v>25330</v>
      </c>
      <c r="F2901" t="s">
        <v>25331</v>
      </c>
      <c r="G2901" t="s">
        <v>10836</v>
      </c>
      <c r="H2901" t="s">
        <v>10837</v>
      </c>
      <c r="I2901" t="s">
        <v>451</v>
      </c>
      <c r="J2901" t="s">
        <v>22</v>
      </c>
      <c r="K2901" t="s">
        <v>25332</v>
      </c>
      <c r="L2901" t="s">
        <v>25335</v>
      </c>
      <c r="M2901" t="s">
        <v>25</v>
      </c>
      <c r="N2901" t="s">
        <v>25336</v>
      </c>
      <c r="O2901" t="s">
        <v>25</v>
      </c>
      <c r="P2901" t="s">
        <v>25337</v>
      </c>
      <c r="Q2901" t="s">
        <v>29</v>
      </c>
      <c r="R2901" t="s">
        <v>25333</v>
      </c>
      <c r="S2901" t="s">
        <v>25334</v>
      </c>
    </row>
    <row r="2902" spans="1:19" x14ac:dyDescent="0.25">
      <c r="A2902" s="1">
        <v>2900</v>
      </c>
      <c r="B2902" t="str">
        <f>HYPERLINK("https://www.dasschnelle.at/hans-hörmann-heizung-wasser-gleinstätten-strasse-fuer-orte-ohne-strassen","Website")</f>
        <v>Website</v>
      </c>
      <c r="C2902" t="str">
        <f>HYPERLINK("http://www.heizung-hoermann.at","Website")</f>
        <v>Website</v>
      </c>
      <c r="D2902" t="str">
        <f>HYPERLINK("http://www.google.com/maps/place/46.7547500,15.3671300","Location")</f>
        <v>Location</v>
      </c>
      <c r="E2902" t="s">
        <v>25338</v>
      </c>
      <c r="F2902" t="s">
        <v>25339</v>
      </c>
      <c r="G2902" t="s">
        <v>25341</v>
      </c>
      <c r="H2902" t="s">
        <v>25342</v>
      </c>
      <c r="I2902" t="s">
        <v>451</v>
      </c>
      <c r="J2902" t="s">
        <v>22</v>
      </c>
      <c r="K2902" t="s">
        <v>25340</v>
      </c>
      <c r="L2902" t="s">
        <v>25345</v>
      </c>
      <c r="M2902" t="s">
        <v>25</v>
      </c>
      <c r="N2902" t="s">
        <v>25346</v>
      </c>
      <c r="O2902" t="s">
        <v>25</v>
      </c>
      <c r="P2902" t="s">
        <v>25347</v>
      </c>
      <c r="Q2902" t="s">
        <v>29</v>
      </c>
      <c r="R2902" t="s">
        <v>25343</v>
      </c>
      <c r="S2902" t="s">
        <v>25344</v>
      </c>
    </row>
    <row r="2903" spans="1:19" x14ac:dyDescent="0.25">
      <c r="A2903" s="1">
        <v>2901</v>
      </c>
      <c r="B2903" t="str">
        <f>HYPERLINK("https://www.dasschnelle.at/petritz-herbert-mag-dr-feldkirchen-10-oktober-straße","Website")</f>
        <v>Website</v>
      </c>
      <c r="C2903" t="str">
        <f>HYPERLINK("http://www.petritz.at","Website")</f>
        <v>Website</v>
      </c>
      <c r="D2903" t="str">
        <f>HYPERLINK("http://www.google.com/maps/place/46.7230913,14.0955935","Location")</f>
        <v>Location</v>
      </c>
      <c r="E2903" t="s">
        <v>25348</v>
      </c>
      <c r="F2903" t="s">
        <v>25349</v>
      </c>
      <c r="G2903" t="s">
        <v>8498</v>
      </c>
      <c r="H2903" t="s">
        <v>8530</v>
      </c>
      <c r="I2903" t="s">
        <v>4130</v>
      </c>
      <c r="J2903" t="s">
        <v>22</v>
      </c>
      <c r="K2903" t="s">
        <v>25350</v>
      </c>
      <c r="L2903" t="s">
        <v>25353</v>
      </c>
      <c r="M2903" t="s">
        <v>25</v>
      </c>
      <c r="N2903" t="s">
        <v>25354</v>
      </c>
      <c r="O2903" t="s">
        <v>25</v>
      </c>
      <c r="P2903" t="s">
        <v>25355</v>
      </c>
      <c r="Q2903" t="s">
        <v>29</v>
      </c>
      <c r="R2903" t="s">
        <v>25351</v>
      </c>
      <c r="S2903" t="s">
        <v>25352</v>
      </c>
    </row>
    <row r="2904" spans="1:19" x14ac:dyDescent="0.25">
      <c r="A2904" s="1">
        <v>2902</v>
      </c>
      <c r="B2904" t="str">
        <f>HYPERLINK("https://www.dasschnelle.at/pontilli-markus-kolbnitz-preisdorf","Website")</f>
        <v>Website</v>
      </c>
      <c r="C2904" t="str">
        <f>HYPERLINK("http://www.pontilli-dachmeister.at","Website")</f>
        <v>Website</v>
      </c>
      <c r="D2904" t="str">
        <f>HYPERLINK("http://www.google.com/maps/place/46.8841840,13.2950339","Location")</f>
        <v>Location</v>
      </c>
      <c r="E2904" t="s">
        <v>25356</v>
      </c>
      <c r="F2904" t="s">
        <v>25357</v>
      </c>
      <c r="G2904" t="s">
        <v>25359</v>
      </c>
      <c r="H2904" t="s">
        <v>25360</v>
      </c>
      <c r="I2904" t="s">
        <v>4130</v>
      </c>
      <c r="J2904" t="s">
        <v>22</v>
      </c>
      <c r="K2904" t="s">
        <v>25358</v>
      </c>
      <c r="L2904" t="s">
        <v>25363</v>
      </c>
      <c r="M2904" t="s">
        <v>25</v>
      </c>
      <c r="N2904" t="s">
        <v>25364</v>
      </c>
      <c r="O2904" t="s">
        <v>25</v>
      </c>
      <c r="P2904" t="s">
        <v>25365</v>
      </c>
      <c r="Q2904" t="s">
        <v>29</v>
      </c>
      <c r="R2904" t="s">
        <v>25361</v>
      </c>
      <c r="S2904" t="s">
        <v>25362</v>
      </c>
    </row>
    <row r="2905" spans="1:19" x14ac:dyDescent="0.25">
      <c r="A2905" s="1">
        <v>2903</v>
      </c>
      <c r="B2905" t="str">
        <f>HYPERLINK("https://www.dasschnelle.at/fuchs-andreas-hirschbach-hirschbach","Website")</f>
        <v>Website</v>
      </c>
      <c r="C2905" t="str">
        <f>HYPERLINK("https://www.dasschnelle.at/fuchs-andreas-hirschbach-hirschbach","Website")</f>
        <v>Website</v>
      </c>
      <c r="D2905" t="str">
        <f>HYPERLINK("http://www.google.com/maps/place/48.7427840,15.1221861","Location")</f>
        <v>Location</v>
      </c>
      <c r="E2905" t="s">
        <v>25366</v>
      </c>
      <c r="F2905" t="s">
        <v>25367</v>
      </c>
      <c r="G2905" t="s">
        <v>25369</v>
      </c>
      <c r="H2905" t="s">
        <v>25370</v>
      </c>
      <c r="I2905" t="s">
        <v>177</v>
      </c>
      <c r="J2905" t="s">
        <v>22</v>
      </c>
      <c r="K2905" t="s">
        <v>25368</v>
      </c>
      <c r="L2905" t="s">
        <v>25373</v>
      </c>
      <c r="M2905" t="s">
        <v>25</v>
      </c>
      <c r="N2905" t="s">
        <v>25374</v>
      </c>
      <c r="O2905" t="s">
        <v>25</v>
      </c>
      <c r="P2905" t="s">
        <v>25375</v>
      </c>
      <c r="Q2905" t="s">
        <v>29</v>
      </c>
      <c r="R2905" t="s">
        <v>25371</v>
      </c>
      <c r="S2905" t="s">
        <v>25372</v>
      </c>
    </row>
    <row r="2906" spans="1:19" x14ac:dyDescent="0.25">
      <c r="A2906" s="1">
        <v>2904</v>
      </c>
      <c r="B2906" t="str">
        <f>HYPERLINK("https://www.dasschnelle.at/bestattung-urschler-fürstenfeld-buchwaldstraße","Website")</f>
        <v>Website</v>
      </c>
      <c r="C2906" t="str">
        <f>HYPERLINK("http://www.bestattung-urschler.at","Website")</f>
        <v>Website</v>
      </c>
      <c r="D2906" t="str">
        <f>HYPERLINK("http://www.google.com/maps/place/47.05226,16.07052","Location")</f>
        <v>Location</v>
      </c>
      <c r="E2906" t="s">
        <v>25376</v>
      </c>
      <c r="F2906" t="s">
        <v>25377</v>
      </c>
      <c r="G2906" t="s">
        <v>24441</v>
      </c>
      <c r="H2906" t="s">
        <v>24442</v>
      </c>
      <c r="I2906" t="s">
        <v>451</v>
      </c>
      <c r="J2906" t="s">
        <v>22</v>
      </c>
      <c r="K2906" t="s">
        <v>25378</v>
      </c>
      <c r="L2906" t="s">
        <v>25381</v>
      </c>
      <c r="M2906" t="s">
        <v>25</v>
      </c>
      <c r="N2906" t="s">
        <v>25382</v>
      </c>
      <c r="O2906" t="s">
        <v>25</v>
      </c>
      <c r="P2906" t="s">
        <v>25383</v>
      </c>
      <c r="Q2906" t="s">
        <v>29</v>
      </c>
      <c r="R2906" t="s">
        <v>25379</v>
      </c>
      <c r="S2906" t="s">
        <v>25380</v>
      </c>
    </row>
    <row r="2907" spans="1:19" x14ac:dyDescent="0.25">
      <c r="A2907" s="1">
        <v>2905</v>
      </c>
      <c r="B2907" t="str">
        <f>HYPERLINK("https://www.dasschnelle.at/elekrtotechnik-fritz-mühlbach-am-hochkönig-bundesstraße","Website")</f>
        <v>Website</v>
      </c>
      <c r="C2907" t="str">
        <f>HYPERLINK("http://www.elektrofritz.at","Website")</f>
        <v>Website</v>
      </c>
      <c r="D2907" t="str">
        <f>HYPERLINK("http://www.google.com/maps/place/47.3797500,13.1447800","Location")</f>
        <v>Location</v>
      </c>
      <c r="E2907" t="s">
        <v>25384</v>
      </c>
      <c r="F2907" t="s">
        <v>25385</v>
      </c>
      <c r="G2907" t="s">
        <v>25387</v>
      </c>
      <c r="H2907" t="s">
        <v>25388</v>
      </c>
      <c r="I2907" t="s">
        <v>2239</v>
      </c>
      <c r="J2907" t="s">
        <v>22</v>
      </c>
      <c r="K2907" t="s">
        <v>25386</v>
      </c>
      <c r="L2907" t="s">
        <v>25391</v>
      </c>
      <c r="M2907" t="s">
        <v>25</v>
      </c>
      <c r="N2907" t="s">
        <v>25392</v>
      </c>
      <c r="O2907" t="s">
        <v>25</v>
      </c>
      <c r="P2907" t="s">
        <v>25393</v>
      </c>
      <c r="Q2907" t="s">
        <v>29</v>
      </c>
      <c r="R2907" t="s">
        <v>25389</v>
      </c>
      <c r="S2907" t="s">
        <v>25390</v>
      </c>
    </row>
    <row r="2908" spans="1:19" x14ac:dyDescent="0.25">
      <c r="A2908" s="1">
        <v>2906</v>
      </c>
      <c r="B2908" t="str">
        <f>HYPERLINK("https://www.dasschnelle.at/bäckerei-birchbauer-gmbh-und-co-kg-fürstenfeld-flurstraße","Website")</f>
        <v>Website</v>
      </c>
      <c r="C2908" t="str">
        <f>HYPERLINK("http://www.baeckerei-birchbauer.at","Website")</f>
        <v>Website</v>
      </c>
      <c r="D2908" t="str">
        <f>HYPERLINK("http://www.google.com/maps/place/47.03722,16.09234","Location")</f>
        <v>Location</v>
      </c>
      <c r="E2908" t="s">
        <v>25394</v>
      </c>
      <c r="F2908" t="s">
        <v>25395</v>
      </c>
      <c r="G2908" t="s">
        <v>24441</v>
      </c>
      <c r="H2908" t="s">
        <v>24442</v>
      </c>
      <c r="I2908" t="s">
        <v>451</v>
      </c>
      <c r="J2908" t="s">
        <v>22</v>
      </c>
      <c r="K2908" t="s">
        <v>25396</v>
      </c>
      <c r="L2908" t="s">
        <v>25399</v>
      </c>
      <c r="M2908" t="s">
        <v>25400</v>
      </c>
      <c r="N2908" t="s">
        <v>25401</v>
      </c>
      <c r="O2908" t="s">
        <v>25</v>
      </c>
      <c r="P2908" t="s">
        <v>25402</v>
      </c>
      <c r="Q2908" t="s">
        <v>29</v>
      </c>
      <c r="R2908" t="s">
        <v>25397</v>
      </c>
      <c r="S2908" t="s">
        <v>25398</v>
      </c>
    </row>
    <row r="2909" spans="1:19" x14ac:dyDescent="0.25">
      <c r="A2909" s="1">
        <v>2907</v>
      </c>
      <c r="B2909" t="str">
        <f>HYPERLINK("https://www.dasschnelle.at/holfeld-richard-bischofshofen-bahnhofgasse","Website")</f>
        <v>Website</v>
      </c>
      <c r="C2909" t="str">
        <f>HYPERLINK("http://www.malerei-holfeld.at","Website")</f>
        <v>Website</v>
      </c>
      <c r="D2909" t="str">
        <f>HYPERLINK("http://www.google.com/maps/place/47.41526,13.21924","Location")</f>
        <v>Location</v>
      </c>
      <c r="E2909" t="s">
        <v>25403</v>
      </c>
      <c r="F2909" t="s">
        <v>25404</v>
      </c>
      <c r="G2909" t="s">
        <v>24827</v>
      </c>
      <c r="H2909" t="s">
        <v>24828</v>
      </c>
      <c r="I2909" t="s">
        <v>2239</v>
      </c>
      <c r="J2909" t="s">
        <v>22</v>
      </c>
      <c r="K2909" t="s">
        <v>25405</v>
      </c>
      <c r="L2909" t="s">
        <v>25408</v>
      </c>
      <c r="M2909" t="s">
        <v>25</v>
      </c>
      <c r="N2909" t="s">
        <v>25409</v>
      </c>
      <c r="O2909" t="s">
        <v>25</v>
      </c>
      <c r="P2909" t="s">
        <v>25410</v>
      </c>
      <c r="Q2909" t="s">
        <v>29</v>
      </c>
      <c r="R2909" t="s">
        <v>25406</v>
      </c>
      <c r="S2909" t="s">
        <v>25407</v>
      </c>
    </row>
    <row r="2910" spans="1:19" x14ac:dyDescent="0.25">
      <c r="A2910" s="1">
        <v>2908</v>
      </c>
      <c r="B2910" t="str">
        <f>HYPERLINK("https://www.dasschnelle.at/land-und-kfz-handel-neuhofen-an-der-ybbs-hauptstraße","Website")</f>
        <v>Website</v>
      </c>
      <c r="C2910" t="str">
        <f>HYPERLINK("http://www.rechberger-landundkfz.at","Website")</f>
        <v>Website</v>
      </c>
      <c r="D2910" t="str">
        <f>HYPERLINK("http://www.google.com/maps/place/48.0571500,14.8518200","Location")</f>
        <v>Location</v>
      </c>
      <c r="E2910" t="s">
        <v>25411</v>
      </c>
      <c r="F2910" t="s">
        <v>25412</v>
      </c>
      <c r="G2910" t="s">
        <v>25413</v>
      </c>
      <c r="H2910" t="s">
        <v>25414</v>
      </c>
      <c r="I2910" t="s">
        <v>177</v>
      </c>
      <c r="J2910" t="s">
        <v>22</v>
      </c>
      <c r="K2910" t="s">
        <v>4716</v>
      </c>
      <c r="L2910" t="s">
        <v>25417</v>
      </c>
      <c r="M2910" t="s">
        <v>25</v>
      </c>
      <c r="N2910" t="s">
        <v>25418</v>
      </c>
      <c r="O2910" t="s">
        <v>25</v>
      </c>
      <c r="P2910" t="s">
        <v>25419</v>
      </c>
      <c r="Q2910" t="s">
        <v>29</v>
      </c>
      <c r="R2910" t="s">
        <v>25415</v>
      </c>
      <c r="S2910" t="s">
        <v>25416</v>
      </c>
    </row>
    <row r="2911" spans="1:19" x14ac:dyDescent="0.25">
      <c r="A2911" s="1">
        <v>2909</v>
      </c>
      <c r="B2911" t="str">
        <f>HYPERLINK("https://www.dasschnelle.at/ertl-glas-ag-zell-markt-urltalstraße","Website")</f>
        <v>Website</v>
      </c>
      <c r="C2911" t="str">
        <f>HYPERLINK("http://www.ertl-glas.at","Website")</f>
        <v>Website</v>
      </c>
      <c r="D2911" t="str">
        <f>HYPERLINK("http://www.google.com/maps/place/47.96429,14.77655","Location")</f>
        <v>Location</v>
      </c>
      <c r="E2911" t="s">
        <v>25420</v>
      </c>
      <c r="F2911" t="s">
        <v>25421</v>
      </c>
      <c r="G2911" t="s">
        <v>1504</v>
      </c>
      <c r="H2911" t="s">
        <v>25423</v>
      </c>
      <c r="I2911" t="s">
        <v>177</v>
      </c>
      <c r="J2911" t="s">
        <v>22</v>
      </c>
      <c r="K2911" t="s">
        <v>25422</v>
      </c>
      <c r="L2911" t="s">
        <v>25426</v>
      </c>
      <c r="M2911" t="s">
        <v>25427</v>
      </c>
      <c r="N2911" t="s">
        <v>25428</v>
      </c>
      <c r="O2911" t="s">
        <v>25</v>
      </c>
      <c r="P2911" t="s">
        <v>25429</v>
      </c>
      <c r="Q2911" t="s">
        <v>29</v>
      </c>
      <c r="R2911" t="s">
        <v>25424</v>
      </c>
      <c r="S2911" t="s">
        <v>25425</v>
      </c>
    </row>
    <row r="2912" spans="1:19" x14ac:dyDescent="0.25">
      <c r="A2912" s="1">
        <v>2910</v>
      </c>
      <c r="B2912" t="str">
        <f>HYPERLINK("https://www.dasschnelle.at/klug-im-garten-schwertberg-doppl","Website")</f>
        <v>Website</v>
      </c>
      <c r="C2912" t="str">
        <f>HYPERLINK("http://www.klug-im-garten.at","Website")</f>
        <v>Website</v>
      </c>
      <c r="D2912" t="str">
        <f>HYPERLINK("http://www.google.com/maps/place/48.2814475,14.5696507","Location")</f>
        <v>Location</v>
      </c>
      <c r="E2912" t="s">
        <v>25430</v>
      </c>
      <c r="F2912" t="s">
        <v>25431</v>
      </c>
      <c r="G2912" t="s">
        <v>6415</v>
      </c>
      <c r="H2912" t="s">
        <v>6416</v>
      </c>
      <c r="I2912" t="s">
        <v>85</v>
      </c>
      <c r="J2912" t="s">
        <v>22</v>
      </c>
      <c r="K2912" t="s">
        <v>25432</v>
      </c>
      <c r="L2912" t="s">
        <v>25435</v>
      </c>
      <c r="M2912" t="s">
        <v>25</v>
      </c>
      <c r="N2912" t="s">
        <v>25436</v>
      </c>
      <c r="O2912" t="s">
        <v>25</v>
      </c>
      <c r="P2912" t="s">
        <v>25437</v>
      </c>
      <c r="Q2912" t="s">
        <v>29</v>
      </c>
      <c r="R2912" t="s">
        <v>25433</v>
      </c>
      <c r="S2912" t="s">
        <v>25434</v>
      </c>
    </row>
    <row r="2913" spans="1:19" x14ac:dyDescent="0.25">
      <c r="A2913" s="1">
        <v>2911</v>
      </c>
      <c r="B2913" t="str">
        <f>HYPERLINK("https://www.dasschnelle.at/aufsperrdienst-mailänder-spittal-an-der-drau-villacher-straße","Website")</f>
        <v>Website</v>
      </c>
      <c r="C2913" t="str">
        <f>HYPERLINK("http://www.mailaender-sicherheit.at","Website")</f>
        <v>Website</v>
      </c>
      <c r="D2913" t="str">
        <f>HYPERLINK("http://www.google.com/maps/place/46.7924400,13.5088800","Location")</f>
        <v>Location</v>
      </c>
      <c r="E2913" t="s">
        <v>25438</v>
      </c>
      <c r="F2913" t="s">
        <v>25439</v>
      </c>
      <c r="G2913" t="s">
        <v>4160</v>
      </c>
      <c r="H2913" t="s">
        <v>25441</v>
      </c>
      <c r="I2913" t="s">
        <v>4130</v>
      </c>
      <c r="J2913" t="s">
        <v>22</v>
      </c>
      <c r="K2913" t="s">
        <v>25440</v>
      </c>
      <c r="L2913" t="s">
        <v>25444</v>
      </c>
      <c r="M2913" t="s">
        <v>25</v>
      </c>
      <c r="N2913" t="s">
        <v>25445</v>
      </c>
      <c r="O2913" t="s">
        <v>25</v>
      </c>
      <c r="P2913" t="s">
        <v>25446</v>
      </c>
      <c r="Q2913" t="s">
        <v>29</v>
      </c>
      <c r="R2913" t="s">
        <v>25442</v>
      </c>
      <c r="S2913" t="s">
        <v>25443</v>
      </c>
    </row>
    <row r="2914" spans="1:19" x14ac:dyDescent="0.25">
      <c r="A2914" s="1">
        <v>2912</v>
      </c>
      <c r="B2914" t="str">
        <f>HYPERLINK("https://www.dasschnelle.at/bestattung-baar-kg-krobotek-krobotek","Website")</f>
        <v>Website</v>
      </c>
      <c r="C2914" t="str">
        <f>HYPERLINK("http://www.bestatter.at","Website")</f>
        <v>Website</v>
      </c>
      <c r="D2914" t="str">
        <f>HYPERLINK("http://www.google.com/maps/place/46.9722111,16.2043121","Location")</f>
        <v>Location</v>
      </c>
      <c r="E2914" t="s">
        <v>25447</v>
      </c>
      <c r="F2914" t="s">
        <v>25448</v>
      </c>
      <c r="G2914" t="s">
        <v>25450</v>
      </c>
      <c r="H2914" t="s">
        <v>25451</v>
      </c>
      <c r="I2914" t="s">
        <v>1834</v>
      </c>
      <c r="J2914" t="s">
        <v>22</v>
      </c>
      <c r="K2914" t="s">
        <v>25449</v>
      </c>
      <c r="L2914" t="s">
        <v>25454</v>
      </c>
      <c r="M2914" t="s">
        <v>25</v>
      </c>
      <c r="N2914" t="s">
        <v>25455</v>
      </c>
      <c r="O2914" t="s">
        <v>25456</v>
      </c>
      <c r="P2914" t="s">
        <v>25457</v>
      </c>
      <c r="Q2914" t="s">
        <v>29</v>
      </c>
      <c r="R2914" t="s">
        <v>25452</v>
      </c>
      <c r="S2914" t="s">
        <v>25453</v>
      </c>
    </row>
    <row r="2915" spans="1:19" x14ac:dyDescent="0.25">
      <c r="A2915" s="1">
        <v>2913</v>
      </c>
      <c r="B2915" t="str">
        <f>HYPERLINK("https://www.dasschnelle.at/bestattung-baar-kg-mogersdorf-krobotek","Website")</f>
        <v>Website</v>
      </c>
      <c r="C2915" t="str">
        <f>HYPERLINK("http://www.bestatter.at","Website")</f>
        <v>Website</v>
      </c>
      <c r="D2915" t="str">
        <f>HYPERLINK("http://www.google.com/maps/place/46.9722111,16.2043121","Location")</f>
        <v>Location</v>
      </c>
      <c r="E2915" t="s">
        <v>25458</v>
      </c>
      <c r="F2915" t="s">
        <v>25459</v>
      </c>
      <c r="G2915" t="s">
        <v>25450</v>
      </c>
      <c r="H2915" t="s">
        <v>25460</v>
      </c>
      <c r="I2915" t="s">
        <v>1834</v>
      </c>
      <c r="J2915" t="s">
        <v>22</v>
      </c>
      <c r="K2915" t="s">
        <v>25449</v>
      </c>
      <c r="L2915" t="s">
        <v>25454</v>
      </c>
      <c r="M2915" t="s">
        <v>25</v>
      </c>
      <c r="N2915" t="s">
        <v>25455</v>
      </c>
      <c r="O2915" t="s">
        <v>25461</v>
      </c>
      <c r="P2915" t="s">
        <v>25462</v>
      </c>
      <c r="Q2915" t="s">
        <v>29</v>
      </c>
      <c r="R2915" t="s">
        <v>25452</v>
      </c>
      <c r="S2915" t="s">
        <v>25453</v>
      </c>
    </row>
    <row r="2916" spans="1:19" x14ac:dyDescent="0.25">
      <c r="A2916" s="1">
        <v>2914</v>
      </c>
      <c r="B2916" t="str">
        <f>HYPERLINK("https://www.dasschnelle.at/tws-heizung-sanitär-und-service-gmbh-deutsch-kaltenbrunn-untere-marktstraße","Website")</f>
        <v>Website</v>
      </c>
      <c r="C2916" t="str">
        <f>HYPERLINK("http://www.tws-heizung.at","Website")</f>
        <v>Website</v>
      </c>
      <c r="D2916" t="str">
        <f>HYPERLINK("http://www.google.com/maps/place/47.08717,16.1061","Location")</f>
        <v>Location</v>
      </c>
      <c r="E2916" t="s">
        <v>25463</v>
      </c>
      <c r="F2916" t="s">
        <v>25464</v>
      </c>
      <c r="G2916" t="s">
        <v>6612</v>
      </c>
      <c r="H2916" t="s">
        <v>6613</v>
      </c>
      <c r="I2916" t="s">
        <v>1834</v>
      </c>
      <c r="J2916" t="s">
        <v>22</v>
      </c>
      <c r="K2916" t="s">
        <v>25465</v>
      </c>
      <c r="L2916" t="s">
        <v>25468</v>
      </c>
      <c r="M2916" t="s">
        <v>25</v>
      </c>
      <c r="N2916" t="s">
        <v>25469</v>
      </c>
      <c r="O2916" t="s">
        <v>25</v>
      </c>
      <c r="P2916" t="s">
        <v>25470</v>
      </c>
      <c r="Q2916" t="s">
        <v>29</v>
      </c>
      <c r="R2916" t="s">
        <v>25466</v>
      </c>
      <c r="S2916" t="s">
        <v>25467</v>
      </c>
    </row>
    <row r="2917" spans="1:19" x14ac:dyDescent="0.25">
      <c r="A2917" s="1">
        <v>2915</v>
      </c>
      <c r="B2917" t="str">
        <f>HYPERLINK("https://www.dasschnelle.at/hiesinger-karl-gesellschaft-m-b-h-korneuburg-bankmannring","Website")</f>
        <v>Website</v>
      </c>
      <c r="C2917" t="str">
        <f>HYPERLINK("http://www.hiesingerkarl.at","Website")</f>
        <v>Website</v>
      </c>
      <c r="D2917" t="str">
        <f>HYPERLINK("http://www.google.com/maps/place/48.3930000,16.3712000","Location")</f>
        <v>Location</v>
      </c>
      <c r="E2917" t="s">
        <v>25471</v>
      </c>
      <c r="F2917" t="s">
        <v>25472</v>
      </c>
      <c r="G2917" t="s">
        <v>440</v>
      </c>
      <c r="H2917" t="s">
        <v>441</v>
      </c>
      <c r="I2917" t="s">
        <v>177</v>
      </c>
      <c r="J2917" t="s">
        <v>22</v>
      </c>
      <c r="K2917" t="s">
        <v>25473</v>
      </c>
      <c r="L2917" t="s">
        <v>25474</v>
      </c>
      <c r="M2917" t="s">
        <v>25</v>
      </c>
      <c r="N2917" t="s">
        <v>25475</v>
      </c>
      <c r="O2917" t="s">
        <v>25476</v>
      </c>
      <c r="P2917" t="s">
        <v>25477</v>
      </c>
      <c r="Q2917" t="s">
        <v>29</v>
      </c>
      <c r="R2917" t="s">
        <v>24875</v>
      </c>
      <c r="S2917" t="s">
        <v>24876</v>
      </c>
    </row>
    <row r="2918" spans="1:19" x14ac:dyDescent="0.25">
      <c r="A2918" s="1">
        <v>2916</v>
      </c>
      <c r="B2918" t="str">
        <f>HYPERLINK("https://www.dasschnelle.at/hotwagner-karin-dr-st-georgen-im-attergau-attergaustraße","Website")</f>
        <v>Website</v>
      </c>
      <c r="C2918" t="str">
        <f>HYPERLINK("http://www.tierarzt-hotwagner.com","Website")</f>
        <v>Website</v>
      </c>
      <c r="D2918" t="str">
        <f>HYPERLINK("http://www.google.com/maps/place/47.93657,13.48524","Location")</f>
        <v>Location</v>
      </c>
      <c r="E2918" t="s">
        <v>25478</v>
      </c>
      <c r="F2918" t="s">
        <v>25479</v>
      </c>
      <c r="G2918" t="s">
        <v>3833</v>
      </c>
      <c r="H2918" t="s">
        <v>3834</v>
      </c>
      <c r="I2918" t="s">
        <v>85</v>
      </c>
      <c r="J2918" t="s">
        <v>22</v>
      </c>
      <c r="K2918" t="s">
        <v>25480</v>
      </c>
      <c r="L2918" t="s">
        <v>25483</v>
      </c>
      <c r="M2918" t="s">
        <v>25</v>
      </c>
      <c r="N2918" t="s">
        <v>25484</v>
      </c>
      <c r="O2918" t="s">
        <v>25485</v>
      </c>
      <c r="P2918" t="s">
        <v>25486</v>
      </c>
      <c r="Q2918" t="s">
        <v>29</v>
      </c>
      <c r="R2918" t="s">
        <v>25481</v>
      </c>
      <c r="S2918" t="s">
        <v>25482</v>
      </c>
    </row>
    <row r="2919" spans="1:19" x14ac:dyDescent="0.25">
      <c r="A2919" s="1">
        <v>2917</v>
      </c>
      <c r="B2919" t="str">
        <f>HYPERLINK("https://www.dasschnelle.at/stein-baumgartner-gmbh-vöcklabruck-karl-lötsch-straße","Website")</f>
        <v>Website</v>
      </c>
      <c r="C2919" t="str">
        <f>HYPERLINK("http://www.stein-baumgartner.at","Website")</f>
        <v>Website</v>
      </c>
      <c r="D2919" t="str">
        <f>HYPERLINK("http://www.google.com/maps/place/48.00678,13.66411","Location")</f>
        <v>Location</v>
      </c>
      <c r="E2919" t="s">
        <v>25487</v>
      </c>
      <c r="F2919" t="s">
        <v>25488</v>
      </c>
      <c r="G2919" t="s">
        <v>3749</v>
      </c>
      <c r="H2919" t="s">
        <v>3750</v>
      </c>
      <c r="I2919" t="s">
        <v>85</v>
      </c>
      <c r="J2919" t="s">
        <v>22</v>
      </c>
      <c r="K2919" t="s">
        <v>25489</v>
      </c>
      <c r="L2919" t="s">
        <v>25492</v>
      </c>
      <c r="M2919" t="s">
        <v>25</v>
      </c>
      <c r="N2919" t="s">
        <v>25493</v>
      </c>
      <c r="O2919" t="s">
        <v>25494</v>
      </c>
      <c r="P2919" t="s">
        <v>25495</v>
      </c>
      <c r="Q2919" t="s">
        <v>29</v>
      </c>
      <c r="R2919" t="s">
        <v>25490</v>
      </c>
      <c r="S2919" t="s">
        <v>25491</v>
      </c>
    </row>
    <row r="2920" spans="1:19" x14ac:dyDescent="0.25">
      <c r="A2920" s="1">
        <v>2918</v>
      </c>
      <c r="B2920" t="str">
        <f>HYPERLINK("https://www.dasschnelle.at/holzer-putz-u-fassaden-e-u-pfarrwerfen-imlau","Website")</f>
        <v>Website</v>
      </c>
      <c r="C2920" t="str">
        <f>HYPERLINK("http://www.holzer-putz.cc","Website")</f>
        <v>Website</v>
      </c>
      <c r="D2920" t="str">
        <f>HYPERLINK("http://www.google.com/maps/place/47.4625548,13.1932419","Location")</f>
        <v>Location</v>
      </c>
      <c r="E2920" t="s">
        <v>25496</v>
      </c>
      <c r="F2920" t="s">
        <v>25497</v>
      </c>
      <c r="G2920" t="s">
        <v>25499</v>
      </c>
      <c r="H2920" t="s">
        <v>25500</v>
      </c>
      <c r="I2920" t="s">
        <v>2239</v>
      </c>
      <c r="J2920" t="s">
        <v>22</v>
      </c>
      <c r="K2920" t="s">
        <v>25498</v>
      </c>
      <c r="L2920" t="s">
        <v>25503</v>
      </c>
      <c r="M2920" t="s">
        <v>25</v>
      </c>
      <c r="N2920" t="s">
        <v>25504</v>
      </c>
      <c r="O2920" t="s">
        <v>25505</v>
      </c>
      <c r="P2920" t="s">
        <v>697</v>
      </c>
      <c r="Q2920" t="s">
        <v>29</v>
      </c>
      <c r="R2920" t="s">
        <v>25501</v>
      </c>
      <c r="S2920" t="s">
        <v>25502</v>
      </c>
    </row>
    <row r="2921" spans="1:19" x14ac:dyDescent="0.25">
      <c r="A2921" s="1">
        <v>2919</v>
      </c>
      <c r="B2921" t="str">
        <f>HYPERLINK("https://www.dasschnelle.at/gärtnerei-holzleitner-vöcklabruck-parkstraße","Website")</f>
        <v>Website</v>
      </c>
      <c r="C2921" t="str">
        <f>HYPERLINK("http://www.holzleitner.at","Website")</f>
        <v>Website</v>
      </c>
      <c r="D2921" t="str">
        <f>HYPERLINK("http://www.google.com/maps/place/48.00967,13.65352","Location")</f>
        <v>Location</v>
      </c>
      <c r="E2921" t="s">
        <v>25506</v>
      </c>
      <c r="F2921" t="s">
        <v>25507</v>
      </c>
      <c r="G2921" t="s">
        <v>3749</v>
      </c>
      <c r="H2921" t="s">
        <v>3750</v>
      </c>
      <c r="I2921" t="s">
        <v>85</v>
      </c>
      <c r="J2921" t="s">
        <v>22</v>
      </c>
      <c r="K2921" t="s">
        <v>25508</v>
      </c>
      <c r="L2921" t="s">
        <v>25511</v>
      </c>
      <c r="M2921" t="s">
        <v>25</v>
      </c>
      <c r="N2921" t="s">
        <v>25512</v>
      </c>
      <c r="O2921" t="s">
        <v>25513</v>
      </c>
      <c r="P2921" t="s">
        <v>25514</v>
      </c>
      <c r="Q2921" t="s">
        <v>29</v>
      </c>
      <c r="R2921" t="s">
        <v>25509</v>
      </c>
      <c r="S2921" t="s">
        <v>25510</v>
      </c>
    </row>
    <row r="2922" spans="1:19" x14ac:dyDescent="0.25">
      <c r="A2922" s="1">
        <v>2920</v>
      </c>
      <c r="B2922" t="str">
        <f>HYPERLINK("https://www.dasschnelle.at/schachner-gmbh-seitenstetten-gewerbepark-pölla","Website")</f>
        <v>Website</v>
      </c>
      <c r="C2922" t="str">
        <f>HYPERLINK("http://www.elektrobikes.com","Website")</f>
        <v>Website</v>
      </c>
      <c r="D2922" t="str">
        <f>HYPERLINK("http://www.google.com/maps/place/48.04179,14.63213","Location")</f>
        <v>Location</v>
      </c>
      <c r="E2922" t="s">
        <v>25515</v>
      </c>
      <c r="F2922" t="s">
        <v>25516</v>
      </c>
      <c r="G2922" t="s">
        <v>1703</v>
      </c>
      <c r="H2922" t="s">
        <v>1704</v>
      </c>
      <c r="I2922" t="s">
        <v>177</v>
      </c>
      <c r="J2922" t="s">
        <v>22</v>
      </c>
      <c r="K2922" t="s">
        <v>25517</v>
      </c>
      <c r="L2922" t="s">
        <v>25520</v>
      </c>
      <c r="M2922" t="s">
        <v>25</v>
      </c>
      <c r="N2922" t="s">
        <v>25521</v>
      </c>
      <c r="O2922" t="s">
        <v>25</v>
      </c>
      <c r="P2922" t="s">
        <v>25522</v>
      </c>
      <c r="Q2922" t="s">
        <v>29</v>
      </c>
      <c r="R2922" t="s">
        <v>25518</v>
      </c>
      <c r="S2922" t="s">
        <v>25519</v>
      </c>
    </row>
    <row r="2923" spans="1:19" x14ac:dyDescent="0.25">
      <c r="A2923" s="1">
        <v>2921</v>
      </c>
      <c r="B2923" t="str">
        <f>HYPERLINK("https://www.dasschnelle.at/elektro-beneder-arbesbach-linzer-straße","Website")</f>
        <v>Website</v>
      </c>
      <c r="C2923" t="str">
        <f>HYPERLINK("http://www.elektro-beneder.at","Website")</f>
        <v>Website</v>
      </c>
      <c r="D2923" t="str">
        <f>HYPERLINK("http://www.google.com/maps/place/48.4922678,14.952175","Location")</f>
        <v>Location</v>
      </c>
      <c r="E2923" t="s">
        <v>25523</v>
      </c>
      <c r="F2923" t="s">
        <v>25524</v>
      </c>
      <c r="G2923" t="s">
        <v>25525</v>
      </c>
      <c r="H2923" t="s">
        <v>25526</v>
      </c>
      <c r="I2923" t="s">
        <v>177</v>
      </c>
      <c r="J2923" t="s">
        <v>22</v>
      </c>
      <c r="K2923" t="s">
        <v>4092</v>
      </c>
      <c r="L2923" t="s">
        <v>25529</v>
      </c>
      <c r="M2923" t="s">
        <v>25</v>
      </c>
      <c r="N2923" t="s">
        <v>25530</v>
      </c>
      <c r="O2923" t="s">
        <v>25</v>
      </c>
      <c r="P2923" t="s">
        <v>697</v>
      </c>
      <c r="Q2923" t="s">
        <v>29</v>
      </c>
      <c r="R2923" t="s">
        <v>25527</v>
      </c>
      <c r="S2923" t="s">
        <v>25528</v>
      </c>
    </row>
    <row r="2924" spans="1:19" x14ac:dyDescent="0.25">
      <c r="A2924" s="1">
        <v>2922</v>
      </c>
      <c r="B2924" t="str">
        <f>HYPERLINK("https://www.dasschnelle.at/groß-dach-kalch-kalch","Website")</f>
        <v>Website</v>
      </c>
      <c r="C2924" t="str">
        <f>HYPERLINK("https://www.dasschnelle.at/gro%C3%9F-dach-kalch-kalch","Website")</f>
        <v>Website</v>
      </c>
      <c r="D2924" t="str">
        <f>HYPERLINK("http://www.google.com/maps/place/46.8450237,16.0143759","Location")</f>
        <v>Location</v>
      </c>
      <c r="E2924" t="s">
        <v>25531</v>
      </c>
      <c r="F2924" t="s">
        <v>25532</v>
      </c>
      <c r="G2924" t="s">
        <v>25534</v>
      </c>
      <c r="H2924" t="s">
        <v>25535</v>
      </c>
      <c r="I2924" t="s">
        <v>1834</v>
      </c>
      <c r="J2924" t="s">
        <v>22</v>
      </c>
      <c r="K2924" t="s">
        <v>25533</v>
      </c>
      <c r="L2924" t="s">
        <v>25538</v>
      </c>
      <c r="M2924" t="s">
        <v>25</v>
      </c>
      <c r="N2924" t="s">
        <v>25539</v>
      </c>
      <c r="O2924" t="s">
        <v>25540</v>
      </c>
      <c r="P2924" t="s">
        <v>25541</v>
      </c>
      <c r="Q2924" t="s">
        <v>29</v>
      </c>
      <c r="R2924" t="s">
        <v>25536</v>
      </c>
      <c r="S2924" t="s">
        <v>25537</v>
      </c>
    </row>
    <row r="2925" spans="1:19" x14ac:dyDescent="0.25">
      <c r="A2925" s="1">
        <v>2923</v>
      </c>
      <c r="B2925" t="str">
        <f>HYPERLINK("https://www.dasschnelle.at/leitner-david-ing-metnitz-badstraße","Website")</f>
        <v>Website</v>
      </c>
      <c r="C2925" t="str">
        <f>HYPERLINK("http://www.leitner-holzbau.at","Website")</f>
        <v>Website</v>
      </c>
      <c r="D2925" t="str">
        <f>HYPERLINK("http://www.google.com/maps/place/46.9810200,14.1992300","Location")</f>
        <v>Location</v>
      </c>
      <c r="E2925" t="s">
        <v>25542</v>
      </c>
      <c r="F2925" t="s">
        <v>25543</v>
      </c>
      <c r="G2925" t="s">
        <v>25545</v>
      </c>
      <c r="H2925" t="s">
        <v>25546</v>
      </c>
      <c r="I2925" t="s">
        <v>4130</v>
      </c>
      <c r="J2925" t="s">
        <v>22</v>
      </c>
      <c r="K2925" t="s">
        <v>25544</v>
      </c>
      <c r="L2925" t="s">
        <v>25549</v>
      </c>
      <c r="M2925" t="s">
        <v>25</v>
      </c>
      <c r="N2925" t="s">
        <v>25550</v>
      </c>
      <c r="O2925" t="s">
        <v>25551</v>
      </c>
      <c r="P2925" t="s">
        <v>25552</v>
      </c>
      <c r="Q2925" t="s">
        <v>29</v>
      </c>
      <c r="R2925" t="s">
        <v>25547</v>
      </c>
      <c r="S2925" t="s">
        <v>25548</v>
      </c>
    </row>
    <row r="2926" spans="1:19" x14ac:dyDescent="0.25">
      <c r="A2926" s="1">
        <v>2924</v>
      </c>
      <c r="B2926" t="str">
        <f>HYPERLINK("https://www.dasschnelle.at/maringer-dominik-mag-vöcklabruck-salzburger-straße","Website")</f>
        <v>Website</v>
      </c>
      <c r="C2926" t="str">
        <f>HYPERLINK("https://www.dasschnelle.at/maringer-dominik-mag-v%C3%B6cklabruck-salzburger-stra%C3%9Fe","Website")</f>
        <v>Website</v>
      </c>
      <c r="D2926" t="str">
        <f>HYPERLINK("http://www.google.com/maps/place/48.00734,13.65277","Location")</f>
        <v>Location</v>
      </c>
      <c r="E2926" t="s">
        <v>25553</v>
      </c>
      <c r="F2926" t="s">
        <v>25554</v>
      </c>
      <c r="G2926" t="s">
        <v>3749</v>
      </c>
      <c r="H2926" t="s">
        <v>3750</v>
      </c>
      <c r="I2926" t="s">
        <v>85</v>
      </c>
      <c r="J2926" t="s">
        <v>22</v>
      </c>
      <c r="K2926" t="s">
        <v>25555</v>
      </c>
      <c r="L2926" t="s">
        <v>25558</v>
      </c>
      <c r="M2926" t="s">
        <v>25</v>
      </c>
      <c r="N2926" t="s">
        <v>25559</v>
      </c>
      <c r="O2926" t="s">
        <v>25</v>
      </c>
      <c r="P2926" t="s">
        <v>25560</v>
      </c>
      <c r="Q2926" t="s">
        <v>29</v>
      </c>
      <c r="R2926" t="s">
        <v>25556</v>
      </c>
      <c r="S2926" t="s">
        <v>25557</v>
      </c>
    </row>
    <row r="2927" spans="1:19" x14ac:dyDescent="0.25">
      <c r="A2927" s="1">
        <v>2925</v>
      </c>
      <c r="B2927" t="str">
        <f>HYPERLINK("https://www.dasschnelle.at/sv-steuerberatung-gmbh-wagrain-siegfried-marcus-straße","Website")</f>
        <v>Website</v>
      </c>
      <c r="C2927" t="str">
        <f>HYPERLINK("https://www.dasschnelle.at/sv-steuerberatung-gmbh-wagrain-siegfried-marcus-stra%C3%9Fe","Website")</f>
        <v>Website</v>
      </c>
      <c r="D2927" t="str">
        <f>HYPERLINK("http://www.google.com/maps/place/48.00656,13.66233","Location")</f>
        <v>Location</v>
      </c>
      <c r="E2927" t="s">
        <v>25561</v>
      </c>
      <c r="F2927" t="s">
        <v>25562</v>
      </c>
      <c r="G2927" t="s">
        <v>3749</v>
      </c>
      <c r="H2927" t="s">
        <v>5867</v>
      </c>
      <c r="I2927" t="s">
        <v>85</v>
      </c>
      <c r="J2927" t="s">
        <v>22</v>
      </c>
      <c r="K2927" t="s">
        <v>25563</v>
      </c>
      <c r="L2927" t="s">
        <v>25566</v>
      </c>
      <c r="M2927" t="s">
        <v>25</v>
      </c>
      <c r="N2927" t="s">
        <v>25567</v>
      </c>
      <c r="O2927" t="s">
        <v>25</v>
      </c>
      <c r="P2927" t="s">
        <v>25568</v>
      </c>
      <c r="Q2927" t="s">
        <v>29</v>
      </c>
      <c r="R2927" t="s">
        <v>25564</v>
      </c>
      <c r="S2927" t="s">
        <v>25565</v>
      </c>
    </row>
    <row r="2928" spans="1:19" x14ac:dyDescent="0.25">
      <c r="A2928" s="1">
        <v>2926</v>
      </c>
      <c r="B2928" t="str">
        <f>HYPERLINK("https://www.dasschnelle.at/fensterbauer-vertriebs-gmbh-schrems-mühlgasse","Website")</f>
        <v>Website</v>
      </c>
      <c r="C2928" t="str">
        <f>HYPERLINK("http://www.fensterbauer.at","Website")</f>
        <v>Website</v>
      </c>
      <c r="D2928" t="str">
        <f>HYPERLINK("http://www.google.com/maps/place/48.7941485,15.0681877","Location")</f>
        <v>Location</v>
      </c>
      <c r="E2928" t="s">
        <v>25569</v>
      </c>
      <c r="F2928" t="s">
        <v>25570</v>
      </c>
      <c r="G2928" t="s">
        <v>7200</v>
      </c>
      <c r="H2928" t="s">
        <v>7201</v>
      </c>
      <c r="I2928" t="s">
        <v>177</v>
      </c>
      <c r="J2928" t="s">
        <v>22</v>
      </c>
      <c r="K2928" t="s">
        <v>25571</v>
      </c>
      <c r="L2928" t="s">
        <v>25574</v>
      </c>
      <c r="M2928" t="s">
        <v>25</v>
      </c>
      <c r="N2928" t="s">
        <v>25575</v>
      </c>
      <c r="O2928" t="s">
        <v>25</v>
      </c>
      <c r="P2928" t="s">
        <v>25576</v>
      </c>
      <c r="Q2928" t="s">
        <v>29</v>
      </c>
      <c r="R2928" t="s">
        <v>25572</v>
      </c>
      <c r="S2928" t="s">
        <v>25573</v>
      </c>
    </row>
    <row r="2929" spans="1:19" x14ac:dyDescent="0.25">
      <c r="A2929" s="1">
        <v>2927</v>
      </c>
      <c r="B2929" t="str">
        <f>HYPERLINK("https://www.dasschnelle.at/kundu-gastronomie-kg-pizzeria-napoli-litschau-litschau-stadtplatz","Website")</f>
        <v>Website</v>
      </c>
      <c r="C2929" t="str">
        <f>HYPERLINK("https://www.dasschnelle.at/kundu-gastronomie-kg-pizzeria-napoli-litschau-litschau-stadtplatz","Website")</f>
        <v>Website</v>
      </c>
      <c r="D2929" t="str">
        <f>HYPERLINK("http://www.google.com/maps/place/48.94483,15.04874","Location")</f>
        <v>Location</v>
      </c>
      <c r="E2929" t="s">
        <v>25577</v>
      </c>
      <c r="F2929" t="s">
        <v>25578</v>
      </c>
      <c r="G2929" t="s">
        <v>7210</v>
      </c>
      <c r="H2929" t="s">
        <v>7211</v>
      </c>
      <c r="I2929" t="s">
        <v>177</v>
      </c>
      <c r="J2929" t="s">
        <v>22</v>
      </c>
      <c r="K2929" t="s">
        <v>25579</v>
      </c>
      <c r="L2929" t="s">
        <v>25582</v>
      </c>
      <c r="M2929" t="s">
        <v>25</v>
      </c>
      <c r="N2929" t="s">
        <v>25583</v>
      </c>
      <c r="O2929" t="s">
        <v>25</v>
      </c>
      <c r="P2929" t="s">
        <v>25584</v>
      </c>
      <c r="Q2929" t="s">
        <v>29</v>
      </c>
      <c r="R2929" t="s">
        <v>25580</v>
      </c>
      <c r="S2929" t="s">
        <v>25581</v>
      </c>
    </row>
    <row r="2930" spans="1:19" x14ac:dyDescent="0.25">
      <c r="A2930" s="1">
        <v>2928</v>
      </c>
      <c r="B2930" t="str">
        <f>HYPERLINK("https://www.dasschnelle.at/österreicher-dietmar-heidenreichstein-marktgasse","Website")</f>
        <v>Website</v>
      </c>
      <c r="C2930" t="str">
        <f>HYPERLINK("http://www.opik-oesterreicher.at","Website")</f>
        <v>Website</v>
      </c>
      <c r="D2930" t="str">
        <f>HYPERLINK("http://www.google.com/maps/place/48.86624,15.12393","Location")</f>
        <v>Location</v>
      </c>
      <c r="E2930" t="s">
        <v>25585</v>
      </c>
      <c r="F2930" t="s">
        <v>25586</v>
      </c>
      <c r="G2930" t="s">
        <v>24771</v>
      </c>
      <c r="H2930" t="s">
        <v>24772</v>
      </c>
      <c r="I2930" t="s">
        <v>177</v>
      </c>
      <c r="J2930" t="s">
        <v>22</v>
      </c>
      <c r="K2930" t="s">
        <v>25587</v>
      </c>
      <c r="L2930" t="s">
        <v>25590</v>
      </c>
      <c r="M2930" t="s">
        <v>25591</v>
      </c>
      <c r="N2930" t="s">
        <v>25592</v>
      </c>
      <c r="O2930" t="s">
        <v>25</v>
      </c>
      <c r="P2930" t="s">
        <v>25593</v>
      </c>
      <c r="Q2930" t="s">
        <v>29</v>
      </c>
      <c r="R2930" t="s">
        <v>25588</v>
      </c>
      <c r="S2930" t="s">
        <v>25589</v>
      </c>
    </row>
    <row r="2931" spans="1:19" x14ac:dyDescent="0.25">
      <c r="A2931" s="1">
        <v>2929</v>
      </c>
      <c r="B2931" t="str">
        <f>HYPERLINK("https://www.dasschnelle.at/der-grafiker-werbeagentur-hitzendorf-oberberg","Website")</f>
        <v>Website</v>
      </c>
      <c r="C2931" t="str">
        <f>HYPERLINK("http://www.der-grafiker.at","Website")</f>
        <v>Website</v>
      </c>
      <c r="D2931" t="str">
        <f>HYPERLINK("http://www.google.com/maps/place/47.0675361,15.3229899","Location")</f>
        <v>Location</v>
      </c>
      <c r="E2931" t="s">
        <v>25594</v>
      </c>
      <c r="F2931" t="s">
        <v>25595</v>
      </c>
      <c r="G2931" t="s">
        <v>7844</v>
      </c>
      <c r="H2931" t="s">
        <v>7845</v>
      </c>
      <c r="I2931" t="s">
        <v>451</v>
      </c>
      <c r="J2931" t="s">
        <v>22</v>
      </c>
      <c r="K2931" t="s">
        <v>25076</v>
      </c>
      <c r="L2931" t="s">
        <v>25596</v>
      </c>
      <c r="M2931" t="s">
        <v>25</v>
      </c>
      <c r="N2931" t="s">
        <v>25597</v>
      </c>
      <c r="O2931" t="s">
        <v>25598</v>
      </c>
      <c r="P2931" t="s">
        <v>697</v>
      </c>
      <c r="Q2931" t="s">
        <v>29</v>
      </c>
      <c r="R2931" t="s">
        <v>25077</v>
      </c>
      <c r="S2931" t="s">
        <v>25078</v>
      </c>
    </row>
    <row r="2932" spans="1:19" x14ac:dyDescent="0.25">
      <c r="A2932" s="1">
        <v>2930</v>
      </c>
      <c r="B2932" t="str">
        <f>HYPERLINK("https://www.dasschnelle.at/schimon-werner-dr-vöcklamarkt-hauptstraße","Website")</f>
        <v>Website</v>
      </c>
      <c r="C2932" t="str">
        <f>HYPERLINK("https://www.dasschnelle.at/schimon-werner-dr-v%C3%B6cklamarkt-hauptstra%C3%9Fe","Website")</f>
        <v>Website</v>
      </c>
      <c r="D2932" t="str">
        <f>HYPERLINK("http://www.google.com/maps/place/48.00217,13.48546","Location")</f>
        <v>Location</v>
      </c>
      <c r="E2932" t="s">
        <v>25599</v>
      </c>
      <c r="F2932" t="s">
        <v>25600</v>
      </c>
      <c r="G2932" t="s">
        <v>3823</v>
      </c>
      <c r="H2932" t="s">
        <v>3824</v>
      </c>
      <c r="I2932" t="s">
        <v>85</v>
      </c>
      <c r="J2932" t="s">
        <v>22</v>
      </c>
      <c r="K2932" t="s">
        <v>22930</v>
      </c>
      <c r="L2932" t="s">
        <v>25603</v>
      </c>
      <c r="M2932" t="s">
        <v>25</v>
      </c>
      <c r="N2932" t="s">
        <v>25604</v>
      </c>
      <c r="O2932" t="s">
        <v>25</v>
      </c>
      <c r="P2932" t="s">
        <v>25605</v>
      </c>
      <c r="Q2932" t="s">
        <v>29</v>
      </c>
      <c r="R2932" t="s">
        <v>25601</v>
      </c>
      <c r="S2932" t="s">
        <v>25602</v>
      </c>
    </row>
    <row r="2933" spans="1:19" x14ac:dyDescent="0.25">
      <c r="A2933" s="1">
        <v>2931</v>
      </c>
      <c r="B2933" t="str">
        <f>HYPERLINK("https://www.dasschnelle.at/ronny-und-nadine-spionek-st-georgen-im-attergau-attergaustraße","Website")</f>
        <v>Website</v>
      </c>
      <c r="C2933" t="str">
        <f>HYPERLINK("http://www.osteopathie-sanktgeorgen.at","Website")</f>
        <v>Website</v>
      </c>
      <c r="D2933" t="str">
        <f>HYPERLINK("http://www.google.com/maps/place/47.93588,13.48298","Location")</f>
        <v>Location</v>
      </c>
      <c r="E2933" t="s">
        <v>25606</v>
      </c>
      <c r="F2933" t="s">
        <v>25607</v>
      </c>
      <c r="G2933" t="s">
        <v>3833</v>
      </c>
      <c r="H2933" t="s">
        <v>3834</v>
      </c>
      <c r="I2933" t="s">
        <v>85</v>
      </c>
      <c r="J2933" t="s">
        <v>22</v>
      </c>
      <c r="K2933" t="s">
        <v>25608</v>
      </c>
      <c r="L2933" t="s">
        <v>25611</v>
      </c>
      <c r="M2933" t="s">
        <v>25</v>
      </c>
      <c r="N2933" t="s">
        <v>25612</v>
      </c>
      <c r="O2933" t="s">
        <v>25</v>
      </c>
      <c r="P2933" t="s">
        <v>25613</v>
      </c>
      <c r="Q2933" t="s">
        <v>29</v>
      </c>
      <c r="R2933" t="s">
        <v>25609</v>
      </c>
      <c r="S2933" t="s">
        <v>25610</v>
      </c>
    </row>
    <row r="2934" spans="1:19" x14ac:dyDescent="0.25">
      <c r="A2934" s="1">
        <v>2932</v>
      </c>
      <c r="B2934" t="str">
        <f>HYPERLINK("https://www.dasschnelle.at/dunzinger-michael-prim-dr-vöcklabruck-dr-anton-bruckner-straße","Website")</f>
        <v>Website</v>
      </c>
      <c r="C2934" t="str">
        <f>HYPERLINK("http://www.dr-dunzinger.stadtausstellung.at","Website")</f>
        <v>Website</v>
      </c>
      <c r="D2934" t="str">
        <f>HYPERLINK("http://www.google.com/maps/place/48.00538,13.65423","Location")</f>
        <v>Location</v>
      </c>
      <c r="E2934" t="s">
        <v>25614</v>
      </c>
      <c r="F2934" t="s">
        <v>25615</v>
      </c>
      <c r="G2934" t="s">
        <v>3749</v>
      </c>
      <c r="H2934" t="s">
        <v>3750</v>
      </c>
      <c r="I2934" t="s">
        <v>85</v>
      </c>
      <c r="J2934" t="s">
        <v>22</v>
      </c>
      <c r="K2934" t="s">
        <v>25616</v>
      </c>
      <c r="L2934" t="s">
        <v>25619</v>
      </c>
      <c r="M2934" t="s">
        <v>25</v>
      </c>
      <c r="N2934" t="s">
        <v>25620</v>
      </c>
      <c r="O2934" t="s">
        <v>25621</v>
      </c>
      <c r="P2934" t="s">
        <v>25622</v>
      </c>
      <c r="Q2934" t="s">
        <v>29</v>
      </c>
      <c r="R2934" t="s">
        <v>25617</v>
      </c>
      <c r="S2934" t="s">
        <v>25618</v>
      </c>
    </row>
    <row r="2935" spans="1:19" x14ac:dyDescent="0.25">
      <c r="A2935" s="1">
        <v>2933</v>
      </c>
      <c r="B2935" t="str">
        <f>HYPERLINK("https://www.dasschnelle.at/trockenausbauteam-gmbh-und-co-kg-hofmarkt-unterspannberg","Website")</f>
        <v>Website</v>
      </c>
      <c r="C2935" t="str">
        <f>HYPERLINK("http://www.trockenausbauteam.at","Website")</f>
        <v>Website</v>
      </c>
      <c r="D2935" t="str">
        <f>HYPERLINK("http://www.google.com/maps/place/47.31987,13.3077","Location")</f>
        <v>Location</v>
      </c>
      <c r="E2935" t="s">
        <v>25623</v>
      </c>
      <c r="F2935" t="s">
        <v>25624</v>
      </c>
      <c r="G2935" t="s">
        <v>5866</v>
      </c>
      <c r="H2935" t="s">
        <v>25626</v>
      </c>
      <c r="I2935" t="s">
        <v>2239</v>
      </c>
      <c r="J2935" t="s">
        <v>22</v>
      </c>
      <c r="K2935" t="s">
        <v>25625</v>
      </c>
      <c r="L2935" t="s">
        <v>25629</v>
      </c>
      <c r="M2935" t="s">
        <v>25</v>
      </c>
      <c r="N2935" t="s">
        <v>25630</v>
      </c>
      <c r="O2935" t="s">
        <v>25</v>
      </c>
      <c r="P2935" t="s">
        <v>25631</v>
      </c>
      <c r="Q2935" t="s">
        <v>29</v>
      </c>
      <c r="R2935" t="s">
        <v>25627</v>
      </c>
      <c r="S2935" t="s">
        <v>25628</v>
      </c>
    </row>
    <row r="2936" spans="1:19" x14ac:dyDescent="0.25">
      <c r="A2936" s="1">
        <v>2934</v>
      </c>
      <c r="B2936" t="str">
        <f>HYPERLINK("https://www.dasschnelle.at/hagenhofer-der-raumausstatter-wagrain-wagrainer-straße","Website")</f>
        <v>Website</v>
      </c>
      <c r="C2936" t="str">
        <f>HYPERLINK("http://www.hagenhofer.info","Website")</f>
        <v>Website</v>
      </c>
      <c r="D2936" t="str">
        <f>HYPERLINK("http://www.google.com/maps/place/47.3413796,13.3046793","Location")</f>
        <v>Location</v>
      </c>
      <c r="E2936" t="s">
        <v>25632</v>
      </c>
      <c r="F2936" t="s">
        <v>25633</v>
      </c>
      <c r="G2936" t="s">
        <v>5866</v>
      </c>
      <c r="H2936" t="s">
        <v>5867</v>
      </c>
      <c r="I2936" t="s">
        <v>2239</v>
      </c>
      <c r="J2936" t="s">
        <v>22</v>
      </c>
      <c r="K2936" t="s">
        <v>25634</v>
      </c>
      <c r="L2936" t="s">
        <v>25637</v>
      </c>
      <c r="M2936" t="s">
        <v>25</v>
      </c>
      <c r="N2936" t="s">
        <v>25638</v>
      </c>
      <c r="O2936" t="s">
        <v>25</v>
      </c>
      <c r="P2936" t="s">
        <v>25639</v>
      </c>
      <c r="Q2936" t="s">
        <v>29</v>
      </c>
      <c r="R2936" t="s">
        <v>25635</v>
      </c>
      <c r="S2936" t="s">
        <v>25636</v>
      </c>
    </row>
    <row r="2937" spans="1:19" x14ac:dyDescent="0.25">
      <c r="A2937" s="1">
        <v>2935</v>
      </c>
      <c r="B2937" t="str">
        <f>HYPERLINK("https://www.dasschnelle.at/zimmerei-guggenberger-gmbh-und-cokg-kleinarl-dorf","Website")</f>
        <v>Website</v>
      </c>
      <c r="C2937" t="str">
        <f>HYPERLINK("http://www.holzbau-kleinarl.at","Website")</f>
        <v>Website</v>
      </c>
      <c r="D2937" t="str">
        <f>HYPERLINK("http://www.google.com/maps/place/47.2787,13.3209","Location")</f>
        <v>Location</v>
      </c>
      <c r="E2937" t="s">
        <v>25640</v>
      </c>
      <c r="F2937" t="s">
        <v>25641</v>
      </c>
      <c r="G2937" t="s">
        <v>25643</v>
      </c>
      <c r="H2937" t="s">
        <v>25644</v>
      </c>
      <c r="I2937" t="s">
        <v>451</v>
      </c>
      <c r="J2937" t="s">
        <v>22</v>
      </c>
      <c r="K2937" t="s">
        <v>25642</v>
      </c>
      <c r="L2937" t="s">
        <v>25647</v>
      </c>
      <c r="M2937" t="s">
        <v>25</v>
      </c>
      <c r="N2937" t="s">
        <v>25648</v>
      </c>
      <c r="O2937" t="s">
        <v>25</v>
      </c>
      <c r="P2937" t="s">
        <v>25649</v>
      </c>
      <c r="Q2937" t="s">
        <v>29</v>
      </c>
      <c r="R2937" t="s">
        <v>25645</v>
      </c>
      <c r="S2937" t="s">
        <v>25646</v>
      </c>
    </row>
    <row r="2938" spans="1:19" x14ac:dyDescent="0.25">
      <c r="A2938" s="1">
        <v>2936</v>
      </c>
      <c r="B2938" t="str">
        <f>HYPERLINK("https://www.dasschnelle.at/fuchs-elektro-gesmbh-und-co-kg-timelkam-pollheimerstraße","Website")</f>
        <v>Website</v>
      </c>
      <c r="C2938" t="str">
        <f>HYPERLINK("http://www.elektrotechnik-fuchs.at","Website")</f>
        <v>Website</v>
      </c>
      <c r="D2938" t="str">
        <f>HYPERLINK("http://www.google.com/maps/place/48.00238,13.61475","Location")</f>
        <v>Location</v>
      </c>
      <c r="E2938" t="s">
        <v>25650</v>
      </c>
      <c r="F2938" t="s">
        <v>25651</v>
      </c>
      <c r="G2938" t="s">
        <v>3739</v>
      </c>
      <c r="H2938" t="s">
        <v>3740</v>
      </c>
      <c r="I2938" t="s">
        <v>85</v>
      </c>
      <c r="J2938" t="s">
        <v>22</v>
      </c>
      <c r="K2938" t="s">
        <v>25652</v>
      </c>
      <c r="L2938" t="s">
        <v>25655</v>
      </c>
      <c r="M2938" t="s">
        <v>25656</v>
      </c>
      <c r="N2938" t="s">
        <v>25657</v>
      </c>
      <c r="O2938" t="s">
        <v>25</v>
      </c>
      <c r="P2938" t="s">
        <v>25658</v>
      </c>
      <c r="Q2938" t="s">
        <v>29</v>
      </c>
      <c r="R2938" t="s">
        <v>25653</v>
      </c>
      <c r="S2938" t="s">
        <v>25654</v>
      </c>
    </row>
    <row r="2939" spans="1:19" x14ac:dyDescent="0.25">
      <c r="A2939" s="1">
        <v>2937</v>
      </c>
      <c r="B2939" t="str">
        <f>HYPERLINK("https://www.dasschnelle.at/mayer-blumenhaus-lenzing-atterseestraße","Website")</f>
        <v>Website</v>
      </c>
      <c r="C2939" t="str">
        <f>HYPERLINK("http://www.blumenhaus.at","Website")</f>
        <v>Website</v>
      </c>
      <c r="D2939" t="str">
        <f>HYPERLINK("http://www.google.com/maps/place/47.97409,13.60961","Location")</f>
        <v>Location</v>
      </c>
      <c r="E2939" t="s">
        <v>25659</v>
      </c>
      <c r="F2939" t="s">
        <v>25660</v>
      </c>
      <c r="G2939" t="s">
        <v>6591</v>
      </c>
      <c r="H2939" t="s">
        <v>6592</v>
      </c>
      <c r="I2939" t="s">
        <v>85</v>
      </c>
      <c r="J2939" t="s">
        <v>22</v>
      </c>
      <c r="K2939" t="s">
        <v>25661</v>
      </c>
      <c r="L2939" t="s">
        <v>25664</v>
      </c>
      <c r="M2939" t="s">
        <v>25</v>
      </c>
      <c r="N2939" t="s">
        <v>25665</v>
      </c>
      <c r="O2939" t="s">
        <v>25</v>
      </c>
      <c r="P2939" t="s">
        <v>25666</v>
      </c>
      <c r="Q2939" t="s">
        <v>29</v>
      </c>
      <c r="R2939" t="s">
        <v>25662</v>
      </c>
      <c r="S2939" t="s">
        <v>25663</v>
      </c>
    </row>
    <row r="2940" spans="1:19" x14ac:dyDescent="0.25">
      <c r="A2940" s="1">
        <v>2938</v>
      </c>
      <c r="B2940" t="str">
        <f>HYPERLINK("https://www.dasschnelle.at/optik-sehblick-seewalchen-am-attersee-atterseestraße","Website")</f>
        <v>Website</v>
      </c>
      <c r="C2940" t="str">
        <f>HYPERLINK("http://www.optik-sehblick.at","Website")</f>
        <v>Website</v>
      </c>
      <c r="D2940" t="str">
        <f>HYPERLINK("http://www.google.com/maps/place/47.94955,13.59435","Location")</f>
        <v>Location</v>
      </c>
      <c r="E2940" t="s">
        <v>25667</v>
      </c>
      <c r="F2940" t="s">
        <v>25668</v>
      </c>
      <c r="G2940" t="s">
        <v>3785</v>
      </c>
      <c r="H2940" t="s">
        <v>3786</v>
      </c>
      <c r="I2940" t="s">
        <v>85</v>
      </c>
      <c r="J2940" t="s">
        <v>22</v>
      </c>
      <c r="K2940" t="s">
        <v>25669</v>
      </c>
      <c r="L2940" t="s">
        <v>25672</v>
      </c>
      <c r="M2940" t="s">
        <v>25</v>
      </c>
      <c r="N2940" t="s">
        <v>25673</v>
      </c>
      <c r="O2940" t="s">
        <v>25</v>
      </c>
      <c r="P2940" t="s">
        <v>25674</v>
      </c>
      <c r="Q2940" t="s">
        <v>29</v>
      </c>
      <c r="R2940" t="s">
        <v>25670</v>
      </c>
      <c r="S2940" t="s">
        <v>25671</v>
      </c>
    </row>
    <row r="2941" spans="1:19" x14ac:dyDescent="0.25">
      <c r="A2941" s="1">
        <v>2939</v>
      </c>
      <c r="B2941" t="str">
        <f>HYPERLINK("https://www.dasschnelle.at/zeiner-bernhard-brückl-sankt-veiter-straße","Website")</f>
        <v>Website</v>
      </c>
      <c r="C2941" t="str">
        <f>HYPERLINK("http://www.tischlerei-zeiner.at","Website")</f>
        <v>Website</v>
      </c>
      <c r="D2941" t="str">
        <f>HYPERLINK("http://www.google.com/maps/place/46.74903,14.52537","Location")</f>
        <v>Location</v>
      </c>
      <c r="E2941" t="s">
        <v>25675</v>
      </c>
      <c r="F2941" t="s">
        <v>25676</v>
      </c>
      <c r="G2941" t="s">
        <v>25150</v>
      </c>
      <c r="H2941" t="s">
        <v>25151</v>
      </c>
      <c r="I2941" t="s">
        <v>4130</v>
      </c>
      <c r="J2941" t="s">
        <v>22</v>
      </c>
      <c r="K2941" t="s">
        <v>25677</v>
      </c>
      <c r="L2941" t="s">
        <v>25680</v>
      </c>
      <c r="M2941" t="s">
        <v>25</v>
      </c>
      <c r="N2941" t="s">
        <v>25681</v>
      </c>
      <c r="O2941" t="s">
        <v>25</v>
      </c>
      <c r="P2941" t="s">
        <v>25682</v>
      </c>
      <c r="Q2941" t="s">
        <v>29</v>
      </c>
      <c r="R2941" t="s">
        <v>25678</v>
      </c>
      <c r="S2941" t="s">
        <v>25679</v>
      </c>
    </row>
    <row r="2942" spans="1:19" x14ac:dyDescent="0.25">
      <c r="A2942" s="1">
        <v>2940</v>
      </c>
      <c r="B2942" t="str">
        <f>HYPERLINK("https://www.dasschnelle.at/orthopädietechnik-attersee-gmbh-seewalchen-am-attersee-hauptstraße","Website")</f>
        <v>Website</v>
      </c>
      <c r="C2942" t="str">
        <f>HYPERLINK("http://www.orthopaedietechnik-attersee.at","Website")</f>
        <v>Website</v>
      </c>
      <c r="D2942" t="str">
        <f>HYPERLINK("http://www.google.com/maps/place/47.95363,13.58706","Location")</f>
        <v>Location</v>
      </c>
      <c r="E2942" t="s">
        <v>25683</v>
      </c>
      <c r="F2942" t="s">
        <v>25684</v>
      </c>
      <c r="G2942" t="s">
        <v>3785</v>
      </c>
      <c r="H2942" t="s">
        <v>3786</v>
      </c>
      <c r="I2942" t="s">
        <v>85</v>
      </c>
      <c r="J2942" t="s">
        <v>22</v>
      </c>
      <c r="K2942" t="s">
        <v>18414</v>
      </c>
      <c r="L2942" t="s">
        <v>25687</v>
      </c>
      <c r="M2942" t="s">
        <v>25</v>
      </c>
      <c r="N2942" t="s">
        <v>25688</v>
      </c>
      <c r="O2942" t="s">
        <v>25</v>
      </c>
      <c r="P2942" t="s">
        <v>25689</v>
      </c>
      <c r="Q2942" t="s">
        <v>29</v>
      </c>
      <c r="R2942" t="s">
        <v>25685</v>
      </c>
      <c r="S2942" t="s">
        <v>25686</v>
      </c>
    </row>
    <row r="2943" spans="1:19" x14ac:dyDescent="0.25">
      <c r="A2943" s="1">
        <v>2941</v>
      </c>
      <c r="B2943" t="str">
        <f>HYPERLINK("https://www.dasschnelle.at/hörmann-heinz-schwertberg-aiser","Website")</f>
        <v>Website</v>
      </c>
      <c r="C2943" t="str">
        <f>HYPERLINK("https://www.dasschnelle.at/h%C3%B6rmann-heinz-schwertberg-aiser","Website")</f>
        <v>Website</v>
      </c>
      <c r="D2943" t="str">
        <f>HYPERLINK("http://www.google.com/maps/place/48.2729961,14.5907508","Location")</f>
        <v>Location</v>
      </c>
      <c r="E2943" t="s">
        <v>25690</v>
      </c>
      <c r="F2943" t="s">
        <v>25691</v>
      </c>
      <c r="G2943" t="s">
        <v>6415</v>
      </c>
      <c r="H2943" t="s">
        <v>6416</v>
      </c>
      <c r="I2943" t="s">
        <v>85</v>
      </c>
      <c r="J2943" t="s">
        <v>22</v>
      </c>
      <c r="K2943" t="s">
        <v>25692</v>
      </c>
      <c r="L2943" t="s">
        <v>25695</v>
      </c>
      <c r="M2943" t="s">
        <v>25</v>
      </c>
      <c r="N2943" t="s">
        <v>25696</v>
      </c>
      <c r="O2943" t="s">
        <v>25</v>
      </c>
      <c r="P2943" t="s">
        <v>25697</v>
      </c>
      <c r="Q2943" t="s">
        <v>29</v>
      </c>
      <c r="R2943" t="s">
        <v>25693</v>
      </c>
      <c r="S2943" t="s">
        <v>25694</v>
      </c>
    </row>
    <row r="2944" spans="1:19" x14ac:dyDescent="0.25">
      <c r="A2944" s="1">
        <v>2942</v>
      </c>
      <c r="B2944" t="str">
        <f>HYPERLINK("https://www.dasschnelle.at/ehc-wirtschaftstreuhandgesmbh-stockerau-schulgasse","Website")</f>
        <v>Website</v>
      </c>
      <c r="C2944" t="str">
        <f>HYPERLINK("http://www.ehc-wt.com","Website")</f>
        <v>Website</v>
      </c>
      <c r="D2944" t="str">
        <f>HYPERLINK("http://www.google.com/maps/place/48.38668,16.21072","Location")</f>
        <v>Location</v>
      </c>
      <c r="E2944" t="s">
        <v>25698</v>
      </c>
      <c r="F2944" t="s">
        <v>25699</v>
      </c>
      <c r="G2944" t="s">
        <v>13026</v>
      </c>
      <c r="H2944" t="s">
        <v>13027</v>
      </c>
      <c r="I2944" t="s">
        <v>177</v>
      </c>
      <c r="J2944" t="s">
        <v>22</v>
      </c>
      <c r="K2944" t="s">
        <v>25700</v>
      </c>
      <c r="L2944" t="s">
        <v>25703</v>
      </c>
      <c r="M2944" t="s">
        <v>25</v>
      </c>
      <c r="N2944" t="s">
        <v>25704</v>
      </c>
      <c r="O2944" t="s">
        <v>25</v>
      </c>
      <c r="P2944" t="s">
        <v>25705</v>
      </c>
      <c r="Q2944" t="s">
        <v>29</v>
      </c>
      <c r="R2944" t="s">
        <v>25701</v>
      </c>
      <c r="S2944" t="s">
        <v>25702</v>
      </c>
    </row>
    <row r="2945" spans="1:19" x14ac:dyDescent="0.25">
      <c r="A2945" s="1">
        <v>2943</v>
      </c>
      <c r="B2945" t="str">
        <f>HYPERLINK("https://www.dasschnelle.at/pizzeria-da-elena-freistadt-waaggasse","Website")</f>
        <v>Website</v>
      </c>
      <c r="C2945" t="str">
        <f>HYPERLINK("http://www.pizzeriadaelena.at","Website")</f>
        <v>Website</v>
      </c>
      <c r="D2945" t="str">
        <f>HYPERLINK("http://www.google.com/maps/place/48.5116,14.50377","Location")</f>
        <v>Location</v>
      </c>
      <c r="E2945" t="s">
        <v>25706</v>
      </c>
      <c r="F2945" t="s">
        <v>25707</v>
      </c>
      <c r="G2945" t="s">
        <v>6891</v>
      </c>
      <c r="H2945" t="s">
        <v>6892</v>
      </c>
      <c r="I2945" t="s">
        <v>85</v>
      </c>
      <c r="J2945" t="s">
        <v>22</v>
      </c>
      <c r="K2945" t="s">
        <v>25708</v>
      </c>
      <c r="L2945" t="s">
        <v>25711</v>
      </c>
      <c r="M2945" t="s">
        <v>25</v>
      </c>
      <c r="N2945" t="s">
        <v>25712</v>
      </c>
      <c r="O2945" t="s">
        <v>25713</v>
      </c>
      <c r="P2945" t="s">
        <v>25714</v>
      </c>
      <c r="Q2945" t="s">
        <v>29</v>
      </c>
      <c r="R2945" t="s">
        <v>25709</v>
      </c>
      <c r="S2945" t="s">
        <v>25710</v>
      </c>
    </row>
    <row r="2946" spans="1:19" x14ac:dyDescent="0.25">
      <c r="A2946" s="1">
        <v>2944</v>
      </c>
      <c r="B2946" t="str">
        <f>HYPERLINK("https://www.dasschnelle.at/städtische-bestattungsanstalt-spittal-an-der-drau-edlinger-straße","Website")</f>
        <v>Website</v>
      </c>
      <c r="C2946" t="str">
        <f>HYPERLINK("http://www.bestattung-spittal.at","Website")</f>
        <v>Website</v>
      </c>
      <c r="D2946" t="str">
        <f>HYPERLINK("http://www.google.com/maps/place/46.7983351,13.4966003","Location")</f>
        <v>Location</v>
      </c>
      <c r="E2946" t="s">
        <v>25715</v>
      </c>
      <c r="F2946" t="s">
        <v>25716</v>
      </c>
      <c r="G2946" t="s">
        <v>4160</v>
      </c>
      <c r="H2946" t="s">
        <v>25441</v>
      </c>
      <c r="I2946" t="s">
        <v>4130</v>
      </c>
      <c r="J2946" t="s">
        <v>22</v>
      </c>
      <c r="K2946" t="s">
        <v>25717</v>
      </c>
      <c r="L2946" t="s">
        <v>25720</v>
      </c>
      <c r="M2946" t="s">
        <v>25721</v>
      </c>
      <c r="N2946" t="s">
        <v>25722</v>
      </c>
      <c r="O2946" t="s">
        <v>25</v>
      </c>
      <c r="P2946" t="s">
        <v>25723</v>
      </c>
      <c r="Q2946" t="s">
        <v>29</v>
      </c>
      <c r="R2946" t="s">
        <v>25718</v>
      </c>
      <c r="S2946" t="s">
        <v>25719</v>
      </c>
    </row>
    <row r="2947" spans="1:19" x14ac:dyDescent="0.25">
      <c r="A2947" s="1">
        <v>2945</v>
      </c>
      <c r="B2947" t="str">
        <f>HYPERLINK("https://www.dasschnelle.at/haustechnik-freißmuth-bad-blumau-kleinsteinbach","Website")</f>
        <v>Website</v>
      </c>
      <c r="C2947" t="str">
        <f>HYPERLINK("http://www.freissmuth-ht.at","Website")</f>
        <v>Website</v>
      </c>
      <c r="D2947" t="str">
        <f>HYPERLINK("http://www.google.com/maps/place/47.1261300,16.0574447","Location")</f>
        <v>Location</v>
      </c>
      <c r="E2947" t="s">
        <v>25724</v>
      </c>
      <c r="F2947" t="s">
        <v>25725</v>
      </c>
      <c r="G2947" t="s">
        <v>25727</v>
      </c>
      <c r="H2947" t="s">
        <v>25728</v>
      </c>
      <c r="I2947" t="s">
        <v>451</v>
      </c>
      <c r="J2947" t="s">
        <v>22</v>
      </c>
      <c r="K2947" t="s">
        <v>25726</v>
      </c>
      <c r="L2947" t="s">
        <v>25731</v>
      </c>
      <c r="M2947" t="s">
        <v>25</v>
      </c>
      <c r="N2947" t="s">
        <v>25732</v>
      </c>
      <c r="O2947" t="s">
        <v>25</v>
      </c>
      <c r="P2947" t="s">
        <v>25733</v>
      </c>
      <c r="Q2947" t="s">
        <v>29</v>
      </c>
      <c r="R2947" t="s">
        <v>25729</v>
      </c>
      <c r="S2947" t="s">
        <v>25730</v>
      </c>
    </row>
    <row r="2948" spans="1:19" x14ac:dyDescent="0.25">
      <c r="A2948" s="1">
        <v>2946</v>
      </c>
      <c r="B2948" t="str">
        <f>HYPERLINK("https://www.dasschnelle.at/penker-manuel-eisentratten-eisentratten","Website")</f>
        <v>Website</v>
      </c>
      <c r="C2948" t="str">
        <f>HYPERLINK("https://www.dasschnelle.at/penker-manuel-eisentratten-eisentratten","Website")</f>
        <v>Website</v>
      </c>
      <c r="D2948" t="str">
        <f>HYPERLINK("http://www.google.com/maps/place/46.9226816,13.5762324","Location")</f>
        <v>Location</v>
      </c>
      <c r="E2948" t="s">
        <v>25734</v>
      </c>
      <c r="F2948" t="s">
        <v>25735</v>
      </c>
      <c r="G2948" t="s">
        <v>25737</v>
      </c>
      <c r="H2948" t="s">
        <v>25738</v>
      </c>
      <c r="I2948" t="s">
        <v>4130</v>
      </c>
      <c r="J2948" t="s">
        <v>22</v>
      </c>
      <c r="K2948" t="s">
        <v>25736</v>
      </c>
      <c r="L2948" t="s">
        <v>25741</v>
      </c>
      <c r="M2948" t="s">
        <v>25</v>
      </c>
      <c r="N2948" t="s">
        <v>25742</v>
      </c>
      <c r="O2948" t="s">
        <v>25</v>
      </c>
      <c r="P2948" t="s">
        <v>25743</v>
      </c>
      <c r="Q2948" t="s">
        <v>29</v>
      </c>
      <c r="R2948" t="s">
        <v>25739</v>
      </c>
      <c r="S2948" t="s">
        <v>25740</v>
      </c>
    </row>
    <row r="2949" spans="1:19" x14ac:dyDescent="0.25">
      <c r="A2949" s="1">
        <v>2947</v>
      </c>
      <c r="B2949" t="str">
        <f>HYPERLINK("https://www.dasschnelle.at/bestattung-leiner-e-u-schäfer-paul-jennersdorf-raxer-straße","Website")</f>
        <v>Website</v>
      </c>
      <c r="C2949" t="str">
        <f>HYPERLINK("http://www.bestattung-leiner.at","Website")</f>
        <v>Website</v>
      </c>
      <c r="D2949" t="str">
        <f>HYPERLINK("http://www.google.com/maps/place/46.9394000,16.1438300","Location")</f>
        <v>Location</v>
      </c>
      <c r="E2949" t="s">
        <v>25744</v>
      </c>
      <c r="F2949" t="s">
        <v>25745</v>
      </c>
      <c r="G2949" t="s">
        <v>6602</v>
      </c>
      <c r="H2949" t="s">
        <v>6603</v>
      </c>
      <c r="I2949" t="s">
        <v>1834</v>
      </c>
      <c r="J2949" t="s">
        <v>22</v>
      </c>
      <c r="K2949" t="s">
        <v>25746</v>
      </c>
      <c r="L2949" t="s">
        <v>25749</v>
      </c>
      <c r="M2949" t="s">
        <v>25</v>
      </c>
      <c r="N2949" t="s">
        <v>25750</v>
      </c>
      <c r="O2949" t="s">
        <v>25751</v>
      </c>
      <c r="P2949" t="s">
        <v>25752</v>
      </c>
      <c r="Q2949" t="s">
        <v>29</v>
      </c>
      <c r="R2949" t="s">
        <v>25747</v>
      </c>
      <c r="S2949" t="s">
        <v>25748</v>
      </c>
    </row>
    <row r="2950" spans="1:19" x14ac:dyDescent="0.25">
      <c r="A2950" s="1">
        <v>2948</v>
      </c>
      <c r="B2950" t="str">
        <f>HYPERLINK("https://www.dasschnelle.at/goldmann-kg-gnas-gnas","Website")</f>
        <v>Website</v>
      </c>
      <c r="C2950" t="str">
        <f>HYPERLINK("http://www.goldmann-mode.at","Website")</f>
        <v>Website</v>
      </c>
      <c r="D2950" t="str">
        <f>HYPERLINK("http://www.google.com/maps/place/46.8754469,15.8255437","Location")</f>
        <v>Location</v>
      </c>
      <c r="E2950" t="s">
        <v>25753</v>
      </c>
      <c r="F2950" t="s">
        <v>25754</v>
      </c>
      <c r="G2950" t="s">
        <v>480</v>
      </c>
      <c r="H2950" t="s">
        <v>674</v>
      </c>
      <c r="I2950" t="s">
        <v>451</v>
      </c>
      <c r="J2950" t="s">
        <v>22</v>
      </c>
      <c r="K2950" t="s">
        <v>25755</v>
      </c>
      <c r="L2950" t="s">
        <v>25758</v>
      </c>
      <c r="M2950" t="s">
        <v>25</v>
      </c>
      <c r="N2950" t="s">
        <v>25759</v>
      </c>
      <c r="O2950" t="s">
        <v>25</v>
      </c>
      <c r="P2950" t="s">
        <v>25760</v>
      </c>
      <c r="Q2950" t="s">
        <v>29</v>
      </c>
      <c r="R2950" t="s">
        <v>25756</v>
      </c>
      <c r="S2950" t="s">
        <v>25757</v>
      </c>
    </row>
    <row r="2951" spans="1:19" x14ac:dyDescent="0.25">
      <c r="A2951" s="1">
        <v>2949</v>
      </c>
      <c r="B2951" t="str">
        <f>HYPERLINK("https://www.dasschnelle.at/four-you-versicherungsagentur-wagrain-telefunkenstraße","Website")</f>
        <v>Website</v>
      </c>
      <c r="C2951" t="str">
        <f>HYPERLINK("http://www.fouryou.at","Website")</f>
        <v>Website</v>
      </c>
      <c r="D2951" t="str">
        <f>HYPERLINK("http://www.google.com/maps/place/48.003,13.6747","Location")</f>
        <v>Location</v>
      </c>
      <c r="E2951" t="s">
        <v>25761</v>
      </c>
      <c r="F2951" t="s">
        <v>25762</v>
      </c>
      <c r="G2951" t="s">
        <v>3749</v>
      </c>
      <c r="H2951" t="s">
        <v>5867</v>
      </c>
      <c r="I2951" t="s">
        <v>85</v>
      </c>
      <c r="J2951" t="s">
        <v>22</v>
      </c>
      <c r="K2951" t="s">
        <v>25763</v>
      </c>
      <c r="L2951" t="s">
        <v>25766</v>
      </c>
      <c r="M2951" t="s">
        <v>25</v>
      </c>
      <c r="N2951" t="s">
        <v>25767</v>
      </c>
      <c r="O2951" t="s">
        <v>25</v>
      </c>
      <c r="P2951" t="s">
        <v>25768</v>
      </c>
      <c r="Q2951" t="s">
        <v>29</v>
      </c>
      <c r="R2951" t="s">
        <v>25764</v>
      </c>
      <c r="S2951" t="s">
        <v>25765</v>
      </c>
    </row>
    <row r="2952" spans="1:19" x14ac:dyDescent="0.25">
      <c r="A2952" s="1">
        <v>2950</v>
      </c>
      <c r="B2952" t="str">
        <f>HYPERLINK("https://www.dasschnelle.at/schlager-transporte-gesmbh-timelkam-industriestraße","Website")</f>
        <v>Website</v>
      </c>
      <c r="C2952" t="str">
        <f>HYPERLINK("http://www.schlager-erdbau.com","Website")</f>
        <v>Website</v>
      </c>
      <c r="D2952" t="str">
        <f>HYPERLINK("http://www.google.com/maps/place/47.99725,13.59825","Location")</f>
        <v>Location</v>
      </c>
      <c r="E2952" t="s">
        <v>25769</v>
      </c>
      <c r="F2952" t="s">
        <v>25770</v>
      </c>
      <c r="G2952" t="s">
        <v>3739</v>
      </c>
      <c r="H2952" t="s">
        <v>3740</v>
      </c>
      <c r="I2952" t="s">
        <v>85</v>
      </c>
      <c r="J2952" t="s">
        <v>22</v>
      </c>
      <c r="K2952" t="s">
        <v>25771</v>
      </c>
      <c r="L2952" t="s">
        <v>25774</v>
      </c>
      <c r="M2952" t="s">
        <v>25775</v>
      </c>
      <c r="N2952" t="s">
        <v>25776</v>
      </c>
      <c r="O2952" t="s">
        <v>25</v>
      </c>
      <c r="P2952" t="s">
        <v>25777</v>
      </c>
      <c r="Q2952" t="s">
        <v>29</v>
      </c>
      <c r="R2952" t="s">
        <v>25772</v>
      </c>
      <c r="S2952" t="s">
        <v>25773</v>
      </c>
    </row>
    <row r="2953" spans="1:19" x14ac:dyDescent="0.25">
      <c r="A2953" s="1">
        <v>2951</v>
      </c>
      <c r="B2953" t="str">
        <f>HYPERLINK("https://www.dasschnelle.at/bestattung-eckl-timelkam-obergallaberg","Website")</f>
        <v>Website</v>
      </c>
      <c r="C2953" t="str">
        <f>HYPERLINK("http://www.bestattung-eckl.at","Website")</f>
        <v>Website</v>
      </c>
      <c r="D2953" t="str">
        <f>HYPERLINK("http://www.google.com/maps/place/48.00248,13.60925","Location")</f>
        <v>Location</v>
      </c>
      <c r="E2953" t="s">
        <v>25778</v>
      </c>
      <c r="F2953" t="s">
        <v>25779</v>
      </c>
      <c r="G2953" t="s">
        <v>3739</v>
      </c>
      <c r="H2953" t="s">
        <v>3740</v>
      </c>
      <c r="I2953" t="s">
        <v>85</v>
      </c>
      <c r="J2953" t="s">
        <v>22</v>
      </c>
      <c r="K2953" t="s">
        <v>25780</v>
      </c>
      <c r="L2953" t="s">
        <v>25783</v>
      </c>
      <c r="M2953" t="s">
        <v>25</v>
      </c>
      <c r="N2953" t="s">
        <v>25784</v>
      </c>
      <c r="O2953" t="s">
        <v>25785</v>
      </c>
      <c r="P2953" t="s">
        <v>25786</v>
      </c>
      <c r="Q2953" t="s">
        <v>29</v>
      </c>
      <c r="R2953" t="s">
        <v>25781</v>
      </c>
      <c r="S2953" t="s">
        <v>25782</v>
      </c>
    </row>
    <row r="2954" spans="1:19" x14ac:dyDescent="0.25">
      <c r="A2954" s="1">
        <v>2952</v>
      </c>
      <c r="B2954" t="str">
        <f>HYPERLINK("https://www.dasschnelle.at/galler-kurt-gesmbh-klosterneuburg-wiener-straße","Website")</f>
        <v>Website</v>
      </c>
      <c r="C2954" t="str">
        <f>HYPERLINK("http://www.kurt-galler.at","Website")</f>
        <v>Website</v>
      </c>
      <c r="D2954" t="str">
        <f>HYPERLINK("http://www.google.com/maps/place/48.29763,16.33388","Location")</f>
        <v>Location</v>
      </c>
      <c r="E2954" t="s">
        <v>25787</v>
      </c>
      <c r="F2954" t="s">
        <v>25788</v>
      </c>
      <c r="G2954" t="s">
        <v>10308</v>
      </c>
      <c r="H2954" t="s">
        <v>10317</v>
      </c>
      <c r="I2954" t="s">
        <v>177</v>
      </c>
      <c r="J2954" t="s">
        <v>22</v>
      </c>
      <c r="K2954" t="s">
        <v>25789</v>
      </c>
      <c r="L2954" t="s">
        <v>25792</v>
      </c>
      <c r="M2954" t="s">
        <v>25</v>
      </c>
      <c r="N2954" t="s">
        <v>25793</v>
      </c>
      <c r="O2954" t="s">
        <v>25794</v>
      </c>
      <c r="P2954" t="s">
        <v>25795</v>
      </c>
      <c r="Q2954" t="s">
        <v>29</v>
      </c>
      <c r="R2954" t="s">
        <v>25790</v>
      </c>
      <c r="S2954" t="s">
        <v>25791</v>
      </c>
    </row>
    <row r="2955" spans="1:19" x14ac:dyDescent="0.25">
      <c r="A2955" s="1">
        <v>2953</v>
      </c>
      <c r="B2955" t="str">
        <f>HYPERLINK("https://www.dasschnelle.at/brunner-christian-schwertberg-furth","Website")</f>
        <v>Website</v>
      </c>
      <c r="C2955" t="str">
        <f>HYPERLINK("http://www.tischlerei-brunner.at","Website")</f>
        <v>Website</v>
      </c>
      <c r="D2955" t="str">
        <f>HYPERLINK("http://www.google.com/maps/place/48.25246,14.58321","Location")</f>
        <v>Location</v>
      </c>
      <c r="E2955" t="s">
        <v>25796</v>
      </c>
      <c r="F2955" t="s">
        <v>25797</v>
      </c>
      <c r="G2955" t="s">
        <v>6415</v>
      </c>
      <c r="H2955" t="s">
        <v>6416</v>
      </c>
      <c r="I2955" t="s">
        <v>85</v>
      </c>
      <c r="J2955" t="s">
        <v>22</v>
      </c>
      <c r="K2955" t="s">
        <v>25798</v>
      </c>
      <c r="L2955" t="s">
        <v>25801</v>
      </c>
      <c r="M2955" t="s">
        <v>25</v>
      </c>
      <c r="N2955" t="s">
        <v>25802</v>
      </c>
      <c r="O2955" t="s">
        <v>25</v>
      </c>
      <c r="P2955" t="s">
        <v>25803</v>
      </c>
      <c r="Q2955" t="s">
        <v>29</v>
      </c>
      <c r="R2955" t="s">
        <v>25799</v>
      </c>
      <c r="S2955" t="s">
        <v>25800</v>
      </c>
    </row>
    <row r="2956" spans="1:19" x14ac:dyDescent="0.25">
      <c r="A2956" s="1">
        <v>2954</v>
      </c>
      <c r="B2956" t="str">
        <f>HYPERLINK("https://www.dasschnelle.at/wilfried-fleischmann-reifenhandel-e-u-klosterneuburg-inkustraße","Website")</f>
        <v>Website</v>
      </c>
      <c r="C2956" t="str">
        <f>HYPERLINK("http://www.fleischmann-reifen.at","Website")</f>
        <v>Website</v>
      </c>
      <c r="D2956" t="str">
        <f>HYPERLINK("http://www.google.com/maps/place/48.290002,16.3414449","Location")</f>
        <v>Location</v>
      </c>
      <c r="E2956" t="s">
        <v>25804</v>
      </c>
      <c r="F2956" t="s">
        <v>25805</v>
      </c>
      <c r="G2956" t="s">
        <v>10308</v>
      </c>
      <c r="H2956" t="s">
        <v>10317</v>
      </c>
      <c r="I2956" t="s">
        <v>177</v>
      </c>
      <c r="J2956" t="s">
        <v>22</v>
      </c>
      <c r="K2956" t="s">
        <v>25806</v>
      </c>
      <c r="L2956" t="s">
        <v>25809</v>
      </c>
      <c r="M2956" t="s">
        <v>25</v>
      </c>
      <c r="N2956" t="s">
        <v>25810</v>
      </c>
      <c r="O2956" t="s">
        <v>25</v>
      </c>
      <c r="P2956" t="s">
        <v>25811</v>
      </c>
      <c r="Q2956" t="s">
        <v>29</v>
      </c>
      <c r="R2956" t="s">
        <v>25807</v>
      </c>
      <c r="S2956" t="s">
        <v>25808</v>
      </c>
    </row>
    <row r="2957" spans="1:19" x14ac:dyDescent="0.25">
      <c r="A2957" s="1">
        <v>2955</v>
      </c>
      <c r="B2957" t="str">
        <f>HYPERLINK("https://www.dasschnelle.at/peruskic-g-wien-heiligenstädter-straße","Website")</f>
        <v>Website</v>
      </c>
      <c r="C2957" t="str">
        <f>HYPERLINK("http://www.peruskic.at","Website")</f>
        <v>Website</v>
      </c>
      <c r="D2957" t="str">
        <f>HYPERLINK("http://www.google.com/maps/place/48.25856,16.36701","Location")</f>
        <v>Location</v>
      </c>
      <c r="E2957" t="s">
        <v>25812</v>
      </c>
      <c r="F2957" t="s">
        <v>25813</v>
      </c>
      <c r="G2957" t="s">
        <v>24238</v>
      </c>
      <c r="H2957" t="s">
        <v>6488</v>
      </c>
      <c r="I2957" t="s">
        <v>25</v>
      </c>
      <c r="J2957" t="s">
        <v>22</v>
      </c>
      <c r="K2957" t="s">
        <v>25814</v>
      </c>
      <c r="L2957" t="s">
        <v>25817</v>
      </c>
      <c r="M2957" t="s">
        <v>25</v>
      </c>
      <c r="N2957" t="s">
        <v>25818</v>
      </c>
      <c r="O2957" t="s">
        <v>25</v>
      </c>
      <c r="P2957" t="s">
        <v>25819</v>
      </c>
      <c r="Q2957" t="s">
        <v>29</v>
      </c>
      <c r="R2957" t="s">
        <v>25815</v>
      </c>
      <c r="S2957" t="s">
        <v>25816</v>
      </c>
    </row>
    <row r="2958" spans="1:19" x14ac:dyDescent="0.25">
      <c r="A2958" s="1">
        <v>2956</v>
      </c>
      <c r="B2958" t="str">
        <f>HYPERLINK("https://www.dasschnelle.at/egger-josef-schwertberg-parkstraße","Website")</f>
        <v>Website</v>
      </c>
      <c r="C2958" t="str">
        <f>HYPERLINK("http://www.tapezierer-egger.at","Website")</f>
        <v>Website</v>
      </c>
      <c r="D2958" t="str">
        <f>HYPERLINK("http://www.google.com/maps/place/48.27452,14.58052","Location")</f>
        <v>Location</v>
      </c>
      <c r="E2958" t="s">
        <v>25820</v>
      </c>
      <c r="F2958" t="s">
        <v>25821</v>
      </c>
      <c r="G2958" t="s">
        <v>6415</v>
      </c>
      <c r="H2958" t="s">
        <v>6416</v>
      </c>
      <c r="I2958" t="s">
        <v>85</v>
      </c>
      <c r="J2958" t="s">
        <v>22</v>
      </c>
      <c r="K2958" t="s">
        <v>25822</v>
      </c>
      <c r="L2958" t="s">
        <v>25825</v>
      </c>
      <c r="M2958" t="s">
        <v>25</v>
      </c>
      <c r="N2958" t="s">
        <v>25826</v>
      </c>
      <c r="O2958" t="s">
        <v>25</v>
      </c>
      <c r="P2958" t="s">
        <v>25827</v>
      </c>
      <c r="Q2958" t="s">
        <v>29</v>
      </c>
      <c r="R2958" t="s">
        <v>25823</v>
      </c>
      <c r="S2958" t="s">
        <v>25824</v>
      </c>
    </row>
    <row r="2959" spans="1:19" x14ac:dyDescent="0.25">
      <c r="A2959" s="1">
        <v>2957</v>
      </c>
      <c r="B2959" t="str">
        <f>HYPERLINK("https://www.dasschnelle.at/physiotherapie-regenbogen-feldkirchen-in-kärnten-villacher-straße","Website")</f>
        <v>Website</v>
      </c>
      <c r="C2959" t="str">
        <f>HYPERLINK("http://www.physio-regenbogen.at","Website")</f>
        <v>Website</v>
      </c>
      <c r="D2959" t="str">
        <f>HYPERLINK("http://www.google.com/maps/place/46.7233871,14.0901433","Location")</f>
        <v>Location</v>
      </c>
      <c r="E2959" t="s">
        <v>25828</v>
      </c>
      <c r="F2959" t="s">
        <v>25829</v>
      </c>
      <c r="G2959" t="s">
        <v>8498</v>
      </c>
      <c r="H2959" t="s">
        <v>8499</v>
      </c>
      <c r="I2959" t="s">
        <v>4130</v>
      </c>
      <c r="J2959" t="s">
        <v>22</v>
      </c>
      <c r="K2959" t="s">
        <v>25830</v>
      </c>
      <c r="L2959" t="s">
        <v>25833</v>
      </c>
      <c r="M2959" t="s">
        <v>25</v>
      </c>
      <c r="N2959" t="s">
        <v>25834</v>
      </c>
      <c r="O2959" t="s">
        <v>25</v>
      </c>
      <c r="P2959" t="s">
        <v>25835</v>
      </c>
      <c r="Q2959" t="s">
        <v>29</v>
      </c>
      <c r="R2959" t="s">
        <v>25831</v>
      </c>
      <c r="S2959" t="s">
        <v>25832</v>
      </c>
    </row>
    <row r="2960" spans="1:19" x14ac:dyDescent="0.25">
      <c r="A2960" s="1">
        <v>2958</v>
      </c>
      <c r="B2960" t="str">
        <f>HYPERLINK("https://www.dasschnelle.at/habertheuer-karlheinz-dr-bisamberg-hauptstraße","Website")</f>
        <v>Website</v>
      </c>
      <c r="C2960" t="str">
        <f>HYPERLINK("http://www.habertheuer.at","Website")</f>
        <v>Website</v>
      </c>
      <c r="D2960" t="str">
        <f>HYPERLINK("http://www.google.com/maps/place/48.32921,16.36007","Location")</f>
        <v>Location</v>
      </c>
      <c r="E2960" t="s">
        <v>25836</v>
      </c>
      <c r="F2960" t="s">
        <v>25837</v>
      </c>
      <c r="G2960" t="s">
        <v>13271</v>
      </c>
      <c r="H2960" t="s">
        <v>13290</v>
      </c>
      <c r="I2960" t="s">
        <v>177</v>
      </c>
      <c r="J2960" t="s">
        <v>22</v>
      </c>
      <c r="K2960" t="s">
        <v>25838</v>
      </c>
      <c r="L2960" t="s">
        <v>25841</v>
      </c>
      <c r="M2960" t="s">
        <v>25</v>
      </c>
      <c r="N2960" t="s">
        <v>25842</v>
      </c>
      <c r="O2960" t="s">
        <v>25</v>
      </c>
      <c r="P2960" t="s">
        <v>25843</v>
      </c>
      <c r="Q2960" t="s">
        <v>29</v>
      </c>
      <c r="R2960" t="s">
        <v>25839</v>
      </c>
      <c r="S2960" t="s">
        <v>25840</v>
      </c>
    </row>
    <row r="2961" spans="1:19" x14ac:dyDescent="0.25">
      <c r="A2961" s="1">
        <v>2959</v>
      </c>
      <c r="B2961" t="str">
        <f>HYPERLINK("https://www.dasschnelle.at/johann-schneeberger-gmb-pernitsch-pernitsch","Website")</f>
        <v>Website</v>
      </c>
      <c r="C2961" t="str">
        <f>HYPERLINK("http://www.weingut-schneeberger.at","Website")</f>
        <v>Website</v>
      </c>
      <c r="D2961" t="str">
        <f>HYPERLINK("http://www.google.com/maps/place/46.7794600,15.4874900","Location")</f>
        <v>Location</v>
      </c>
      <c r="E2961" t="s">
        <v>25844</v>
      </c>
      <c r="F2961" t="s">
        <v>25845</v>
      </c>
      <c r="G2961" t="s">
        <v>25847</v>
      </c>
      <c r="H2961" t="s">
        <v>25848</v>
      </c>
      <c r="I2961" t="s">
        <v>451</v>
      </c>
      <c r="J2961" t="s">
        <v>22</v>
      </c>
      <c r="K2961" t="s">
        <v>25846</v>
      </c>
      <c r="L2961" t="s">
        <v>25851</v>
      </c>
      <c r="M2961" t="s">
        <v>25</v>
      </c>
      <c r="N2961" t="s">
        <v>25852</v>
      </c>
      <c r="O2961" t="s">
        <v>25853</v>
      </c>
      <c r="P2961" t="s">
        <v>25854</v>
      </c>
      <c r="Q2961" t="s">
        <v>29</v>
      </c>
      <c r="R2961" t="s">
        <v>25849</v>
      </c>
      <c r="S2961" t="s">
        <v>25850</v>
      </c>
    </row>
    <row r="2962" spans="1:19" x14ac:dyDescent="0.25">
      <c r="A2962" s="1">
        <v>2960</v>
      </c>
      <c r="B2962" t="str">
        <f>HYPERLINK("https://www.dasschnelle.at/absenger-johann-ragnitz-haslach","Website")</f>
        <v>Website</v>
      </c>
      <c r="C2962" t="str">
        <f>HYPERLINK("https://www.dasschnelle.at/absenger-johann-ragnitz-haslach","Website")</f>
        <v>Website</v>
      </c>
      <c r="D2962" t="str">
        <f>HYPERLINK("http://www.google.com/maps/place/46.8371100,15.5934242","Location")</f>
        <v>Location</v>
      </c>
      <c r="E2962" t="s">
        <v>25855</v>
      </c>
      <c r="F2962" t="s">
        <v>25856</v>
      </c>
      <c r="G2962" t="s">
        <v>10818</v>
      </c>
      <c r="H2962" t="s">
        <v>25858</v>
      </c>
      <c r="I2962" t="s">
        <v>451</v>
      </c>
      <c r="J2962" t="s">
        <v>22</v>
      </c>
      <c r="K2962" t="s">
        <v>25857</v>
      </c>
      <c r="L2962" t="s">
        <v>25861</v>
      </c>
      <c r="M2962" t="s">
        <v>25</v>
      </c>
      <c r="N2962" t="s">
        <v>25862</v>
      </c>
      <c r="O2962" t="s">
        <v>25</v>
      </c>
      <c r="P2962" t="s">
        <v>25863</v>
      </c>
      <c r="Q2962" t="s">
        <v>29</v>
      </c>
      <c r="R2962" t="s">
        <v>25859</v>
      </c>
      <c r="S2962" t="s">
        <v>25860</v>
      </c>
    </row>
    <row r="2963" spans="1:19" x14ac:dyDescent="0.25">
      <c r="A2963" s="1">
        <v>2961</v>
      </c>
      <c r="B2963" t="str">
        <f>HYPERLINK("https://www.dasschnelle.at/stütz-heribert-steinfeld-kinogasse","Website")</f>
        <v>Website</v>
      </c>
      <c r="C2963" t="str">
        <f>HYPERLINK("https://www.dasschnelle.at/st%C3%BCtz-heribert-steinfeld-kinogasse","Website")</f>
        <v>Website</v>
      </c>
      <c r="D2963" t="str">
        <f>HYPERLINK("http://www.google.com/maps/place/46.75733,13.25104","Location")</f>
        <v>Location</v>
      </c>
      <c r="E2963" t="s">
        <v>25864</v>
      </c>
      <c r="F2963" t="s">
        <v>25865</v>
      </c>
      <c r="G2963" t="s">
        <v>24799</v>
      </c>
      <c r="H2963" t="s">
        <v>24800</v>
      </c>
      <c r="I2963" t="s">
        <v>4130</v>
      </c>
      <c r="J2963" t="s">
        <v>22</v>
      </c>
      <c r="K2963" t="s">
        <v>25866</v>
      </c>
      <c r="L2963" t="s">
        <v>25869</v>
      </c>
      <c r="M2963" t="s">
        <v>25</v>
      </c>
      <c r="N2963" t="s">
        <v>25870</v>
      </c>
      <c r="O2963" t="s">
        <v>25</v>
      </c>
      <c r="P2963" t="s">
        <v>25871</v>
      </c>
      <c r="Q2963" t="s">
        <v>29</v>
      </c>
      <c r="R2963" t="s">
        <v>25867</v>
      </c>
      <c r="S2963" t="s">
        <v>25868</v>
      </c>
    </row>
    <row r="2964" spans="1:19" x14ac:dyDescent="0.25">
      <c r="A2964" s="1">
        <v>2962</v>
      </c>
      <c r="B2964" t="str">
        <f>HYPERLINK("https://www.dasschnelle.at/trinkl-martin-deutsch-kaltenbrunn-höhenstraße","Website")</f>
        <v>Website</v>
      </c>
      <c r="C2964" t="str">
        <f>HYPERLINK("https://www.dasschnelle.at/trinkl-martin-deutsch-kaltenbrunn-h%C3%B6henstra%C3%9Fe","Website")</f>
        <v>Website</v>
      </c>
      <c r="D2964" t="str">
        <f>HYPERLINK("http://www.google.com/maps/place/47.07986,16.12516","Location")</f>
        <v>Location</v>
      </c>
      <c r="E2964" t="s">
        <v>25872</v>
      </c>
      <c r="F2964" t="s">
        <v>25873</v>
      </c>
      <c r="G2964" t="s">
        <v>6612</v>
      </c>
      <c r="H2964" t="s">
        <v>6613</v>
      </c>
      <c r="I2964" t="s">
        <v>1834</v>
      </c>
      <c r="J2964" t="s">
        <v>22</v>
      </c>
      <c r="K2964" t="s">
        <v>25874</v>
      </c>
      <c r="L2964" t="s">
        <v>25877</v>
      </c>
      <c r="M2964" t="s">
        <v>25</v>
      </c>
      <c r="N2964" t="s">
        <v>25878</v>
      </c>
      <c r="O2964" t="s">
        <v>25</v>
      </c>
      <c r="P2964" t="s">
        <v>25879</v>
      </c>
      <c r="Q2964" t="s">
        <v>29</v>
      </c>
      <c r="R2964" t="s">
        <v>25875</v>
      </c>
      <c r="S2964" t="s">
        <v>25876</v>
      </c>
    </row>
    <row r="2965" spans="1:19" x14ac:dyDescent="0.25">
      <c r="A2965" s="1">
        <v>2963</v>
      </c>
      <c r="B2965" t="str">
        <f>HYPERLINK("https://www.dasschnelle.at/gutmann-rudolf-u-sohn-gmbh-und-co-kg-fürstenfeld-grazer-platz","Website")</f>
        <v>Website</v>
      </c>
      <c r="C2965" t="str">
        <f>HYPERLINK("http://www.gutmann.co.at","Website")</f>
        <v>Website</v>
      </c>
      <c r="D2965" t="str">
        <f>HYPERLINK("http://www.google.com/maps/place/47.05217,16.07308","Location")</f>
        <v>Location</v>
      </c>
      <c r="E2965" t="s">
        <v>25880</v>
      </c>
      <c r="F2965" t="s">
        <v>25881</v>
      </c>
      <c r="G2965" t="s">
        <v>24441</v>
      </c>
      <c r="H2965" t="s">
        <v>24442</v>
      </c>
      <c r="I2965" t="s">
        <v>451</v>
      </c>
      <c r="J2965" t="s">
        <v>22</v>
      </c>
      <c r="K2965" t="s">
        <v>25882</v>
      </c>
      <c r="L2965" t="s">
        <v>25885</v>
      </c>
      <c r="M2965" t="s">
        <v>25886</v>
      </c>
      <c r="N2965" t="s">
        <v>25887</v>
      </c>
      <c r="O2965" t="s">
        <v>25</v>
      </c>
      <c r="P2965" t="s">
        <v>25888</v>
      </c>
      <c r="Q2965" t="s">
        <v>29</v>
      </c>
      <c r="R2965" t="s">
        <v>25883</v>
      </c>
      <c r="S2965" t="s">
        <v>25884</v>
      </c>
    </row>
    <row r="2966" spans="1:19" x14ac:dyDescent="0.25">
      <c r="A2966" s="1">
        <v>2964</v>
      </c>
      <c r="B2966" t="str">
        <f>HYPERLINK("https://www.dasschnelle.at/ritzinger-peter-dr-vöcklabruck-robert-kunz-straße","Website")</f>
        <v>Website</v>
      </c>
      <c r="C2966" t="str">
        <f>HYPERLINK("https://www.dasschnelle.at/ritzinger-peter-dr-v%C3%B6cklabruck-robert-kunz-stra%C3%9Fe","Website")</f>
        <v>Website</v>
      </c>
      <c r="D2966" t="str">
        <f>HYPERLINK("http://www.google.com/maps/place/48.0011,13.65033","Location")</f>
        <v>Location</v>
      </c>
      <c r="E2966" t="s">
        <v>25889</v>
      </c>
      <c r="F2966" t="s">
        <v>25890</v>
      </c>
      <c r="G2966" t="s">
        <v>3749</v>
      </c>
      <c r="H2966" t="s">
        <v>3750</v>
      </c>
      <c r="I2966" t="s">
        <v>85</v>
      </c>
      <c r="J2966" t="s">
        <v>22</v>
      </c>
      <c r="K2966" t="s">
        <v>25891</v>
      </c>
      <c r="L2966" t="s">
        <v>25894</v>
      </c>
      <c r="M2966" t="s">
        <v>25</v>
      </c>
      <c r="N2966" t="s">
        <v>25895</v>
      </c>
      <c r="O2966" t="s">
        <v>25</v>
      </c>
      <c r="P2966" t="s">
        <v>25896</v>
      </c>
      <c r="Q2966" t="s">
        <v>29</v>
      </c>
      <c r="R2966" t="s">
        <v>25892</v>
      </c>
      <c r="S2966" t="s">
        <v>25893</v>
      </c>
    </row>
    <row r="2967" spans="1:19" x14ac:dyDescent="0.25">
      <c r="A2967" s="1">
        <v>2965</v>
      </c>
      <c r="B2967" t="str">
        <f>HYPERLINK("https://www.dasschnelle.at/stumvoll-klaus-dr-med-schärding-ludwig-pfliegl-gasse","Website")</f>
        <v>Website</v>
      </c>
      <c r="C2967" t="str">
        <f>HYPERLINK("https://www.dasschnelle.at/stumvoll-klaus-dr-med-sch%C3%A4rding-ludwig-pfliegl-gasse","Website")</f>
        <v>Website</v>
      </c>
      <c r="D2967" t="str">
        <f>HYPERLINK("http://www.google.com/maps/place/48.4549100,13.4315300","Location")</f>
        <v>Location</v>
      </c>
      <c r="E2967" t="s">
        <v>25897</v>
      </c>
      <c r="F2967" t="s">
        <v>25898</v>
      </c>
      <c r="G2967" t="s">
        <v>8850</v>
      </c>
      <c r="H2967" t="s">
        <v>8851</v>
      </c>
      <c r="I2967" t="s">
        <v>85</v>
      </c>
      <c r="J2967" t="s">
        <v>22</v>
      </c>
      <c r="K2967" t="s">
        <v>25899</v>
      </c>
      <c r="L2967" t="s">
        <v>25902</v>
      </c>
      <c r="M2967" t="s">
        <v>25</v>
      </c>
      <c r="N2967" t="s">
        <v>25</v>
      </c>
      <c r="O2967" t="s">
        <v>25</v>
      </c>
      <c r="P2967" t="s">
        <v>25903</v>
      </c>
      <c r="Q2967" t="s">
        <v>29</v>
      </c>
      <c r="R2967" t="s">
        <v>25900</v>
      </c>
      <c r="S2967" t="s">
        <v>25901</v>
      </c>
    </row>
    <row r="2968" spans="1:19" x14ac:dyDescent="0.25">
      <c r="A2968" s="1">
        <v>2966</v>
      </c>
      <c r="B2968" t="str">
        <f>HYPERLINK("https://www.dasschnelle.at/haubner-thomas-weitra-sulz","Website")</f>
        <v>Website</v>
      </c>
      <c r="C2968" t="str">
        <f>HYPERLINK("https://www.dasschnelle.at/haubner-thomas-weitra-sulz","Website")</f>
        <v>Website</v>
      </c>
      <c r="D2968" t="str">
        <f>HYPERLINK("http://www.google.com/maps/place/48.6542138,14.8659937","Location")</f>
        <v>Location</v>
      </c>
      <c r="E2968" t="s">
        <v>25904</v>
      </c>
      <c r="F2968" t="s">
        <v>25905</v>
      </c>
      <c r="G2968" t="s">
        <v>11931</v>
      </c>
      <c r="H2968" t="s">
        <v>11932</v>
      </c>
      <c r="I2968" t="s">
        <v>177</v>
      </c>
      <c r="J2968" t="s">
        <v>22</v>
      </c>
      <c r="K2968" t="s">
        <v>25906</v>
      </c>
      <c r="L2968" t="s">
        <v>25909</v>
      </c>
      <c r="M2968" t="s">
        <v>25</v>
      </c>
      <c r="N2968" t="s">
        <v>25910</v>
      </c>
      <c r="O2968" t="s">
        <v>25</v>
      </c>
      <c r="P2968" t="s">
        <v>25911</v>
      </c>
      <c r="Q2968" t="s">
        <v>29</v>
      </c>
      <c r="R2968" t="s">
        <v>25907</v>
      </c>
      <c r="S2968" t="s">
        <v>25908</v>
      </c>
    </row>
    <row r="2969" spans="1:19" x14ac:dyDescent="0.25">
      <c r="A2969" s="1">
        <v>2967</v>
      </c>
      <c r="B2969" t="str">
        <f>HYPERLINK("https://www.dasschnelle.at/tischlerei-simon-huttegger-hüttschlag-hüttschlag","Website")</f>
        <v>Website</v>
      </c>
      <c r="C2969" t="str">
        <f>HYPERLINK("http://www.der-tischler.info","Website")</f>
        <v>Website</v>
      </c>
      <c r="D2969" t="str">
        <f>HYPERLINK("http://www.google.com/maps/place/47.1599824,13.2758834","Location")</f>
        <v>Location</v>
      </c>
      <c r="E2969" t="s">
        <v>25912</v>
      </c>
      <c r="F2969" t="s">
        <v>25913</v>
      </c>
      <c r="G2969" t="s">
        <v>25915</v>
      </c>
      <c r="H2969" t="s">
        <v>25916</v>
      </c>
      <c r="I2969" t="s">
        <v>2239</v>
      </c>
      <c r="J2969" t="s">
        <v>22</v>
      </c>
      <c r="K2969" t="s">
        <v>25914</v>
      </c>
      <c r="L2969" t="s">
        <v>25919</v>
      </c>
      <c r="M2969" t="s">
        <v>25920</v>
      </c>
      <c r="N2969" t="s">
        <v>25921</v>
      </c>
      <c r="O2969" t="s">
        <v>25</v>
      </c>
      <c r="P2969" t="s">
        <v>25922</v>
      </c>
      <c r="Q2969" t="s">
        <v>29</v>
      </c>
      <c r="R2969" t="s">
        <v>25917</v>
      </c>
      <c r="S2969" t="s">
        <v>25918</v>
      </c>
    </row>
    <row r="2970" spans="1:19" x14ac:dyDescent="0.25">
      <c r="A2970" s="1">
        <v>2968</v>
      </c>
      <c r="B2970" t="str">
        <f>HYPERLINK("https://www.dasschnelle.at/fida-und-ableitinger-og-gmünd-bahnhofstraße","Website")</f>
        <v>Website</v>
      </c>
      <c r="C2970" t="str">
        <f>HYPERLINK("http://www.meisterfliese.at","Website")</f>
        <v>Website</v>
      </c>
      <c r="D2970" t="str">
        <f>HYPERLINK("http://www.google.com/maps/place/48.7667600,14.9860600","Location")</f>
        <v>Location</v>
      </c>
      <c r="E2970" t="s">
        <v>25923</v>
      </c>
      <c r="F2970" t="s">
        <v>25924</v>
      </c>
      <c r="G2970" t="s">
        <v>13116</v>
      </c>
      <c r="H2970" t="s">
        <v>13117</v>
      </c>
      <c r="I2970" t="s">
        <v>177</v>
      </c>
      <c r="J2970" t="s">
        <v>22</v>
      </c>
      <c r="K2970" t="s">
        <v>25925</v>
      </c>
      <c r="L2970" t="s">
        <v>25928</v>
      </c>
      <c r="M2970" t="s">
        <v>25</v>
      </c>
      <c r="N2970" t="s">
        <v>25929</v>
      </c>
      <c r="O2970" t="s">
        <v>25</v>
      </c>
      <c r="P2970" t="s">
        <v>25930</v>
      </c>
      <c r="Q2970" t="s">
        <v>29</v>
      </c>
      <c r="R2970" t="s">
        <v>25926</v>
      </c>
      <c r="S2970" t="s">
        <v>25927</v>
      </c>
    </row>
    <row r="2971" spans="1:19" x14ac:dyDescent="0.25">
      <c r="A2971" s="1">
        <v>2969</v>
      </c>
      <c r="B2971" t="str">
        <f>HYPERLINK("https://www.dasschnelle.at/markus-pleiner-attersee-am-attersee-hauptstrasse","Website")</f>
        <v>Website</v>
      </c>
      <c r="C2971" t="str">
        <f>HYPERLINK("http://www.pleiner-dach.at","Website")</f>
        <v>Website</v>
      </c>
      <c r="D2971" t="str">
        <f>HYPERLINK("http://www.google.com/maps/place/47.91593,13.5398","Location")</f>
        <v>Location</v>
      </c>
      <c r="E2971" t="s">
        <v>25931</v>
      </c>
      <c r="F2971" t="s">
        <v>25932</v>
      </c>
      <c r="G2971" t="s">
        <v>3869</v>
      </c>
      <c r="H2971" t="s">
        <v>3870</v>
      </c>
      <c r="I2971" t="s">
        <v>85</v>
      </c>
      <c r="J2971" t="s">
        <v>22</v>
      </c>
      <c r="K2971" t="s">
        <v>25933</v>
      </c>
      <c r="L2971" t="s">
        <v>25936</v>
      </c>
      <c r="M2971" t="s">
        <v>25</v>
      </c>
      <c r="N2971" t="s">
        <v>25937</v>
      </c>
      <c r="O2971" t="s">
        <v>25</v>
      </c>
      <c r="P2971" t="s">
        <v>25938</v>
      </c>
      <c r="Q2971" t="s">
        <v>29</v>
      </c>
      <c r="R2971" t="s">
        <v>25934</v>
      </c>
      <c r="S2971" t="s">
        <v>25935</v>
      </c>
    </row>
    <row r="2972" spans="1:19" x14ac:dyDescent="0.25">
      <c r="A2972" s="1">
        <v>2970</v>
      </c>
      <c r="B2972" t="str">
        <f>HYPERLINK("https://www.dasschnelle.at/hemetsberger-dach-gmbh-attersee-palmsdorf","Website")</f>
        <v>Website</v>
      </c>
      <c r="C2972" t="str">
        <f>HYPERLINK("http://www.hemetsberger-dach.at","Website")</f>
        <v>Website</v>
      </c>
      <c r="D2972" t="str">
        <f>HYPERLINK("http://www.google.com/maps/place/47.9232448,13.5131405","Location")</f>
        <v>Location</v>
      </c>
      <c r="E2972" t="s">
        <v>25939</v>
      </c>
      <c r="F2972" t="s">
        <v>25940</v>
      </c>
      <c r="G2972" t="s">
        <v>3869</v>
      </c>
      <c r="H2972" t="s">
        <v>25942</v>
      </c>
      <c r="I2972" t="s">
        <v>85</v>
      </c>
      <c r="J2972" t="s">
        <v>22</v>
      </c>
      <c r="K2972" t="s">
        <v>25941</v>
      </c>
      <c r="L2972" t="s">
        <v>25945</v>
      </c>
      <c r="M2972" t="s">
        <v>25</v>
      </c>
      <c r="N2972" t="s">
        <v>25946</v>
      </c>
      <c r="O2972" t="s">
        <v>25947</v>
      </c>
      <c r="P2972" t="s">
        <v>25948</v>
      </c>
      <c r="Q2972" t="s">
        <v>29</v>
      </c>
      <c r="R2972" t="s">
        <v>25943</v>
      </c>
      <c r="S2972" t="s">
        <v>25944</v>
      </c>
    </row>
    <row r="2973" spans="1:19" x14ac:dyDescent="0.25">
      <c r="A2973" s="1">
        <v>2971</v>
      </c>
      <c r="B2973" t="str">
        <f>HYPERLINK("https://www.dasschnelle.at/zahnärztliche-gruppenpraxis-og-vöcklabruck-salzburger-straße","Website")</f>
        <v>Website</v>
      </c>
      <c r="C2973" t="str">
        <f>HYPERLINK("http://www.zahnarzt-bloier-voecklabruck.at","Website")</f>
        <v>Website</v>
      </c>
      <c r="D2973" t="str">
        <f>HYPERLINK("http://www.google.com/maps/place/48.00752,13.65149","Location")</f>
        <v>Location</v>
      </c>
      <c r="E2973" t="s">
        <v>25949</v>
      </c>
      <c r="F2973" t="s">
        <v>25950</v>
      </c>
      <c r="G2973" t="s">
        <v>3749</v>
      </c>
      <c r="H2973" t="s">
        <v>3750</v>
      </c>
      <c r="I2973" t="s">
        <v>85</v>
      </c>
      <c r="J2973" t="s">
        <v>22</v>
      </c>
      <c r="K2973" t="s">
        <v>25951</v>
      </c>
      <c r="L2973" t="s">
        <v>25954</v>
      </c>
      <c r="M2973" t="s">
        <v>25</v>
      </c>
      <c r="N2973" t="s">
        <v>25955</v>
      </c>
      <c r="O2973" t="s">
        <v>25956</v>
      </c>
      <c r="P2973" t="s">
        <v>25957</v>
      </c>
      <c r="Q2973" t="s">
        <v>29</v>
      </c>
      <c r="R2973" t="s">
        <v>25952</v>
      </c>
      <c r="S2973" t="s">
        <v>25953</v>
      </c>
    </row>
    <row r="2974" spans="1:19" x14ac:dyDescent="0.25">
      <c r="A2974" s="1">
        <v>2972</v>
      </c>
      <c r="B2974" t="str">
        <f>HYPERLINK("https://www.dasschnelle.at/böckl-p-ofenbau-u-fliesen-gesmbh-st-georgen-im-attergau-doblergasse","Website")</f>
        <v>Website</v>
      </c>
      <c r="C2974" t="str">
        <f>HYPERLINK("http://www.behaglicheswohnen.at","Website")</f>
        <v>Website</v>
      </c>
      <c r="D2974" t="str">
        <f>HYPERLINK("http://www.google.com/maps/place/47.93389,13.48028","Location")</f>
        <v>Location</v>
      </c>
      <c r="E2974" t="s">
        <v>25958</v>
      </c>
      <c r="F2974" t="s">
        <v>25959</v>
      </c>
      <c r="G2974" t="s">
        <v>3833</v>
      </c>
      <c r="H2974" t="s">
        <v>3834</v>
      </c>
      <c r="I2974" t="s">
        <v>85</v>
      </c>
      <c r="J2974" t="s">
        <v>22</v>
      </c>
      <c r="K2974" t="s">
        <v>25960</v>
      </c>
      <c r="L2974" t="s">
        <v>25963</v>
      </c>
      <c r="M2974" t="s">
        <v>25</v>
      </c>
      <c r="N2974" t="s">
        <v>25964</v>
      </c>
      <c r="O2974" t="s">
        <v>25</v>
      </c>
      <c r="P2974" t="s">
        <v>25965</v>
      </c>
      <c r="Q2974" t="s">
        <v>29</v>
      </c>
      <c r="R2974" t="s">
        <v>25961</v>
      </c>
      <c r="S2974" t="s">
        <v>25962</v>
      </c>
    </row>
    <row r="2975" spans="1:19" x14ac:dyDescent="0.25">
      <c r="A2975" s="1">
        <v>2973</v>
      </c>
      <c r="B2975" t="str">
        <f>HYPERLINK("https://www.dasschnelle.at/eike-rosa-oberländer-bad-hofgastein-pyrkerstraße","Website")</f>
        <v>Website</v>
      </c>
      <c r="C2975" t="str">
        <f>HYPERLINK("https://www.dasschnelle.at/eike-rosa-oberl%C3%A4nder-bad-hofgastein-pyrkerstra%C3%9Fe","Website")</f>
        <v>Website</v>
      </c>
      <c r="D2975" t="str">
        <f>HYPERLINK("http://www.google.com/maps/place/47.16541,13.11038","Location")</f>
        <v>Location</v>
      </c>
      <c r="E2975" t="s">
        <v>25966</v>
      </c>
      <c r="F2975" t="s">
        <v>25967</v>
      </c>
      <c r="G2975" t="s">
        <v>25969</v>
      </c>
      <c r="H2975" t="s">
        <v>25970</v>
      </c>
      <c r="I2975" t="s">
        <v>2239</v>
      </c>
      <c r="J2975" t="s">
        <v>22</v>
      </c>
      <c r="K2975" t="s">
        <v>25968</v>
      </c>
      <c r="L2975" t="s">
        <v>25973</v>
      </c>
      <c r="M2975" t="s">
        <v>25</v>
      </c>
      <c r="N2975" t="s">
        <v>25974</v>
      </c>
      <c r="O2975" t="s">
        <v>25</v>
      </c>
      <c r="P2975" t="s">
        <v>25975</v>
      </c>
      <c r="Q2975" t="s">
        <v>29</v>
      </c>
      <c r="R2975" t="s">
        <v>25971</v>
      </c>
      <c r="S2975" t="s">
        <v>25972</v>
      </c>
    </row>
    <row r="2976" spans="1:19" x14ac:dyDescent="0.25">
      <c r="A2976" s="1">
        <v>2974</v>
      </c>
      <c r="B2976" t="str">
        <f>HYPERLINK("https://www.dasschnelle.at/toyota-bauer-gmbh-zwettl-moidrams","Website")</f>
        <v>Website</v>
      </c>
      <c r="C2976" t="str">
        <f>HYPERLINK("http://www.toyota-bauer.at","Website")</f>
        <v>Website</v>
      </c>
      <c r="D2976" t="str">
        <f>HYPERLINK("http://www.google.com/maps/place/48.5981132,15.1529371","Location")</f>
        <v>Location</v>
      </c>
      <c r="E2976" t="s">
        <v>25976</v>
      </c>
      <c r="F2976" t="s">
        <v>25977</v>
      </c>
      <c r="G2976" t="s">
        <v>10518</v>
      </c>
      <c r="H2976" t="s">
        <v>10791</v>
      </c>
      <c r="I2976" t="s">
        <v>177</v>
      </c>
      <c r="J2976" t="s">
        <v>22</v>
      </c>
      <c r="K2976" t="s">
        <v>25978</v>
      </c>
      <c r="L2976" t="s">
        <v>25981</v>
      </c>
      <c r="M2976" t="s">
        <v>25</v>
      </c>
      <c r="N2976" t="s">
        <v>25982</v>
      </c>
      <c r="O2976" t="s">
        <v>25</v>
      </c>
      <c r="P2976" t="s">
        <v>25983</v>
      </c>
      <c r="Q2976" t="s">
        <v>29</v>
      </c>
      <c r="R2976" t="s">
        <v>25979</v>
      </c>
      <c r="S2976" t="s">
        <v>25980</v>
      </c>
    </row>
    <row r="2977" spans="1:19" x14ac:dyDescent="0.25">
      <c r="A2977" s="1">
        <v>2975</v>
      </c>
      <c r="B2977" t="str">
        <f>HYPERLINK("https://www.dasschnelle.at/maier-helmut-dürnfeld","Website")</f>
        <v>Website</v>
      </c>
      <c r="C2977" t="str">
        <f>HYPERLINK("http://www.pflasterung-maier.at","Website")</f>
        <v>Website</v>
      </c>
      <c r="D2977" t="str">
        <f>HYPERLINK("http://www.google.com/maps/place/46.8335733,14.4438673","Location")</f>
        <v>Location</v>
      </c>
      <c r="E2977" t="s">
        <v>25984</v>
      </c>
      <c r="F2977" t="s">
        <v>25985</v>
      </c>
      <c r="G2977" t="s">
        <v>25986</v>
      </c>
      <c r="H2977" t="s">
        <v>25987</v>
      </c>
      <c r="I2977" t="s">
        <v>4130</v>
      </c>
      <c r="J2977" t="s">
        <v>22</v>
      </c>
      <c r="K2977" t="s">
        <v>25</v>
      </c>
      <c r="L2977" t="s">
        <v>25990</v>
      </c>
      <c r="M2977" t="s">
        <v>25</v>
      </c>
      <c r="N2977" t="s">
        <v>25991</v>
      </c>
      <c r="O2977" t="s">
        <v>25992</v>
      </c>
      <c r="P2977" t="s">
        <v>25993</v>
      </c>
      <c r="Q2977" t="s">
        <v>29</v>
      </c>
      <c r="R2977" t="s">
        <v>25988</v>
      </c>
      <c r="S2977" t="s">
        <v>25989</v>
      </c>
    </row>
    <row r="2978" spans="1:19" x14ac:dyDescent="0.25">
      <c r="A2978" s="1">
        <v>2976</v>
      </c>
      <c r="B2978" t="str">
        <f>HYPERLINK("https://www.dasschnelle.at/steiner-optik-gesmbh-gmünd-bahnhofstraße","Website")</f>
        <v>Website</v>
      </c>
      <c r="C2978" t="str">
        <f>HYPERLINK("http://www.optiksteiner.at","Website")</f>
        <v>Website</v>
      </c>
      <c r="D2978" t="str">
        <f>HYPERLINK("http://www.google.com/maps/place/48.7659,14.98545","Location")</f>
        <v>Location</v>
      </c>
      <c r="E2978" t="s">
        <v>25994</v>
      </c>
      <c r="F2978" t="s">
        <v>25995</v>
      </c>
      <c r="G2978" t="s">
        <v>13116</v>
      </c>
      <c r="H2978" t="s">
        <v>13117</v>
      </c>
      <c r="I2978" t="s">
        <v>177</v>
      </c>
      <c r="J2978" t="s">
        <v>22</v>
      </c>
      <c r="K2978" t="s">
        <v>5572</v>
      </c>
      <c r="L2978" t="s">
        <v>25998</v>
      </c>
      <c r="M2978" t="s">
        <v>25</v>
      </c>
      <c r="N2978" t="s">
        <v>25999</v>
      </c>
      <c r="O2978" t="s">
        <v>25</v>
      </c>
      <c r="P2978" t="s">
        <v>26000</v>
      </c>
      <c r="Q2978" t="s">
        <v>29</v>
      </c>
      <c r="R2978" t="s">
        <v>25996</v>
      </c>
      <c r="S2978" t="s">
        <v>25997</v>
      </c>
    </row>
    <row r="2979" spans="1:19" x14ac:dyDescent="0.25">
      <c r="A2979" s="1">
        <v>2977</v>
      </c>
      <c r="B2979" t="str">
        <f>HYPERLINK("https://www.dasschnelle.at/elektro-technik-kalsberger-gmbh-christian-kaunertal-feichten","Website")</f>
        <v>Website</v>
      </c>
      <c r="C2979" t="str">
        <f>HYPERLINK("http://www.volt1.eu","Website")</f>
        <v>Website</v>
      </c>
      <c r="D2979" t="str">
        <f>HYPERLINK("http://www.google.com/maps/place/47.07777,10.66636","Location")</f>
        <v>Location</v>
      </c>
      <c r="E2979" t="s">
        <v>26001</v>
      </c>
      <c r="F2979" t="s">
        <v>26002</v>
      </c>
      <c r="G2979" t="s">
        <v>26004</v>
      </c>
      <c r="H2979" t="s">
        <v>26005</v>
      </c>
      <c r="I2979" t="s">
        <v>21</v>
      </c>
      <c r="J2979" t="s">
        <v>22</v>
      </c>
      <c r="K2979" t="s">
        <v>26003</v>
      </c>
      <c r="L2979" t="s">
        <v>26008</v>
      </c>
      <c r="M2979" t="s">
        <v>25</v>
      </c>
      <c r="N2979" t="s">
        <v>26009</v>
      </c>
      <c r="O2979" t="s">
        <v>25</v>
      </c>
      <c r="P2979" t="s">
        <v>26010</v>
      </c>
      <c r="Q2979" t="s">
        <v>29</v>
      </c>
      <c r="R2979" t="s">
        <v>26006</v>
      </c>
      <c r="S2979" t="s">
        <v>26007</v>
      </c>
    </row>
    <row r="2980" spans="1:19" x14ac:dyDescent="0.25">
      <c r="A2980" s="1">
        <v>2978</v>
      </c>
      <c r="B2980" t="str">
        <f>HYPERLINK("https://www.dasschnelle.at/mayr-heinz-sankt-georgen-im-attergau-pausingergasse","Website")</f>
        <v>Website</v>
      </c>
      <c r="C2980" t="str">
        <f>HYPERLINK("https://www.dasschnelle.at/mayr-heinz-sankt-georgen-im-attergau-pausingergasse","Website")</f>
        <v>Website</v>
      </c>
      <c r="D2980" t="str">
        <f>HYPERLINK("http://www.google.com/maps/place/47.93753,13.49755","Location")</f>
        <v>Location</v>
      </c>
      <c r="E2980" t="s">
        <v>26011</v>
      </c>
      <c r="F2980" t="s">
        <v>26012</v>
      </c>
      <c r="G2980" t="s">
        <v>3833</v>
      </c>
      <c r="H2980" t="s">
        <v>26014</v>
      </c>
      <c r="I2980" t="s">
        <v>85</v>
      </c>
      <c r="J2980" t="s">
        <v>22</v>
      </c>
      <c r="K2980" t="s">
        <v>26013</v>
      </c>
      <c r="L2980" t="s">
        <v>26017</v>
      </c>
      <c r="M2980" t="s">
        <v>25</v>
      </c>
      <c r="N2980" t="s">
        <v>26018</v>
      </c>
      <c r="O2980" t="s">
        <v>25</v>
      </c>
      <c r="P2980" t="s">
        <v>26019</v>
      </c>
      <c r="Q2980" t="s">
        <v>29</v>
      </c>
      <c r="R2980" t="s">
        <v>26015</v>
      </c>
      <c r="S2980" t="s">
        <v>26016</v>
      </c>
    </row>
    <row r="2981" spans="1:19" x14ac:dyDescent="0.25">
      <c r="A2981" s="1">
        <v>2979</v>
      </c>
      <c r="B2981" t="str">
        <f>HYPERLINK("https://www.dasschnelle.at/aigner-a-gmbh-waidhofen-rösselgraben","Website")</f>
        <v>Website</v>
      </c>
      <c r="C2981" t="str">
        <f>HYPERLINK("http://www.bestattung-aigner.at","Website")</f>
        <v>Website</v>
      </c>
      <c r="D2981" t="str">
        <f>HYPERLINK("http://www.google.com/maps/place/47.9559070,14.7691255","Location")</f>
        <v>Location</v>
      </c>
      <c r="E2981" t="s">
        <v>26020</v>
      </c>
      <c r="F2981" t="s">
        <v>26021</v>
      </c>
      <c r="G2981" t="s">
        <v>1504</v>
      </c>
      <c r="H2981" t="s">
        <v>1505</v>
      </c>
      <c r="I2981" t="s">
        <v>177</v>
      </c>
      <c r="J2981" t="s">
        <v>22</v>
      </c>
      <c r="K2981" t="s">
        <v>26022</v>
      </c>
      <c r="L2981" t="s">
        <v>26025</v>
      </c>
      <c r="M2981" t="s">
        <v>25</v>
      </c>
      <c r="N2981" t="s">
        <v>26026</v>
      </c>
      <c r="O2981" t="s">
        <v>25</v>
      </c>
      <c r="P2981" t="s">
        <v>26027</v>
      </c>
      <c r="Q2981" t="s">
        <v>29</v>
      </c>
      <c r="R2981" t="s">
        <v>26023</v>
      </c>
      <c r="S2981" t="s">
        <v>26024</v>
      </c>
    </row>
    <row r="2982" spans="1:19" x14ac:dyDescent="0.25">
      <c r="A2982" s="1">
        <v>2980</v>
      </c>
      <c r="B2982" t="str">
        <f>HYPERLINK("https://www.dasschnelle.at/pesendorfer-christian-frankenburg-am-hausruck-hauptstraße","Website")</f>
        <v>Website</v>
      </c>
      <c r="C2982" t="str">
        <f>HYPERLINK("https://www.dasschnelle.at/pesendorfer-christian-frankenburg-am-hausruck-hauptstra%C3%9Fe","Website")</f>
        <v>Website</v>
      </c>
      <c r="D2982" t="str">
        <f>HYPERLINK("http://www.google.com/maps/place/48.06777,13.48306","Location")</f>
        <v>Location</v>
      </c>
      <c r="E2982" t="s">
        <v>26028</v>
      </c>
      <c r="F2982" t="s">
        <v>26029</v>
      </c>
      <c r="G2982" t="s">
        <v>3795</v>
      </c>
      <c r="H2982" t="s">
        <v>3796</v>
      </c>
      <c r="I2982" t="s">
        <v>85</v>
      </c>
      <c r="J2982" t="s">
        <v>22</v>
      </c>
      <c r="K2982" t="s">
        <v>6341</v>
      </c>
      <c r="L2982" t="s">
        <v>26032</v>
      </c>
      <c r="M2982" t="s">
        <v>25</v>
      </c>
      <c r="N2982" t="s">
        <v>25</v>
      </c>
      <c r="O2982" t="s">
        <v>25</v>
      </c>
      <c r="P2982" t="s">
        <v>26033</v>
      </c>
      <c r="Q2982" t="s">
        <v>29</v>
      </c>
      <c r="R2982" t="s">
        <v>26030</v>
      </c>
      <c r="S2982" t="s">
        <v>26031</v>
      </c>
    </row>
    <row r="2983" spans="1:19" x14ac:dyDescent="0.25">
      <c r="A2983" s="1">
        <v>2981</v>
      </c>
      <c r="B2983" t="str">
        <f>HYPERLINK("https://www.dasschnelle.at/schwerd-thomas-dr-vöcklabruck-stadtplatz","Website")</f>
        <v>Website</v>
      </c>
      <c r="C2983" t="str">
        <f>HYPERLINK("http://www.kieferorthopaedie-schwerd.com","Website")</f>
        <v>Website</v>
      </c>
      <c r="D2983" t="str">
        <f>HYPERLINK("http://www.google.com/maps/place/48.00779,13.65307","Location")</f>
        <v>Location</v>
      </c>
      <c r="E2983" t="s">
        <v>26034</v>
      </c>
      <c r="F2983" t="s">
        <v>26035</v>
      </c>
      <c r="G2983" t="s">
        <v>3749</v>
      </c>
      <c r="H2983" t="s">
        <v>3750</v>
      </c>
      <c r="I2983" t="s">
        <v>85</v>
      </c>
      <c r="J2983" t="s">
        <v>22</v>
      </c>
      <c r="K2983" t="s">
        <v>26036</v>
      </c>
      <c r="L2983" t="s">
        <v>26039</v>
      </c>
      <c r="M2983" t="s">
        <v>25</v>
      </c>
      <c r="N2983" t="s">
        <v>26040</v>
      </c>
      <c r="O2983" t="s">
        <v>26041</v>
      </c>
      <c r="P2983" t="s">
        <v>26042</v>
      </c>
      <c r="Q2983" t="s">
        <v>29</v>
      </c>
      <c r="R2983" t="s">
        <v>26037</v>
      </c>
      <c r="S2983" t="s">
        <v>26038</v>
      </c>
    </row>
    <row r="2984" spans="1:19" x14ac:dyDescent="0.25">
      <c r="A2984" s="1">
        <v>2982</v>
      </c>
      <c r="B2984" t="str">
        <f>HYPERLINK("https://www.dasschnelle.at/kircher-peter-paul-neukirchen-an-der-vöckla-biber","Website")</f>
        <v>Website</v>
      </c>
      <c r="C2984" t="str">
        <f>HYPERLINK("http://www.peter-kircher.at","Website")</f>
        <v>Website</v>
      </c>
      <c r="D2984" t="str">
        <f>HYPERLINK("http://www.google.com/maps/place/48.0259950,13.5298709","Location")</f>
        <v>Location</v>
      </c>
      <c r="E2984" t="s">
        <v>26043</v>
      </c>
      <c r="F2984" t="s">
        <v>26044</v>
      </c>
      <c r="G2984" t="s">
        <v>26046</v>
      </c>
      <c r="H2984" t="s">
        <v>26047</v>
      </c>
      <c r="I2984" t="s">
        <v>85</v>
      </c>
      <c r="J2984" t="s">
        <v>22</v>
      </c>
      <c r="K2984" t="s">
        <v>26045</v>
      </c>
      <c r="L2984" t="s">
        <v>26050</v>
      </c>
      <c r="M2984" t="s">
        <v>26051</v>
      </c>
      <c r="N2984" t="s">
        <v>26052</v>
      </c>
      <c r="O2984" t="s">
        <v>25</v>
      </c>
      <c r="P2984" t="s">
        <v>26053</v>
      </c>
      <c r="Q2984" t="s">
        <v>29</v>
      </c>
      <c r="R2984" t="s">
        <v>26048</v>
      </c>
      <c r="S2984" t="s">
        <v>26049</v>
      </c>
    </row>
    <row r="2985" spans="1:19" x14ac:dyDescent="0.25">
      <c r="A2985" s="1">
        <v>2983</v>
      </c>
      <c r="B2985" t="str">
        <f>HYPERLINK("https://www.dasschnelle.at/holzbau-wanzenböck-gmbh-absdorf-hans-doppelreiter-straße","Website")</f>
        <v>Website</v>
      </c>
      <c r="C2985" t="str">
        <f>HYPERLINK("http://www.holzbau-wanzenboeck.at","Website")</f>
        <v>Website</v>
      </c>
      <c r="D2985" t="str">
        <f>HYPERLINK("http://www.google.com/maps/place/48.40338,15.98022","Location")</f>
        <v>Location</v>
      </c>
      <c r="E2985" t="s">
        <v>26054</v>
      </c>
      <c r="F2985" t="s">
        <v>26055</v>
      </c>
      <c r="G2985" t="s">
        <v>26057</v>
      </c>
      <c r="H2985" t="s">
        <v>26058</v>
      </c>
      <c r="I2985" t="s">
        <v>177</v>
      </c>
      <c r="J2985" t="s">
        <v>22</v>
      </c>
      <c r="K2985" t="s">
        <v>26056</v>
      </c>
      <c r="L2985" t="s">
        <v>26061</v>
      </c>
      <c r="M2985" t="s">
        <v>25</v>
      </c>
      <c r="N2985" t="s">
        <v>26062</v>
      </c>
      <c r="O2985" t="s">
        <v>26063</v>
      </c>
      <c r="P2985" t="s">
        <v>26064</v>
      </c>
      <c r="Q2985" t="s">
        <v>29</v>
      </c>
      <c r="R2985" t="s">
        <v>26059</v>
      </c>
      <c r="S2985" t="s">
        <v>26060</v>
      </c>
    </row>
    <row r="2986" spans="1:19" x14ac:dyDescent="0.25">
      <c r="A2986" s="1">
        <v>2984</v>
      </c>
      <c r="B2986" t="str">
        <f>HYPERLINK("https://www.dasschnelle.at/sunsystems-sonnenschutztechnik-gmbh-klosterneuburg-inkustraße","Website")</f>
        <v>Website</v>
      </c>
      <c r="C2986" t="str">
        <f>HYPERLINK("http://www.sunsystems.at","Website")</f>
        <v>Website</v>
      </c>
      <c r="D2986" t="str">
        <f>HYPERLINK("http://www.google.com/maps/place/48.2924765,16.3408861","Location")</f>
        <v>Location</v>
      </c>
      <c r="E2986" t="s">
        <v>26065</v>
      </c>
      <c r="F2986" t="s">
        <v>26066</v>
      </c>
      <c r="G2986" t="s">
        <v>10308</v>
      </c>
      <c r="H2986" t="s">
        <v>10317</v>
      </c>
      <c r="I2986" t="s">
        <v>177</v>
      </c>
      <c r="J2986" t="s">
        <v>22</v>
      </c>
      <c r="K2986" t="s">
        <v>26067</v>
      </c>
      <c r="L2986" t="s">
        <v>26070</v>
      </c>
      <c r="M2986" t="s">
        <v>25</v>
      </c>
      <c r="N2986" t="s">
        <v>26071</v>
      </c>
      <c r="O2986" t="s">
        <v>26072</v>
      </c>
      <c r="P2986" t="s">
        <v>26073</v>
      </c>
      <c r="Q2986" t="s">
        <v>29</v>
      </c>
      <c r="R2986" t="s">
        <v>26068</v>
      </c>
      <c r="S2986" t="s">
        <v>26069</v>
      </c>
    </row>
    <row r="2987" spans="1:19" x14ac:dyDescent="0.25">
      <c r="A2987" s="1">
        <v>2985</v>
      </c>
      <c r="B2987" t="str">
        <f>HYPERLINK("https://www.dasschnelle.at/schmiedt-robert-klosterneuburg-aufeldgasse","Website")</f>
        <v>Website</v>
      </c>
      <c r="C2987" t="str">
        <f>HYPERLINK("http://www.installateur-schmiedt.at","Website")</f>
        <v>Website</v>
      </c>
      <c r="D2987" t="str">
        <f>HYPERLINK("http://www.google.com/maps/place/48.2981956,16.3348674","Location")</f>
        <v>Location</v>
      </c>
      <c r="E2987" t="s">
        <v>26074</v>
      </c>
      <c r="F2987" t="s">
        <v>26075</v>
      </c>
      <c r="G2987" t="s">
        <v>10308</v>
      </c>
      <c r="H2987" t="s">
        <v>10317</v>
      </c>
      <c r="I2987" t="s">
        <v>177</v>
      </c>
      <c r="J2987" t="s">
        <v>22</v>
      </c>
      <c r="K2987" t="s">
        <v>26076</v>
      </c>
      <c r="L2987" t="s">
        <v>26079</v>
      </c>
      <c r="M2987" t="s">
        <v>25</v>
      </c>
      <c r="N2987" t="s">
        <v>26080</v>
      </c>
      <c r="O2987" t="s">
        <v>25</v>
      </c>
      <c r="P2987" t="s">
        <v>26081</v>
      </c>
      <c r="Q2987" t="s">
        <v>29</v>
      </c>
      <c r="R2987" t="s">
        <v>26077</v>
      </c>
      <c r="S2987" t="s">
        <v>26078</v>
      </c>
    </row>
    <row r="2988" spans="1:19" x14ac:dyDescent="0.25">
      <c r="A2988" s="1">
        <v>2986</v>
      </c>
      <c r="B2988" t="str">
        <f>HYPERLINK("https://www.dasschnelle.at/binder-lukas-mag-vöcklabruck-stadtplatz","Website")</f>
        <v>Website</v>
      </c>
      <c r="C2988" t="str">
        <f>HYPERLINK("http://www.notarbinder.at","Website")</f>
        <v>Website</v>
      </c>
      <c r="D2988" t="str">
        <f>HYPERLINK("http://www.google.com/maps/place/48.007677,13.6541697","Location")</f>
        <v>Location</v>
      </c>
      <c r="E2988" t="s">
        <v>26082</v>
      </c>
      <c r="F2988" t="s">
        <v>26083</v>
      </c>
      <c r="G2988" t="s">
        <v>3749</v>
      </c>
      <c r="H2988" t="s">
        <v>3750</v>
      </c>
      <c r="I2988" t="s">
        <v>85</v>
      </c>
      <c r="J2988" t="s">
        <v>22</v>
      </c>
      <c r="K2988" t="s">
        <v>26084</v>
      </c>
      <c r="L2988" t="s">
        <v>26087</v>
      </c>
      <c r="M2988" t="s">
        <v>25</v>
      </c>
      <c r="N2988" t="s">
        <v>26088</v>
      </c>
      <c r="O2988" t="s">
        <v>25</v>
      </c>
      <c r="P2988" t="s">
        <v>26089</v>
      </c>
      <c r="Q2988" t="s">
        <v>29</v>
      </c>
      <c r="R2988" t="s">
        <v>26085</v>
      </c>
      <c r="S2988" t="s">
        <v>26086</v>
      </c>
    </row>
    <row r="2989" spans="1:19" x14ac:dyDescent="0.25">
      <c r="A2989" s="1">
        <v>2987</v>
      </c>
      <c r="B2989" t="str">
        <f>HYPERLINK("https://www.dasschnelle.at/bestattung-tempora-amstetten-ybbsstraße","Website")</f>
        <v>Website</v>
      </c>
      <c r="C2989" t="str">
        <f>HYPERLINK("http://www.stadtwerke.amstetten.at","Website")</f>
        <v>Website</v>
      </c>
      <c r="D2989" t="str">
        <f>HYPERLINK("http://www.google.com/maps/place/48.12066,14.87066","Location")</f>
        <v>Location</v>
      </c>
      <c r="E2989" t="s">
        <v>26090</v>
      </c>
      <c r="F2989" t="s">
        <v>26091</v>
      </c>
      <c r="G2989" t="s">
        <v>1474</v>
      </c>
      <c r="H2989" t="s">
        <v>1475</v>
      </c>
      <c r="I2989" t="s">
        <v>177</v>
      </c>
      <c r="J2989" t="s">
        <v>22</v>
      </c>
      <c r="K2989" t="s">
        <v>26092</v>
      </c>
      <c r="L2989" t="s">
        <v>26095</v>
      </c>
      <c r="M2989" t="s">
        <v>25</v>
      </c>
      <c r="N2989" t="s">
        <v>26096</v>
      </c>
      <c r="O2989" t="s">
        <v>25</v>
      </c>
      <c r="P2989" t="s">
        <v>26097</v>
      </c>
      <c r="Q2989" t="s">
        <v>29</v>
      </c>
      <c r="R2989" t="s">
        <v>26093</v>
      </c>
      <c r="S2989" t="s">
        <v>26094</v>
      </c>
    </row>
    <row r="2990" spans="1:19" x14ac:dyDescent="0.25">
      <c r="A2990" s="1">
        <v>2988</v>
      </c>
      <c r="B2990" t="str">
        <f>HYPERLINK("https://www.dasschnelle.at/hotel-sonnenhof-gmünd-saaß","Website")</f>
        <v>Website</v>
      </c>
      <c r="C2990" t="str">
        <f>HYPERLINK("http://www.sonnenhoflitschau.com","Website")</f>
        <v>Website</v>
      </c>
      <c r="D2990" t="str">
        <f>HYPERLINK("http://www.google.com/maps/place/48.9782793,15.0647458","Location")</f>
        <v>Location</v>
      </c>
      <c r="E2990" t="s">
        <v>26098</v>
      </c>
      <c r="F2990" t="s">
        <v>26099</v>
      </c>
      <c r="G2990" t="s">
        <v>7210</v>
      </c>
      <c r="H2990" t="s">
        <v>13117</v>
      </c>
      <c r="I2990" t="s">
        <v>177</v>
      </c>
      <c r="J2990" t="s">
        <v>22</v>
      </c>
      <c r="K2990" t="s">
        <v>26100</v>
      </c>
      <c r="L2990" t="s">
        <v>26103</v>
      </c>
      <c r="M2990" t="s">
        <v>25</v>
      </c>
      <c r="N2990" t="s">
        <v>26104</v>
      </c>
      <c r="O2990" t="s">
        <v>25</v>
      </c>
      <c r="P2990" t="s">
        <v>26105</v>
      </c>
      <c r="Q2990" t="s">
        <v>29</v>
      </c>
      <c r="R2990" t="s">
        <v>26101</v>
      </c>
      <c r="S2990" t="s">
        <v>26102</v>
      </c>
    </row>
    <row r="2991" spans="1:19" x14ac:dyDescent="0.25">
      <c r="A2991" s="1">
        <v>2989</v>
      </c>
      <c r="B2991" t="str">
        <f>HYPERLINK("https://www.dasschnelle.at/holiczky-karin-klosterneuburg-weidlinger-straße","Website")</f>
        <v>Website</v>
      </c>
      <c r="C2991" t="str">
        <f>HYPERLINK("http://www.studio-holiczky.at","Website")</f>
        <v>Website</v>
      </c>
      <c r="D2991" t="str">
        <f>HYPERLINK("http://www.google.com/maps/place/48.29717,16.33374","Location")</f>
        <v>Location</v>
      </c>
      <c r="E2991" t="s">
        <v>26106</v>
      </c>
      <c r="F2991" t="s">
        <v>26107</v>
      </c>
      <c r="G2991" t="s">
        <v>10308</v>
      </c>
      <c r="H2991" t="s">
        <v>10317</v>
      </c>
      <c r="I2991" t="s">
        <v>177</v>
      </c>
      <c r="J2991" t="s">
        <v>22</v>
      </c>
      <c r="K2991" t="s">
        <v>26108</v>
      </c>
      <c r="L2991" t="s">
        <v>26111</v>
      </c>
      <c r="M2991" t="s">
        <v>25</v>
      </c>
      <c r="N2991" t="s">
        <v>26112</v>
      </c>
      <c r="O2991" t="s">
        <v>25</v>
      </c>
      <c r="P2991" t="s">
        <v>26113</v>
      </c>
      <c r="Q2991" t="s">
        <v>29</v>
      </c>
      <c r="R2991" t="s">
        <v>26109</v>
      </c>
      <c r="S2991" t="s">
        <v>26110</v>
      </c>
    </row>
    <row r="2992" spans="1:19" x14ac:dyDescent="0.25">
      <c r="A2992" s="1">
        <v>2990</v>
      </c>
      <c r="B2992" t="str">
        <f>HYPERLINK("https://www.dasschnelle.at/pachinger-transporte-freistadt-eichenstraße","Website")</f>
        <v>Website</v>
      </c>
      <c r="C2992" t="str">
        <f>HYPERLINK("http://www.transporte-pachinger.at","Website")</f>
        <v>Website</v>
      </c>
      <c r="D2992" t="str">
        <f>HYPERLINK("http://www.google.com/maps/place/48.5153900,14.4906900","Location")</f>
        <v>Location</v>
      </c>
      <c r="E2992" t="s">
        <v>26114</v>
      </c>
      <c r="F2992" t="s">
        <v>26115</v>
      </c>
      <c r="G2992" t="s">
        <v>6891</v>
      </c>
      <c r="H2992" t="s">
        <v>6892</v>
      </c>
      <c r="I2992" t="s">
        <v>85</v>
      </c>
      <c r="J2992" t="s">
        <v>22</v>
      </c>
      <c r="K2992" t="s">
        <v>26116</v>
      </c>
      <c r="L2992" t="s">
        <v>26119</v>
      </c>
      <c r="M2992" t="s">
        <v>25</v>
      </c>
      <c r="N2992" t="s">
        <v>26120</v>
      </c>
      <c r="O2992" t="s">
        <v>26121</v>
      </c>
      <c r="P2992" t="s">
        <v>26122</v>
      </c>
      <c r="Q2992" t="s">
        <v>29</v>
      </c>
      <c r="R2992" t="s">
        <v>26117</v>
      </c>
      <c r="S2992" t="s">
        <v>26118</v>
      </c>
    </row>
    <row r="2993" spans="1:19" x14ac:dyDescent="0.25">
      <c r="A2993" s="1">
        <v>2991</v>
      </c>
      <c r="B2993" t="str">
        <f>HYPERLINK("https://www.dasschnelle.at/freismuth-oliver-rudersdorf-hintergasse","Website")</f>
        <v>Website</v>
      </c>
      <c r="C2993" t="str">
        <f>HYPERLINK("http://www.freismuth.at","Website")</f>
        <v>Website</v>
      </c>
      <c r="D2993" t="str">
        <f>HYPERLINK("http://www.google.com/maps/place/47.05059,16.12156","Location")</f>
        <v>Location</v>
      </c>
      <c r="E2993" t="s">
        <v>26123</v>
      </c>
      <c r="F2993" t="s">
        <v>26124</v>
      </c>
      <c r="G2993" t="s">
        <v>25101</v>
      </c>
      <c r="H2993" t="s">
        <v>25102</v>
      </c>
      <c r="I2993" t="s">
        <v>1834</v>
      </c>
      <c r="J2993" t="s">
        <v>22</v>
      </c>
      <c r="K2993" t="s">
        <v>26125</v>
      </c>
      <c r="L2993" t="s">
        <v>26128</v>
      </c>
      <c r="M2993" t="s">
        <v>25</v>
      </c>
      <c r="N2993" t="s">
        <v>26129</v>
      </c>
      <c r="O2993" t="s">
        <v>26130</v>
      </c>
      <c r="P2993" t="s">
        <v>26131</v>
      </c>
      <c r="Q2993" t="s">
        <v>29</v>
      </c>
      <c r="R2993" t="s">
        <v>26126</v>
      </c>
      <c r="S2993" t="s">
        <v>26127</v>
      </c>
    </row>
    <row r="2994" spans="1:19" x14ac:dyDescent="0.25">
      <c r="A2994" s="1">
        <v>2992</v>
      </c>
      <c r="B2994" t="str">
        <f>HYPERLINK("https://www.dasschnelle.at/zum-edi-e-u-gutau-sankt-oswalderstraße","Website")</f>
        <v>Website</v>
      </c>
      <c r="C2994" t="str">
        <f>HYPERLINK("http://www.zum-edi.eu","Website")</f>
        <v>Website</v>
      </c>
      <c r="D2994" t="str">
        <f>HYPERLINK("http://www.google.com/maps/place/48.41958,14.61416","Location")</f>
        <v>Location</v>
      </c>
      <c r="E2994" t="s">
        <v>26132</v>
      </c>
      <c r="F2994" t="s">
        <v>26133</v>
      </c>
      <c r="G2994" t="s">
        <v>9054</v>
      </c>
      <c r="H2994" t="s">
        <v>24329</v>
      </c>
      <c r="I2994" t="s">
        <v>85</v>
      </c>
      <c r="J2994" t="s">
        <v>22</v>
      </c>
      <c r="K2994" t="s">
        <v>26134</v>
      </c>
      <c r="L2994" t="s">
        <v>26137</v>
      </c>
      <c r="M2994" t="s">
        <v>25</v>
      </c>
      <c r="N2994" t="s">
        <v>26138</v>
      </c>
      <c r="O2994" t="s">
        <v>25</v>
      </c>
      <c r="P2994" t="s">
        <v>26139</v>
      </c>
      <c r="Q2994" t="s">
        <v>29</v>
      </c>
      <c r="R2994" t="s">
        <v>26135</v>
      </c>
      <c r="S2994" t="s">
        <v>26136</v>
      </c>
    </row>
    <row r="2995" spans="1:19" x14ac:dyDescent="0.25">
      <c r="A2995" s="1">
        <v>2993</v>
      </c>
      <c r="B2995" t="str">
        <f>HYPERLINK("https://www.dasschnelle.at/hs-malerei-harald-spörk-söchau-söchau","Website")</f>
        <v>Website</v>
      </c>
      <c r="C2995" t="str">
        <f>HYPERLINK("https://www.dasschnelle.at/hs-malerei-harald-sp%C3%B6rk-s%C3%B6chau-s%C3%B6chau","Website")</f>
        <v>Website</v>
      </c>
      <c r="D2995" t="str">
        <f>HYPERLINK("http://www.google.com/maps/place/47.0356000,16.0167300","Location")</f>
        <v>Location</v>
      </c>
      <c r="E2995" t="s">
        <v>26140</v>
      </c>
      <c r="F2995" t="s">
        <v>26141</v>
      </c>
      <c r="G2995" t="s">
        <v>26143</v>
      </c>
      <c r="H2995" t="s">
        <v>26144</v>
      </c>
      <c r="I2995" t="s">
        <v>451</v>
      </c>
      <c r="J2995" t="s">
        <v>22</v>
      </c>
      <c r="K2995" t="s">
        <v>26142</v>
      </c>
      <c r="L2995" t="s">
        <v>26147</v>
      </c>
      <c r="M2995" t="s">
        <v>25</v>
      </c>
      <c r="N2995" t="s">
        <v>26148</v>
      </c>
      <c r="O2995" t="s">
        <v>26149</v>
      </c>
      <c r="P2995" t="s">
        <v>26150</v>
      </c>
      <c r="Q2995" t="s">
        <v>29</v>
      </c>
      <c r="R2995" t="s">
        <v>26145</v>
      </c>
      <c r="S2995" t="s">
        <v>26146</v>
      </c>
    </row>
    <row r="2996" spans="1:19" x14ac:dyDescent="0.25">
      <c r="A2996" s="1">
        <v>2994</v>
      </c>
      <c r="B2996" t="str">
        <f>HYPERLINK("https://www.dasschnelle.at/rossmann-walter-spittal-oberdorfer-straße","Website")</f>
        <v>Website</v>
      </c>
      <c r="C2996" t="str">
        <f>HYPERLINK("http://www.der-maulwurf.at","Website")</f>
        <v>Website</v>
      </c>
      <c r="D2996" t="str">
        <f>HYPERLINK("http://www.google.com/maps/place/46.8053203,13.4841398","Location")</f>
        <v>Location</v>
      </c>
      <c r="E2996" t="s">
        <v>26151</v>
      </c>
      <c r="F2996" t="s">
        <v>26152</v>
      </c>
      <c r="G2996" t="s">
        <v>4160</v>
      </c>
      <c r="H2996" t="s">
        <v>4161</v>
      </c>
      <c r="I2996" t="s">
        <v>4130</v>
      </c>
      <c r="J2996" t="s">
        <v>22</v>
      </c>
      <c r="K2996" t="s">
        <v>26153</v>
      </c>
      <c r="L2996" t="s">
        <v>26156</v>
      </c>
      <c r="M2996" t="s">
        <v>25</v>
      </c>
      <c r="N2996" t="s">
        <v>26157</v>
      </c>
      <c r="O2996" t="s">
        <v>25</v>
      </c>
      <c r="P2996" t="s">
        <v>26158</v>
      </c>
      <c r="Q2996" t="s">
        <v>29</v>
      </c>
      <c r="R2996" t="s">
        <v>26154</v>
      </c>
      <c r="S2996" t="s">
        <v>26155</v>
      </c>
    </row>
    <row r="2997" spans="1:19" x14ac:dyDescent="0.25">
      <c r="A2997" s="1">
        <v>2995</v>
      </c>
      <c r="B2997" t="str">
        <f>HYPERLINK("https://www.dasschnelle.at/breneis-michael-mondsee-herzog-odilo-straße","Website")</f>
        <v>Website</v>
      </c>
      <c r="C2997" t="str">
        <f>HYPERLINK("http://www.kfz-breneis.at","Website")</f>
        <v>Website</v>
      </c>
      <c r="D2997" t="str">
        <f>HYPERLINK("http://www.google.com/maps/place/47.86599,13.33012","Location")</f>
        <v>Location</v>
      </c>
      <c r="E2997" t="s">
        <v>26159</v>
      </c>
      <c r="F2997" t="s">
        <v>26160</v>
      </c>
      <c r="G2997" t="s">
        <v>6543</v>
      </c>
      <c r="H2997" t="s">
        <v>6544</v>
      </c>
      <c r="I2997" t="s">
        <v>85</v>
      </c>
      <c r="J2997" t="s">
        <v>22</v>
      </c>
      <c r="K2997" t="s">
        <v>26161</v>
      </c>
      <c r="L2997" t="s">
        <v>26164</v>
      </c>
      <c r="M2997" t="s">
        <v>26165</v>
      </c>
      <c r="N2997" t="s">
        <v>26166</v>
      </c>
      <c r="O2997" t="s">
        <v>25</v>
      </c>
      <c r="P2997" t="s">
        <v>26167</v>
      </c>
      <c r="Q2997" t="s">
        <v>29</v>
      </c>
      <c r="R2997" t="s">
        <v>26162</v>
      </c>
      <c r="S2997" t="s">
        <v>26163</v>
      </c>
    </row>
    <row r="2998" spans="1:19" x14ac:dyDescent="0.25">
      <c r="A2998" s="1">
        <v>2996</v>
      </c>
      <c r="B2998" t="str">
        <f>HYPERLINK("https://www.dasschnelle.at/tauern-apotheke-mag-pharm-barbara-christen-kg-spittal-villacher-straße","Website")</f>
        <v>Website</v>
      </c>
      <c r="C2998" t="str">
        <f>HYPERLINK("http://www.tauern-apotheke.or.at","Website")</f>
        <v>Website</v>
      </c>
      <c r="D2998" t="str">
        <f>HYPERLINK("http://www.google.com/maps/place/46.7862295,13.5213695","Location")</f>
        <v>Location</v>
      </c>
      <c r="E2998" t="s">
        <v>26168</v>
      </c>
      <c r="F2998" t="s">
        <v>26169</v>
      </c>
      <c r="G2998" t="s">
        <v>4160</v>
      </c>
      <c r="H2998" t="s">
        <v>4161</v>
      </c>
      <c r="I2998" t="s">
        <v>4130</v>
      </c>
      <c r="J2998" t="s">
        <v>22</v>
      </c>
      <c r="K2998" t="s">
        <v>26170</v>
      </c>
      <c r="L2998" t="s">
        <v>26173</v>
      </c>
      <c r="M2998" t="s">
        <v>25</v>
      </c>
      <c r="N2998" t="s">
        <v>26174</v>
      </c>
      <c r="O2998" t="s">
        <v>25</v>
      </c>
      <c r="P2998" t="s">
        <v>26175</v>
      </c>
      <c r="Q2998" t="s">
        <v>29</v>
      </c>
      <c r="R2998" t="s">
        <v>26171</v>
      </c>
      <c r="S2998" t="s">
        <v>26172</v>
      </c>
    </row>
    <row r="2999" spans="1:19" x14ac:dyDescent="0.25">
      <c r="A2999" s="1">
        <v>2997</v>
      </c>
      <c r="B2999" t="str">
        <f>HYPERLINK("https://www.dasschnelle.at/hewig-ernst-dr-korneuburg-hauptplatz","Website")</f>
        <v>Website</v>
      </c>
      <c r="C2999" t="str">
        <f>HYPERLINK("http://www.korneuburg-rechtsanwalt.at","Website")</f>
        <v>Website</v>
      </c>
      <c r="D2999" t="str">
        <f>HYPERLINK("http://www.google.com/maps/place/48.3446603,16.3328972","Location")</f>
        <v>Location</v>
      </c>
      <c r="E2999" t="s">
        <v>26176</v>
      </c>
      <c r="F2999" t="s">
        <v>26177</v>
      </c>
      <c r="G2999" t="s">
        <v>440</v>
      </c>
      <c r="H2999" t="s">
        <v>441</v>
      </c>
      <c r="I2999" t="s">
        <v>177</v>
      </c>
      <c r="J2999" t="s">
        <v>22</v>
      </c>
      <c r="K2999" t="s">
        <v>26178</v>
      </c>
      <c r="L2999" t="s">
        <v>26181</v>
      </c>
      <c r="M2999" t="s">
        <v>25</v>
      </c>
      <c r="N2999" t="s">
        <v>26182</v>
      </c>
      <c r="O2999" t="s">
        <v>25</v>
      </c>
      <c r="P2999" t="s">
        <v>26183</v>
      </c>
      <c r="Q2999" t="s">
        <v>29</v>
      </c>
      <c r="R2999" t="s">
        <v>26179</v>
      </c>
      <c r="S2999" t="s">
        <v>26180</v>
      </c>
    </row>
    <row r="3000" spans="1:19" x14ac:dyDescent="0.25">
      <c r="A3000" s="1">
        <v>2998</v>
      </c>
      <c r="B3000" t="str">
        <f>HYPERLINK("https://www.dasschnelle.at/bestattung-zwölfer-liebenau-liebenau","Website")</f>
        <v>Website</v>
      </c>
      <c r="C3000" t="str">
        <f>HYPERLINK("https://www.dasschnelle.at/bestattung-zw%C3%B6lfer-liebenau-liebenau","Website")</f>
        <v>Website</v>
      </c>
      <c r="D3000" t="str">
        <f>HYPERLINK("http://www.google.com/maps/place/48.5322447,14.8096526","Location")</f>
        <v>Location</v>
      </c>
      <c r="E3000" t="s">
        <v>26184</v>
      </c>
      <c r="F3000" t="s">
        <v>26185</v>
      </c>
      <c r="G3000" t="s">
        <v>26187</v>
      </c>
      <c r="H3000" t="s">
        <v>26188</v>
      </c>
      <c r="I3000" t="s">
        <v>85</v>
      </c>
      <c r="J3000" t="s">
        <v>22</v>
      </c>
      <c r="K3000" t="s">
        <v>26186</v>
      </c>
      <c r="L3000" t="s">
        <v>26191</v>
      </c>
      <c r="M3000" t="s">
        <v>25</v>
      </c>
      <c r="N3000" t="s">
        <v>26192</v>
      </c>
      <c r="O3000" t="s">
        <v>25</v>
      </c>
      <c r="P3000" t="s">
        <v>26193</v>
      </c>
      <c r="Q3000" t="s">
        <v>29</v>
      </c>
      <c r="R3000" t="s">
        <v>26189</v>
      </c>
      <c r="S3000" t="s">
        <v>26190</v>
      </c>
    </row>
    <row r="3001" spans="1:19" x14ac:dyDescent="0.25">
      <c r="A3001" s="1">
        <v>2999</v>
      </c>
      <c r="B3001" t="str">
        <f>HYPERLINK("https://www.dasschnelle.at/rachbauer-gerlinde-dr-schärding-burggraben","Website")</f>
        <v>Website</v>
      </c>
      <c r="C3001" t="str">
        <f>HYPERLINK("http://www.ra-rachbauer.at","Website")</f>
        <v>Website</v>
      </c>
      <c r="D3001" t="str">
        <f>HYPERLINK("http://www.google.com/maps/place/48.45801,13.42899","Location")</f>
        <v>Location</v>
      </c>
      <c r="E3001" t="s">
        <v>26194</v>
      </c>
      <c r="F3001" t="s">
        <v>26195</v>
      </c>
      <c r="G3001" t="s">
        <v>8850</v>
      </c>
      <c r="H3001" t="s">
        <v>8851</v>
      </c>
      <c r="I3001" t="s">
        <v>85</v>
      </c>
      <c r="J3001" t="s">
        <v>22</v>
      </c>
      <c r="K3001" t="s">
        <v>26196</v>
      </c>
      <c r="L3001" t="s">
        <v>26199</v>
      </c>
      <c r="M3001" t="s">
        <v>25</v>
      </c>
      <c r="N3001" t="s">
        <v>26200</v>
      </c>
      <c r="O3001" t="s">
        <v>25</v>
      </c>
      <c r="P3001" t="s">
        <v>26201</v>
      </c>
      <c r="Q3001" t="s">
        <v>29</v>
      </c>
      <c r="R3001" t="s">
        <v>26197</v>
      </c>
      <c r="S3001" t="s">
        <v>26198</v>
      </c>
    </row>
    <row r="3002" spans="1:19" x14ac:dyDescent="0.25">
      <c r="A3002" s="1">
        <v>3000</v>
      </c>
      <c r="B3002" t="str">
        <f>HYPERLINK("https://www.dasschnelle.at/dachprofi-gmbh-fürstenfeld-flurstraße","Website")</f>
        <v>Website</v>
      </c>
      <c r="C3002" t="str">
        <f>HYPERLINK("http://www.dachprofi.co.at","Website")</f>
        <v>Website</v>
      </c>
      <c r="D3002" t="str">
        <f>HYPERLINK("http://www.google.com/maps/place/47.04065,16.10447","Location")</f>
        <v>Location</v>
      </c>
      <c r="E3002" t="s">
        <v>26202</v>
      </c>
      <c r="F3002" t="s">
        <v>26203</v>
      </c>
      <c r="G3002" t="s">
        <v>24441</v>
      </c>
      <c r="H3002" t="s">
        <v>24442</v>
      </c>
      <c r="I3002" t="s">
        <v>451</v>
      </c>
      <c r="J3002" t="s">
        <v>22</v>
      </c>
      <c r="K3002" t="s">
        <v>26204</v>
      </c>
      <c r="L3002" t="s">
        <v>26207</v>
      </c>
      <c r="M3002" t="s">
        <v>25</v>
      </c>
      <c r="N3002" t="s">
        <v>26208</v>
      </c>
      <c r="O3002" t="s">
        <v>26209</v>
      </c>
      <c r="P3002" t="s">
        <v>26210</v>
      </c>
      <c r="Q3002" t="s">
        <v>29</v>
      </c>
      <c r="R3002" t="s">
        <v>26205</v>
      </c>
      <c r="S3002" t="s">
        <v>26206</v>
      </c>
    </row>
    <row r="3003" spans="1:19" x14ac:dyDescent="0.25">
      <c r="A3003" s="1">
        <v>3001</v>
      </c>
      <c r="B3003" t="str">
        <f>HYPERLINK("https://www.dasschnelle.at/dallinger-bernhard-dr-schärding-am-weberspitz","Website")</f>
        <v>Website</v>
      </c>
      <c r="C3003" t="str">
        <f>HYPERLINK("http://www.urologie-dallinger.at","Website")</f>
        <v>Website</v>
      </c>
      <c r="D3003" t="str">
        <f>HYPERLINK("http://www.google.com/maps/place/48.44456,13.44599","Location")</f>
        <v>Location</v>
      </c>
      <c r="E3003" t="s">
        <v>26211</v>
      </c>
      <c r="F3003" t="s">
        <v>26212</v>
      </c>
      <c r="G3003" t="s">
        <v>8850</v>
      </c>
      <c r="H3003" t="s">
        <v>8851</v>
      </c>
      <c r="I3003" t="s">
        <v>85</v>
      </c>
      <c r="J3003" t="s">
        <v>22</v>
      </c>
      <c r="K3003" t="s">
        <v>26213</v>
      </c>
      <c r="L3003" t="s">
        <v>26216</v>
      </c>
      <c r="M3003" t="s">
        <v>25</v>
      </c>
      <c r="N3003" t="s">
        <v>25</v>
      </c>
      <c r="O3003" t="s">
        <v>25</v>
      </c>
      <c r="P3003" t="s">
        <v>26217</v>
      </c>
      <c r="Q3003" t="s">
        <v>29</v>
      </c>
      <c r="R3003" t="s">
        <v>26214</v>
      </c>
      <c r="S3003" t="s">
        <v>26215</v>
      </c>
    </row>
    <row r="3004" spans="1:19" x14ac:dyDescent="0.25">
      <c r="A3004" s="1">
        <v>3002</v>
      </c>
      <c r="B3004" t="str">
        <f>HYPERLINK("https://www.dasschnelle.at/fischbacher-michael-flachau-flachauer-straße","Website")</f>
        <v>Website</v>
      </c>
      <c r="C3004" t="str">
        <f>HYPERLINK("http://www.fm-fliesen.at","Website")</f>
        <v>Website</v>
      </c>
      <c r="D3004" t="str">
        <f>HYPERLINK("http://www.google.com/maps/place/47.35718,13.39019","Location")</f>
        <v>Location</v>
      </c>
      <c r="E3004" t="s">
        <v>26218</v>
      </c>
      <c r="F3004" t="s">
        <v>26219</v>
      </c>
      <c r="G3004" t="s">
        <v>5896</v>
      </c>
      <c r="H3004" t="s">
        <v>25059</v>
      </c>
      <c r="I3004" t="s">
        <v>2239</v>
      </c>
      <c r="J3004" t="s">
        <v>22</v>
      </c>
      <c r="K3004" t="s">
        <v>26220</v>
      </c>
      <c r="L3004" t="s">
        <v>26223</v>
      </c>
      <c r="M3004" t="s">
        <v>25</v>
      </c>
      <c r="N3004" t="s">
        <v>26224</v>
      </c>
      <c r="O3004" t="s">
        <v>25</v>
      </c>
      <c r="P3004" t="s">
        <v>26225</v>
      </c>
      <c r="Q3004" t="s">
        <v>29</v>
      </c>
      <c r="R3004" t="s">
        <v>26221</v>
      </c>
      <c r="S3004" t="s">
        <v>26222</v>
      </c>
    </row>
    <row r="3005" spans="1:19" x14ac:dyDescent="0.25">
      <c r="A3005" s="1">
        <v>3003</v>
      </c>
      <c r="B3005" t="str">
        <f>HYPERLINK("https://www.dasschnelle.at/leopold-lunzer-gesmbh-waidhofen-thaya-öamtcstraße","Website")</f>
        <v>Website</v>
      </c>
      <c r="C3005" t="str">
        <f>HYPERLINK("http://www.glas-lunzer.at","Website")</f>
        <v>Website</v>
      </c>
      <c r="D3005" t="str">
        <f>HYPERLINK("http://www.google.com/maps/place/48.80755,15.30227","Location")</f>
        <v>Location</v>
      </c>
      <c r="E3005" t="s">
        <v>26226</v>
      </c>
      <c r="F3005" t="s">
        <v>26227</v>
      </c>
      <c r="G3005" t="s">
        <v>10987</v>
      </c>
      <c r="H3005" t="s">
        <v>24762</v>
      </c>
      <c r="I3005" t="s">
        <v>177</v>
      </c>
      <c r="J3005" t="s">
        <v>22</v>
      </c>
      <c r="K3005" t="s">
        <v>26228</v>
      </c>
      <c r="L3005" t="s">
        <v>26231</v>
      </c>
      <c r="M3005" t="s">
        <v>25</v>
      </c>
      <c r="N3005" t="s">
        <v>12672</v>
      </c>
      <c r="O3005" t="s">
        <v>26232</v>
      </c>
      <c r="P3005" t="s">
        <v>26233</v>
      </c>
      <c r="Q3005" t="s">
        <v>29</v>
      </c>
      <c r="R3005" t="s">
        <v>26229</v>
      </c>
      <c r="S3005" t="s">
        <v>26230</v>
      </c>
    </row>
    <row r="3006" spans="1:19" x14ac:dyDescent="0.25">
      <c r="A3006" s="1">
        <v>3004</v>
      </c>
      <c r="B3006" t="str">
        <f>HYPERLINK("https://www.dasschnelle.at/glas-lunzer-waidhofen-thaya-öamtcstraße","Website")</f>
        <v>Website</v>
      </c>
      <c r="C3006" t="str">
        <f>HYPERLINK("http://www.glas-lunzer.at","Website")</f>
        <v>Website</v>
      </c>
      <c r="D3006" t="str">
        <f>HYPERLINK("http://www.google.com/maps/place/48.80755,15.30227","Location")</f>
        <v>Location</v>
      </c>
      <c r="E3006" t="s">
        <v>26234</v>
      </c>
      <c r="F3006" t="s">
        <v>26235</v>
      </c>
      <c r="G3006" t="s">
        <v>10987</v>
      </c>
      <c r="H3006" t="s">
        <v>24762</v>
      </c>
      <c r="I3006" t="s">
        <v>177</v>
      </c>
      <c r="J3006" t="s">
        <v>22</v>
      </c>
      <c r="K3006" t="s">
        <v>26228</v>
      </c>
      <c r="L3006" t="s">
        <v>26231</v>
      </c>
      <c r="M3006" t="s">
        <v>25</v>
      </c>
      <c r="N3006" t="s">
        <v>12672</v>
      </c>
      <c r="O3006" t="s">
        <v>26236</v>
      </c>
      <c r="P3006" t="s">
        <v>26237</v>
      </c>
      <c r="Q3006" t="s">
        <v>29</v>
      </c>
      <c r="R3006" t="s">
        <v>26229</v>
      </c>
      <c r="S3006" t="s">
        <v>26230</v>
      </c>
    </row>
    <row r="3007" spans="1:19" x14ac:dyDescent="0.25">
      <c r="A3007" s="1">
        <v>3005</v>
      </c>
      <c r="B3007" t="str">
        <f>HYPERLINK("https://www.dasschnelle.at/grünwald-innenausbau-oeg-eben-im-pongau-schattbach","Website")</f>
        <v>Website</v>
      </c>
      <c r="C3007" t="str">
        <f>HYPERLINK("https://www.dasschnelle.at/gr%C3%BCnwald-innenausbau-oeg-eben-im-pongau-schattbach","Website")</f>
        <v>Website</v>
      </c>
      <c r="D3007" t="str">
        <f>HYPERLINK("http://www.google.com/maps/place/47.4281047,13.4291295","Location")</f>
        <v>Location</v>
      </c>
      <c r="E3007" t="s">
        <v>26238</v>
      </c>
      <c r="F3007" t="s">
        <v>26239</v>
      </c>
      <c r="G3007" t="s">
        <v>26241</v>
      </c>
      <c r="H3007" t="s">
        <v>26242</v>
      </c>
      <c r="I3007" t="s">
        <v>2239</v>
      </c>
      <c r="J3007" t="s">
        <v>22</v>
      </c>
      <c r="K3007" t="s">
        <v>26240</v>
      </c>
      <c r="L3007" t="s">
        <v>26245</v>
      </c>
      <c r="M3007" t="s">
        <v>25</v>
      </c>
      <c r="N3007" t="s">
        <v>26246</v>
      </c>
      <c r="O3007" t="s">
        <v>25</v>
      </c>
      <c r="P3007" t="s">
        <v>26247</v>
      </c>
      <c r="Q3007" t="s">
        <v>29</v>
      </c>
      <c r="R3007" t="s">
        <v>26243</v>
      </c>
      <c r="S3007" t="s">
        <v>26244</v>
      </c>
    </row>
    <row r="3008" spans="1:19" x14ac:dyDescent="0.25">
      <c r="A3008" s="1">
        <v>3006</v>
      </c>
      <c r="B3008" t="str">
        <f>HYPERLINK("https://www.dasschnelle.at/hatzl-dagmar-feldkirchen-untere-tiebelgasse","Website")</f>
        <v>Website</v>
      </c>
      <c r="C3008" t="str">
        <f>HYPERLINK("https://www.dasschnelle.at/hatzl-dagmar-feldkirchen-untere-tiebelgasse","Website")</f>
        <v>Website</v>
      </c>
      <c r="D3008" t="str">
        <f>HYPERLINK("http://www.google.com/maps/place/46.7242318,14.0958834","Location")</f>
        <v>Location</v>
      </c>
      <c r="E3008" t="s">
        <v>26248</v>
      </c>
      <c r="F3008" t="s">
        <v>26249</v>
      </c>
      <c r="G3008" t="s">
        <v>8498</v>
      </c>
      <c r="H3008" t="s">
        <v>8530</v>
      </c>
      <c r="I3008" t="s">
        <v>4130</v>
      </c>
      <c r="J3008" t="s">
        <v>22</v>
      </c>
      <c r="K3008" t="s">
        <v>26250</v>
      </c>
      <c r="L3008" t="s">
        <v>26253</v>
      </c>
      <c r="M3008" t="s">
        <v>25</v>
      </c>
      <c r="N3008" t="s">
        <v>26254</v>
      </c>
      <c r="O3008" t="s">
        <v>25</v>
      </c>
      <c r="P3008" t="s">
        <v>697</v>
      </c>
      <c r="Q3008" t="s">
        <v>29</v>
      </c>
      <c r="R3008" t="s">
        <v>26251</v>
      </c>
      <c r="S3008" t="s">
        <v>26252</v>
      </c>
    </row>
    <row r="3009" spans="1:19" x14ac:dyDescent="0.25">
      <c r="A3009" s="1">
        <v>3007</v>
      </c>
      <c r="B3009" t="str">
        <f>HYPERLINK("https://www.dasschnelle.at/gesundheitshaus-schardenberg-schardenberg-ernst-degn-weg","Website")</f>
        <v>Website</v>
      </c>
      <c r="C3009" t="str">
        <f>HYPERLINK("http://www.gesundheitshaus-schardenberg.at","Website")</f>
        <v>Website</v>
      </c>
      <c r="D3009" t="str">
        <f>HYPERLINK("http://www.google.com/maps/place/48.5180600,13.4978400","Location")</f>
        <v>Location</v>
      </c>
      <c r="E3009" t="s">
        <v>26255</v>
      </c>
      <c r="F3009" t="s">
        <v>26256</v>
      </c>
      <c r="G3009" t="s">
        <v>10951</v>
      </c>
      <c r="H3009" t="s">
        <v>10952</v>
      </c>
      <c r="I3009" t="s">
        <v>85</v>
      </c>
      <c r="J3009" t="s">
        <v>22</v>
      </c>
      <c r="K3009" t="s">
        <v>26257</v>
      </c>
      <c r="L3009" t="s">
        <v>26260</v>
      </c>
      <c r="M3009" t="s">
        <v>25</v>
      </c>
      <c r="N3009" t="s">
        <v>26261</v>
      </c>
      <c r="O3009" t="s">
        <v>25</v>
      </c>
      <c r="P3009" t="s">
        <v>26262</v>
      </c>
      <c r="Q3009" t="s">
        <v>29</v>
      </c>
      <c r="R3009" t="s">
        <v>26258</v>
      </c>
      <c r="S3009" t="s">
        <v>26259</v>
      </c>
    </row>
    <row r="3010" spans="1:19" x14ac:dyDescent="0.25">
      <c r="A3010" s="1">
        <v>3008</v>
      </c>
      <c r="B3010" t="str">
        <f>HYPERLINK("https://www.dasschnelle.at/die-brille-optik-pießnegger-weitra-rathausplatz","Website")</f>
        <v>Website</v>
      </c>
      <c r="C3010" t="str">
        <f>HYPERLINK("http://www.diebrille.info","Website")</f>
        <v>Website</v>
      </c>
      <c r="D3010" t="str">
        <f>HYPERLINK("http://www.google.com/maps/place/48.60539,15.16581","Location")</f>
        <v>Location</v>
      </c>
      <c r="E3010" t="s">
        <v>26263</v>
      </c>
      <c r="F3010" t="s">
        <v>26264</v>
      </c>
      <c r="G3010" t="s">
        <v>11931</v>
      </c>
      <c r="H3010" t="s">
        <v>11932</v>
      </c>
      <c r="I3010" t="s">
        <v>177</v>
      </c>
      <c r="J3010" t="s">
        <v>22</v>
      </c>
      <c r="K3010" t="s">
        <v>26265</v>
      </c>
      <c r="L3010" t="s">
        <v>26268</v>
      </c>
      <c r="M3010" t="s">
        <v>25</v>
      </c>
      <c r="N3010" t="s">
        <v>26269</v>
      </c>
      <c r="O3010" t="s">
        <v>25</v>
      </c>
      <c r="P3010" t="s">
        <v>26270</v>
      </c>
      <c r="Q3010" t="s">
        <v>29</v>
      </c>
      <c r="R3010" t="s">
        <v>26266</v>
      </c>
      <c r="S3010" t="s">
        <v>26267</v>
      </c>
    </row>
    <row r="3011" spans="1:19" x14ac:dyDescent="0.25">
      <c r="A3011" s="1">
        <v>3009</v>
      </c>
      <c r="B3011" t="str">
        <f>HYPERLINK("https://www.dasschnelle.at/schlosser-gmbh-raab-hauptstraße","Website")</f>
        <v>Website</v>
      </c>
      <c r="C3011" t="str">
        <f>HYPERLINK("http://www.autoschlosser.at","Website")</f>
        <v>Website</v>
      </c>
      <c r="D3011" t="str">
        <f>HYPERLINK("http://www.google.com/maps/place/48.35293,13.63808","Location")</f>
        <v>Location</v>
      </c>
      <c r="E3011" t="s">
        <v>26271</v>
      </c>
      <c r="F3011" t="s">
        <v>26272</v>
      </c>
      <c r="G3011" t="s">
        <v>8869</v>
      </c>
      <c r="H3011" t="s">
        <v>8870</v>
      </c>
      <c r="I3011" t="s">
        <v>85</v>
      </c>
      <c r="J3011" t="s">
        <v>22</v>
      </c>
      <c r="K3011" t="s">
        <v>6341</v>
      </c>
      <c r="L3011" t="s">
        <v>26275</v>
      </c>
      <c r="M3011" t="s">
        <v>26276</v>
      </c>
      <c r="N3011" t="s">
        <v>26277</v>
      </c>
      <c r="O3011" t="s">
        <v>25</v>
      </c>
      <c r="P3011" t="s">
        <v>26278</v>
      </c>
      <c r="Q3011" t="s">
        <v>29</v>
      </c>
      <c r="R3011" t="s">
        <v>26273</v>
      </c>
      <c r="S3011" t="s">
        <v>26274</v>
      </c>
    </row>
    <row r="3012" spans="1:19" x14ac:dyDescent="0.25">
      <c r="A3012" s="1">
        <v>3010</v>
      </c>
      <c r="B3012" t="str">
        <f>HYPERLINK("https://www.dasschnelle.at/barmherzige-brüder-kritzendorf-hauptstraße","Website")</f>
        <v>Website</v>
      </c>
      <c r="C3012" t="str">
        <f>HYPERLINK("http://www.bbkritz.at","Website")</f>
        <v>Website</v>
      </c>
      <c r="D3012" t="str">
        <f>HYPERLINK("http://www.google.com/maps/place/48.3119123,16.3219857","Location")</f>
        <v>Location</v>
      </c>
      <c r="E3012" t="s">
        <v>26279</v>
      </c>
      <c r="F3012" t="s">
        <v>26280</v>
      </c>
      <c r="G3012" t="s">
        <v>26282</v>
      </c>
      <c r="H3012" t="s">
        <v>26283</v>
      </c>
      <c r="I3012" t="s">
        <v>177</v>
      </c>
      <c r="J3012" t="s">
        <v>22</v>
      </c>
      <c r="K3012" t="s">
        <v>26281</v>
      </c>
      <c r="L3012" t="s">
        <v>26286</v>
      </c>
      <c r="M3012" t="s">
        <v>25</v>
      </c>
      <c r="N3012" t="s">
        <v>26287</v>
      </c>
      <c r="O3012" t="s">
        <v>25</v>
      </c>
      <c r="P3012" t="s">
        <v>26288</v>
      </c>
      <c r="Q3012" t="s">
        <v>29</v>
      </c>
      <c r="R3012" t="s">
        <v>26284</v>
      </c>
      <c r="S3012" t="s">
        <v>26285</v>
      </c>
    </row>
    <row r="3013" spans="1:19" x14ac:dyDescent="0.25">
      <c r="A3013" s="1">
        <v>3011</v>
      </c>
      <c r="B3013" t="str">
        <f>HYPERLINK("https://www.dasschnelle.at/bichl-und-etzl-gesmbh-raab-brünning","Website")</f>
        <v>Website</v>
      </c>
      <c r="C3013" t="str">
        <f>HYPERLINK("https://www.dasschnelle.at/bichl-und-etzl-gesmbh-raab-br%C3%BCnning","Website")</f>
        <v>Website</v>
      </c>
      <c r="D3013" t="str">
        <f>HYPERLINK("http://www.google.com/maps/place/48.3505307,13.6357293","Location")</f>
        <v>Location</v>
      </c>
      <c r="E3013" t="s">
        <v>26289</v>
      </c>
      <c r="F3013" t="s">
        <v>26290</v>
      </c>
      <c r="G3013" t="s">
        <v>8869</v>
      </c>
      <c r="H3013" t="s">
        <v>8870</v>
      </c>
      <c r="I3013" t="s">
        <v>85</v>
      </c>
      <c r="J3013" t="s">
        <v>22</v>
      </c>
      <c r="K3013" t="s">
        <v>26291</v>
      </c>
      <c r="L3013" t="s">
        <v>26294</v>
      </c>
      <c r="M3013" t="s">
        <v>25</v>
      </c>
      <c r="N3013" t="s">
        <v>26295</v>
      </c>
      <c r="O3013" t="s">
        <v>25</v>
      </c>
      <c r="P3013" t="s">
        <v>26296</v>
      </c>
      <c r="Q3013" t="s">
        <v>29</v>
      </c>
      <c r="R3013" t="s">
        <v>26292</v>
      </c>
      <c r="S3013" t="s">
        <v>26293</v>
      </c>
    </row>
    <row r="3014" spans="1:19" x14ac:dyDescent="0.25">
      <c r="A3014" s="1">
        <v>3012</v>
      </c>
      <c r="B3014" t="str">
        <f>HYPERLINK("https://www.dasschnelle.at/blumen-mayer-katharina-andorf-hauptstraße","Website")</f>
        <v>Website</v>
      </c>
      <c r="C3014" t="str">
        <f>HYPERLINK("http://www.blumenmayer.at","Website")</f>
        <v>Website</v>
      </c>
      <c r="D3014" t="str">
        <f>HYPERLINK("http://www.google.com/maps/place/48.36957,13.5702","Location")</f>
        <v>Location</v>
      </c>
      <c r="E3014" t="s">
        <v>26297</v>
      </c>
      <c r="F3014" t="s">
        <v>26298</v>
      </c>
      <c r="G3014" t="s">
        <v>26299</v>
      </c>
      <c r="H3014" t="s">
        <v>26300</v>
      </c>
      <c r="I3014" t="s">
        <v>85</v>
      </c>
      <c r="J3014" t="s">
        <v>22</v>
      </c>
      <c r="K3014" t="s">
        <v>9668</v>
      </c>
      <c r="L3014" t="s">
        <v>26303</v>
      </c>
      <c r="M3014" t="s">
        <v>25</v>
      </c>
      <c r="N3014" t="s">
        <v>26304</v>
      </c>
      <c r="O3014" t="s">
        <v>25</v>
      </c>
      <c r="P3014" t="s">
        <v>26305</v>
      </c>
      <c r="Q3014" t="s">
        <v>29</v>
      </c>
      <c r="R3014" t="s">
        <v>26301</v>
      </c>
      <c r="S3014" t="s">
        <v>26302</v>
      </c>
    </row>
    <row r="3015" spans="1:19" x14ac:dyDescent="0.25">
      <c r="A3015" s="1">
        <v>3013</v>
      </c>
      <c r="B3015" t="str">
        <f>HYPERLINK("https://www.dasschnelle.at/karlinger-elektro-schwertberg-winden","Website")</f>
        <v>Website</v>
      </c>
      <c r="C3015" t="str">
        <f>HYPERLINK("http://www.elektro-karlinger.at","Website")</f>
        <v>Website</v>
      </c>
      <c r="D3015" t="str">
        <f>HYPERLINK("http://www.google.com/maps/place/48.2853200,14.5927500","Location")</f>
        <v>Location</v>
      </c>
      <c r="E3015" t="s">
        <v>26306</v>
      </c>
      <c r="F3015" t="s">
        <v>26307</v>
      </c>
      <c r="G3015" t="s">
        <v>6415</v>
      </c>
      <c r="H3015" t="s">
        <v>6416</v>
      </c>
      <c r="I3015" t="s">
        <v>85</v>
      </c>
      <c r="J3015" t="s">
        <v>22</v>
      </c>
      <c r="K3015" t="s">
        <v>26308</v>
      </c>
      <c r="L3015" t="s">
        <v>26311</v>
      </c>
      <c r="M3015" t="s">
        <v>25</v>
      </c>
      <c r="N3015" t="s">
        <v>26312</v>
      </c>
      <c r="O3015" t="s">
        <v>25</v>
      </c>
      <c r="P3015" t="s">
        <v>26313</v>
      </c>
      <c r="Q3015" t="s">
        <v>29</v>
      </c>
      <c r="R3015" t="s">
        <v>26309</v>
      </c>
      <c r="S3015" t="s">
        <v>26310</v>
      </c>
    </row>
    <row r="3016" spans="1:19" x14ac:dyDescent="0.25">
      <c r="A3016" s="1">
        <v>3014</v>
      </c>
      <c r="B3016" t="str">
        <f>HYPERLINK("https://www.dasschnelle.at/steinmetz-meindl-gmbh-mondsee-herzog-odilo-straße","Website")</f>
        <v>Website</v>
      </c>
      <c r="C3016" t="str">
        <f>HYPERLINK("http://www.steinmetz-meindl.at","Website")</f>
        <v>Website</v>
      </c>
      <c r="D3016" t="str">
        <f>HYPERLINK("http://www.google.com/maps/place/47.86031,13.34416","Location")</f>
        <v>Location</v>
      </c>
      <c r="E3016" t="s">
        <v>26314</v>
      </c>
      <c r="F3016" t="s">
        <v>26315</v>
      </c>
      <c r="G3016" t="s">
        <v>6543</v>
      </c>
      <c r="H3016" t="s">
        <v>6544</v>
      </c>
      <c r="I3016" t="s">
        <v>85</v>
      </c>
      <c r="J3016" t="s">
        <v>22</v>
      </c>
      <c r="K3016" t="s">
        <v>26316</v>
      </c>
      <c r="L3016" t="s">
        <v>26319</v>
      </c>
      <c r="M3016" t="s">
        <v>25</v>
      </c>
      <c r="N3016" t="s">
        <v>26320</v>
      </c>
      <c r="O3016" t="s">
        <v>26321</v>
      </c>
      <c r="P3016" t="s">
        <v>26322</v>
      </c>
      <c r="Q3016" t="s">
        <v>29</v>
      </c>
      <c r="R3016" t="s">
        <v>26317</v>
      </c>
      <c r="S3016" t="s">
        <v>26318</v>
      </c>
    </row>
    <row r="3017" spans="1:19" x14ac:dyDescent="0.25">
      <c r="A3017" s="1">
        <v>3015</v>
      </c>
      <c r="B3017" t="str">
        <f>HYPERLINK("https://www.dasschnelle.at/rachbauer-sabine-seewalchen-am-attersee-flurweg","Website")</f>
        <v>Website</v>
      </c>
      <c r="C3017" t="str">
        <f>HYPERLINK("http://www.rachbauer.org","Website")</f>
        <v>Website</v>
      </c>
      <c r="D3017" t="str">
        <f>HYPERLINK("http://www.google.com/maps/place/47.96741,13.59002","Location")</f>
        <v>Location</v>
      </c>
      <c r="E3017" t="s">
        <v>26323</v>
      </c>
      <c r="F3017" t="s">
        <v>26324</v>
      </c>
      <c r="G3017" t="s">
        <v>3785</v>
      </c>
      <c r="H3017" t="s">
        <v>3786</v>
      </c>
      <c r="I3017" t="s">
        <v>85</v>
      </c>
      <c r="J3017" t="s">
        <v>22</v>
      </c>
      <c r="K3017" t="s">
        <v>26325</v>
      </c>
      <c r="L3017" t="s">
        <v>26328</v>
      </c>
      <c r="M3017" t="s">
        <v>25</v>
      </c>
      <c r="N3017" t="s">
        <v>26329</v>
      </c>
      <c r="O3017" t="s">
        <v>25</v>
      </c>
      <c r="P3017" t="s">
        <v>26330</v>
      </c>
      <c r="Q3017" t="s">
        <v>29</v>
      </c>
      <c r="R3017" t="s">
        <v>26326</v>
      </c>
      <c r="S3017" t="s">
        <v>26327</v>
      </c>
    </row>
    <row r="3018" spans="1:19" x14ac:dyDescent="0.25">
      <c r="A3018" s="1">
        <v>3016</v>
      </c>
      <c r="B3018" t="str">
        <f>HYPERLINK("https://www.dasschnelle.at/tischlerei-weika-gmbh-flachau-ransburggasse","Website")</f>
        <v>Website</v>
      </c>
      <c r="C3018" t="str">
        <f>HYPERLINK("http://www.tischlerei-weika.at","Website")</f>
        <v>Website</v>
      </c>
      <c r="D3018" t="str">
        <f>HYPERLINK("http://www.google.com/maps/place/47.37672,13.39312","Location")</f>
        <v>Location</v>
      </c>
      <c r="E3018" t="s">
        <v>26331</v>
      </c>
      <c r="F3018" t="s">
        <v>26332</v>
      </c>
      <c r="G3018" t="s">
        <v>5896</v>
      </c>
      <c r="H3018" t="s">
        <v>25059</v>
      </c>
      <c r="I3018" t="s">
        <v>2239</v>
      </c>
      <c r="J3018" t="s">
        <v>22</v>
      </c>
      <c r="K3018" t="s">
        <v>26333</v>
      </c>
      <c r="L3018" t="s">
        <v>26336</v>
      </c>
      <c r="M3018" t="s">
        <v>25</v>
      </c>
      <c r="N3018" t="s">
        <v>26337</v>
      </c>
      <c r="O3018" t="s">
        <v>25</v>
      </c>
      <c r="P3018" t="s">
        <v>26338</v>
      </c>
      <c r="Q3018" t="s">
        <v>29</v>
      </c>
      <c r="R3018" t="s">
        <v>26334</v>
      </c>
      <c r="S3018" t="s">
        <v>26335</v>
      </c>
    </row>
    <row r="3019" spans="1:19" x14ac:dyDescent="0.25">
      <c r="A3019" s="1">
        <v>3017</v>
      </c>
      <c r="B3019" t="str">
        <f>HYPERLINK("https://www.dasschnelle.at/gschwandtl-auto-kg-großarl-bretteneben","Website")</f>
        <v>Website</v>
      </c>
      <c r="C3019" t="str">
        <f>HYPERLINK("http://www.auto-gschwandtl.at","Website")</f>
        <v>Website</v>
      </c>
      <c r="D3019" t="str">
        <f>HYPERLINK("http://www.google.com/maps/place/47.25647,13.19725","Location")</f>
        <v>Location</v>
      </c>
      <c r="E3019" t="s">
        <v>26339</v>
      </c>
      <c r="F3019" t="s">
        <v>26340</v>
      </c>
      <c r="G3019" t="s">
        <v>25267</v>
      </c>
      <c r="H3019" t="s">
        <v>25268</v>
      </c>
      <c r="I3019" t="s">
        <v>2239</v>
      </c>
      <c r="J3019" t="s">
        <v>22</v>
      </c>
      <c r="K3019" t="s">
        <v>26341</v>
      </c>
      <c r="L3019" t="s">
        <v>26344</v>
      </c>
      <c r="M3019" t="s">
        <v>25</v>
      </c>
      <c r="N3019" t="s">
        <v>26345</v>
      </c>
      <c r="O3019" t="s">
        <v>25</v>
      </c>
      <c r="P3019" t="s">
        <v>26346</v>
      </c>
      <c r="Q3019" t="s">
        <v>29</v>
      </c>
      <c r="R3019" t="s">
        <v>26342</v>
      </c>
      <c r="S3019" t="s">
        <v>26343</v>
      </c>
    </row>
    <row r="3020" spans="1:19" x14ac:dyDescent="0.25">
      <c r="A3020" s="1">
        <v>3018</v>
      </c>
      <c r="B3020" t="str">
        <f>HYPERLINK("https://www.dasschnelle.at/pichler-matthias-flachau-flachauer-straße","Website")</f>
        <v>Website</v>
      </c>
      <c r="C3020" t="str">
        <f>HYPERLINK("https://www.dasschnelle.at/pichler-matthias-flachau-flachauer-stra%C3%9Fe","Website")</f>
        <v>Website</v>
      </c>
      <c r="D3020" t="str">
        <f>HYPERLINK("http://www.google.com/maps/place/47.35014,13.39365","Location")</f>
        <v>Location</v>
      </c>
      <c r="E3020" t="s">
        <v>26347</v>
      </c>
      <c r="F3020" t="s">
        <v>26348</v>
      </c>
      <c r="G3020" t="s">
        <v>5896</v>
      </c>
      <c r="H3020" t="s">
        <v>25059</v>
      </c>
      <c r="I3020" t="s">
        <v>2239</v>
      </c>
      <c r="J3020" t="s">
        <v>22</v>
      </c>
      <c r="K3020" t="s">
        <v>26349</v>
      </c>
      <c r="L3020" t="s">
        <v>26352</v>
      </c>
      <c r="M3020" t="s">
        <v>25</v>
      </c>
      <c r="N3020" t="s">
        <v>26353</v>
      </c>
      <c r="O3020" t="s">
        <v>25</v>
      </c>
      <c r="P3020" t="s">
        <v>26354</v>
      </c>
      <c r="Q3020" t="s">
        <v>29</v>
      </c>
      <c r="R3020" t="s">
        <v>26350</v>
      </c>
      <c r="S3020" t="s">
        <v>26351</v>
      </c>
    </row>
    <row r="3021" spans="1:19" x14ac:dyDescent="0.25">
      <c r="A3021" s="1">
        <v>3019</v>
      </c>
      <c r="B3021" t="str">
        <f>HYPERLINK("https://www.dasschnelle.at/schiefermayer-andreas-kammer-hauptstraße","Website")</f>
        <v>Website</v>
      </c>
      <c r="C3021" t="str">
        <f>HYPERLINK("http://www.proakustik.at","Website")</f>
        <v>Website</v>
      </c>
      <c r="D3021" t="str">
        <f>HYPERLINK("http://www.google.com/maps/place/47.9459535,13.5947038","Location")</f>
        <v>Location</v>
      </c>
      <c r="E3021" t="s">
        <v>26355</v>
      </c>
      <c r="F3021" t="s">
        <v>26356</v>
      </c>
      <c r="G3021" t="s">
        <v>3851</v>
      </c>
      <c r="H3021" t="s">
        <v>26358</v>
      </c>
      <c r="I3021" t="s">
        <v>85</v>
      </c>
      <c r="J3021" t="s">
        <v>22</v>
      </c>
      <c r="K3021" t="s">
        <v>26357</v>
      </c>
      <c r="L3021" t="s">
        <v>26359</v>
      </c>
      <c r="M3021" t="s">
        <v>25</v>
      </c>
      <c r="N3021" t="s">
        <v>26360</v>
      </c>
      <c r="O3021" t="s">
        <v>25</v>
      </c>
      <c r="P3021" t="s">
        <v>26361</v>
      </c>
      <c r="Q3021" t="s">
        <v>29</v>
      </c>
      <c r="R3021" t="s">
        <v>3853</v>
      </c>
      <c r="S3021" t="s">
        <v>3854</v>
      </c>
    </row>
    <row r="3022" spans="1:19" x14ac:dyDescent="0.25">
      <c r="A3022" s="1">
        <v>3020</v>
      </c>
      <c r="B3022" t="str">
        <f>HYPERLINK("https://www.dasschnelle.at/fliesentec-mugli-e-u-schwarzenau-hausbach-sonnenweg","Website")</f>
        <v>Website</v>
      </c>
      <c r="C3022" t="str">
        <f>HYPERLINK("http://www.fliesen-tec.at","Website")</f>
        <v>Website</v>
      </c>
      <c r="D3022" t="str">
        <f>HYPERLINK("http://www.google.com/maps/place/48.73821,15.27767","Location")</f>
        <v>Location</v>
      </c>
      <c r="E3022" t="s">
        <v>26362</v>
      </c>
      <c r="F3022" t="s">
        <v>26363</v>
      </c>
      <c r="G3022" t="s">
        <v>26365</v>
      </c>
      <c r="H3022" t="s">
        <v>26366</v>
      </c>
      <c r="I3022" t="s">
        <v>177</v>
      </c>
      <c r="J3022" t="s">
        <v>22</v>
      </c>
      <c r="K3022" t="s">
        <v>26364</v>
      </c>
      <c r="L3022" t="s">
        <v>26369</v>
      </c>
      <c r="M3022" t="s">
        <v>25</v>
      </c>
      <c r="N3022" t="s">
        <v>26370</v>
      </c>
      <c r="O3022" t="s">
        <v>25</v>
      </c>
      <c r="P3022" t="s">
        <v>26371</v>
      </c>
      <c r="Q3022" t="s">
        <v>29</v>
      </c>
      <c r="R3022" t="s">
        <v>26367</v>
      </c>
      <c r="S3022" t="s">
        <v>26368</v>
      </c>
    </row>
    <row r="3023" spans="1:19" x14ac:dyDescent="0.25">
      <c r="A3023" s="1">
        <v>3021</v>
      </c>
      <c r="B3023" t="str">
        <f>HYPERLINK("https://www.dasschnelle.at/fliesentec-mugli-schwarzenau-hausbach-sonnenweg","Website")</f>
        <v>Website</v>
      </c>
      <c r="C3023" t="str">
        <f>HYPERLINK("http://www.fliesen-tec.at","Website")</f>
        <v>Website</v>
      </c>
      <c r="D3023" t="str">
        <f>HYPERLINK("http://www.google.com/maps/place/48.73821,15.27767","Location")</f>
        <v>Location</v>
      </c>
      <c r="E3023" t="s">
        <v>26372</v>
      </c>
      <c r="F3023" t="s">
        <v>26373</v>
      </c>
      <c r="G3023" t="s">
        <v>26365</v>
      </c>
      <c r="H3023" t="s">
        <v>26366</v>
      </c>
      <c r="I3023" t="s">
        <v>177</v>
      </c>
      <c r="J3023" t="s">
        <v>22</v>
      </c>
      <c r="K3023" t="s">
        <v>26364</v>
      </c>
      <c r="L3023" t="s">
        <v>26369</v>
      </c>
      <c r="M3023" t="s">
        <v>25</v>
      </c>
      <c r="N3023" t="s">
        <v>26370</v>
      </c>
      <c r="O3023" t="s">
        <v>26374</v>
      </c>
      <c r="P3023" t="s">
        <v>26375</v>
      </c>
      <c r="Q3023" t="s">
        <v>29</v>
      </c>
      <c r="R3023" t="s">
        <v>26367</v>
      </c>
      <c r="S3023" t="s">
        <v>26368</v>
      </c>
    </row>
    <row r="3024" spans="1:19" x14ac:dyDescent="0.25">
      <c r="A3024" s="1">
        <v>3022</v>
      </c>
      <c r="B3024" t="str">
        <f>HYPERLINK("https://www.dasschnelle.at/ruzicka-gmbh-shopping-center-gmünd-bahnhofstraße","Website")</f>
        <v>Website</v>
      </c>
      <c r="C3024" t="str">
        <f>HYPERLINK("http://www.ruzicka.co.at","Website")</f>
        <v>Website</v>
      </c>
      <c r="D3024" t="str">
        <f>HYPERLINK("http://www.google.com/maps/place/48.77198,14.98494","Location")</f>
        <v>Location</v>
      </c>
      <c r="E3024" t="s">
        <v>26376</v>
      </c>
      <c r="F3024" t="s">
        <v>26377</v>
      </c>
      <c r="G3024" t="s">
        <v>13116</v>
      </c>
      <c r="H3024" t="s">
        <v>13117</v>
      </c>
      <c r="I3024" t="s">
        <v>177</v>
      </c>
      <c r="J3024" t="s">
        <v>22</v>
      </c>
      <c r="K3024" t="s">
        <v>1631</v>
      </c>
      <c r="L3024" t="s">
        <v>26380</v>
      </c>
      <c r="M3024" t="s">
        <v>25</v>
      </c>
      <c r="N3024" t="s">
        <v>26381</v>
      </c>
      <c r="O3024" t="s">
        <v>25</v>
      </c>
      <c r="P3024" t="s">
        <v>26382</v>
      </c>
      <c r="Q3024" t="s">
        <v>29</v>
      </c>
      <c r="R3024" t="s">
        <v>26378</v>
      </c>
      <c r="S3024" t="s">
        <v>26379</v>
      </c>
    </row>
    <row r="3025" spans="1:19" x14ac:dyDescent="0.25">
      <c r="A3025" s="1">
        <v>3023</v>
      </c>
      <c r="B3025" t="str">
        <f>HYPERLINK("https://www.dasschnelle.at/schmidmair-mathias-puchkirchen-ach","Website")</f>
        <v>Website</v>
      </c>
      <c r="C3025" t="str">
        <f>HYPERLINK("http://www.schmidmair.at","Website")</f>
        <v>Website</v>
      </c>
      <c r="D3025" t="str">
        <f>HYPERLINK("http://www.google.com/maps/place/48.0405788,13.5870357","Location")</f>
        <v>Location</v>
      </c>
      <c r="E3025" t="s">
        <v>26383</v>
      </c>
      <c r="F3025" t="s">
        <v>26384</v>
      </c>
      <c r="G3025" t="s">
        <v>26386</v>
      </c>
      <c r="H3025" t="s">
        <v>26387</v>
      </c>
      <c r="I3025" t="s">
        <v>85</v>
      </c>
      <c r="J3025" t="s">
        <v>22</v>
      </c>
      <c r="K3025" t="s">
        <v>26385</v>
      </c>
      <c r="L3025" t="s">
        <v>26390</v>
      </c>
      <c r="M3025" t="s">
        <v>25</v>
      </c>
      <c r="N3025" t="s">
        <v>26391</v>
      </c>
      <c r="O3025" t="s">
        <v>25</v>
      </c>
      <c r="P3025" t="s">
        <v>26392</v>
      </c>
      <c r="Q3025" t="s">
        <v>29</v>
      </c>
      <c r="R3025" t="s">
        <v>26388</v>
      </c>
      <c r="S3025" t="s">
        <v>26389</v>
      </c>
    </row>
    <row r="3026" spans="1:19" x14ac:dyDescent="0.25">
      <c r="A3026" s="1">
        <v>3024</v>
      </c>
      <c r="B3026" t="str">
        <f>HYPERLINK("https://www.dasschnelle.at/energieausweis-dörfl-am-poschenhof","Website")</f>
        <v>Website</v>
      </c>
      <c r="C3026" t="str">
        <f>HYPERLINK("http://www.brandenburger.at","Website")</f>
        <v>Website</v>
      </c>
      <c r="D3026" t="str">
        <f>HYPERLINK("http://www.google.com/maps/place/48.021,13.64217","Location")</f>
        <v>Location</v>
      </c>
      <c r="E3026" t="s">
        <v>26393</v>
      </c>
      <c r="F3026" t="s">
        <v>26394</v>
      </c>
      <c r="G3026" t="s">
        <v>3749</v>
      </c>
      <c r="H3026" t="s">
        <v>26396</v>
      </c>
      <c r="I3026" t="s">
        <v>85</v>
      </c>
      <c r="J3026" t="s">
        <v>22</v>
      </c>
      <c r="K3026" t="s">
        <v>26395</v>
      </c>
      <c r="L3026" t="s">
        <v>26399</v>
      </c>
      <c r="M3026" t="s">
        <v>25</v>
      </c>
      <c r="N3026" t="s">
        <v>26400</v>
      </c>
      <c r="O3026" t="s">
        <v>25</v>
      </c>
      <c r="P3026" t="s">
        <v>697</v>
      </c>
      <c r="Q3026" t="s">
        <v>29</v>
      </c>
      <c r="R3026" t="s">
        <v>26397</v>
      </c>
      <c r="S3026" t="s">
        <v>26398</v>
      </c>
    </row>
    <row r="3027" spans="1:19" x14ac:dyDescent="0.25">
      <c r="A3027" s="1">
        <v>3025</v>
      </c>
      <c r="B3027" t="str">
        <f>HYPERLINK("https://www.dasschnelle.at/aquafides-gmbh-schörfling-gahberggasse","Website")</f>
        <v>Website</v>
      </c>
      <c r="C3027" t="str">
        <f>HYPERLINK("http://www.aquafides.at","Website")</f>
        <v>Website</v>
      </c>
      <c r="D3027" t="str">
        <f>HYPERLINK("http://www.google.com/maps/place/47.9423544,13.6088164","Location")</f>
        <v>Location</v>
      </c>
      <c r="E3027" t="s">
        <v>26401</v>
      </c>
      <c r="F3027" t="s">
        <v>26402</v>
      </c>
      <c r="G3027" t="s">
        <v>3851</v>
      </c>
      <c r="H3027" t="s">
        <v>3852</v>
      </c>
      <c r="I3027" t="s">
        <v>85</v>
      </c>
      <c r="J3027" t="s">
        <v>22</v>
      </c>
      <c r="K3027" t="s">
        <v>26403</v>
      </c>
      <c r="L3027" t="s">
        <v>26406</v>
      </c>
      <c r="M3027" t="s">
        <v>25</v>
      </c>
      <c r="N3027" t="s">
        <v>26407</v>
      </c>
      <c r="O3027" t="s">
        <v>26408</v>
      </c>
      <c r="P3027" t="s">
        <v>26409</v>
      </c>
      <c r="Q3027" t="s">
        <v>29</v>
      </c>
      <c r="R3027" t="s">
        <v>26404</v>
      </c>
      <c r="S3027" t="s">
        <v>26405</v>
      </c>
    </row>
    <row r="3028" spans="1:19" x14ac:dyDescent="0.25">
      <c r="A3028" s="1">
        <v>3026</v>
      </c>
      <c r="B3028" t="str">
        <f>HYPERLINK("https://www.dasschnelle.at/justl-rudolf-gesmbh-st-florian-am-inn-oberteufenbach","Website")</f>
        <v>Website</v>
      </c>
      <c r="C3028" t="str">
        <f>HYPERLINK("https://www.dasschnelle.at/justl-rudolf-gesmbh-st-florian-am-inn-oberteufenbach","Website")</f>
        <v>Website</v>
      </c>
      <c r="D3028" t="str">
        <f>HYPERLINK("http://www.google.com/maps/place/48.3949804,13.4940685","Location")</f>
        <v>Location</v>
      </c>
      <c r="E3028" t="s">
        <v>26410</v>
      </c>
      <c r="F3028" t="s">
        <v>26411</v>
      </c>
      <c r="G3028" t="s">
        <v>24520</v>
      </c>
      <c r="H3028" t="s">
        <v>24521</v>
      </c>
      <c r="I3028" t="s">
        <v>85</v>
      </c>
      <c r="J3028" t="s">
        <v>22</v>
      </c>
      <c r="K3028" t="s">
        <v>26412</v>
      </c>
      <c r="L3028" t="s">
        <v>26415</v>
      </c>
      <c r="M3028" t="s">
        <v>25</v>
      </c>
      <c r="N3028" t="s">
        <v>26416</v>
      </c>
      <c r="O3028" t="s">
        <v>25</v>
      </c>
      <c r="P3028" t="s">
        <v>26417</v>
      </c>
      <c r="Q3028" t="s">
        <v>29</v>
      </c>
      <c r="R3028" t="s">
        <v>26413</v>
      </c>
      <c r="S3028" t="s">
        <v>26414</v>
      </c>
    </row>
    <row r="3029" spans="1:19" x14ac:dyDescent="0.25">
      <c r="A3029" s="1">
        <v>3027</v>
      </c>
      <c r="B3029" t="str">
        <f>HYPERLINK("https://www.dasschnelle.at/gritsch-raumausstattung-gesmbh-zams-hauptstraße","Website")</f>
        <v>Website</v>
      </c>
      <c r="C3029" t="str">
        <f>HYPERLINK("http://www.raumausstattung-gritsch.at","Website")</f>
        <v>Website</v>
      </c>
      <c r="D3029" t="str">
        <f>HYPERLINK("http://www.google.com/maps/place/47.16107,10.58546","Location")</f>
        <v>Location</v>
      </c>
      <c r="E3029" t="s">
        <v>26418</v>
      </c>
      <c r="F3029" t="s">
        <v>26419</v>
      </c>
      <c r="G3029" t="s">
        <v>26421</v>
      </c>
      <c r="H3029" t="s">
        <v>26422</v>
      </c>
      <c r="I3029" t="s">
        <v>21</v>
      </c>
      <c r="J3029" t="s">
        <v>22</v>
      </c>
      <c r="K3029" t="s">
        <v>26420</v>
      </c>
      <c r="L3029" t="s">
        <v>26425</v>
      </c>
      <c r="M3029" t="s">
        <v>26426</v>
      </c>
      <c r="N3029" t="s">
        <v>26427</v>
      </c>
      <c r="O3029" t="s">
        <v>26428</v>
      </c>
      <c r="P3029" t="s">
        <v>26429</v>
      </c>
      <c r="Q3029" t="s">
        <v>29</v>
      </c>
      <c r="R3029" t="s">
        <v>26423</v>
      </c>
      <c r="S3029" t="s">
        <v>26424</v>
      </c>
    </row>
    <row r="3030" spans="1:19" x14ac:dyDescent="0.25">
      <c r="A3030" s="1">
        <v>3028</v>
      </c>
      <c r="B3030" t="str">
        <f>HYPERLINK("https://www.dasschnelle.at/wieland-herbert-natursteinmeister-gmbh-feldkirchen-sankt-veiter-straße","Website")</f>
        <v>Website</v>
      </c>
      <c r="C3030" t="str">
        <f>HYPERLINK("http://www.grabsteine-wieland.at","Website")</f>
        <v>Website</v>
      </c>
      <c r="D3030" t="str">
        <f>HYPERLINK("http://www.google.com/maps/place/46.7216853,14.1041528","Location")</f>
        <v>Location</v>
      </c>
      <c r="E3030" t="s">
        <v>26430</v>
      </c>
      <c r="F3030" t="s">
        <v>26431</v>
      </c>
      <c r="G3030" t="s">
        <v>8498</v>
      </c>
      <c r="H3030" t="s">
        <v>8530</v>
      </c>
      <c r="I3030" t="s">
        <v>4130</v>
      </c>
      <c r="J3030" t="s">
        <v>22</v>
      </c>
      <c r="K3030" t="s">
        <v>26432</v>
      </c>
      <c r="L3030" t="s">
        <v>26435</v>
      </c>
      <c r="M3030" t="s">
        <v>26436</v>
      </c>
      <c r="N3030" t="s">
        <v>26437</v>
      </c>
      <c r="O3030" t="s">
        <v>25</v>
      </c>
      <c r="P3030" t="s">
        <v>26438</v>
      </c>
      <c r="Q3030" t="s">
        <v>29</v>
      </c>
      <c r="R3030" t="s">
        <v>26433</v>
      </c>
      <c r="S3030" t="s">
        <v>26434</v>
      </c>
    </row>
    <row r="3031" spans="1:19" x14ac:dyDescent="0.25">
      <c r="A3031" s="1">
        <v>3029</v>
      </c>
      <c r="B3031" t="str">
        <f>HYPERLINK("https://www.dasschnelle.at/lechleitner-herbert-landeck-bruggfeldstraße","Website")</f>
        <v>Website</v>
      </c>
      <c r="C3031" t="str">
        <f>HYPERLINK("http://www.spenglerei.at","Website")</f>
        <v>Website</v>
      </c>
      <c r="D3031" t="str">
        <f>HYPERLINK("http://www.google.com/maps/place/47.14037,10.55454","Location")</f>
        <v>Location</v>
      </c>
      <c r="E3031" t="s">
        <v>26439</v>
      </c>
      <c r="F3031" t="s">
        <v>26440</v>
      </c>
      <c r="G3031" t="s">
        <v>1279</v>
      </c>
      <c r="H3031" t="s">
        <v>1280</v>
      </c>
      <c r="I3031" t="s">
        <v>21</v>
      </c>
      <c r="J3031" t="s">
        <v>22</v>
      </c>
      <c r="K3031" t="s">
        <v>26441</v>
      </c>
      <c r="L3031" t="s">
        <v>26444</v>
      </c>
      <c r="M3031" t="s">
        <v>25</v>
      </c>
      <c r="N3031" t="s">
        <v>26445</v>
      </c>
      <c r="O3031" t="s">
        <v>25</v>
      </c>
      <c r="P3031" t="s">
        <v>26446</v>
      </c>
      <c r="Q3031" t="s">
        <v>29</v>
      </c>
      <c r="R3031" t="s">
        <v>26442</v>
      </c>
      <c r="S3031" t="s">
        <v>26443</v>
      </c>
    </row>
    <row r="3032" spans="1:19" x14ac:dyDescent="0.25">
      <c r="A3032" s="1">
        <v>3030</v>
      </c>
      <c r="B3032" t="str">
        <f>HYPERLINK("https://www.dasschnelle.at/deutsch-doris-klosterneuburg-albrechtstraße","Website")</f>
        <v>Website</v>
      </c>
      <c r="C3032" t="str">
        <f>HYPERLINK("http://www.remax-magic.at","Website")</f>
        <v>Website</v>
      </c>
      <c r="D3032" t="str">
        <f>HYPERLINK("http://www.google.com/maps/place/48.3083,16.32181","Location")</f>
        <v>Location</v>
      </c>
      <c r="E3032" t="s">
        <v>26447</v>
      </c>
      <c r="F3032" t="s">
        <v>26448</v>
      </c>
      <c r="G3032" t="s">
        <v>10308</v>
      </c>
      <c r="H3032" t="s">
        <v>10317</v>
      </c>
      <c r="I3032" t="s">
        <v>177</v>
      </c>
      <c r="J3032" t="s">
        <v>22</v>
      </c>
      <c r="K3032" t="s">
        <v>26449</v>
      </c>
      <c r="L3032" t="s">
        <v>26452</v>
      </c>
      <c r="M3032" t="s">
        <v>25</v>
      </c>
      <c r="N3032" t="s">
        <v>26453</v>
      </c>
      <c r="O3032" t="s">
        <v>25</v>
      </c>
      <c r="P3032" t="s">
        <v>26454</v>
      </c>
      <c r="Q3032" t="s">
        <v>29</v>
      </c>
      <c r="R3032" t="s">
        <v>26450</v>
      </c>
      <c r="S3032" t="s">
        <v>26451</v>
      </c>
    </row>
    <row r="3033" spans="1:19" x14ac:dyDescent="0.25">
      <c r="A3033" s="1">
        <v>3031</v>
      </c>
      <c r="B3033" t="str">
        <f>HYPERLINK("https://www.dasschnelle.at/müller-franz-textil-gmbh-kritzendorf-durchstichstraße","Website")</f>
        <v>Website</v>
      </c>
      <c r="C3033" t="str">
        <f>HYPERLINK("http://www.textil-mueller.at","Website")</f>
        <v>Website</v>
      </c>
      <c r="D3033" t="str">
        <f>HYPERLINK("http://www.google.com/maps/place/48.33523,16.30001","Location")</f>
        <v>Location</v>
      </c>
      <c r="E3033" t="s">
        <v>26455</v>
      </c>
      <c r="F3033" t="s">
        <v>26456</v>
      </c>
      <c r="G3033" t="s">
        <v>26282</v>
      </c>
      <c r="H3033" t="s">
        <v>26283</v>
      </c>
      <c r="I3033" t="s">
        <v>177</v>
      </c>
      <c r="J3033" t="s">
        <v>22</v>
      </c>
      <c r="K3033" t="s">
        <v>26457</v>
      </c>
      <c r="L3033" t="s">
        <v>26460</v>
      </c>
      <c r="M3033" t="s">
        <v>25</v>
      </c>
      <c r="N3033" t="s">
        <v>26461</v>
      </c>
      <c r="O3033" t="s">
        <v>25</v>
      </c>
      <c r="P3033" t="s">
        <v>26462</v>
      </c>
      <c r="Q3033" t="s">
        <v>29</v>
      </c>
      <c r="R3033" t="s">
        <v>26458</v>
      </c>
      <c r="S3033" t="s">
        <v>26459</v>
      </c>
    </row>
    <row r="3034" spans="1:19" x14ac:dyDescent="0.25">
      <c r="A3034" s="1">
        <v>3032</v>
      </c>
      <c r="B3034" t="str">
        <f>HYPERLINK("https://www.dasschnelle.at/reitmayer-martin-klosterneuburg-niedermarkt","Website")</f>
        <v>Website</v>
      </c>
      <c r="C3034" t="str">
        <f>HYPERLINK("https://www.dasschnelle.at/reitmayer-martin-klosterneuburg-niedermarkt","Website")</f>
        <v>Website</v>
      </c>
      <c r="D3034" t="str">
        <f>HYPERLINK("http://www.google.com/maps/place/48.3091,16.32545","Location")</f>
        <v>Location</v>
      </c>
      <c r="E3034" t="s">
        <v>26463</v>
      </c>
      <c r="F3034" t="s">
        <v>26464</v>
      </c>
      <c r="G3034" t="s">
        <v>10308</v>
      </c>
      <c r="H3034" t="s">
        <v>10317</v>
      </c>
      <c r="I3034" t="s">
        <v>177</v>
      </c>
      <c r="J3034" t="s">
        <v>22</v>
      </c>
      <c r="K3034" t="s">
        <v>26465</v>
      </c>
      <c r="L3034" t="s">
        <v>26468</v>
      </c>
      <c r="M3034" t="s">
        <v>25</v>
      </c>
      <c r="N3034" t="s">
        <v>26469</v>
      </c>
      <c r="O3034" t="s">
        <v>25</v>
      </c>
      <c r="P3034" t="s">
        <v>26470</v>
      </c>
      <c r="Q3034" t="s">
        <v>29</v>
      </c>
      <c r="R3034" t="s">
        <v>26466</v>
      </c>
      <c r="S3034" t="s">
        <v>26467</v>
      </c>
    </row>
    <row r="3035" spans="1:19" x14ac:dyDescent="0.25">
      <c r="A3035" s="1">
        <v>3033</v>
      </c>
      <c r="B3035" t="str">
        <f>HYPERLINK("https://www.dasschnelle.at/fetaji-leonora-klosterneuburg-ortnergasse","Website")</f>
        <v>Website</v>
      </c>
      <c r="C3035" t="str">
        <f>HYPERLINK("http://www.friseur-klosterneuburg.at","Website")</f>
        <v>Website</v>
      </c>
      <c r="D3035" t="str">
        <f>HYPERLINK("http://www.google.com/maps/place/48.3050700,16.3230100","Location")</f>
        <v>Location</v>
      </c>
      <c r="E3035" t="s">
        <v>26471</v>
      </c>
      <c r="F3035" t="s">
        <v>26472</v>
      </c>
      <c r="G3035" t="s">
        <v>10308</v>
      </c>
      <c r="H3035" t="s">
        <v>10317</v>
      </c>
      <c r="I3035" t="s">
        <v>177</v>
      </c>
      <c r="J3035" t="s">
        <v>22</v>
      </c>
      <c r="K3035" t="s">
        <v>26473</v>
      </c>
      <c r="L3035" t="s">
        <v>26476</v>
      </c>
      <c r="M3035" t="s">
        <v>25</v>
      </c>
      <c r="N3035" t="s">
        <v>26477</v>
      </c>
      <c r="O3035" t="s">
        <v>25</v>
      </c>
      <c r="P3035" t="s">
        <v>697</v>
      </c>
      <c r="Q3035" t="s">
        <v>29</v>
      </c>
      <c r="R3035" t="s">
        <v>26474</v>
      </c>
      <c r="S3035" t="s">
        <v>26475</v>
      </c>
    </row>
    <row r="3036" spans="1:19" x14ac:dyDescent="0.25">
      <c r="A3036" s="1">
        <v>3034</v>
      </c>
      <c r="B3036" t="str">
        <f>HYPERLINK("https://www.dasschnelle.at/haar-zone-margit-perg-bahnhofstraße","Website")</f>
        <v>Website</v>
      </c>
      <c r="C3036" t="str">
        <f>HYPERLINK("http://www.haarzone-margit.at","Website")</f>
        <v>Website</v>
      </c>
      <c r="D3036" t="str">
        <f>HYPERLINK("http://www.google.com/maps/place/48.24962,14.63291","Location")</f>
        <v>Location</v>
      </c>
      <c r="E3036" t="s">
        <v>26478</v>
      </c>
      <c r="F3036" t="s">
        <v>26479</v>
      </c>
      <c r="G3036" t="s">
        <v>6379</v>
      </c>
      <c r="H3036" t="s">
        <v>6380</v>
      </c>
      <c r="I3036" t="s">
        <v>85</v>
      </c>
      <c r="J3036" t="s">
        <v>22</v>
      </c>
      <c r="K3036" t="s">
        <v>10655</v>
      </c>
      <c r="L3036" t="s">
        <v>26482</v>
      </c>
      <c r="M3036" t="s">
        <v>25</v>
      </c>
      <c r="N3036" t="s">
        <v>26483</v>
      </c>
      <c r="O3036" t="s">
        <v>25</v>
      </c>
      <c r="P3036" t="s">
        <v>26484</v>
      </c>
      <c r="Q3036" t="s">
        <v>29</v>
      </c>
      <c r="R3036" t="s">
        <v>26480</v>
      </c>
      <c r="S3036" t="s">
        <v>26481</v>
      </c>
    </row>
    <row r="3037" spans="1:19" x14ac:dyDescent="0.25">
      <c r="A3037" s="1">
        <v>3035</v>
      </c>
      <c r="B3037" t="str">
        <f>HYPERLINK("https://www.dasschnelle.at/optik-kroboth-gmbh-perg-herrenstraße","Website")</f>
        <v>Website</v>
      </c>
      <c r="C3037" t="str">
        <f>HYPERLINK("http://www.optikkroboth.at","Website")</f>
        <v>Website</v>
      </c>
      <c r="D3037" t="str">
        <f>HYPERLINK("http://www.google.com/maps/place/48.24934,14.63593","Location")</f>
        <v>Location</v>
      </c>
      <c r="E3037" t="s">
        <v>26485</v>
      </c>
      <c r="F3037" t="s">
        <v>26486</v>
      </c>
      <c r="G3037" t="s">
        <v>6379</v>
      </c>
      <c r="H3037" t="s">
        <v>6380</v>
      </c>
      <c r="I3037" t="s">
        <v>85</v>
      </c>
      <c r="J3037" t="s">
        <v>22</v>
      </c>
      <c r="K3037" t="s">
        <v>26487</v>
      </c>
      <c r="L3037" t="s">
        <v>26490</v>
      </c>
      <c r="M3037" t="s">
        <v>25</v>
      </c>
      <c r="N3037" t="s">
        <v>26491</v>
      </c>
      <c r="O3037" t="s">
        <v>25</v>
      </c>
      <c r="P3037" t="s">
        <v>26492</v>
      </c>
      <c r="Q3037" t="s">
        <v>29</v>
      </c>
      <c r="R3037" t="s">
        <v>26488</v>
      </c>
      <c r="S3037" t="s">
        <v>26489</v>
      </c>
    </row>
    <row r="3038" spans="1:19" x14ac:dyDescent="0.25">
      <c r="A3038" s="1">
        <v>3036</v>
      </c>
      <c r="B3038" t="str">
        <f>HYPERLINK("https://www.dasschnelle.at/wolff-claudia-dr-lenzing-atterseestraße","Website")</f>
        <v>Website</v>
      </c>
      <c r="C3038" t="str">
        <f>HYPERLINK("https://www.dasschnelle.at/wolff-claudia-dr-lenzing-atterseestra%C3%9Fe","Website")</f>
        <v>Website</v>
      </c>
      <c r="D3038" t="str">
        <f>HYPERLINK("http://www.google.com/maps/place/47.97934,13.61142","Location")</f>
        <v>Location</v>
      </c>
      <c r="E3038" t="s">
        <v>26493</v>
      </c>
      <c r="F3038" t="s">
        <v>26494</v>
      </c>
      <c r="G3038" t="s">
        <v>6591</v>
      </c>
      <c r="H3038" t="s">
        <v>6592</v>
      </c>
      <c r="I3038" t="s">
        <v>85</v>
      </c>
      <c r="J3038" t="s">
        <v>22</v>
      </c>
      <c r="K3038" t="s">
        <v>26495</v>
      </c>
      <c r="L3038" t="s">
        <v>26498</v>
      </c>
      <c r="M3038" t="s">
        <v>25</v>
      </c>
      <c r="N3038" t="s">
        <v>26499</v>
      </c>
      <c r="O3038" t="s">
        <v>25</v>
      </c>
      <c r="P3038" t="s">
        <v>26500</v>
      </c>
      <c r="Q3038" t="s">
        <v>29</v>
      </c>
      <c r="R3038" t="s">
        <v>26496</v>
      </c>
      <c r="S3038" t="s">
        <v>26497</v>
      </c>
    </row>
    <row r="3039" spans="1:19" x14ac:dyDescent="0.25">
      <c r="A3039" s="1">
        <v>3037</v>
      </c>
      <c r="B3039" t="str">
        <f>HYPERLINK("https://www.dasschnelle.at/edelweiss-textilreinigung-perg-hauptplatz","Website")</f>
        <v>Website</v>
      </c>
      <c r="C3039" t="str">
        <f>HYPERLINK("http://www.edelweiss-textilreinigung.at","Website")</f>
        <v>Website</v>
      </c>
      <c r="D3039" t="str">
        <f>HYPERLINK("http://www.google.com/maps/place/48.25035,14.63451","Location")</f>
        <v>Location</v>
      </c>
      <c r="E3039" t="s">
        <v>26501</v>
      </c>
      <c r="F3039" t="s">
        <v>26502</v>
      </c>
      <c r="G3039" t="s">
        <v>6379</v>
      </c>
      <c r="H3039" t="s">
        <v>6380</v>
      </c>
      <c r="I3039" t="s">
        <v>85</v>
      </c>
      <c r="J3039" t="s">
        <v>22</v>
      </c>
      <c r="K3039" t="s">
        <v>1204</v>
      </c>
      <c r="L3039" t="s">
        <v>26505</v>
      </c>
      <c r="M3039" t="s">
        <v>25</v>
      </c>
      <c r="N3039" t="s">
        <v>26506</v>
      </c>
      <c r="O3039" t="s">
        <v>25</v>
      </c>
      <c r="P3039" t="s">
        <v>26507</v>
      </c>
      <c r="Q3039" t="s">
        <v>29</v>
      </c>
      <c r="R3039" t="s">
        <v>26503</v>
      </c>
      <c r="S3039" t="s">
        <v>26504</v>
      </c>
    </row>
    <row r="3040" spans="1:19" x14ac:dyDescent="0.25">
      <c r="A3040" s="1">
        <v>3038</v>
      </c>
      <c r="B3040" t="str">
        <f>HYPERLINK("https://www.dasschnelle.at/niedermayr-möbelbau-gesmbh-manning-wolfshütte","Website")</f>
        <v>Website</v>
      </c>
      <c r="C3040" t="str">
        <f>HYPERLINK("http://www.niedermayr-moebelbau.com","Website")</f>
        <v>Website</v>
      </c>
      <c r="D3040" t="str">
        <f>HYPERLINK("http://www.google.com/maps/place/48.0556605,13.6841295","Location")</f>
        <v>Location</v>
      </c>
      <c r="E3040" t="s">
        <v>26508</v>
      </c>
      <c r="F3040" t="s">
        <v>26509</v>
      </c>
      <c r="G3040" t="s">
        <v>26511</v>
      </c>
      <c r="H3040" t="s">
        <v>26512</v>
      </c>
      <c r="I3040" t="s">
        <v>85</v>
      </c>
      <c r="J3040" t="s">
        <v>22</v>
      </c>
      <c r="K3040" t="s">
        <v>26510</v>
      </c>
      <c r="L3040" t="s">
        <v>26515</v>
      </c>
      <c r="M3040" t="s">
        <v>25</v>
      </c>
      <c r="N3040" t="s">
        <v>26516</v>
      </c>
      <c r="O3040" t="s">
        <v>25</v>
      </c>
      <c r="P3040" t="s">
        <v>26517</v>
      </c>
      <c r="Q3040" t="s">
        <v>29</v>
      </c>
      <c r="R3040" t="s">
        <v>26513</v>
      </c>
      <c r="S3040" t="s">
        <v>26514</v>
      </c>
    </row>
    <row r="3041" spans="1:19" x14ac:dyDescent="0.25">
      <c r="A3041" s="1">
        <v>3039</v>
      </c>
      <c r="B3041" t="str">
        <f>HYPERLINK("https://www.dasschnelle.at/dr-mathias-stockhammer-wels-steiningerweg","Website")</f>
        <v>Website</v>
      </c>
      <c r="C3041" t="str">
        <f>HYPERLINK("http://www.stockhammer.co.at","Website")</f>
        <v>Website</v>
      </c>
      <c r="D3041" t="str">
        <f>HYPERLINK("http://www.google.com/maps/place/48.16714,14.04157","Location")</f>
        <v>Location</v>
      </c>
      <c r="E3041" t="s">
        <v>26518</v>
      </c>
      <c r="F3041" t="s">
        <v>26519</v>
      </c>
      <c r="G3041" t="s">
        <v>4725</v>
      </c>
      <c r="H3041" t="s">
        <v>4754</v>
      </c>
      <c r="I3041" t="s">
        <v>85</v>
      </c>
      <c r="J3041" t="s">
        <v>22</v>
      </c>
      <c r="K3041" t="s">
        <v>26520</v>
      </c>
      <c r="L3041" t="s">
        <v>26523</v>
      </c>
      <c r="M3041" t="s">
        <v>25</v>
      </c>
      <c r="N3041" t="s">
        <v>26524</v>
      </c>
      <c r="O3041" t="s">
        <v>25</v>
      </c>
      <c r="P3041" t="s">
        <v>26525</v>
      </c>
      <c r="Q3041" t="s">
        <v>29</v>
      </c>
      <c r="R3041" t="s">
        <v>26521</v>
      </c>
      <c r="S3041" t="s">
        <v>26522</v>
      </c>
    </row>
    <row r="3042" spans="1:19" x14ac:dyDescent="0.25">
      <c r="A3042" s="1">
        <v>3040</v>
      </c>
      <c r="B3042" t="str">
        <f>HYPERLINK("https://www.dasschnelle.at/holzbau-saller-gmbh-bad-hofgastein-gewerbepark-harbach","Website")</f>
        <v>Website</v>
      </c>
      <c r="C3042" t="str">
        <f>HYPERLINK("http://www.holzbau-saller.at","Website")</f>
        <v>Website</v>
      </c>
      <c r="D3042" t="str">
        <f>HYPERLINK("http://www.google.com/maps/place/47.20816,13.11002","Location")</f>
        <v>Location</v>
      </c>
      <c r="E3042" t="s">
        <v>26526</v>
      </c>
      <c r="F3042" t="s">
        <v>26527</v>
      </c>
      <c r="G3042" t="s">
        <v>25969</v>
      </c>
      <c r="H3042" t="s">
        <v>25970</v>
      </c>
      <c r="I3042" t="s">
        <v>2239</v>
      </c>
      <c r="J3042" t="s">
        <v>22</v>
      </c>
      <c r="K3042" t="s">
        <v>26528</v>
      </c>
      <c r="L3042" t="s">
        <v>26531</v>
      </c>
      <c r="M3042" t="s">
        <v>25</v>
      </c>
      <c r="N3042" t="s">
        <v>26532</v>
      </c>
      <c r="O3042" t="s">
        <v>25</v>
      </c>
      <c r="P3042" t="s">
        <v>26533</v>
      </c>
      <c r="Q3042" t="s">
        <v>29</v>
      </c>
      <c r="R3042" t="s">
        <v>26529</v>
      </c>
      <c r="S3042" t="s">
        <v>26530</v>
      </c>
    </row>
    <row r="3043" spans="1:19" x14ac:dyDescent="0.25">
      <c r="A3043" s="1">
        <v>3041</v>
      </c>
      <c r="B3043" t="str">
        <f>HYPERLINK("https://www.dasschnelle.at/hellings-klaus-kappl-labebene","Website")</f>
        <v>Website</v>
      </c>
      <c r="C3043" t="str">
        <f>HYPERLINK("http://www.hellings.at","Website")</f>
        <v>Website</v>
      </c>
      <c r="D3043" t="str">
        <f>HYPERLINK("http://www.google.com/maps/place/47.06574,10.39394","Location")</f>
        <v>Location</v>
      </c>
      <c r="E3043" t="s">
        <v>26534</v>
      </c>
      <c r="F3043" t="s">
        <v>26535</v>
      </c>
      <c r="G3043" t="s">
        <v>26537</v>
      </c>
      <c r="H3043" t="s">
        <v>26538</v>
      </c>
      <c r="I3043" t="s">
        <v>21</v>
      </c>
      <c r="J3043" t="s">
        <v>22</v>
      </c>
      <c r="K3043" t="s">
        <v>26536</v>
      </c>
      <c r="L3043" t="s">
        <v>26541</v>
      </c>
      <c r="M3043" t="s">
        <v>25</v>
      </c>
      <c r="N3043" t="s">
        <v>26542</v>
      </c>
      <c r="O3043" t="s">
        <v>25</v>
      </c>
      <c r="P3043" t="s">
        <v>26543</v>
      </c>
      <c r="Q3043" t="s">
        <v>29</v>
      </c>
      <c r="R3043" t="s">
        <v>26539</v>
      </c>
      <c r="S3043" t="s">
        <v>26540</v>
      </c>
    </row>
    <row r="3044" spans="1:19" x14ac:dyDescent="0.25">
      <c r="A3044" s="1">
        <v>3042</v>
      </c>
      <c r="B3044" t="str">
        <f>HYPERLINK("https://www.dasschnelle.at/e-installationstechnik-zeillinger-gmbh-greinsfurth-carl-benz-straße","Website")</f>
        <v>Website</v>
      </c>
      <c r="C3044" t="str">
        <f>HYPERLINK("http://www.e-installationstechnik.at","Website")</f>
        <v>Website</v>
      </c>
      <c r="D3044" t="str">
        <f>HYPERLINK("http://www.google.com/maps/place/48.10974,14.83612","Location")</f>
        <v>Location</v>
      </c>
      <c r="E3044" t="s">
        <v>26544</v>
      </c>
      <c r="F3044" t="s">
        <v>26545</v>
      </c>
      <c r="G3044" t="s">
        <v>1474</v>
      </c>
      <c r="H3044" t="s">
        <v>26547</v>
      </c>
      <c r="I3044" t="s">
        <v>177</v>
      </c>
      <c r="J3044" t="s">
        <v>22</v>
      </c>
      <c r="K3044" t="s">
        <v>26546</v>
      </c>
      <c r="L3044" t="s">
        <v>26550</v>
      </c>
      <c r="M3044" t="s">
        <v>25</v>
      </c>
      <c r="N3044" t="s">
        <v>26551</v>
      </c>
      <c r="O3044" t="s">
        <v>25</v>
      </c>
      <c r="P3044" t="s">
        <v>26552</v>
      </c>
      <c r="Q3044" t="s">
        <v>29</v>
      </c>
      <c r="R3044" t="s">
        <v>26548</v>
      </c>
      <c r="S3044" t="s">
        <v>26549</v>
      </c>
    </row>
    <row r="3045" spans="1:19" x14ac:dyDescent="0.25">
      <c r="A3045" s="1">
        <v>3043</v>
      </c>
      <c r="B3045" t="str">
        <f>HYPERLINK("https://www.dasschnelle.at/elektrotechnik-thomas-jung-gmbh-friesach-judendorf","Website")</f>
        <v>Website</v>
      </c>
      <c r="C3045" t="str">
        <f>HYPERLINK("https://www.dasschnelle.at/elektrotechnik-thomas-jung-gmbh-friesach-judendorf","Website")</f>
        <v>Website</v>
      </c>
      <c r="D3045" t="str">
        <f>HYPERLINK("http://www.google.com/maps/place/46.9714452,14.3921072","Location")</f>
        <v>Location</v>
      </c>
      <c r="E3045" t="s">
        <v>26553</v>
      </c>
      <c r="F3045" t="s">
        <v>26554</v>
      </c>
      <c r="G3045" t="s">
        <v>26556</v>
      </c>
      <c r="H3045" t="s">
        <v>26557</v>
      </c>
      <c r="I3045" t="s">
        <v>4130</v>
      </c>
      <c r="J3045" t="s">
        <v>22</v>
      </c>
      <c r="K3045" t="s">
        <v>26555</v>
      </c>
      <c r="L3045" t="s">
        <v>26560</v>
      </c>
      <c r="M3045" t="s">
        <v>25</v>
      </c>
      <c r="N3045" t="s">
        <v>26561</v>
      </c>
      <c r="O3045" t="s">
        <v>25</v>
      </c>
      <c r="P3045" t="s">
        <v>26562</v>
      </c>
      <c r="Q3045" t="s">
        <v>29</v>
      </c>
      <c r="R3045" t="s">
        <v>26558</v>
      </c>
      <c r="S3045" t="s">
        <v>26559</v>
      </c>
    </row>
    <row r="3046" spans="1:19" x14ac:dyDescent="0.25">
      <c r="A3046" s="1">
        <v>3044</v>
      </c>
      <c r="B3046" t="str">
        <f>HYPERLINK("https://www.dasschnelle.at/regenfelder-dietrich-krahberg-dallnigstraße","Website")</f>
        <v>Website</v>
      </c>
      <c r="C3046" t="str">
        <f>HYPERLINK("http://www.gartenservice-regenfelder.at","Website")</f>
        <v>Website</v>
      </c>
      <c r="D3046" t="str">
        <f>HYPERLINK("http://www.google.com/maps/place/46.72089,14.07684","Location")</f>
        <v>Location</v>
      </c>
      <c r="E3046" t="s">
        <v>26563</v>
      </c>
      <c r="F3046" t="s">
        <v>26564</v>
      </c>
      <c r="G3046" t="s">
        <v>8498</v>
      </c>
      <c r="H3046" t="s">
        <v>26566</v>
      </c>
      <c r="I3046" t="s">
        <v>4130</v>
      </c>
      <c r="J3046" t="s">
        <v>22</v>
      </c>
      <c r="K3046" t="s">
        <v>26565</v>
      </c>
      <c r="L3046" t="s">
        <v>26569</v>
      </c>
      <c r="M3046" t="s">
        <v>25</v>
      </c>
      <c r="N3046" t="s">
        <v>26570</v>
      </c>
      <c r="O3046" t="s">
        <v>25</v>
      </c>
      <c r="P3046" t="s">
        <v>26571</v>
      </c>
      <c r="Q3046" t="s">
        <v>29</v>
      </c>
      <c r="R3046" t="s">
        <v>26567</v>
      </c>
      <c r="S3046" t="s">
        <v>26568</v>
      </c>
    </row>
    <row r="3047" spans="1:19" x14ac:dyDescent="0.25">
      <c r="A3047" s="1">
        <v>3045</v>
      </c>
      <c r="B3047" t="str">
        <f>HYPERLINK("https://www.dasschnelle.at/abj-jörg-abschlepp-und-kfz-service-e-u-kappl-lochau","Website")</f>
        <v>Website</v>
      </c>
      <c r="C3047" t="str">
        <f>HYPERLINK("http://www.abj-kappl.at","Website")</f>
        <v>Website</v>
      </c>
      <c r="D3047" t="str">
        <f>HYPERLINK("http://www.google.com/maps/place/47.0630800,10.3808100","Location")</f>
        <v>Location</v>
      </c>
      <c r="E3047" t="s">
        <v>26572</v>
      </c>
      <c r="F3047" t="s">
        <v>26573</v>
      </c>
      <c r="G3047" t="s">
        <v>26537</v>
      </c>
      <c r="H3047" t="s">
        <v>26538</v>
      </c>
      <c r="I3047" t="s">
        <v>21</v>
      </c>
      <c r="J3047" t="s">
        <v>22</v>
      </c>
      <c r="K3047" t="s">
        <v>26574</v>
      </c>
      <c r="L3047" t="s">
        <v>26577</v>
      </c>
      <c r="M3047" t="s">
        <v>25</v>
      </c>
      <c r="N3047" t="s">
        <v>26578</v>
      </c>
      <c r="O3047" t="s">
        <v>25</v>
      </c>
      <c r="P3047" t="s">
        <v>26579</v>
      </c>
      <c r="Q3047" t="s">
        <v>29</v>
      </c>
      <c r="R3047" t="s">
        <v>26575</v>
      </c>
      <c r="S3047" t="s">
        <v>26576</v>
      </c>
    </row>
    <row r="3048" spans="1:19" x14ac:dyDescent="0.25">
      <c r="A3048" s="1">
        <v>3046</v>
      </c>
      <c r="B3048" t="str">
        <f>HYPERLINK("https://www.dasschnelle.at/russay-gabor-dr-med-gmünd-conrathstraße","Website")</f>
        <v>Website</v>
      </c>
      <c r="C3048" t="str">
        <f>HYPERLINK("https://www.dasschnelle.at/russay-gabor-dr-med-gm%C3%BCnd-conrathstra%C3%9Fe","Website")</f>
        <v>Website</v>
      </c>
      <c r="D3048" t="str">
        <f>HYPERLINK("http://www.google.com/maps/place/48.7624,14.97502","Location")</f>
        <v>Location</v>
      </c>
      <c r="E3048" t="s">
        <v>26580</v>
      </c>
      <c r="F3048" t="s">
        <v>26581</v>
      </c>
      <c r="G3048" t="s">
        <v>13116</v>
      </c>
      <c r="H3048" t="s">
        <v>13117</v>
      </c>
      <c r="I3048" t="s">
        <v>177</v>
      </c>
      <c r="J3048" t="s">
        <v>22</v>
      </c>
      <c r="K3048" t="s">
        <v>26582</v>
      </c>
      <c r="L3048" t="s">
        <v>26585</v>
      </c>
      <c r="M3048" t="s">
        <v>25</v>
      </c>
      <c r="N3048" t="s">
        <v>26586</v>
      </c>
      <c r="O3048" t="s">
        <v>25</v>
      </c>
      <c r="P3048" t="s">
        <v>26587</v>
      </c>
      <c r="Q3048" t="s">
        <v>29</v>
      </c>
      <c r="R3048" t="s">
        <v>26583</v>
      </c>
      <c r="S3048" t="s">
        <v>26584</v>
      </c>
    </row>
    <row r="3049" spans="1:19" x14ac:dyDescent="0.25">
      <c r="A3049" s="1">
        <v>3047</v>
      </c>
      <c r="B3049" t="str">
        <f>HYPERLINK("https://www.dasschnelle.at/rössler-günther-dr-med-gmünd-schubertplatz","Website")</f>
        <v>Website</v>
      </c>
      <c r="C3049" t="str">
        <f>HYPERLINK("http://www.augenlaserzentrum.at","Website")</f>
        <v>Website</v>
      </c>
      <c r="D3049" t="str">
        <f>HYPERLINK("http://www.google.com/maps/place/48.7612,14.97191","Location")</f>
        <v>Location</v>
      </c>
      <c r="E3049" t="s">
        <v>26588</v>
      </c>
      <c r="F3049" t="s">
        <v>26589</v>
      </c>
      <c r="G3049" t="s">
        <v>13116</v>
      </c>
      <c r="H3049" t="s">
        <v>13117</v>
      </c>
      <c r="I3049" t="s">
        <v>177</v>
      </c>
      <c r="J3049" t="s">
        <v>22</v>
      </c>
      <c r="K3049" t="s">
        <v>26590</v>
      </c>
      <c r="L3049" t="s">
        <v>26593</v>
      </c>
      <c r="M3049" t="s">
        <v>25</v>
      </c>
      <c r="N3049" t="s">
        <v>26594</v>
      </c>
      <c r="O3049" t="s">
        <v>25</v>
      </c>
      <c r="P3049" t="s">
        <v>26595</v>
      </c>
      <c r="Q3049" t="s">
        <v>29</v>
      </c>
      <c r="R3049" t="s">
        <v>26591</v>
      </c>
      <c r="S3049" t="s">
        <v>26592</v>
      </c>
    </row>
    <row r="3050" spans="1:19" x14ac:dyDescent="0.25">
      <c r="A3050" s="1">
        <v>3048</v>
      </c>
      <c r="B3050" t="str">
        <f>HYPERLINK("https://www.dasschnelle.at/dr-kainz-und-partner-waidhofen-an-der-thaya-hamernikgasse","Website")</f>
        <v>Website</v>
      </c>
      <c r="C3050" t="str">
        <f>HYPERLINK("http://www.kainzundpartner.at","Website")</f>
        <v>Website</v>
      </c>
      <c r="D3050" t="str">
        <f>HYPERLINK("http://www.google.com/maps/place/48.8148900,15.2826000","Location")</f>
        <v>Location</v>
      </c>
      <c r="E3050" t="s">
        <v>26596</v>
      </c>
      <c r="F3050" t="s">
        <v>26597</v>
      </c>
      <c r="G3050" t="s">
        <v>10987</v>
      </c>
      <c r="H3050" t="s">
        <v>10988</v>
      </c>
      <c r="I3050" t="s">
        <v>177</v>
      </c>
      <c r="J3050" t="s">
        <v>22</v>
      </c>
      <c r="K3050" t="s">
        <v>26598</v>
      </c>
      <c r="L3050" t="s">
        <v>26601</v>
      </c>
      <c r="M3050" t="s">
        <v>25</v>
      </c>
      <c r="N3050" t="s">
        <v>26602</v>
      </c>
      <c r="O3050" t="s">
        <v>25</v>
      </c>
      <c r="P3050" t="s">
        <v>26603</v>
      </c>
      <c r="Q3050" t="s">
        <v>29</v>
      </c>
      <c r="R3050" t="s">
        <v>26599</v>
      </c>
      <c r="S3050" t="s">
        <v>26600</v>
      </c>
    </row>
    <row r="3051" spans="1:19" x14ac:dyDescent="0.25">
      <c r="A3051" s="1">
        <v>3049</v>
      </c>
      <c r="B3051" t="str">
        <f>HYPERLINK("https://www.dasschnelle.at/psychologisch-pädagogisch-therapeutische-praxis-langenzersdorf-wiener-straße","Website")</f>
        <v>Website</v>
      </c>
      <c r="C3051" t="str">
        <f>HYPERLINK("http://www.ppt-praxis.at","Website")</f>
        <v>Website</v>
      </c>
      <c r="D3051" t="str">
        <f>HYPERLINK("http://www.google.com/maps/place/48.3057351,16.3651206","Location")</f>
        <v>Location</v>
      </c>
      <c r="E3051" t="s">
        <v>26604</v>
      </c>
      <c r="F3051" t="s">
        <v>26605</v>
      </c>
      <c r="G3051" t="s">
        <v>13262</v>
      </c>
      <c r="H3051" t="s">
        <v>13263</v>
      </c>
      <c r="I3051" t="s">
        <v>177</v>
      </c>
      <c r="J3051" t="s">
        <v>22</v>
      </c>
      <c r="K3051" t="s">
        <v>26606</v>
      </c>
      <c r="L3051" t="s">
        <v>26609</v>
      </c>
      <c r="M3051" t="s">
        <v>25</v>
      </c>
      <c r="N3051" t="s">
        <v>26610</v>
      </c>
      <c r="O3051" t="s">
        <v>25</v>
      </c>
      <c r="P3051" t="s">
        <v>26611</v>
      </c>
      <c r="Q3051" t="s">
        <v>29</v>
      </c>
      <c r="R3051" t="s">
        <v>26607</v>
      </c>
      <c r="S3051" t="s">
        <v>26608</v>
      </c>
    </row>
    <row r="3052" spans="1:19" x14ac:dyDescent="0.25">
      <c r="A3052" s="1">
        <v>3050</v>
      </c>
      <c r="B3052" t="str">
        <f>HYPERLINK("https://www.dasschnelle.at/hennerbichler-helga-pregarten-stadtplatz","Website")</f>
        <v>Website</v>
      </c>
      <c r="C3052" t="str">
        <f>HYPERLINK("http://www.blumenhennerbichler.at","Website")</f>
        <v>Website</v>
      </c>
      <c r="D3052" t="str">
        <f>HYPERLINK("http://www.google.com/maps/place/48.35473,14.53105","Location")</f>
        <v>Location</v>
      </c>
      <c r="E3052" t="s">
        <v>26612</v>
      </c>
      <c r="F3052" t="s">
        <v>26613</v>
      </c>
      <c r="G3052" t="s">
        <v>25297</v>
      </c>
      <c r="H3052" t="s">
        <v>25298</v>
      </c>
      <c r="I3052" t="s">
        <v>85</v>
      </c>
      <c r="J3052" t="s">
        <v>22</v>
      </c>
      <c r="K3052" t="s">
        <v>26614</v>
      </c>
      <c r="L3052" t="s">
        <v>26617</v>
      </c>
      <c r="M3052" t="s">
        <v>25</v>
      </c>
      <c r="N3052" t="s">
        <v>26618</v>
      </c>
      <c r="O3052" t="s">
        <v>25</v>
      </c>
      <c r="P3052" t="s">
        <v>26619</v>
      </c>
      <c r="Q3052" t="s">
        <v>29</v>
      </c>
      <c r="R3052" t="s">
        <v>26615</v>
      </c>
      <c r="S3052" t="s">
        <v>26616</v>
      </c>
    </row>
    <row r="3053" spans="1:19" x14ac:dyDescent="0.25">
      <c r="A3053" s="1">
        <v>3051</v>
      </c>
      <c r="B3053" t="str">
        <f>HYPERLINK("https://www.dasschnelle.at/wurz-kg-kaltenberg-kaltenberg","Website")</f>
        <v>Website</v>
      </c>
      <c r="C3053" t="str">
        <f>HYPERLINK("http://www.wurz-bestattung.at","Website")</f>
        <v>Website</v>
      </c>
      <c r="D3053" t="str">
        <f>HYPERLINK("http://www.google.com/maps/place/48.17588,14.52563","Location")</f>
        <v>Location</v>
      </c>
      <c r="E3053" t="s">
        <v>26620</v>
      </c>
      <c r="F3053" t="s">
        <v>26621</v>
      </c>
      <c r="G3053" t="s">
        <v>26623</v>
      </c>
      <c r="H3053" t="s">
        <v>26624</v>
      </c>
      <c r="I3053" t="s">
        <v>177</v>
      </c>
      <c r="J3053" t="s">
        <v>22</v>
      </c>
      <c r="K3053" t="s">
        <v>26622</v>
      </c>
      <c r="L3053" t="s">
        <v>26627</v>
      </c>
      <c r="M3053" t="s">
        <v>25</v>
      </c>
      <c r="N3053" t="s">
        <v>26628</v>
      </c>
      <c r="O3053" t="s">
        <v>25</v>
      </c>
      <c r="P3053" t="s">
        <v>26629</v>
      </c>
      <c r="Q3053" t="s">
        <v>29</v>
      </c>
      <c r="R3053" t="s">
        <v>26625</v>
      </c>
      <c r="S3053" t="s">
        <v>26626</v>
      </c>
    </row>
    <row r="3054" spans="1:19" x14ac:dyDescent="0.25">
      <c r="A3054" s="1">
        <v>3052</v>
      </c>
      <c r="B3054" t="str">
        <f>HYPERLINK("https://www.dasschnelle.at/euro-taxi-mayer-kralik-og-freistadt-trölsstraße","Website")</f>
        <v>Website</v>
      </c>
      <c r="C3054" t="str">
        <f>HYPERLINK("http://www.euro-taxi.at","Website")</f>
        <v>Website</v>
      </c>
      <c r="D3054" t="str">
        <f>HYPERLINK("http://www.google.com/maps/place/48.50604,14.4961","Location")</f>
        <v>Location</v>
      </c>
      <c r="E3054" t="s">
        <v>26630</v>
      </c>
      <c r="F3054" t="s">
        <v>26631</v>
      </c>
      <c r="G3054" t="s">
        <v>6891</v>
      </c>
      <c r="H3054" t="s">
        <v>6892</v>
      </c>
      <c r="I3054" t="s">
        <v>85</v>
      </c>
      <c r="J3054" t="s">
        <v>22</v>
      </c>
      <c r="K3054" t="s">
        <v>26632</v>
      </c>
      <c r="L3054" t="s">
        <v>26635</v>
      </c>
      <c r="M3054" t="s">
        <v>26636</v>
      </c>
      <c r="N3054" t="s">
        <v>26637</v>
      </c>
      <c r="O3054" t="s">
        <v>25</v>
      </c>
      <c r="P3054" t="s">
        <v>26638</v>
      </c>
      <c r="Q3054" t="s">
        <v>29</v>
      </c>
      <c r="R3054" t="s">
        <v>26633</v>
      </c>
      <c r="S3054" t="s">
        <v>26634</v>
      </c>
    </row>
    <row r="3055" spans="1:19" x14ac:dyDescent="0.25">
      <c r="A3055" s="1">
        <v>3053</v>
      </c>
      <c r="B3055" t="str">
        <f>HYPERLINK("https://www.dasschnelle.at/wagner-harald-feldkirchen-in-kärnten-wachsenberg","Website")</f>
        <v>Website</v>
      </c>
      <c r="C3055" t="str">
        <f>HYPERLINK("http://www.holzwerkskunst.at","Website")</f>
        <v>Website</v>
      </c>
      <c r="D3055" t="str">
        <f>HYPERLINK("http://www.google.com/maps/place/46.7563954,14.0773827","Location")</f>
        <v>Location</v>
      </c>
      <c r="E3055" t="s">
        <v>26639</v>
      </c>
      <c r="F3055" t="s">
        <v>26640</v>
      </c>
      <c r="G3055" t="s">
        <v>8498</v>
      </c>
      <c r="H3055" t="s">
        <v>8499</v>
      </c>
      <c r="I3055" t="s">
        <v>4130</v>
      </c>
      <c r="J3055" t="s">
        <v>22</v>
      </c>
      <c r="K3055" t="s">
        <v>26641</v>
      </c>
      <c r="L3055" t="s">
        <v>26644</v>
      </c>
      <c r="M3055" t="s">
        <v>25</v>
      </c>
      <c r="N3055" t="s">
        <v>26645</v>
      </c>
      <c r="O3055" t="s">
        <v>26646</v>
      </c>
      <c r="P3055" t="s">
        <v>26647</v>
      </c>
      <c r="Q3055" t="s">
        <v>29</v>
      </c>
      <c r="R3055" t="s">
        <v>26642</v>
      </c>
      <c r="S3055" t="s">
        <v>26643</v>
      </c>
    </row>
    <row r="3056" spans="1:19" x14ac:dyDescent="0.25">
      <c r="A3056" s="1">
        <v>3054</v>
      </c>
      <c r="B3056" t="str">
        <f>HYPERLINK("https://www.dasschnelle.at/hauer-zimmerei-gmbh-enzenkirchen-jagern","Website")</f>
        <v>Website</v>
      </c>
      <c r="C3056" t="str">
        <f>HYPERLINK("http://www.hauer-holzbau.at","Website")</f>
        <v>Website</v>
      </c>
      <c r="D3056" t="str">
        <f>HYPERLINK("http://www.google.com/maps/place/48.3790469,13.6287508","Location")</f>
        <v>Location</v>
      </c>
      <c r="E3056" t="s">
        <v>26648</v>
      </c>
      <c r="F3056" t="s">
        <v>26649</v>
      </c>
      <c r="G3056" t="s">
        <v>26651</v>
      </c>
      <c r="H3056" t="s">
        <v>26652</v>
      </c>
      <c r="I3056" t="s">
        <v>85</v>
      </c>
      <c r="J3056" t="s">
        <v>22</v>
      </c>
      <c r="K3056" t="s">
        <v>26650</v>
      </c>
      <c r="L3056" t="s">
        <v>26655</v>
      </c>
      <c r="M3056" t="s">
        <v>26656</v>
      </c>
      <c r="N3056" t="s">
        <v>26657</v>
      </c>
      <c r="O3056" t="s">
        <v>25</v>
      </c>
      <c r="P3056" t="s">
        <v>26658</v>
      </c>
      <c r="Q3056" t="s">
        <v>29</v>
      </c>
      <c r="R3056" t="s">
        <v>26653</v>
      </c>
      <c r="S3056" t="s">
        <v>26654</v>
      </c>
    </row>
    <row r="3057" spans="1:19" x14ac:dyDescent="0.25">
      <c r="A3057" s="1">
        <v>3055</v>
      </c>
      <c r="B3057" t="str">
        <f>HYPERLINK("https://www.dasschnelle.at/lumetsberger-glas-og-schwertberg-poneggenstraße","Website")</f>
        <v>Website</v>
      </c>
      <c r="C3057" t="str">
        <f>HYPERLINK("http://www.glas-lumetsberger.at","Website")</f>
        <v>Website</v>
      </c>
      <c r="D3057" t="str">
        <f>HYPERLINK("http://www.google.com/maps/place/48.26957,14.56701","Location")</f>
        <v>Location</v>
      </c>
      <c r="E3057" t="s">
        <v>26659</v>
      </c>
      <c r="F3057" t="s">
        <v>26660</v>
      </c>
      <c r="G3057" t="s">
        <v>6415</v>
      </c>
      <c r="H3057" t="s">
        <v>6416</v>
      </c>
      <c r="I3057" t="s">
        <v>85</v>
      </c>
      <c r="J3057" t="s">
        <v>22</v>
      </c>
      <c r="K3057" t="s">
        <v>26661</v>
      </c>
      <c r="L3057" t="s">
        <v>26664</v>
      </c>
      <c r="M3057" t="s">
        <v>25</v>
      </c>
      <c r="N3057" t="s">
        <v>26665</v>
      </c>
      <c r="O3057" t="s">
        <v>25</v>
      </c>
      <c r="P3057" t="s">
        <v>26666</v>
      </c>
      <c r="Q3057" t="s">
        <v>29</v>
      </c>
      <c r="R3057" t="s">
        <v>26662</v>
      </c>
      <c r="S3057" t="s">
        <v>26663</v>
      </c>
    </row>
    <row r="3058" spans="1:19" x14ac:dyDescent="0.25">
      <c r="A3058" s="1">
        <v>3056</v>
      </c>
      <c r="B3058" t="str">
        <f>HYPERLINK("https://www.dasschnelle.at/aistleitner-friedrich-perg-naarner-straße","Website")</f>
        <v>Website</v>
      </c>
      <c r="C3058" t="str">
        <f>HYPERLINK("http://www.aistleitner-fliesen-ofen.at","Website")</f>
        <v>Website</v>
      </c>
      <c r="D3058" t="str">
        <f>HYPERLINK("http://www.google.com/maps/place/48.24589,14.62823","Location")</f>
        <v>Location</v>
      </c>
      <c r="E3058" t="s">
        <v>26667</v>
      </c>
      <c r="F3058" t="s">
        <v>26668</v>
      </c>
      <c r="G3058" t="s">
        <v>6379</v>
      </c>
      <c r="H3058" t="s">
        <v>6380</v>
      </c>
      <c r="I3058" t="s">
        <v>85</v>
      </c>
      <c r="J3058" t="s">
        <v>22</v>
      </c>
      <c r="K3058" t="s">
        <v>26669</v>
      </c>
      <c r="L3058" t="s">
        <v>26672</v>
      </c>
      <c r="M3058" t="s">
        <v>26673</v>
      </c>
      <c r="N3058" t="s">
        <v>26674</v>
      </c>
      <c r="O3058" t="s">
        <v>25</v>
      </c>
      <c r="P3058" t="s">
        <v>26675</v>
      </c>
      <c r="Q3058" t="s">
        <v>29</v>
      </c>
      <c r="R3058" t="s">
        <v>26670</v>
      </c>
      <c r="S3058" t="s">
        <v>26671</v>
      </c>
    </row>
    <row r="3059" spans="1:19" x14ac:dyDescent="0.25">
      <c r="A3059" s="1">
        <v>3057</v>
      </c>
      <c r="B3059" t="str">
        <f>HYPERLINK("https://www.dasschnelle.at/moser-michaela-sankt-oswald-bei-freistadt-am-käferbach","Website")</f>
        <v>Website</v>
      </c>
      <c r="C3059" t="str">
        <f>HYPERLINK("https://www.dasschnelle.at/moser-michaela-sankt-oswald-bei-freistadt-am-k%C3%A4ferbach","Website")</f>
        <v>Website</v>
      </c>
      <c r="D3059" t="str">
        <f>HYPERLINK("http://www.google.com/maps/place/48.49987,14.58022","Location")</f>
        <v>Location</v>
      </c>
      <c r="E3059" t="s">
        <v>26676</v>
      </c>
      <c r="F3059" t="s">
        <v>26677</v>
      </c>
      <c r="G3059" t="s">
        <v>26679</v>
      </c>
      <c r="H3059" t="s">
        <v>26680</v>
      </c>
      <c r="I3059" t="s">
        <v>85</v>
      </c>
      <c r="J3059" t="s">
        <v>22</v>
      </c>
      <c r="K3059" t="s">
        <v>26678</v>
      </c>
      <c r="L3059" t="s">
        <v>26683</v>
      </c>
      <c r="M3059" t="s">
        <v>25</v>
      </c>
      <c r="N3059" t="s">
        <v>26684</v>
      </c>
      <c r="O3059" t="s">
        <v>25</v>
      </c>
      <c r="P3059" t="s">
        <v>26685</v>
      </c>
      <c r="Q3059" t="s">
        <v>29</v>
      </c>
      <c r="R3059" t="s">
        <v>26681</v>
      </c>
      <c r="S3059" t="s">
        <v>26682</v>
      </c>
    </row>
    <row r="3060" spans="1:19" x14ac:dyDescent="0.25">
      <c r="A3060" s="1">
        <v>3058</v>
      </c>
      <c r="B3060" t="str">
        <f>HYPERLINK("https://www.dasschnelle.at/dirnberger-irrgeher-gmbh-perg-kramelsbergstraße","Website")</f>
        <v>Website</v>
      </c>
      <c r="C3060" t="str">
        <f>HYPERLINK("http://www.dirnberger-irrgeher.at","Website")</f>
        <v>Website</v>
      </c>
      <c r="D3060" t="str">
        <f>HYPERLINK("http://www.google.com/maps/place/48.23896,14.6218","Location")</f>
        <v>Location</v>
      </c>
      <c r="E3060" t="s">
        <v>26686</v>
      </c>
      <c r="F3060" t="s">
        <v>26687</v>
      </c>
      <c r="G3060" t="s">
        <v>6379</v>
      </c>
      <c r="H3060" t="s">
        <v>6380</v>
      </c>
      <c r="I3060" t="s">
        <v>85</v>
      </c>
      <c r="J3060" t="s">
        <v>22</v>
      </c>
      <c r="K3060" t="s">
        <v>26688</v>
      </c>
      <c r="L3060" t="s">
        <v>26691</v>
      </c>
      <c r="M3060" t="s">
        <v>25</v>
      </c>
      <c r="N3060" t="s">
        <v>26692</v>
      </c>
      <c r="O3060" t="s">
        <v>25</v>
      </c>
      <c r="P3060" t="s">
        <v>26693</v>
      </c>
      <c r="Q3060" t="s">
        <v>29</v>
      </c>
      <c r="R3060" t="s">
        <v>26689</v>
      </c>
      <c r="S3060" t="s">
        <v>26690</v>
      </c>
    </row>
    <row r="3061" spans="1:19" x14ac:dyDescent="0.25">
      <c r="A3061" s="1">
        <v>3059</v>
      </c>
      <c r="B3061" t="str">
        <f>HYPERLINK("https://www.dasschnelle.at/schoblocher-gerald-oberwang-gewerbestraße","Website")</f>
        <v>Website</v>
      </c>
      <c r="C3061" t="str">
        <f>HYPERLINK("http://www.schobi.at","Website")</f>
        <v>Website</v>
      </c>
      <c r="D3061" t="str">
        <f>HYPERLINK("http://www.google.com/maps/place/47.85316,13.44146","Location")</f>
        <v>Location</v>
      </c>
      <c r="E3061" t="s">
        <v>26694</v>
      </c>
      <c r="F3061" t="s">
        <v>26695</v>
      </c>
      <c r="G3061" t="s">
        <v>6553</v>
      </c>
      <c r="H3061" t="s">
        <v>6554</v>
      </c>
      <c r="I3061" t="s">
        <v>85</v>
      </c>
      <c r="J3061" t="s">
        <v>22</v>
      </c>
      <c r="K3061" t="s">
        <v>1978</v>
      </c>
      <c r="L3061" t="s">
        <v>26698</v>
      </c>
      <c r="M3061" t="s">
        <v>25</v>
      </c>
      <c r="N3061" t="s">
        <v>26699</v>
      </c>
      <c r="O3061" t="s">
        <v>25</v>
      </c>
      <c r="P3061" t="s">
        <v>26700</v>
      </c>
      <c r="Q3061" t="s">
        <v>29</v>
      </c>
      <c r="R3061" t="s">
        <v>26696</v>
      </c>
      <c r="S3061" t="s">
        <v>26697</v>
      </c>
    </row>
    <row r="3062" spans="1:19" x14ac:dyDescent="0.25">
      <c r="A3062" s="1">
        <v>3060</v>
      </c>
      <c r="B3062" t="str">
        <f>HYPERLINK("https://www.dasschnelle.at/kofler-rafaela-feldkirchen-hauptplatz","Website")</f>
        <v>Website</v>
      </c>
      <c r="C3062" t="str">
        <f>HYPERLINK("http://www.physiotherapie-kofler.at","Website")</f>
        <v>Website</v>
      </c>
      <c r="D3062" t="str">
        <f>HYPERLINK("http://www.google.com/maps/place/46.7243015,14.0949822","Location")</f>
        <v>Location</v>
      </c>
      <c r="E3062" t="s">
        <v>26701</v>
      </c>
      <c r="F3062" t="s">
        <v>26702</v>
      </c>
      <c r="G3062" t="s">
        <v>8498</v>
      </c>
      <c r="H3062" t="s">
        <v>8530</v>
      </c>
      <c r="I3062" t="s">
        <v>4130</v>
      </c>
      <c r="J3062" t="s">
        <v>22</v>
      </c>
      <c r="K3062" t="s">
        <v>11223</v>
      </c>
      <c r="L3062" t="s">
        <v>26705</v>
      </c>
      <c r="M3062" t="s">
        <v>25</v>
      </c>
      <c r="N3062" t="s">
        <v>26706</v>
      </c>
      <c r="O3062" t="s">
        <v>25</v>
      </c>
      <c r="P3062" t="s">
        <v>26707</v>
      </c>
      <c r="Q3062" t="s">
        <v>29</v>
      </c>
      <c r="R3062" t="s">
        <v>26703</v>
      </c>
      <c r="S3062" t="s">
        <v>26704</v>
      </c>
    </row>
    <row r="3063" spans="1:19" x14ac:dyDescent="0.25">
      <c r="A3063" s="1">
        <v>3061</v>
      </c>
      <c r="B3063" t="str">
        <f>HYPERLINK("https://www.dasschnelle.at/kreuzer-josef-innerschwand-wangau","Website")</f>
        <v>Website</v>
      </c>
      <c r="C3063" t="str">
        <f>HYPERLINK("http://www.holzbau-kreuzer.at","Website")</f>
        <v>Website</v>
      </c>
      <c r="D3063" t="str">
        <f>HYPERLINK("http://www.google.com/maps/place/47.84115,13.43061","Location")</f>
        <v>Location</v>
      </c>
      <c r="E3063" t="s">
        <v>26708</v>
      </c>
      <c r="F3063" t="s">
        <v>26709</v>
      </c>
      <c r="G3063" t="s">
        <v>26711</v>
      </c>
      <c r="H3063" t="s">
        <v>26712</v>
      </c>
      <c r="I3063" t="s">
        <v>85</v>
      </c>
      <c r="J3063" t="s">
        <v>22</v>
      </c>
      <c r="K3063" t="s">
        <v>26710</v>
      </c>
      <c r="L3063" t="s">
        <v>26715</v>
      </c>
      <c r="M3063" t="s">
        <v>25</v>
      </c>
      <c r="N3063" t="s">
        <v>26716</v>
      </c>
      <c r="O3063" t="s">
        <v>25</v>
      </c>
      <c r="P3063" t="s">
        <v>26717</v>
      </c>
      <c r="Q3063" t="s">
        <v>29</v>
      </c>
      <c r="R3063" t="s">
        <v>26713</v>
      </c>
      <c r="S3063" t="s">
        <v>26714</v>
      </c>
    </row>
    <row r="3064" spans="1:19" x14ac:dyDescent="0.25">
      <c r="A3064" s="1">
        <v>3062</v>
      </c>
      <c r="B3064" t="str">
        <f>HYPERLINK("https://www.dasschnelle.at/der-poolbauer-gmbh-mario-grabner-pottenstein-schlattengasse","Website")</f>
        <v>Website</v>
      </c>
      <c r="C3064" t="str">
        <f>HYPERLINK("http://www.der-poolbauer.at","Website")</f>
        <v>Website</v>
      </c>
      <c r="D3064" t="str">
        <f>HYPERLINK("http://www.google.com/maps/place/47.9613800,16.0934800","Location")</f>
        <v>Location</v>
      </c>
      <c r="E3064" t="s">
        <v>26718</v>
      </c>
      <c r="F3064" t="s">
        <v>26719</v>
      </c>
      <c r="G3064" t="s">
        <v>24300</v>
      </c>
      <c r="H3064" t="s">
        <v>24301</v>
      </c>
      <c r="I3064" t="s">
        <v>177</v>
      </c>
      <c r="J3064" t="s">
        <v>22</v>
      </c>
      <c r="K3064" t="s">
        <v>26720</v>
      </c>
      <c r="L3064" t="s">
        <v>26721</v>
      </c>
      <c r="M3064" t="s">
        <v>25</v>
      </c>
      <c r="N3064" t="s">
        <v>24305</v>
      </c>
      <c r="O3064" t="s">
        <v>25</v>
      </c>
      <c r="P3064" t="s">
        <v>26722</v>
      </c>
      <c r="Q3064" t="s">
        <v>29</v>
      </c>
      <c r="R3064" t="s">
        <v>24302</v>
      </c>
      <c r="S3064" t="s">
        <v>24303</v>
      </c>
    </row>
    <row r="3065" spans="1:19" x14ac:dyDescent="0.25">
      <c r="A3065" s="1">
        <v>3063</v>
      </c>
      <c r="B3065" t="str">
        <f>HYPERLINK("https://www.dasschnelle.at/bestattung-obermüller-a-kg-neumarkt-im-mühlkreis-salzstraße","Website")</f>
        <v>Website</v>
      </c>
      <c r="C3065" t="str">
        <f>HYPERLINK("http://www.bestattung-obermueller.at","Website")</f>
        <v>Website</v>
      </c>
      <c r="D3065" t="str">
        <f>HYPERLINK("http://www.google.com/maps/place/48.42778,14.48564","Location")</f>
        <v>Location</v>
      </c>
      <c r="E3065" t="s">
        <v>26723</v>
      </c>
      <c r="F3065" t="s">
        <v>26724</v>
      </c>
      <c r="G3065" t="s">
        <v>6910</v>
      </c>
      <c r="H3065" t="s">
        <v>6911</v>
      </c>
      <c r="I3065" t="s">
        <v>85</v>
      </c>
      <c r="J3065" t="s">
        <v>22</v>
      </c>
      <c r="K3065" t="s">
        <v>26725</v>
      </c>
      <c r="L3065" t="s">
        <v>26728</v>
      </c>
      <c r="M3065" t="s">
        <v>26729</v>
      </c>
      <c r="N3065" t="s">
        <v>26730</v>
      </c>
      <c r="O3065" t="s">
        <v>25</v>
      </c>
      <c r="P3065" t="s">
        <v>26731</v>
      </c>
      <c r="Q3065" t="s">
        <v>29</v>
      </c>
      <c r="R3065" t="s">
        <v>26726</v>
      </c>
      <c r="S3065" t="s">
        <v>26727</v>
      </c>
    </row>
    <row r="3066" spans="1:19" x14ac:dyDescent="0.25">
      <c r="A3066" s="1">
        <v>3064</v>
      </c>
      <c r="B3066" t="str">
        <f>HYPERLINK("https://www.dasschnelle.at/pointner-roman-unterweißenbach-obermühl","Website")</f>
        <v>Website</v>
      </c>
      <c r="C3066" t="str">
        <f>HYPERLINK("http://www.ortho-pointner.at","Website")</f>
        <v>Website</v>
      </c>
      <c r="D3066" t="str">
        <f>HYPERLINK("http://www.google.com/maps/place/48.4464439,14.7826043","Location")</f>
        <v>Location</v>
      </c>
      <c r="E3066" t="s">
        <v>26732</v>
      </c>
      <c r="F3066" t="s">
        <v>26733</v>
      </c>
      <c r="G3066" t="s">
        <v>26623</v>
      </c>
      <c r="H3066" t="s">
        <v>26735</v>
      </c>
      <c r="I3066" t="s">
        <v>85</v>
      </c>
      <c r="J3066" t="s">
        <v>22</v>
      </c>
      <c r="K3066" t="s">
        <v>26734</v>
      </c>
      <c r="L3066" t="s">
        <v>26738</v>
      </c>
      <c r="M3066" t="s">
        <v>25</v>
      </c>
      <c r="N3066" t="s">
        <v>26739</v>
      </c>
      <c r="O3066" t="s">
        <v>25</v>
      </c>
      <c r="P3066" t="s">
        <v>26740</v>
      </c>
      <c r="Q3066" t="s">
        <v>29</v>
      </c>
      <c r="R3066" t="s">
        <v>26736</v>
      </c>
      <c r="S3066" t="s">
        <v>26737</v>
      </c>
    </row>
    <row r="3067" spans="1:19" x14ac:dyDescent="0.25">
      <c r="A3067" s="1">
        <v>3065</v>
      </c>
      <c r="B3067" t="str">
        <f>HYPERLINK("https://www.dasschnelle.at/biobäckerei-stöcher-e-u-bad-zell-marktplatz","Website")</f>
        <v>Website</v>
      </c>
      <c r="C3067" t="str">
        <f>HYPERLINK("http://www.stoecher.at","Website")</f>
        <v>Website</v>
      </c>
      <c r="D3067" t="str">
        <f>HYPERLINK("http://www.google.com/maps/place/48.34955,14.67007","Location")</f>
        <v>Location</v>
      </c>
      <c r="E3067" t="s">
        <v>26741</v>
      </c>
      <c r="F3067" t="s">
        <v>26742</v>
      </c>
      <c r="G3067" t="s">
        <v>6930</v>
      </c>
      <c r="H3067" t="s">
        <v>6931</v>
      </c>
      <c r="I3067" t="s">
        <v>85</v>
      </c>
      <c r="J3067" t="s">
        <v>22</v>
      </c>
      <c r="K3067" t="s">
        <v>2989</v>
      </c>
      <c r="L3067" t="s">
        <v>26745</v>
      </c>
      <c r="M3067" t="s">
        <v>25</v>
      </c>
      <c r="N3067" t="s">
        <v>26746</v>
      </c>
      <c r="O3067" t="s">
        <v>25</v>
      </c>
      <c r="P3067" t="s">
        <v>26747</v>
      </c>
      <c r="Q3067" t="s">
        <v>29</v>
      </c>
      <c r="R3067" t="s">
        <v>26743</v>
      </c>
      <c r="S3067" t="s">
        <v>26744</v>
      </c>
    </row>
    <row r="3068" spans="1:19" x14ac:dyDescent="0.25">
      <c r="A3068" s="1">
        <v>3066</v>
      </c>
      <c r="B3068" t="str">
        <f>HYPERLINK("https://www.dasschnelle.at/hofmaninger-maximilian-dr-vöcklabruck-stadtplatz","Website")</f>
        <v>Website</v>
      </c>
      <c r="C3068" t="str">
        <f>HYPERLINK("http://www.hofmaninger.at","Website")</f>
        <v>Website</v>
      </c>
      <c r="D3068" t="str">
        <f>HYPERLINK("http://www.google.com/maps/place/48.00857,13.65527","Location")</f>
        <v>Location</v>
      </c>
      <c r="E3068" t="s">
        <v>26748</v>
      </c>
      <c r="F3068" t="s">
        <v>26749</v>
      </c>
      <c r="G3068" t="s">
        <v>3749</v>
      </c>
      <c r="H3068" t="s">
        <v>3750</v>
      </c>
      <c r="I3068" t="s">
        <v>85</v>
      </c>
      <c r="J3068" t="s">
        <v>22</v>
      </c>
      <c r="K3068" t="s">
        <v>26750</v>
      </c>
      <c r="L3068" t="s">
        <v>26752</v>
      </c>
      <c r="M3068" t="s">
        <v>25</v>
      </c>
      <c r="N3068" t="s">
        <v>26753</v>
      </c>
      <c r="O3068" t="s">
        <v>25</v>
      </c>
      <c r="P3068" t="s">
        <v>26754</v>
      </c>
      <c r="Q3068" t="s">
        <v>29</v>
      </c>
      <c r="R3068" t="s">
        <v>26751</v>
      </c>
      <c r="S3068" t="s">
        <v>8959</v>
      </c>
    </row>
    <row r="3069" spans="1:19" x14ac:dyDescent="0.25">
      <c r="A3069" s="1">
        <v>3067</v>
      </c>
      <c r="B3069" t="str">
        <f>HYPERLINK("https://www.dasschnelle.at/sereinig-patrick-feldkirchen-in-kärnten-glan","Website")</f>
        <v>Website</v>
      </c>
      <c r="C3069" t="str">
        <f>HYPERLINK("https://www.dasschnelle.at/sereinig-patrick-feldkirchen-in-k%C3%A4rnten-glan","Website")</f>
        <v>Website</v>
      </c>
      <c r="D3069" t="str">
        <f>HYPERLINK("http://www.google.com/maps/place/46.7247721,14.1341404","Location")</f>
        <v>Location</v>
      </c>
      <c r="E3069" t="s">
        <v>26755</v>
      </c>
      <c r="F3069" t="s">
        <v>26756</v>
      </c>
      <c r="G3069" t="s">
        <v>8498</v>
      </c>
      <c r="H3069" t="s">
        <v>8499</v>
      </c>
      <c r="I3069" t="s">
        <v>4130</v>
      </c>
      <c r="J3069" t="s">
        <v>22</v>
      </c>
      <c r="K3069" t="s">
        <v>26757</v>
      </c>
      <c r="L3069" t="s">
        <v>26760</v>
      </c>
      <c r="M3069" t="s">
        <v>25</v>
      </c>
      <c r="N3069" t="s">
        <v>26761</v>
      </c>
      <c r="O3069" t="s">
        <v>25</v>
      </c>
      <c r="P3069" t="s">
        <v>26762</v>
      </c>
      <c r="Q3069" t="s">
        <v>29</v>
      </c>
      <c r="R3069" t="s">
        <v>26758</v>
      </c>
      <c r="S3069" t="s">
        <v>26759</v>
      </c>
    </row>
    <row r="3070" spans="1:19" x14ac:dyDescent="0.25">
      <c r="A3070" s="1">
        <v>3068</v>
      </c>
      <c r="B3070" t="str">
        <f>HYPERLINK("https://www.dasschnelle.at/füsgen-ingrid-dr-med-vöcklabruck-stadtplatz","Website")</f>
        <v>Website</v>
      </c>
      <c r="C3070" t="str">
        <f>HYPERLINK("http://www.dr-fuesgen.stadtausstellung.at","Website")</f>
        <v>Website</v>
      </c>
      <c r="D3070" t="str">
        <f>HYPERLINK("http://www.google.com/maps/place/48.00779,13.65307","Location")</f>
        <v>Location</v>
      </c>
      <c r="E3070" t="s">
        <v>26763</v>
      </c>
      <c r="F3070" t="s">
        <v>26764</v>
      </c>
      <c r="G3070" t="s">
        <v>3749</v>
      </c>
      <c r="H3070" t="s">
        <v>3750</v>
      </c>
      <c r="I3070" t="s">
        <v>85</v>
      </c>
      <c r="J3070" t="s">
        <v>22</v>
      </c>
      <c r="K3070" t="s">
        <v>26036</v>
      </c>
      <c r="L3070" t="s">
        <v>26765</v>
      </c>
      <c r="M3070" t="s">
        <v>25</v>
      </c>
      <c r="N3070" t="s">
        <v>26766</v>
      </c>
      <c r="O3070" t="s">
        <v>25</v>
      </c>
      <c r="P3070" t="s">
        <v>26767</v>
      </c>
      <c r="Q3070" t="s">
        <v>29</v>
      </c>
      <c r="R3070" t="s">
        <v>26037</v>
      </c>
      <c r="S3070" t="s">
        <v>26038</v>
      </c>
    </row>
    <row r="3071" spans="1:19" x14ac:dyDescent="0.25">
      <c r="A3071" s="1">
        <v>3069</v>
      </c>
      <c r="B3071" t="str">
        <f>HYPERLINK("https://www.dasschnelle.at/niedermayr-dr-med-gampern-weidenstraße","Website")</f>
        <v>Website</v>
      </c>
      <c r="C3071" t="str">
        <f>HYPERLINK("https://www.dasschnelle.at/niedermayr-dr-med-gampern-weidenstra%C3%9Fe","Website")</f>
        <v>Website</v>
      </c>
      <c r="D3071" t="str">
        <f>HYPERLINK("http://www.google.com/maps/place/47.9871351,13.5527658","Location")</f>
        <v>Location</v>
      </c>
      <c r="E3071" t="s">
        <v>26768</v>
      </c>
      <c r="F3071" t="s">
        <v>26769</v>
      </c>
      <c r="G3071" t="s">
        <v>26771</v>
      </c>
      <c r="H3071" t="s">
        <v>26772</v>
      </c>
      <c r="I3071" t="s">
        <v>85</v>
      </c>
      <c r="J3071" t="s">
        <v>22</v>
      </c>
      <c r="K3071" t="s">
        <v>26770</v>
      </c>
      <c r="L3071" t="s">
        <v>26775</v>
      </c>
      <c r="M3071" t="s">
        <v>25</v>
      </c>
      <c r="N3071" t="s">
        <v>26776</v>
      </c>
      <c r="O3071" t="s">
        <v>25</v>
      </c>
      <c r="P3071" t="s">
        <v>26777</v>
      </c>
      <c r="Q3071" t="s">
        <v>29</v>
      </c>
      <c r="R3071" t="s">
        <v>26773</v>
      </c>
      <c r="S3071" t="s">
        <v>26774</v>
      </c>
    </row>
    <row r="3072" spans="1:19" x14ac:dyDescent="0.25">
      <c r="A3072" s="1">
        <v>3070</v>
      </c>
      <c r="B3072" t="str">
        <f>HYPERLINK("https://www.dasschnelle.at/meisterwerkstatt-wimmer-ernst-sankt-johann-im-pongau-hubweg","Website")</f>
        <v>Website</v>
      </c>
      <c r="C3072" t="str">
        <f>HYPERLINK("http://www.meisterwerkstatt.cc","Website")</f>
        <v>Website</v>
      </c>
      <c r="D3072" t="str">
        <f>HYPERLINK("http://www.google.com/maps/place/47.34754,13.20922","Location")</f>
        <v>Location</v>
      </c>
      <c r="E3072" t="s">
        <v>26778</v>
      </c>
      <c r="F3072" t="s">
        <v>26779</v>
      </c>
      <c r="G3072" t="s">
        <v>24837</v>
      </c>
      <c r="H3072" t="s">
        <v>24838</v>
      </c>
      <c r="I3072" t="s">
        <v>2239</v>
      </c>
      <c r="J3072" t="s">
        <v>22</v>
      </c>
      <c r="K3072" t="s">
        <v>26780</v>
      </c>
      <c r="L3072" t="s">
        <v>26783</v>
      </c>
      <c r="M3072" t="s">
        <v>25</v>
      </c>
      <c r="N3072" t="s">
        <v>26784</v>
      </c>
      <c r="O3072" t="s">
        <v>26785</v>
      </c>
      <c r="P3072" t="s">
        <v>26786</v>
      </c>
      <c r="Q3072" t="s">
        <v>29</v>
      </c>
      <c r="R3072" t="s">
        <v>26781</v>
      </c>
      <c r="S3072" t="s">
        <v>26782</v>
      </c>
    </row>
    <row r="3073" spans="1:19" x14ac:dyDescent="0.25">
      <c r="A3073" s="1">
        <v>3071</v>
      </c>
      <c r="B3073" t="str">
        <f>HYPERLINK("https://www.dasschnelle.at/reichholf-johann-sankt-veit-im-pongau-sankt-veiter-straße","Website")</f>
        <v>Website</v>
      </c>
      <c r="C3073" t="str">
        <f>HYPERLINK("http://www.rr-immobilien.at","Website")</f>
        <v>Website</v>
      </c>
      <c r="D3073" t="str">
        <f>HYPERLINK("http://www.google.com/maps/place/47.32807,13.15785","Location")</f>
        <v>Location</v>
      </c>
      <c r="E3073" t="s">
        <v>26787</v>
      </c>
      <c r="F3073" t="s">
        <v>26788</v>
      </c>
      <c r="G3073" t="s">
        <v>26790</v>
      </c>
      <c r="H3073" t="s">
        <v>26791</v>
      </c>
      <c r="I3073" t="s">
        <v>2239</v>
      </c>
      <c r="J3073" t="s">
        <v>22</v>
      </c>
      <c r="K3073" t="s">
        <v>26789</v>
      </c>
      <c r="L3073" t="s">
        <v>26794</v>
      </c>
      <c r="M3073" t="s">
        <v>25</v>
      </c>
      <c r="N3073" t="s">
        <v>26795</v>
      </c>
      <c r="O3073" t="s">
        <v>25</v>
      </c>
      <c r="P3073" t="s">
        <v>26796</v>
      </c>
      <c r="Q3073" t="s">
        <v>29</v>
      </c>
      <c r="R3073" t="s">
        <v>26792</v>
      </c>
      <c r="S3073" t="s">
        <v>26793</v>
      </c>
    </row>
    <row r="3074" spans="1:19" x14ac:dyDescent="0.25">
      <c r="A3074" s="1">
        <v>3072</v>
      </c>
      <c r="B3074" t="str">
        <f>HYPERLINK("https://www.dasschnelle.at/gautsch-dachservice-gmbh-hunnenbrunn-gewerbezone","Website")</f>
        <v>Website</v>
      </c>
      <c r="C3074" t="str">
        <f>HYPERLINK("http://www.dachservice-gautsch.at","Website")</f>
        <v>Website</v>
      </c>
      <c r="D3074" t="str">
        <f>HYPERLINK("http://www.google.com/maps/place/46.79397,14.37638","Location")</f>
        <v>Location</v>
      </c>
      <c r="E3074" t="s">
        <v>26797</v>
      </c>
      <c r="F3074" t="s">
        <v>26798</v>
      </c>
      <c r="G3074" t="s">
        <v>9689</v>
      </c>
      <c r="H3074" t="s">
        <v>26800</v>
      </c>
      <c r="I3074" t="s">
        <v>4130</v>
      </c>
      <c r="J3074" t="s">
        <v>22</v>
      </c>
      <c r="K3074" t="s">
        <v>26799</v>
      </c>
      <c r="L3074" t="s">
        <v>26803</v>
      </c>
      <c r="M3074" t="s">
        <v>25</v>
      </c>
      <c r="N3074" t="s">
        <v>26804</v>
      </c>
      <c r="O3074" t="s">
        <v>25</v>
      </c>
      <c r="P3074" t="s">
        <v>26805</v>
      </c>
      <c r="Q3074" t="s">
        <v>29</v>
      </c>
      <c r="R3074" t="s">
        <v>26801</v>
      </c>
      <c r="S3074" t="s">
        <v>26802</v>
      </c>
    </row>
    <row r="3075" spans="1:19" x14ac:dyDescent="0.25">
      <c r="A3075" s="1">
        <v>3073</v>
      </c>
      <c r="B3075" t="str">
        <f>HYPERLINK("https://www.dasschnelle.at/regenfelder-bernhard-installations-spenglerei-heizungs-gmbh-liebenfels-ossiacher-bundesstraße","Website")</f>
        <v>Website</v>
      </c>
      <c r="C3075" t="str">
        <f>HYPERLINK("http://www.regenfelder.at","Website")</f>
        <v>Website</v>
      </c>
      <c r="D3075" t="str">
        <f>HYPERLINK("http://www.google.com/maps/place/46.74238,14.30396","Location")</f>
        <v>Location</v>
      </c>
      <c r="E3075" t="s">
        <v>26806</v>
      </c>
      <c r="F3075" t="s">
        <v>26807</v>
      </c>
      <c r="G3075" t="s">
        <v>26809</v>
      </c>
      <c r="H3075" t="s">
        <v>26810</v>
      </c>
      <c r="I3075" t="s">
        <v>4130</v>
      </c>
      <c r="J3075" t="s">
        <v>22</v>
      </c>
      <c r="K3075" t="s">
        <v>26808</v>
      </c>
      <c r="L3075" t="s">
        <v>26813</v>
      </c>
      <c r="M3075" t="s">
        <v>25</v>
      </c>
      <c r="N3075" t="s">
        <v>26814</v>
      </c>
      <c r="O3075" t="s">
        <v>26815</v>
      </c>
      <c r="P3075" t="s">
        <v>26816</v>
      </c>
      <c r="Q3075" t="s">
        <v>29</v>
      </c>
      <c r="R3075" t="s">
        <v>26811</v>
      </c>
      <c r="S3075" t="s">
        <v>26812</v>
      </c>
    </row>
    <row r="3076" spans="1:19" x14ac:dyDescent="0.25">
      <c r="A3076" s="1">
        <v>3074</v>
      </c>
      <c r="B3076" t="str">
        <f>HYPERLINK("https://www.dasschnelle.at/km-bau-gmbh-guttaring-silbereggerstraße","Website")</f>
        <v>Website</v>
      </c>
      <c r="C3076" t="str">
        <f>HYPERLINK("http://www.kmbau.co.at","Website")</f>
        <v>Website</v>
      </c>
      <c r="D3076" t="str">
        <f>HYPERLINK("http://www.google.com/maps/place/46.88969,14.51035","Location")</f>
        <v>Location</v>
      </c>
      <c r="E3076" t="s">
        <v>26817</v>
      </c>
      <c r="F3076" t="s">
        <v>26818</v>
      </c>
      <c r="G3076" t="s">
        <v>9648</v>
      </c>
      <c r="H3076" t="s">
        <v>9649</v>
      </c>
      <c r="I3076" t="s">
        <v>4130</v>
      </c>
      <c r="J3076" t="s">
        <v>22</v>
      </c>
      <c r="K3076" t="s">
        <v>26819</v>
      </c>
      <c r="L3076" t="s">
        <v>26822</v>
      </c>
      <c r="M3076" t="s">
        <v>25</v>
      </c>
      <c r="N3076" t="s">
        <v>26823</v>
      </c>
      <c r="O3076" t="s">
        <v>26824</v>
      </c>
      <c r="P3076" t="s">
        <v>26825</v>
      </c>
      <c r="Q3076" t="s">
        <v>29</v>
      </c>
      <c r="R3076" t="s">
        <v>26820</v>
      </c>
      <c r="S3076" t="s">
        <v>26821</v>
      </c>
    </row>
    <row r="3077" spans="1:19" x14ac:dyDescent="0.25">
      <c r="A3077" s="1">
        <v>3075</v>
      </c>
      <c r="B3077" t="str">
        <f>HYPERLINK("https://www.dasschnelle.at/bestattung-ing-markus-luger-kg-sigharting-hauptstraße","Website")</f>
        <v>Website</v>
      </c>
      <c r="C3077" t="str">
        <f>HYPERLINK("http://www.bestattung-luger.at","Website")</f>
        <v>Website</v>
      </c>
      <c r="D3077" t="str">
        <f>HYPERLINK("http://www.google.com/maps/place/48.3957,13.59788","Location")</f>
        <v>Location</v>
      </c>
      <c r="E3077" t="s">
        <v>26826</v>
      </c>
      <c r="F3077" t="s">
        <v>26827</v>
      </c>
      <c r="G3077" t="s">
        <v>11921</v>
      </c>
      <c r="H3077" t="s">
        <v>11922</v>
      </c>
      <c r="I3077" t="s">
        <v>85</v>
      </c>
      <c r="J3077" t="s">
        <v>22</v>
      </c>
      <c r="K3077" t="s">
        <v>6211</v>
      </c>
      <c r="L3077" t="s">
        <v>26830</v>
      </c>
      <c r="M3077" t="s">
        <v>25</v>
      </c>
      <c r="N3077" t="s">
        <v>26831</v>
      </c>
      <c r="O3077" t="s">
        <v>25</v>
      </c>
      <c r="P3077" t="s">
        <v>26832</v>
      </c>
      <c r="Q3077" t="s">
        <v>29</v>
      </c>
      <c r="R3077" t="s">
        <v>26828</v>
      </c>
      <c r="S3077" t="s">
        <v>26829</v>
      </c>
    </row>
    <row r="3078" spans="1:19" x14ac:dyDescent="0.25">
      <c r="A3078" s="1">
        <v>3076</v>
      </c>
      <c r="B3078" t="str">
        <f>HYPERLINK("https://www.dasschnelle.at/dahedl-raumausstatter-e-u-perg-thurnhof","Website")</f>
        <v>Website</v>
      </c>
      <c r="C3078" t="str">
        <f>HYPERLINK("http://www.dahedl-raumausstatter.at","Website")</f>
        <v>Website</v>
      </c>
      <c r="D3078" t="str">
        <f>HYPERLINK("http://www.google.com/maps/place/48.2453308,14.6594109","Location")</f>
        <v>Location</v>
      </c>
      <c r="E3078" t="s">
        <v>26833</v>
      </c>
      <c r="F3078" t="s">
        <v>26834</v>
      </c>
      <c r="G3078" t="s">
        <v>6379</v>
      </c>
      <c r="H3078" t="s">
        <v>6380</v>
      </c>
      <c r="I3078" t="s">
        <v>85</v>
      </c>
      <c r="J3078" t="s">
        <v>22</v>
      </c>
      <c r="K3078" t="s">
        <v>26835</v>
      </c>
      <c r="L3078" t="s">
        <v>26838</v>
      </c>
      <c r="M3078" t="s">
        <v>25</v>
      </c>
      <c r="N3078" t="s">
        <v>26839</v>
      </c>
      <c r="O3078" t="s">
        <v>25</v>
      </c>
      <c r="P3078" t="s">
        <v>26840</v>
      </c>
      <c r="Q3078" t="s">
        <v>29</v>
      </c>
      <c r="R3078" t="s">
        <v>26836</v>
      </c>
      <c r="S3078" t="s">
        <v>26837</v>
      </c>
    </row>
    <row r="3079" spans="1:19" x14ac:dyDescent="0.25">
      <c r="A3079" s="1">
        <v>3077</v>
      </c>
      <c r="B3079" t="str">
        <f>HYPERLINK("https://www.dasschnelle.at/hausböck-gebäudetechnik-gmbh-perg-zeitling","Website")</f>
        <v>Website</v>
      </c>
      <c r="C3079" t="str">
        <f>HYPERLINK("https://www.dasschnelle.at/hausb%C3%B6ck-geb%C3%A4udetechnik-gmbh-perg-zeitling","Website")</f>
        <v>Website</v>
      </c>
      <c r="D3079" t="str">
        <f>HYPERLINK("http://www.google.com/maps/place/48.2520000,14.6173300","Location")</f>
        <v>Location</v>
      </c>
      <c r="E3079" t="s">
        <v>26841</v>
      </c>
      <c r="F3079" t="s">
        <v>26842</v>
      </c>
      <c r="G3079" t="s">
        <v>6379</v>
      </c>
      <c r="H3079" t="s">
        <v>6380</v>
      </c>
      <c r="I3079" t="s">
        <v>85</v>
      </c>
      <c r="J3079" t="s">
        <v>22</v>
      </c>
      <c r="K3079" t="s">
        <v>26843</v>
      </c>
      <c r="L3079" t="s">
        <v>26846</v>
      </c>
      <c r="M3079" t="s">
        <v>26847</v>
      </c>
      <c r="N3079" t="s">
        <v>26848</v>
      </c>
      <c r="O3079" t="s">
        <v>25</v>
      </c>
      <c r="P3079" t="s">
        <v>26849</v>
      </c>
      <c r="Q3079" t="s">
        <v>29</v>
      </c>
      <c r="R3079" t="s">
        <v>26844</v>
      </c>
      <c r="S3079" t="s">
        <v>26845</v>
      </c>
    </row>
    <row r="3080" spans="1:19" x14ac:dyDescent="0.25">
      <c r="A3080" s="1">
        <v>3078</v>
      </c>
      <c r="B3080" t="str">
        <f>HYPERLINK("https://www.dasschnelle.at/böckl-erdbau-u-abbruch-gmbh-st-gilgen-segenwald","Website")</f>
        <v>Website</v>
      </c>
      <c r="C3080" t="str">
        <f>HYPERLINK("http://www.boeckl.com","Website")</f>
        <v>Website</v>
      </c>
      <c r="D3080" t="str">
        <f>HYPERLINK("http://www.google.com/maps/place/47.79152,13.33328","Location")</f>
        <v>Location</v>
      </c>
      <c r="E3080" t="s">
        <v>26850</v>
      </c>
      <c r="F3080" t="s">
        <v>26851</v>
      </c>
      <c r="G3080" t="s">
        <v>2326</v>
      </c>
      <c r="H3080" t="s">
        <v>26853</v>
      </c>
      <c r="I3080" t="s">
        <v>2239</v>
      </c>
      <c r="J3080" t="s">
        <v>22</v>
      </c>
      <c r="K3080" t="s">
        <v>26852</v>
      </c>
      <c r="L3080" t="s">
        <v>26856</v>
      </c>
      <c r="M3080" t="s">
        <v>26857</v>
      </c>
      <c r="N3080" t="s">
        <v>26858</v>
      </c>
      <c r="O3080" t="s">
        <v>26859</v>
      </c>
      <c r="P3080" t="s">
        <v>26860</v>
      </c>
      <c r="Q3080" t="s">
        <v>29</v>
      </c>
      <c r="R3080" t="s">
        <v>26854</v>
      </c>
      <c r="S3080" t="s">
        <v>26855</v>
      </c>
    </row>
    <row r="3081" spans="1:19" x14ac:dyDescent="0.25">
      <c r="A3081" s="1">
        <v>3079</v>
      </c>
      <c r="B3081" t="str">
        <f>HYPERLINK("https://www.dasschnelle.at/pizzeria-konrad-voggau-straß-reichstraße","Website")</f>
        <v>Website</v>
      </c>
      <c r="C3081" t="str">
        <f>HYPERLINK("https://www.dasschnelle.at/pizzeria-konrad-voggau-stra%C3%9F-reichstra%C3%9Fe","Website")</f>
        <v>Website</v>
      </c>
      <c r="D3081" t="str">
        <f>HYPERLINK("http://www.google.com/maps/place/46.7326652,15.6121184","Location")</f>
        <v>Location</v>
      </c>
      <c r="E3081" t="s">
        <v>26861</v>
      </c>
      <c r="F3081" t="s">
        <v>26862</v>
      </c>
      <c r="G3081" t="s">
        <v>25216</v>
      </c>
      <c r="H3081" t="s">
        <v>26864</v>
      </c>
      <c r="I3081" t="s">
        <v>451</v>
      </c>
      <c r="J3081" t="s">
        <v>22</v>
      </c>
      <c r="K3081" t="s">
        <v>26863</v>
      </c>
      <c r="L3081" t="s">
        <v>26867</v>
      </c>
      <c r="M3081" t="s">
        <v>25</v>
      </c>
      <c r="N3081" t="s">
        <v>26868</v>
      </c>
      <c r="O3081" t="s">
        <v>26869</v>
      </c>
      <c r="P3081" t="s">
        <v>26870</v>
      </c>
      <c r="Q3081" t="s">
        <v>29</v>
      </c>
      <c r="R3081" t="s">
        <v>26865</v>
      </c>
      <c r="S3081" t="s">
        <v>26866</v>
      </c>
    </row>
    <row r="3082" spans="1:19" x14ac:dyDescent="0.25">
      <c r="A3082" s="1">
        <v>3080</v>
      </c>
      <c r="B3082" t="str">
        <f>HYPERLINK("https://www.dasschnelle.at/biringer-peter-aisting-furth","Website")</f>
        <v>Website</v>
      </c>
      <c r="C3082" t="str">
        <f>HYPERLINK("http://www.biringer-estra.at","Website")</f>
        <v>Website</v>
      </c>
      <c r="D3082" t="str">
        <f>HYPERLINK("http://www.google.com/maps/place/48.25118,14.58435","Location")</f>
        <v>Location</v>
      </c>
      <c r="E3082" t="s">
        <v>26871</v>
      </c>
      <c r="F3082" t="s">
        <v>26872</v>
      </c>
      <c r="G3082" t="s">
        <v>6415</v>
      </c>
      <c r="H3082" t="s">
        <v>26874</v>
      </c>
      <c r="I3082" t="s">
        <v>85</v>
      </c>
      <c r="J3082" t="s">
        <v>22</v>
      </c>
      <c r="K3082" t="s">
        <v>26873</v>
      </c>
      <c r="L3082" t="s">
        <v>26877</v>
      </c>
      <c r="M3082" t="s">
        <v>26878</v>
      </c>
      <c r="N3082" t="s">
        <v>26879</v>
      </c>
      <c r="O3082" t="s">
        <v>25</v>
      </c>
      <c r="P3082" t="s">
        <v>26880</v>
      </c>
      <c r="Q3082" t="s">
        <v>29</v>
      </c>
      <c r="R3082" t="s">
        <v>26875</v>
      </c>
      <c r="S3082" t="s">
        <v>26876</v>
      </c>
    </row>
    <row r="3083" spans="1:19" x14ac:dyDescent="0.25">
      <c r="A3083" s="1">
        <v>3081</v>
      </c>
      <c r="B3083" t="str">
        <f>HYPERLINK("https://www.dasschnelle.at/obermeier-und-partner-wirtschaftsprüfungs-u-steuerberatungs-gmbh-vöcklabruck-wartenburger-straße","Website")</f>
        <v>Website</v>
      </c>
      <c r="C3083" t="str">
        <f>HYPERLINK("http://www.obermeier.net","Website")</f>
        <v>Website</v>
      </c>
      <c r="D3083" t="str">
        <f>HYPERLINK("http://www.google.com/maps/place/48.0046650,13.6438610","Location")</f>
        <v>Location</v>
      </c>
      <c r="E3083" t="s">
        <v>26881</v>
      </c>
      <c r="F3083" t="s">
        <v>26882</v>
      </c>
      <c r="G3083" t="s">
        <v>3749</v>
      </c>
      <c r="H3083" t="s">
        <v>3750</v>
      </c>
      <c r="I3083" t="s">
        <v>85</v>
      </c>
      <c r="J3083" t="s">
        <v>22</v>
      </c>
      <c r="K3083" t="s">
        <v>26883</v>
      </c>
      <c r="L3083" t="s">
        <v>26886</v>
      </c>
      <c r="M3083" t="s">
        <v>26887</v>
      </c>
      <c r="N3083" t="s">
        <v>26888</v>
      </c>
      <c r="O3083" t="s">
        <v>25</v>
      </c>
      <c r="P3083" t="s">
        <v>26889</v>
      </c>
      <c r="Q3083" t="s">
        <v>29</v>
      </c>
      <c r="R3083" t="s">
        <v>26884</v>
      </c>
      <c r="S3083" t="s">
        <v>26885</v>
      </c>
    </row>
    <row r="3084" spans="1:19" x14ac:dyDescent="0.25">
      <c r="A3084" s="1">
        <v>3082</v>
      </c>
      <c r="B3084" t="str">
        <f>HYPERLINK("https://www.dasschnelle.at/rotex-e-u-diersbach-alfersham","Website")</f>
        <v>Website</v>
      </c>
      <c r="C3084" t="str">
        <f>HYPERLINK("http://www.rotex-sonnenschutz.at","Website")</f>
        <v>Website</v>
      </c>
      <c r="D3084" t="str">
        <f>HYPERLINK("http://www.google.com/maps/place/48.4010123,13.5778837","Location")</f>
        <v>Location</v>
      </c>
      <c r="E3084" t="s">
        <v>26890</v>
      </c>
      <c r="F3084" t="s">
        <v>26891</v>
      </c>
      <c r="G3084" t="s">
        <v>26893</v>
      </c>
      <c r="H3084" t="s">
        <v>26894</v>
      </c>
      <c r="I3084" t="s">
        <v>85</v>
      </c>
      <c r="J3084" t="s">
        <v>22</v>
      </c>
      <c r="K3084" t="s">
        <v>26892</v>
      </c>
      <c r="L3084" t="s">
        <v>26897</v>
      </c>
      <c r="M3084" t="s">
        <v>25</v>
      </c>
      <c r="N3084" t="s">
        <v>26898</v>
      </c>
      <c r="O3084" t="s">
        <v>26899</v>
      </c>
      <c r="P3084" t="s">
        <v>26900</v>
      </c>
      <c r="Q3084" t="s">
        <v>29</v>
      </c>
      <c r="R3084" t="s">
        <v>26895</v>
      </c>
      <c r="S3084" t="s">
        <v>26896</v>
      </c>
    </row>
    <row r="3085" spans="1:19" x14ac:dyDescent="0.25">
      <c r="A3085" s="1">
        <v>3083</v>
      </c>
      <c r="B3085" t="str">
        <f>HYPERLINK("https://www.dasschnelle.at/greisberger-martin-thalgau-unterdorfer-straße","Website")</f>
        <v>Website</v>
      </c>
      <c r="C3085" t="str">
        <f>HYPERLINK("http://www.greisberger-kacheloefen.at","Website")</f>
        <v>Website</v>
      </c>
      <c r="D3085" t="str">
        <f>HYPERLINK("http://www.google.com/maps/place/47.84114,13.23449","Location")</f>
        <v>Location</v>
      </c>
      <c r="E3085" t="s">
        <v>26901</v>
      </c>
      <c r="F3085" t="s">
        <v>26902</v>
      </c>
      <c r="G3085" t="s">
        <v>26904</v>
      </c>
      <c r="H3085" t="s">
        <v>26905</v>
      </c>
      <c r="I3085" t="s">
        <v>2239</v>
      </c>
      <c r="J3085" t="s">
        <v>22</v>
      </c>
      <c r="K3085" t="s">
        <v>26903</v>
      </c>
      <c r="L3085" t="s">
        <v>26908</v>
      </c>
      <c r="M3085" t="s">
        <v>25</v>
      </c>
      <c r="N3085" t="s">
        <v>26909</v>
      </c>
      <c r="O3085" t="s">
        <v>25</v>
      </c>
      <c r="P3085" t="s">
        <v>697</v>
      </c>
      <c r="Q3085" t="s">
        <v>29</v>
      </c>
      <c r="R3085" t="s">
        <v>26906</v>
      </c>
      <c r="S3085" t="s">
        <v>26907</v>
      </c>
    </row>
    <row r="3086" spans="1:19" x14ac:dyDescent="0.25">
      <c r="A3086" s="1">
        <v>3084</v>
      </c>
      <c r="B3086" t="str">
        <f>HYPERLINK("https://www.dasschnelle.at/bestattung-brixner-mauthausen-marktstraße","Website")</f>
        <v>Website</v>
      </c>
      <c r="C3086" t="str">
        <f>HYPERLINK("http://www.brixner-bestattung.at","Website")</f>
        <v>Website</v>
      </c>
      <c r="D3086" t="str">
        <f>HYPERLINK("http://www.google.com/maps/place/48.2407800,14.5176000","Location")</f>
        <v>Location</v>
      </c>
      <c r="E3086" t="s">
        <v>26910</v>
      </c>
      <c r="F3086" t="s">
        <v>26911</v>
      </c>
      <c r="G3086" t="s">
        <v>6513</v>
      </c>
      <c r="H3086" t="s">
        <v>6514</v>
      </c>
      <c r="I3086" t="s">
        <v>85</v>
      </c>
      <c r="J3086" t="s">
        <v>22</v>
      </c>
      <c r="K3086" t="s">
        <v>24970</v>
      </c>
      <c r="L3086" t="s">
        <v>26914</v>
      </c>
      <c r="M3086" t="s">
        <v>25</v>
      </c>
      <c r="N3086" t="s">
        <v>26915</v>
      </c>
      <c r="O3086" t="s">
        <v>26916</v>
      </c>
      <c r="P3086" t="s">
        <v>26917</v>
      </c>
      <c r="Q3086" t="s">
        <v>29</v>
      </c>
      <c r="R3086" t="s">
        <v>26912</v>
      </c>
      <c r="S3086" t="s">
        <v>26913</v>
      </c>
    </row>
    <row r="3087" spans="1:19" x14ac:dyDescent="0.25">
      <c r="A3087" s="1">
        <v>3085</v>
      </c>
      <c r="B3087" t="str">
        <f>HYPERLINK("https://www.dasschnelle.at/zauner-daniel-vöcklabruck-gmundner-straße","Website")</f>
        <v>Website</v>
      </c>
      <c r="C3087" t="str">
        <f>HYPERLINK("http://www.maler-zauner.at","Website")</f>
        <v>Website</v>
      </c>
      <c r="D3087" t="str">
        <f>HYPERLINK("http://www.google.com/maps/place/48.0086,13.65736","Location")</f>
        <v>Location</v>
      </c>
      <c r="E3087" t="s">
        <v>26918</v>
      </c>
      <c r="F3087" t="s">
        <v>26919</v>
      </c>
      <c r="G3087" t="s">
        <v>3749</v>
      </c>
      <c r="H3087" t="s">
        <v>3750</v>
      </c>
      <c r="I3087" t="s">
        <v>85</v>
      </c>
      <c r="J3087" t="s">
        <v>22</v>
      </c>
      <c r="K3087" t="s">
        <v>26920</v>
      </c>
      <c r="L3087" t="s">
        <v>26923</v>
      </c>
      <c r="M3087" t="s">
        <v>25</v>
      </c>
      <c r="N3087" t="s">
        <v>26924</v>
      </c>
      <c r="O3087" t="s">
        <v>26925</v>
      </c>
      <c r="P3087" t="s">
        <v>26926</v>
      </c>
      <c r="Q3087" t="s">
        <v>29</v>
      </c>
      <c r="R3087" t="s">
        <v>26921</v>
      </c>
      <c r="S3087" t="s">
        <v>26922</v>
      </c>
    </row>
    <row r="3088" spans="1:19" x14ac:dyDescent="0.25">
      <c r="A3088" s="1">
        <v>3086</v>
      </c>
      <c r="B3088" t="str">
        <f>HYPERLINK("https://www.dasschnelle.at/mayrhofer-a-dr-schörfling-gmundnerstraße","Website")</f>
        <v>Website</v>
      </c>
      <c r="C3088" t="str">
        <f>HYPERLINK("http://www.wegzumrecht.at","Website")</f>
        <v>Website</v>
      </c>
      <c r="D3088" t="str">
        <f>HYPERLINK("http://www.google.com/maps/place/47.9464480,13.6053347","Location")</f>
        <v>Location</v>
      </c>
      <c r="E3088" t="s">
        <v>26927</v>
      </c>
      <c r="F3088" t="s">
        <v>26928</v>
      </c>
      <c r="G3088" t="s">
        <v>3851</v>
      </c>
      <c r="H3088" t="s">
        <v>3852</v>
      </c>
      <c r="I3088" t="s">
        <v>85</v>
      </c>
      <c r="J3088" t="s">
        <v>22</v>
      </c>
      <c r="K3088" t="s">
        <v>26929</v>
      </c>
      <c r="L3088" t="s">
        <v>26932</v>
      </c>
      <c r="M3088" t="s">
        <v>25</v>
      </c>
      <c r="N3088" t="s">
        <v>26933</v>
      </c>
      <c r="O3088" t="s">
        <v>25</v>
      </c>
      <c r="P3088" t="s">
        <v>26934</v>
      </c>
      <c r="Q3088" t="s">
        <v>29</v>
      </c>
      <c r="R3088" t="s">
        <v>26930</v>
      </c>
      <c r="S3088" t="s">
        <v>26931</v>
      </c>
    </row>
    <row r="3089" spans="1:19" x14ac:dyDescent="0.25">
      <c r="A3089" s="1">
        <v>3087</v>
      </c>
      <c r="B3089" t="str">
        <f>HYPERLINK("https://www.dasschnelle.at/mayer-sabine-dr-regau-eichengasse","Website")</f>
        <v>Website</v>
      </c>
      <c r="C3089" t="str">
        <f>HYPERLINK("http://www.wtmayer.at","Website")</f>
        <v>Website</v>
      </c>
      <c r="D3089" t="str">
        <f>HYPERLINK("http://www.google.com/maps/place/47.9951489,13.6608891","Location")</f>
        <v>Location</v>
      </c>
      <c r="E3089" t="s">
        <v>26935</v>
      </c>
      <c r="F3089" t="s">
        <v>26936</v>
      </c>
      <c r="G3089" t="s">
        <v>3773</v>
      </c>
      <c r="H3089" t="s">
        <v>3774</v>
      </c>
      <c r="I3089" t="s">
        <v>85</v>
      </c>
      <c r="J3089" t="s">
        <v>22</v>
      </c>
      <c r="K3089" t="s">
        <v>26937</v>
      </c>
      <c r="L3089" t="s">
        <v>26940</v>
      </c>
      <c r="M3089" t="s">
        <v>25</v>
      </c>
      <c r="N3089" t="s">
        <v>26941</v>
      </c>
      <c r="O3089" t="s">
        <v>25</v>
      </c>
      <c r="P3089" t="s">
        <v>26942</v>
      </c>
      <c r="Q3089" t="s">
        <v>29</v>
      </c>
      <c r="R3089" t="s">
        <v>26938</v>
      </c>
      <c r="S3089" t="s">
        <v>26939</v>
      </c>
    </row>
    <row r="3090" spans="1:19" x14ac:dyDescent="0.25">
      <c r="A3090" s="1">
        <v>3088</v>
      </c>
      <c r="B3090" t="str">
        <f>HYPERLINK("https://www.dasschnelle.at/punz-thomas-grünbach-obergrünbach","Website")</f>
        <v>Website</v>
      </c>
      <c r="C3090" t="str">
        <f>HYPERLINK("http://www.bohren-schneiden.com","Website")</f>
        <v>Website</v>
      </c>
      <c r="D3090" t="str">
        <f>HYPERLINK("http://www.google.com/maps/place/48.5632786,14.5553387","Location")</f>
        <v>Location</v>
      </c>
      <c r="E3090" t="s">
        <v>26943</v>
      </c>
      <c r="F3090" t="s">
        <v>26944</v>
      </c>
      <c r="G3090" t="s">
        <v>26946</v>
      </c>
      <c r="H3090" t="s">
        <v>12992</v>
      </c>
      <c r="I3090" t="s">
        <v>85</v>
      </c>
      <c r="J3090" t="s">
        <v>22</v>
      </c>
      <c r="K3090" t="s">
        <v>26945</v>
      </c>
      <c r="L3090" t="s">
        <v>26949</v>
      </c>
      <c r="M3090" t="s">
        <v>25</v>
      </c>
      <c r="N3090" t="s">
        <v>26950</v>
      </c>
      <c r="O3090" t="s">
        <v>26951</v>
      </c>
      <c r="P3090" t="s">
        <v>26952</v>
      </c>
      <c r="Q3090" t="s">
        <v>29</v>
      </c>
      <c r="R3090" t="s">
        <v>26947</v>
      </c>
      <c r="S3090" t="s">
        <v>26948</v>
      </c>
    </row>
    <row r="3091" spans="1:19" x14ac:dyDescent="0.25">
      <c r="A3091" s="1">
        <v>3089</v>
      </c>
      <c r="B3091" t="str">
        <f>HYPERLINK("https://www.dasschnelle.at/hkls-installations-gmbh-moosburg-wasserstraße","Website")</f>
        <v>Website</v>
      </c>
      <c r="C3091" t="str">
        <f>HYPERLINK("http://keine.at","Website")</f>
        <v>Website</v>
      </c>
      <c r="D3091" t="str">
        <f>HYPERLINK("http://www.google.com/maps/place/46.66258,14.17183","Location")</f>
        <v>Location</v>
      </c>
      <c r="E3091" t="s">
        <v>26953</v>
      </c>
      <c r="F3091" t="s">
        <v>26954</v>
      </c>
      <c r="G3091" t="s">
        <v>26956</v>
      </c>
      <c r="H3091" t="s">
        <v>26957</v>
      </c>
      <c r="I3091" t="s">
        <v>4130</v>
      </c>
      <c r="J3091" t="s">
        <v>22</v>
      </c>
      <c r="K3091" t="s">
        <v>26955</v>
      </c>
      <c r="L3091" t="s">
        <v>26960</v>
      </c>
      <c r="M3091" t="s">
        <v>25</v>
      </c>
      <c r="N3091" t="s">
        <v>26961</v>
      </c>
      <c r="O3091" t="s">
        <v>26962</v>
      </c>
      <c r="P3091" t="s">
        <v>697</v>
      </c>
      <c r="Q3091" t="s">
        <v>29</v>
      </c>
      <c r="R3091" t="s">
        <v>26958</v>
      </c>
      <c r="S3091" t="s">
        <v>26959</v>
      </c>
    </row>
    <row r="3092" spans="1:19" x14ac:dyDescent="0.25">
      <c r="A3092" s="1">
        <v>3090</v>
      </c>
      <c r="B3092" t="str">
        <f>HYPERLINK("https://www.dasschnelle.at/puff-stefan-ing-feldkirchen-in-kärnten-sankt-veiter-straße","Website")</f>
        <v>Website</v>
      </c>
      <c r="C3092" t="str">
        <f>HYPERLINK("http://www.schlosserei-puff.at","Website")</f>
        <v>Website</v>
      </c>
      <c r="D3092" t="str">
        <f>HYPERLINK("http://www.google.com/maps/place/46.7222523,14.1002738","Location")</f>
        <v>Location</v>
      </c>
      <c r="E3092" t="s">
        <v>26963</v>
      </c>
      <c r="F3092" t="s">
        <v>26964</v>
      </c>
      <c r="G3092" t="s">
        <v>8498</v>
      </c>
      <c r="H3092" t="s">
        <v>8499</v>
      </c>
      <c r="I3092" t="s">
        <v>4130</v>
      </c>
      <c r="J3092" t="s">
        <v>22</v>
      </c>
      <c r="K3092" t="s">
        <v>26965</v>
      </c>
      <c r="L3092" t="s">
        <v>26968</v>
      </c>
      <c r="M3092" t="s">
        <v>25</v>
      </c>
      <c r="N3092" t="s">
        <v>26969</v>
      </c>
      <c r="O3092" t="s">
        <v>26970</v>
      </c>
      <c r="P3092" t="s">
        <v>26971</v>
      </c>
      <c r="Q3092" t="s">
        <v>29</v>
      </c>
      <c r="R3092" t="s">
        <v>26966</v>
      </c>
      <c r="S3092" t="s">
        <v>26967</v>
      </c>
    </row>
    <row r="3093" spans="1:19" x14ac:dyDescent="0.25">
      <c r="A3093" s="1">
        <v>3091</v>
      </c>
      <c r="B3093" t="str">
        <f>HYPERLINK("https://www.dasschnelle.at/grüneis-josef-witzenedt-witzenedt","Website")</f>
        <v>Website</v>
      </c>
      <c r="C3093" t="str">
        <f>HYPERLINK("http://www.grueneis-ht.at","Website")</f>
        <v>Website</v>
      </c>
      <c r="D3093" t="str">
        <f>HYPERLINK("http://www.google.com/maps/place/48.4541752,13.7213068","Location")</f>
        <v>Location</v>
      </c>
      <c r="E3093" t="s">
        <v>26972</v>
      </c>
      <c r="F3093" t="s">
        <v>26973</v>
      </c>
      <c r="G3093" t="s">
        <v>26975</v>
      </c>
      <c r="H3093" t="s">
        <v>26976</v>
      </c>
      <c r="I3093" t="s">
        <v>85</v>
      </c>
      <c r="J3093" t="s">
        <v>22</v>
      </c>
      <c r="K3093" t="s">
        <v>26974</v>
      </c>
      <c r="L3093" t="s">
        <v>26979</v>
      </c>
      <c r="M3093" t="s">
        <v>25</v>
      </c>
      <c r="N3093" t="s">
        <v>26980</v>
      </c>
      <c r="O3093" t="s">
        <v>25</v>
      </c>
      <c r="P3093" t="s">
        <v>26981</v>
      </c>
      <c r="Q3093" t="s">
        <v>29</v>
      </c>
      <c r="R3093" t="s">
        <v>26977</v>
      </c>
      <c r="S3093" t="s">
        <v>26978</v>
      </c>
    </row>
    <row r="3094" spans="1:19" x14ac:dyDescent="0.25">
      <c r="A3094" s="1">
        <v>3092</v>
      </c>
      <c r="B3094" t="str">
        <f>HYPERLINK("https://www.dasschnelle.at/hofstätter-reinhard-dr-med-vöcklabruck-graben","Website")</f>
        <v>Website</v>
      </c>
      <c r="C3094" t="str">
        <f>HYPERLINK("http://www.dr-hofstaetter.at","Website")</f>
        <v>Website</v>
      </c>
      <c r="D3094" t="str">
        <f>HYPERLINK("http://www.google.com/maps/place/48.00684,13.65419","Location")</f>
        <v>Location</v>
      </c>
      <c r="E3094" t="s">
        <v>26982</v>
      </c>
      <c r="F3094" t="s">
        <v>26983</v>
      </c>
      <c r="G3094" t="s">
        <v>3749</v>
      </c>
      <c r="H3094" t="s">
        <v>3750</v>
      </c>
      <c r="I3094" t="s">
        <v>85</v>
      </c>
      <c r="J3094" t="s">
        <v>22</v>
      </c>
      <c r="K3094" t="s">
        <v>26984</v>
      </c>
      <c r="L3094" t="s">
        <v>26987</v>
      </c>
      <c r="M3094" t="s">
        <v>25</v>
      </c>
      <c r="N3094" t="s">
        <v>25</v>
      </c>
      <c r="O3094" t="s">
        <v>25</v>
      </c>
      <c r="P3094" t="s">
        <v>26988</v>
      </c>
      <c r="Q3094" t="s">
        <v>29</v>
      </c>
      <c r="R3094" t="s">
        <v>26985</v>
      </c>
      <c r="S3094" t="s">
        <v>26986</v>
      </c>
    </row>
    <row r="3095" spans="1:19" x14ac:dyDescent="0.25">
      <c r="A3095" s="1">
        <v>3093</v>
      </c>
      <c r="B3095" t="str">
        <f>HYPERLINK("https://www.dasschnelle.at/kerschbaumer-martin-bad-gastein-palfnerstraße","Website")</f>
        <v>Website</v>
      </c>
      <c r="C3095" t="str">
        <f>HYPERLINK("http://www.tischlerei-kerschbaumer.at","Website")</f>
        <v>Website</v>
      </c>
      <c r="D3095" t="str">
        <f>HYPERLINK("http://www.google.com/maps/place/47.10522,13.13581","Location")</f>
        <v>Location</v>
      </c>
      <c r="E3095" t="s">
        <v>26989</v>
      </c>
      <c r="F3095" t="s">
        <v>26990</v>
      </c>
      <c r="G3095" t="s">
        <v>26992</v>
      </c>
      <c r="H3095" t="s">
        <v>26993</v>
      </c>
      <c r="I3095" t="s">
        <v>2239</v>
      </c>
      <c r="J3095" t="s">
        <v>22</v>
      </c>
      <c r="K3095" t="s">
        <v>26991</v>
      </c>
      <c r="L3095" t="s">
        <v>26996</v>
      </c>
      <c r="M3095" t="s">
        <v>25</v>
      </c>
      <c r="N3095" t="s">
        <v>26997</v>
      </c>
      <c r="O3095" t="s">
        <v>25</v>
      </c>
      <c r="P3095" t="s">
        <v>26998</v>
      </c>
      <c r="Q3095" t="s">
        <v>29</v>
      </c>
      <c r="R3095" t="s">
        <v>26994</v>
      </c>
      <c r="S3095" t="s">
        <v>26995</v>
      </c>
    </row>
    <row r="3096" spans="1:19" x14ac:dyDescent="0.25">
      <c r="A3096" s="1">
        <v>3094</v>
      </c>
      <c r="B3096" t="str">
        <f>HYPERLINK("https://www.dasschnelle.at/gassner-rainer-dr-und-partner-gruppenpraxis-f-frauenheilkunde-u-geburtshilfe-og-klosterneuburg-stadtplatz","Website")</f>
        <v>Website</v>
      </c>
      <c r="C3096" t="str">
        <f>HYPERLINK("http://www.frauenarztpraxis-klosterneuburg.at","Website")</f>
        <v>Website</v>
      </c>
      <c r="D3096" t="str">
        <f>HYPERLINK("http://www.google.com/maps/place/48.3093458,16.3235225","Location")</f>
        <v>Location</v>
      </c>
      <c r="E3096" t="s">
        <v>26999</v>
      </c>
      <c r="F3096" t="s">
        <v>27000</v>
      </c>
      <c r="G3096" t="s">
        <v>10308</v>
      </c>
      <c r="H3096" t="s">
        <v>10317</v>
      </c>
      <c r="I3096" t="s">
        <v>177</v>
      </c>
      <c r="J3096" t="s">
        <v>22</v>
      </c>
      <c r="K3096" t="s">
        <v>27001</v>
      </c>
      <c r="L3096" t="s">
        <v>27004</v>
      </c>
      <c r="M3096" t="s">
        <v>25</v>
      </c>
      <c r="N3096" t="s">
        <v>27005</v>
      </c>
      <c r="O3096" t="s">
        <v>25</v>
      </c>
      <c r="P3096" t="s">
        <v>27006</v>
      </c>
      <c r="Q3096" t="s">
        <v>29</v>
      </c>
      <c r="R3096" t="s">
        <v>27002</v>
      </c>
      <c r="S3096" t="s">
        <v>27003</v>
      </c>
    </row>
    <row r="3097" spans="1:19" x14ac:dyDescent="0.25">
      <c r="A3097" s="1">
        <v>3095</v>
      </c>
      <c r="B3097" t="str">
        <f>HYPERLINK("https://www.dasschnelle.at/derntl-georg-mag-perg-hauptplatz","Website")</f>
        <v>Website</v>
      </c>
      <c r="C3097" t="str">
        <f>HYPERLINK("http://www.derntl-ra.at","Website")</f>
        <v>Website</v>
      </c>
      <c r="D3097" t="str">
        <f>HYPERLINK("http://www.google.com/maps/place/48.25011,14.63455","Location")</f>
        <v>Location</v>
      </c>
      <c r="E3097" t="s">
        <v>27007</v>
      </c>
      <c r="F3097" t="s">
        <v>27008</v>
      </c>
      <c r="G3097" t="s">
        <v>6379</v>
      </c>
      <c r="H3097" t="s">
        <v>6380</v>
      </c>
      <c r="I3097" t="s">
        <v>85</v>
      </c>
      <c r="J3097" t="s">
        <v>22</v>
      </c>
      <c r="K3097" t="s">
        <v>27009</v>
      </c>
      <c r="L3097" t="s">
        <v>27012</v>
      </c>
      <c r="M3097" t="s">
        <v>27013</v>
      </c>
      <c r="N3097" t="s">
        <v>27014</v>
      </c>
      <c r="O3097" t="s">
        <v>25</v>
      </c>
      <c r="P3097" t="s">
        <v>27015</v>
      </c>
      <c r="Q3097" t="s">
        <v>29</v>
      </c>
      <c r="R3097" t="s">
        <v>27010</v>
      </c>
      <c r="S3097" t="s">
        <v>27011</v>
      </c>
    </row>
    <row r="3098" spans="1:19" x14ac:dyDescent="0.25">
      <c r="A3098" s="1">
        <v>3096</v>
      </c>
      <c r="B3098" t="str">
        <f>HYPERLINK("https://www.dasschnelle.at/sohm-schwenninger-claudia-ried-im-oberinntal-moos","Website")</f>
        <v>Website</v>
      </c>
      <c r="C3098" t="str">
        <f>HYPERLINK("https://www.dasschnelle.at/sohm-schwenninger-claudia-ried-im-oberinntal-moos","Website")</f>
        <v>Website</v>
      </c>
      <c r="D3098" t="str">
        <f>HYPERLINK("http://www.google.com/maps/place/47.0537670,10.6536581","Location")</f>
        <v>Location</v>
      </c>
      <c r="E3098" t="s">
        <v>27016</v>
      </c>
      <c r="F3098" t="s">
        <v>27017</v>
      </c>
      <c r="G3098" t="s">
        <v>27019</v>
      </c>
      <c r="H3098" t="s">
        <v>27020</v>
      </c>
      <c r="I3098" t="s">
        <v>21</v>
      </c>
      <c r="J3098" t="s">
        <v>22</v>
      </c>
      <c r="K3098" t="s">
        <v>27018</v>
      </c>
      <c r="L3098" t="s">
        <v>27023</v>
      </c>
      <c r="M3098" t="s">
        <v>25</v>
      </c>
      <c r="N3098" t="s">
        <v>27024</v>
      </c>
      <c r="O3098" t="s">
        <v>25</v>
      </c>
      <c r="P3098" t="s">
        <v>27025</v>
      </c>
      <c r="Q3098" t="s">
        <v>29</v>
      </c>
      <c r="R3098" t="s">
        <v>27021</v>
      </c>
      <c r="S3098" t="s">
        <v>27022</v>
      </c>
    </row>
    <row r="3099" spans="1:19" x14ac:dyDescent="0.25">
      <c r="A3099" s="1">
        <v>3097</v>
      </c>
      <c r="B3099" t="str">
        <f>HYPERLINK("https://www.dasschnelle.at/sauwald-erdäpfel-gmbh-st-aegidi-schauern","Website")</f>
        <v>Website</v>
      </c>
      <c r="C3099" t="str">
        <f>HYPERLINK("http://www.sauwalderdaepfel.at","Website")</f>
        <v>Website</v>
      </c>
      <c r="D3099" t="str">
        <f>HYPERLINK("http://www.google.com/maps/place/48.4693102,13.7529794","Location")</f>
        <v>Location</v>
      </c>
      <c r="E3099" t="s">
        <v>27026</v>
      </c>
      <c r="F3099" t="s">
        <v>27027</v>
      </c>
      <c r="G3099" t="s">
        <v>26975</v>
      </c>
      <c r="H3099" t="s">
        <v>27029</v>
      </c>
      <c r="I3099" t="s">
        <v>85</v>
      </c>
      <c r="J3099" t="s">
        <v>22</v>
      </c>
      <c r="K3099" t="s">
        <v>27028</v>
      </c>
      <c r="L3099" t="s">
        <v>27032</v>
      </c>
      <c r="M3099" t="s">
        <v>25</v>
      </c>
      <c r="N3099" t="s">
        <v>27033</v>
      </c>
      <c r="O3099" t="s">
        <v>25</v>
      </c>
      <c r="P3099" t="s">
        <v>27034</v>
      </c>
      <c r="Q3099" t="s">
        <v>29</v>
      </c>
      <c r="R3099" t="s">
        <v>27030</v>
      </c>
      <c r="S3099" t="s">
        <v>27031</v>
      </c>
    </row>
    <row r="3100" spans="1:19" x14ac:dyDescent="0.25">
      <c r="A3100" s="1">
        <v>3098</v>
      </c>
      <c r="B3100" t="str">
        <f>HYPERLINK("https://www.dasschnelle.at/stein-brunner-e-u-münzbach-innerstein","Website")</f>
        <v>Website</v>
      </c>
      <c r="C3100" t="str">
        <f>HYPERLINK("http://www.stein-brunner.at","Website")</f>
        <v>Website</v>
      </c>
      <c r="D3100" t="str">
        <f>HYPERLINK("http://www.google.com/maps/place/48.2617258,14.7595313","Location")</f>
        <v>Location</v>
      </c>
      <c r="E3100" t="s">
        <v>27035</v>
      </c>
      <c r="F3100" t="s">
        <v>27036</v>
      </c>
      <c r="G3100" t="s">
        <v>6443</v>
      </c>
      <c r="H3100" t="s">
        <v>6444</v>
      </c>
      <c r="I3100" t="s">
        <v>85</v>
      </c>
      <c r="J3100" t="s">
        <v>22</v>
      </c>
      <c r="K3100" t="s">
        <v>27037</v>
      </c>
      <c r="L3100" t="s">
        <v>27040</v>
      </c>
      <c r="M3100" t="s">
        <v>25</v>
      </c>
      <c r="N3100" t="s">
        <v>27041</v>
      </c>
      <c r="O3100" t="s">
        <v>25</v>
      </c>
      <c r="P3100" t="s">
        <v>27042</v>
      </c>
      <c r="Q3100" t="s">
        <v>29</v>
      </c>
      <c r="R3100" t="s">
        <v>27038</v>
      </c>
      <c r="S3100" t="s">
        <v>27039</v>
      </c>
    </row>
    <row r="3101" spans="1:19" x14ac:dyDescent="0.25">
      <c r="A3101" s="1">
        <v>3099</v>
      </c>
      <c r="B3101" t="str">
        <f>HYPERLINK("https://www.dasschnelle.at/metallbau-blauensteiner-gmbh-naarn-neuhof","Website")</f>
        <v>Website</v>
      </c>
      <c r="C3101" t="str">
        <f>HYPERLINK("http://www.blaunsteiner.co.at","Website")</f>
        <v>Website</v>
      </c>
      <c r="D3101" t="str">
        <f>HYPERLINK("http://www.google.com/maps/place/48.2062740,14.6660212","Location")</f>
        <v>Location</v>
      </c>
      <c r="E3101" t="s">
        <v>27043</v>
      </c>
      <c r="F3101" t="s">
        <v>27044</v>
      </c>
      <c r="G3101" t="s">
        <v>27046</v>
      </c>
      <c r="H3101" t="s">
        <v>27047</v>
      </c>
      <c r="I3101" t="s">
        <v>85</v>
      </c>
      <c r="J3101" t="s">
        <v>22</v>
      </c>
      <c r="K3101" t="s">
        <v>27045</v>
      </c>
      <c r="L3101" t="s">
        <v>27050</v>
      </c>
      <c r="M3101" t="s">
        <v>25</v>
      </c>
      <c r="N3101" t="s">
        <v>27051</v>
      </c>
      <c r="O3101" t="s">
        <v>25</v>
      </c>
      <c r="P3101" t="s">
        <v>27052</v>
      </c>
      <c r="Q3101" t="s">
        <v>29</v>
      </c>
      <c r="R3101" t="s">
        <v>27048</v>
      </c>
      <c r="S3101" t="s">
        <v>27049</v>
      </c>
    </row>
    <row r="3102" spans="1:19" x14ac:dyDescent="0.25">
      <c r="A3102" s="1">
        <v>3100</v>
      </c>
      <c r="B3102" t="str">
        <f>HYPERLINK("https://www.dasschnelle.at/habbi-arbing-hauptstraße","Website")</f>
        <v>Website</v>
      </c>
      <c r="C3102" t="str">
        <f>HYPERLINK("http://www.habbi-taxi.at","Website")</f>
        <v>Website</v>
      </c>
      <c r="D3102" t="str">
        <f>HYPERLINK("http://www.google.com/maps/place/48.22933,14.70049","Location")</f>
        <v>Location</v>
      </c>
      <c r="E3102" t="s">
        <v>27053</v>
      </c>
      <c r="F3102" t="s">
        <v>27054</v>
      </c>
      <c r="G3102" t="s">
        <v>27056</v>
      </c>
      <c r="H3102" t="s">
        <v>27057</v>
      </c>
      <c r="I3102" t="s">
        <v>85</v>
      </c>
      <c r="J3102" t="s">
        <v>22</v>
      </c>
      <c r="K3102" t="s">
        <v>27055</v>
      </c>
      <c r="L3102" t="s">
        <v>27060</v>
      </c>
      <c r="M3102" t="s">
        <v>25</v>
      </c>
      <c r="N3102" t="s">
        <v>27061</v>
      </c>
      <c r="O3102" t="s">
        <v>27062</v>
      </c>
      <c r="P3102" t="s">
        <v>697</v>
      </c>
      <c r="Q3102" t="s">
        <v>29</v>
      </c>
      <c r="R3102" t="s">
        <v>27058</v>
      </c>
      <c r="S3102" t="s">
        <v>27059</v>
      </c>
    </row>
    <row r="3103" spans="1:19" x14ac:dyDescent="0.25">
      <c r="A3103" s="1">
        <v>3101</v>
      </c>
      <c r="B3103" t="str">
        <f>HYPERLINK("https://www.dasschnelle.at/mondsee-schifffahrt-hemetsberger-mondsee-seebadstraße","Website")</f>
        <v>Website</v>
      </c>
      <c r="C3103" t="str">
        <f>HYPERLINK("http://www.mondseeschifffahrt.at","Website")</f>
        <v>Website</v>
      </c>
      <c r="D3103" t="str">
        <f>HYPERLINK("http://www.google.com/maps/place/47.85097,13.34953","Location")</f>
        <v>Location</v>
      </c>
      <c r="E3103" t="s">
        <v>27063</v>
      </c>
      <c r="F3103" t="s">
        <v>27064</v>
      </c>
      <c r="G3103" t="s">
        <v>6543</v>
      </c>
      <c r="H3103" t="s">
        <v>6544</v>
      </c>
      <c r="I3103" t="s">
        <v>85</v>
      </c>
      <c r="J3103" t="s">
        <v>22</v>
      </c>
      <c r="K3103" t="s">
        <v>27065</v>
      </c>
      <c r="L3103" t="s">
        <v>27068</v>
      </c>
      <c r="M3103" t="s">
        <v>27069</v>
      </c>
      <c r="N3103" t="s">
        <v>27070</v>
      </c>
      <c r="O3103" t="s">
        <v>25</v>
      </c>
      <c r="P3103" t="s">
        <v>27071</v>
      </c>
      <c r="Q3103" t="s">
        <v>29</v>
      </c>
      <c r="R3103" t="s">
        <v>27066</v>
      </c>
      <c r="S3103" t="s">
        <v>27067</v>
      </c>
    </row>
    <row r="3104" spans="1:19" x14ac:dyDescent="0.25">
      <c r="A3104" s="1">
        <v>3102</v>
      </c>
      <c r="B3104" t="str">
        <f>HYPERLINK("https://www.dasschnelle.at/elektro-widlroither-installation-u-handels-g-m-b-h-mondsee-hickmanngasse","Website")</f>
        <v>Website</v>
      </c>
      <c r="C3104" t="str">
        <f>HYPERLINK("http://www.elektro-widlroither.at","Website")</f>
        <v>Website</v>
      </c>
      <c r="D3104" t="str">
        <f>HYPERLINK("http://www.google.com/maps/place/47.85634,13.34907","Location")</f>
        <v>Location</v>
      </c>
      <c r="E3104" t="s">
        <v>27072</v>
      </c>
      <c r="F3104" t="s">
        <v>27073</v>
      </c>
      <c r="G3104" t="s">
        <v>6543</v>
      </c>
      <c r="H3104" t="s">
        <v>6544</v>
      </c>
      <c r="I3104" t="s">
        <v>85</v>
      </c>
      <c r="J3104" t="s">
        <v>22</v>
      </c>
      <c r="K3104" t="s">
        <v>27074</v>
      </c>
      <c r="L3104" t="s">
        <v>27077</v>
      </c>
      <c r="M3104" t="s">
        <v>27078</v>
      </c>
      <c r="N3104" t="s">
        <v>27079</v>
      </c>
      <c r="O3104" t="s">
        <v>25</v>
      </c>
      <c r="P3104" t="s">
        <v>27080</v>
      </c>
      <c r="Q3104" t="s">
        <v>29</v>
      </c>
      <c r="R3104" t="s">
        <v>27075</v>
      </c>
      <c r="S3104" t="s">
        <v>27076</v>
      </c>
    </row>
    <row r="3105" spans="1:19" x14ac:dyDescent="0.25">
      <c r="A3105" s="1">
        <v>3103</v>
      </c>
      <c r="B3105" t="str">
        <f>HYPERLINK("https://www.dasschnelle.at/e-und-s-water-group-og-tulln-an-der-donau-karlsgasse","Website")</f>
        <v>Website</v>
      </c>
      <c r="C3105" t="str">
        <f>HYPERLINK("http://www.eus-installationen.at","Website")</f>
        <v>Website</v>
      </c>
      <c r="D3105" t="str">
        <f>HYPERLINK("http://www.google.com/maps/place/48.32958,16.05304","Location")</f>
        <v>Location</v>
      </c>
      <c r="E3105" t="s">
        <v>27081</v>
      </c>
      <c r="F3105" t="s">
        <v>27082</v>
      </c>
      <c r="G3105" t="s">
        <v>9499</v>
      </c>
      <c r="H3105" t="s">
        <v>9500</v>
      </c>
      <c r="I3105" t="s">
        <v>177</v>
      </c>
      <c r="J3105" t="s">
        <v>22</v>
      </c>
      <c r="K3105" t="s">
        <v>27083</v>
      </c>
      <c r="L3105" t="s">
        <v>27086</v>
      </c>
      <c r="M3105" t="s">
        <v>25</v>
      </c>
      <c r="N3105" t="s">
        <v>27087</v>
      </c>
      <c r="O3105" t="s">
        <v>27088</v>
      </c>
      <c r="P3105" t="s">
        <v>27089</v>
      </c>
      <c r="Q3105" t="s">
        <v>29</v>
      </c>
      <c r="R3105" t="s">
        <v>27084</v>
      </c>
      <c r="S3105" t="s">
        <v>27085</v>
      </c>
    </row>
    <row r="3106" spans="1:19" x14ac:dyDescent="0.25">
      <c r="A3106" s="1">
        <v>3104</v>
      </c>
      <c r="B3106" t="str">
        <f>HYPERLINK("https://www.dasschnelle.at/klingelbrunner-ernst-gmbh-klosterneuburg-rathausplatz","Website")</f>
        <v>Website</v>
      </c>
      <c r="C3106" t="str">
        <f>HYPERLINK("https://www.dasschnelle.at/klingelbrunner-ernst-gmbh-klosterneuburg-rathausplatz","Website")</f>
        <v>Website</v>
      </c>
      <c r="D3106" t="str">
        <f>HYPERLINK("http://www.google.com/maps/place/48.3057100,16.3240500","Location")</f>
        <v>Location</v>
      </c>
      <c r="E3106" t="s">
        <v>27090</v>
      </c>
      <c r="F3106" t="s">
        <v>27091</v>
      </c>
      <c r="G3106" t="s">
        <v>10308</v>
      </c>
      <c r="H3106" t="s">
        <v>10317</v>
      </c>
      <c r="I3106" t="s">
        <v>177</v>
      </c>
      <c r="J3106" t="s">
        <v>22</v>
      </c>
      <c r="K3106" t="s">
        <v>23952</v>
      </c>
      <c r="L3106" t="s">
        <v>27094</v>
      </c>
      <c r="M3106" t="s">
        <v>25</v>
      </c>
      <c r="N3106" t="s">
        <v>27095</v>
      </c>
      <c r="O3106" t="s">
        <v>25</v>
      </c>
      <c r="P3106" t="s">
        <v>27096</v>
      </c>
      <c r="Q3106" t="s">
        <v>29</v>
      </c>
      <c r="R3106" t="s">
        <v>27092</v>
      </c>
      <c r="S3106" t="s">
        <v>27093</v>
      </c>
    </row>
    <row r="3107" spans="1:19" x14ac:dyDescent="0.25">
      <c r="A3107" s="1">
        <v>3105</v>
      </c>
      <c r="B3107" t="str">
        <f>HYPERLINK("https://www.dasschnelle.at/klicka-installateur-gmbh-klosterneuburg-ziegelofengasse","Website")</f>
        <v>Website</v>
      </c>
      <c r="C3107" t="str">
        <f>HYPERLINK("http://www.installateur-klicka.at","Website")</f>
        <v>Website</v>
      </c>
      <c r="D3107" t="str">
        <f>HYPERLINK("http://www.google.com/maps/place/48.31229,16.31661","Location")</f>
        <v>Location</v>
      </c>
      <c r="E3107" t="s">
        <v>27097</v>
      </c>
      <c r="F3107" t="s">
        <v>27098</v>
      </c>
      <c r="G3107" t="s">
        <v>10308</v>
      </c>
      <c r="H3107" t="s">
        <v>10317</v>
      </c>
      <c r="I3107" t="s">
        <v>177</v>
      </c>
      <c r="J3107" t="s">
        <v>22</v>
      </c>
      <c r="K3107" t="s">
        <v>27099</v>
      </c>
      <c r="L3107" t="s">
        <v>27102</v>
      </c>
      <c r="M3107" t="s">
        <v>27103</v>
      </c>
      <c r="N3107" t="s">
        <v>27104</v>
      </c>
      <c r="O3107" t="s">
        <v>25</v>
      </c>
      <c r="P3107" t="s">
        <v>27105</v>
      </c>
      <c r="Q3107" t="s">
        <v>29</v>
      </c>
      <c r="R3107" t="s">
        <v>27100</v>
      </c>
      <c r="S3107" t="s">
        <v>27101</v>
      </c>
    </row>
    <row r="3108" spans="1:19" x14ac:dyDescent="0.25">
      <c r="A3108" s="1">
        <v>3106</v>
      </c>
      <c r="B3108" t="str">
        <f>HYPERLINK("https://www.dasschnelle.at/höller-kg-granit-und-design-watzing-watzing","Website")</f>
        <v>Website</v>
      </c>
      <c r="C3108" t="str">
        <f>HYPERLINK("http://www.hoeller-granit.at","Website")</f>
        <v>Website</v>
      </c>
      <c r="D3108" t="str">
        <f>HYPERLINK("http://www.google.com/maps/place/48.4911250,13.6233997","Location")</f>
        <v>Location</v>
      </c>
      <c r="E3108" t="s">
        <v>27106</v>
      </c>
      <c r="F3108" t="s">
        <v>27107</v>
      </c>
      <c r="G3108" t="s">
        <v>27109</v>
      </c>
      <c r="H3108" t="s">
        <v>27110</v>
      </c>
      <c r="I3108" t="s">
        <v>85</v>
      </c>
      <c r="J3108" t="s">
        <v>22</v>
      </c>
      <c r="K3108" t="s">
        <v>27108</v>
      </c>
      <c r="L3108" t="s">
        <v>27113</v>
      </c>
      <c r="M3108" t="s">
        <v>25</v>
      </c>
      <c r="N3108" t="s">
        <v>27114</v>
      </c>
      <c r="O3108" t="s">
        <v>25</v>
      </c>
      <c r="P3108" t="s">
        <v>27115</v>
      </c>
      <c r="Q3108" t="s">
        <v>29</v>
      </c>
      <c r="R3108" t="s">
        <v>27111</v>
      </c>
      <c r="S3108" t="s">
        <v>27112</v>
      </c>
    </row>
    <row r="3109" spans="1:19" x14ac:dyDescent="0.25">
      <c r="A3109" s="1">
        <v>3107</v>
      </c>
      <c r="B3109" t="str">
        <f>HYPERLINK("https://www.dasschnelle.at/wachter-gerhard-pfunds-stuben","Website")</f>
        <v>Website</v>
      </c>
      <c r="C3109" t="str">
        <f>HYPERLINK("http://www.kfzwachter.at","Website")</f>
        <v>Website</v>
      </c>
      <c r="D3109" t="str">
        <f>HYPERLINK("http://www.google.com/maps/place/46.96944,10.53513","Location")</f>
        <v>Location</v>
      </c>
      <c r="E3109" t="s">
        <v>27116</v>
      </c>
      <c r="F3109" t="s">
        <v>27117</v>
      </c>
      <c r="G3109" t="s">
        <v>27119</v>
      </c>
      <c r="H3109" t="s">
        <v>27120</v>
      </c>
      <c r="I3109" t="s">
        <v>21</v>
      </c>
      <c r="J3109" t="s">
        <v>22</v>
      </c>
      <c r="K3109" t="s">
        <v>27118</v>
      </c>
      <c r="L3109" t="s">
        <v>27123</v>
      </c>
      <c r="M3109" t="s">
        <v>25</v>
      </c>
      <c r="N3109" t="s">
        <v>27124</v>
      </c>
      <c r="O3109" t="s">
        <v>25</v>
      </c>
      <c r="P3109" t="s">
        <v>27125</v>
      </c>
      <c r="Q3109" t="s">
        <v>29</v>
      </c>
      <c r="R3109" t="s">
        <v>27121</v>
      </c>
      <c r="S3109" t="s">
        <v>27122</v>
      </c>
    </row>
    <row r="3110" spans="1:19" x14ac:dyDescent="0.25">
      <c r="A3110" s="1">
        <v>3108</v>
      </c>
      <c r="B3110" t="str">
        <f>HYPERLINK("https://www.dasschnelle.at/tierarztpraxis-seepark-schörfling-hauptstraße","Website")</f>
        <v>Website</v>
      </c>
      <c r="C3110" t="str">
        <f>HYPERLINK("http://www.tierarztpraxis-seepark.at","Website")</f>
        <v>Website</v>
      </c>
      <c r="D3110" t="str">
        <f>HYPERLINK("http://www.google.com/maps/place/47.94634,13.59442","Location")</f>
        <v>Location</v>
      </c>
      <c r="E3110" t="s">
        <v>27126</v>
      </c>
      <c r="F3110" t="s">
        <v>27127</v>
      </c>
      <c r="G3110" t="s">
        <v>3851</v>
      </c>
      <c r="H3110" t="s">
        <v>3852</v>
      </c>
      <c r="I3110" t="s">
        <v>85</v>
      </c>
      <c r="J3110" t="s">
        <v>22</v>
      </c>
      <c r="K3110" t="s">
        <v>27128</v>
      </c>
      <c r="L3110" t="s">
        <v>27131</v>
      </c>
      <c r="M3110" t="s">
        <v>25</v>
      </c>
      <c r="N3110" t="s">
        <v>27132</v>
      </c>
      <c r="O3110" t="s">
        <v>25</v>
      </c>
      <c r="P3110" t="s">
        <v>27133</v>
      </c>
      <c r="Q3110" t="s">
        <v>29</v>
      </c>
      <c r="R3110" t="s">
        <v>27129</v>
      </c>
      <c r="S3110" t="s">
        <v>27130</v>
      </c>
    </row>
    <row r="3111" spans="1:19" x14ac:dyDescent="0.25">
      <c r="A3111" s="1">
        <v>3109</v>
      </c>
      <c r="B3111" t="str">
        <f>HYPERLINK("https://www.dasschnelle.at/dr-dieter-preindl-gmünd-stadtplatz","Website")</f>
        <v>Website</v>
      </c>
      <c r="C3111" t="str">
        <f>HYPERLINK("https://www.dasschnelle.at/dr-dieter-preindl-gm%C3%BCnd-stadtplatz","Website")</f>
        <v>Website</v>
      </c>
      <c r="D3111" t="str">
        <f>HYPERLINK("http://www.google.com/maps/place/48.77264,14.98447","Location")</f>
        <v>Location</v>
      </c>
      <c r="E3111" t="s">
        <v>27134</v>
      </c>
      <c r="F3111" t="s">
        <v>27135</v>
      </c>
      <c r="G3111" t="s">
        <v>13116</v>
      </c>
      <c r="H3111" t="s">
        <v>13117</v>
      </c>
      <c r="I3111" t="s">
        <v>177</v>
      </c>
      <c r="J3111" t="s">
        <v>22</v>
      </c>
      <c r="K3111" t="s">
        <v>27136</v>
      </c>
      <c r="L3111" t="s">
        <v>27139</v>
      </c>
      <c r="M3111" t="s">
        <v>25</v>
      </c>
      <c r="N3111" t="s">
        <v>27140</v>
      </c>
      <c r="O3111" t="s">
        <v>25</v>
      </c>
      <c r="P3111" t="s">
        <v>27141</v>
      </c>
      <c r="Q3111" t="s">
        <v>29</v>
      </c>
      <c r="R3111" t="s">
        <v>27137</v>
      </c>
      <c r="S3111" t="s">
        <v>27138</v>
      </c>
    </row>
    <row r="3112" spans="1:19" x14ac:dyDescent="0.25">
      <c r="A3112" s="1">
        <v>3110</v>
      </c>
      <c r="B3112" t="str">
        <f>HYPERLINK("https://www.dasschnelle.at/expert-sabitzer-livingstyle-gmbh-althofen-kreuzstraße","Website")</f>
        <v>Website</v>
      </c>
      <c r="C3112" t="str">
        <f>HYPERLINK("http://www.expert-sabitzer.at","Website")</f>
        <v>Website</v>
      </c>
      <c r="D3112" t="str">
        <f>HYPERLINK("http://www.google.com/maps/place/46.87874,14.48042","Location")</f>
        <v>Location</v>
      </c>
      <c r="E3112" t="s">
        <v>27142</v>
      </c>
      <c r="F3112" t="s">
        <v>27143</v>
      </c>
      <c r="G3112" t="s">
        <v>9679</v>
      </c>
      <c r="H3112" t="s">
        <v>24971</v>
      </c>
      <c r="I3112" t="s">
        <v>4130</v>
      </c>
      <c r="J3112" t="s">
        <v>22</v>
      </c>
      <c r="K3112" t="s">
        <v>27144</v>
      </c>
      <c r="L3112" t="s">
        <v>27147</v>
      </c>
      <c r="M3112" t="s">
        <v>25</v>
      </c>
      <c r="N3112" t="s">
        <v>27148</v>
      </c>
      <c r="O3112" t="s">
        <v>25</v>
      </c>
      <c r="P3112" t="s">
        <v>27149</v>
      </c>
      <c r="Q3112" t="s">
        <v>29</v>
      </c>
      <c r="R3112" t="s">
        <v>27145</v>
      </c>
      <c r="S3112" t="s">
        <v>27146</v>
      </c>
    </row>
    <row r="3113" spans="1:19" x14ac:dyDescent="0.25">
      <c r="A3113" s="1">
        <v>3111</v>
      </c>
      <c r="B3113" t="str">
        <f>HYPERLINK("https://www.dasschnelle.at/elektrounternehmen-schmiedler-engelsdorf-schubertstraße","Website")</f>
        <v>Website</v>
      </c>
      <c r="C3113" t="str">
        <f>HYPERLINK("https://www.dasschnelle.at/elektrounternehmen-schmiedler-engelsdorf-schubertstra%C3%9Fe","Website")</f>
        <v>Website</v>
      </c>
      <c r="D3113" t="str">
        <f>HYPERLINK("http://www.google.com/maps/place/46.96416,14.38627","Location")</f>
        <v>Location</v>
      </c>
      <c r="E3113" t="s">
        <v>27150</v>
      </c>
      <c r="F3113" t="s">
        <v>27151</v>
      </c>
      <c r="G3113" t="s">
        <v>26556</v>
      </c>
      <c r="H3113" t="s">
        <v>27153</v>
      </c>
      <c r="I3113" t="s">
        <v>4130</v>
      </c>
      <c r="J3113" t="s">
        <v>22</v>
      </c>
      <c r="K3113" t="s">
        <v>27152</v>
      </c>
      <c r="L3113" t="s">
        <v>27156</v>
      </c>
      <c r="M3113" t="s">
        <v>25</v>
      </c>
      <c r="N3113" t="s">
        <v>27157</v>
      </c>
      <c r="O3113" t="s">
        <v>25</v>
      </c>
      <c r="P3113" t="s">
        <v>27158</v>
      </c>
      <c r="Q3113" t="s">
        <v>29</v>
      </c>
      <c r="R3113" t="s">
        <v>27154</v>
      </c>
      <c r="S3113" t="s">
        <v>27155</v>
      </c>
    </row>
    <row r="3114" spans="1:19" x14ac:dyDescent="0.25">
      <c r="A3114" s="1">
        <v>3112</v>
      </c>
      <c r="B3114" t="str">
        <f>HYPERLINK("https://www.dasschnelle.at/hainzl-hermann-dipl-ing-perg-dr-schober-straße","Website")</f>
        <v>Website</v>
      </c>
      <c r="C3114" t="str">
        <f>HYPERLINK("https://www.dasschnelle.at/hainzl-hermann-dipl-ing-perg-dr-schober-stra%C3%9Fe","Website")</f>
        <v>Website</v>
      </c>
      <c r="D3114" t="str">
        <f>HYPERLINK("http://www.google.com/maps/place/48.25056,14.63602","Location")</f>
        <v>Location</v>
      </c>
      <c r="E3114" t="s">
        <v>27159</v>
      </c>
      <c r="F3114" t="s">
        <v>27160</v>
      </c>
      <c r="G3114" t="s">
        <v>6379</v>
      </c>
      <c r="H3114" t="s">
        <v>6380</v>
      </c>
      <c r="I3114" t="s">
        <v>85</v>
      </c>
      <c r="J3114" t="s">
        <v>22</v>
      </c>
      <c r="K3114" t="s">
        <v>27161</v>
      </c>
      <c r="L3114" t="s">
        <v>27164</v>
      </c>
      <c r="M3114" t="s">
        <v>27165</v>
      </c>
      <c r="N3114" t="s">
        <v>27166</v>
      </c>
      <c r="O3114" t="s">
        <v>25</v>
      </c>
      <c r="P3114" t="s">
        <v>27167</v>
      </c>
      <c r="Q3114" t="s">
        <v>29</v>
      </c>
      <c r="R3114" t="s">
        <v>27162</v>
      </c>
      <c r="S3114" t="s">
        <v>27163</v>
      </c>
    </row>
    <row r="3115" spans="1:19" x14ac:dyDescent="0.25">
      <c r="A3115" s="1">
        <v>3113</v>
      </c>
      <c r="B3115" t="str">
        <f>HYPERLINK("https://www.dasschnelle.at/da-betonschneida-wartberg-ob-der-aist-scheiben","Website")</f>
        <v>Website</v>
      </c>
      <c r="C3115" t="str">
        <f>HYPERLINK("http://www.dabetonschneida.at","Website")</f>
        <v>Website</v>
      </c>
      <c r="D3115" t="str">
        <f>HYPERLINK("http://www.google.com/maps/place/48.3580539,14.4978545","Location")</f>
        <v>Location</v>
      </c>
      <c r="E3115" t="s">
        <v>27168</v>
      </c>
      <c r="F3115" t="s">
        <v>27169</v>
      </c>
      <c r="G3115" t="s">
        <v>11973</v>
      </c>
      <c r="H3115" t="s">
        <v>27171</v>
      </c>
      <c r="I3115" t="s">
        <v>85</v>
      </c>
      <c r="J3115" t="s">
        <v>22</v>
      </c>
      <c r="K3115" t="s">
        <v>27170</v>
      </c>
      <c r="L3115" t="s">
        <v>27174</v>
      </c>
      <c r="M3115" t="s">
        <v>25</v>
      </c>
      <c r="N3115" t="s">
        <v>27175</v>
      </c>
      <c r="O3115" t="s">
        <v>25</v>
      </c>
      <c r="P3115" t="s">
        <v>27176</v>
      </c>
      <c r="Q3115" t="s">
        <v>29</v>
      </c>
      <c r="R3115" t="s">
        <v>27172</v>
      </c>
      <c r="S3115" t="s">
        <v>27173</v>
      </c>
    </row>
    <row r="3116" spans="1:19" x14ac:dyDescent="0.25">
      <c r="A3116" s="1">
        <v>3114</v>
      </c>
      <c r="B3116" t="str">
        <f>HYPERLINK("https://www.dasschnelle.at/gebhard-erwin-glanegg-gösselsberg","Website")</f>
        <v>Website</v>
      </c>
      <c r="C3116" t="str">
        <f>HYPERLINK("http://www.garten-gebhard.com","Website")</f>
        <v>Website</v>
      </c>
      <c r="D3116" t="str">
        <f>HYPERLINK("http://www.google.com/maps/place/46.7099913,14.1867300","Location")</f>
        <v>Location</v>
      </c>
      <c r="E3116" t="s">
        <v>27177</v>
      </c>
      <c r="F3116" t="s">
        <v>27178</v>
      </c>
      <c r="G3116" t="s">
        <v>27180</v>
      </c>
      <c r="H3116" t="s">
        <v>27181</v>
      </c>
      <c r="I3116" t="s">
        <v>4130</v>
      </c>
      <c r="J3116" t="s">
        <v>22</v>
      </c>
      <c r="K3116" t="s">
        <v>27179</v>
      </c>
      <c r="L3116" t="s">
        <v>27184</v>
      </c>
      <c r="M3116" t="s">
        <v>25</v>
      </c>
      <c r="N3116" t="s">
        <v>27185</v>
      </c>
      <c r="O3116" t="s">
        <v>25</v>
      </c>
      <c r="P3116" t="s">
        <v>27186</v>
      </c>
      <c r="Q3116" t="s">
        <v>29</v>
      </c>
      <c r="R3116" t="s">
        <v>27182</v>
      </c>
      <c r="S3116" t="s">
        <v>27183</v>
      </c>
    </row>
    <row r="3117" spans="1:19" x14ac:dyDescent="0.25">
      <c r="A3117" s="1">
        <v>3115</v>
      </c>
      <c r="B3117" t="str">
        <f>HYPERLINK("https://www.dasschnelle.at/schmölzer-albin-ebene-reichenau-ebene-reichenau","Website")</f>
        <v>Website</v>
      </c>
      <c r="C3117" t="str">
        <f>HYPERLINK("https://www.dasschnelle.at/schm%C3%B6lzer-albin-ebene-reichenau-ebene-reichenau","Website")</f>
        <v>Website</v>
      </c>
      <c r="D3117" t="str">
        <f>HYPERLINK("http://www.google.com/maps/place/46.8643048,13.8897087","Location")</f>
        <v>Location</v>
      </c>
      <c r="E3117" t="s">
        <v>27187</v>
      </c>
      <c r="F3117" t="s">
        <v>27188</v>
      </c>
      <c r="G3117" t="s">
        <v>27190</v>
      </c>
      <c r="H3117" t="s">
        <v>27191</v>
      </c>
      <c r="I3117" t="s">
        <v>4130</v>
      </c>
      <c r="J3117" t="s">
        <v>22</v>
      </c>
      <c r="K3117" t="s">
        <v>27189</v>
      </c>
      <c r="L3117" t="s">
        <v>27194</v>
      </c>
      <c r="M3117" t="s">
        <v>25</v>
      </c>
      <c r="N3117" t="s">
        <v>27195</v>
      </c>
      <c r="O3117" t="s">
        <v>25</v>
      </c>
      <c r="P3117" t="s">
        <v>27196</v>
      </c>
      <c r="Q3117" t="s">
        <v>29</v>
      </c>
      <c r="R3117" t="s">
        <v>27192</v>
      </c>
      <c r="S3117" t="s">
        <v>27193</v>
      </c>
    </row>
    <row r="3118" spans="1:19" x14ac:dyDescent="0.25">
      <c r="A3118" s="1">
        <v>3116</v>
      </c>
      <c r="B3118" t="str">
        <f>HYPERLINK("https://www.dasschnelle.at/iht-haustechnik-gmbh-grünbach-schlag","Website")</f>
        <v>Website</v>
      </c>
      <c r="C3118" t="str">
        <f>HYPERLINK("http://www.iht-haustechnik.at","Website")</f>
        <v>Website</v>
      </c>
      <c r="D3118" t="str">
        <f>HYPERLINK("http://www.google.com/maps/place/48.5207977,14.5320966","Location")</f>
        <v>Location</v>
      </c>
      <c r="E3118" t="s">
        <v>27197</v>
      </c>
      <c r="F3118" t="s">
        <v>27198</v>
      </c>
      <c r="G3118" t="s">
        <v>12991</v>
      </c>
      <c r="H3118" t="s">
        <v>12992</v>
      </c>
      <c r="I3118" t="s">
        <v>85</v>
      </c>
      <c r="J3118" t="s">
        <v>22</v>
      </c>
      <c r="K3118" t="s">
        <v>27199</v>
      </c>
      <c r="L3118" t="s">
        <v>27202</v>
      </c>
      <c r="M3118" t="s">
        <v>25</v>
      </c>
      <c r="N3118" t="s">
        <v>27203</v>
      </c>
      <c r="O3118" t="s">
        <v>27204</v>
      </c>
      <c r="P3118" t="s">
        <v>27205</v>
      </c>
      <c r="Q3118" t="s">
        <v>29</v>
      </c>
      <c r="R3118" t="s">
        <v>27200</v>
      </c>
      <c r="S3118" t="s">
        <v>27201</v>
      </c>
    </row>
    <row r="3119" spans="1:19" x14ac:dyDescent="0.25">
      <c r="A3119" s="1">
        <v>3117</v>
      </c>
      <c r="B3119" t="str">
        <f>HYPERLINK("https://www.dasschnelle.at/rigler-gmbh-mitterkirchen-haid","Website")</f>
        <v>Website</v>
      </c>
      <c r="C3119" t="str">
        <f>HYPERLINK("http://www.tiefbohrtechnik-rigler.at","Website")</f>
        <v>Website</v>
      </c>
      <c r="D3119" t="str">
        <f>HYPERLINK("http://www.google.com/maps/place/48.2003169,14.6888435","Location")</f>
        <v>Location</v>
      </c>
      <c r="E3119" t="s">
        <v>27206</v>
      </c>
      <c r="F3119" t="s">
        <v>27207</v>
      </c>
      <c r="G3119" t="s">
        <v>27209</v>
      </c>
      <c r="H3119" t="s">
        <v>27210</v>
      </c>
      <c r="I3119" t="s">
        <v>85</v>
      </c>
      <c r="J3119" t="s">
        <v>22</v>
      </c>
      <c r="K3119" t="s">
        <v>27208</v>
      </c>
      <c r="L3119" t="s">
        <v>27213</v>
      </c>
      <c r="M3119" t="s">
        <v>25</v>
      </c>
      <c r="N3119" t="s">
        <v>27214</v>
      </c>
      <c r="O3119" t="s">
        <v>25</v>
      </c>
      <c r="P3119" t="s">
        <v>27215</v>
      </c>
      <c r="Q3119" t="s">
        <v>29</v>
      </c>
      <c r="R3119" t="s">
        <v>27211</v>
      </c>
      <c r="S3119" t="s">
        <v>27212</v>
      </c>
    </row>
    <row r="3120" spans="1:19" x14ac:dyDescent="0.25">
      <c r="A3120" s="1">
        <v>3118</v>
      </c>
      <c r="B3120" t="str">
        <f>HYPERLINK("https://www.dasschnelle.at/buchschartner-kanalservice-gmbh-mondsee-mühldorfstraße","Website")</f>
        <v>Website</v>
      </c>
      <c r="C3120" t="str">
        <f>HYPERLINK("http://www.buchschartner.at","Website")</f>
        <v>Website</v>
      </c>
      <c r="D3120" t="str">
        <f>HYPERLINK("http://www.google.com/maps/place/47.8769319,13.3096980","Location")</f>
        <v>Location</v>
      </c>
      <c r="E3120" t="s">
        <v>27216</v>
      </c>
      <c r="F3120" t="s">
        <v>27217</v>
      </c>
      <c r="G3120" t="s">
        <v>6543</v>
      </c>
      <c r="H3120" t="s">
        <v>6544</v>
      </c>
      <c r="I3120" t="s">
        <v>85</v>
      </c>
      <c r="J3120" t="s">
        <v>22</v>
      </c>
      <c r="K3120" t="s">
        <v>27218</v>
      </c>
      <c r="L3120" t="s">
        <v>27221</v>
      </c>
      <c r="M3120" t="s">
        <v>25</v>
      </c>
      <c r="N3120" t="s">
        <v>27222</v>
      </c>
      <c r="O3120" t="s">
        <v>25</v>
      </c>
      <c r="P3120" t="s">
        <v>27223</v>
      </c>
      <c r="Q3120" t="s">
        <v>29</v>
      </c>
      <c r="R3120" t="s">
        <v>27219</v>
      </c>
      <c r="S3120" t="s">
        <v>27220</v>
      </c>
    </row>
    <row r="3121" spans="1:19" x14ac:dyDescent="0.25">
      <c r="A3121" s="1">
        <v>3119</v>
      </c>
      <c r="B3121" t="str">
        <f>HYPERLINK("https://www.dasschnelle.at/stadtapotheke-mag-pharm-ulrike-urban-kg-klosterneuburg-albrechtstraße","Website")</f>
        <v>Website</v>
      </c>
      <c r="C3121" t="str">
        <f>HYPERLINK("http://www.stadtapoklbg.at","Website")</f>
        <v>Website</v>
      </c>
      <c r="D3121" t="str">
        <f>HYPERLINK("http://www.google.com/maps/place/48.30913,16.32099","Location")</f>
        <v>Location</v>
      </c>
      <c r="E3121" t="s">
        <v>27224</v>
      </c>
      <c r="F3121" t="s">
        <v>27225</v>
      </c>
      <c r="G3121" t="s">
        <v>10308</v>
      </c>
      <c r="H3121" t="s">
        <v>10317</v>
      </c>
      <c r="I3121" t="s">
        <v>177</v>
      </c>
      <c r="J3121" t="s">
        <v>22</v>
      </c>
      <c r="K3121" t="s">
        <v>27226</v>
      </c>
      <c r="L3121" t="s">
        <v>27229</v>
      </c>
      <c r="M3121" t="s">
        <v>27230</v>
      </c>
      <c r="N3121" t="s">
        <v>27231</v>
      </c>
      <c r="O3121" t="s">
        <v>25</v>
      </c>
      <c r="P3121" t="s">
        <v>27232</v>
      </c>
      <c r="Q3121" t="s">
        <v>29</v>
      </c>
      <c r="R3121" t="s">
        <v>27227</v>
      </c>
      <c r="S3121" t="s">
        <v>27228</v>
      </c>
    </row>
    <row r="3122" spans="1:19" x14ac:dyDescent="0.25">
      <c r="A3122" s="1">
        <v>3120</v>
      </c>
      <c r="B3122" t="str">
        <f>HYPERLINK("https://www.dasschnelle.at/ertl-christian-windhaag-perg-ditlbacherstraße","Website")</f>
        <v>Website</v>
      </c>
      <c r="C3122" t="str">
        <f>HYPERLINK("http://www.christian-ertl.at","Website")</f>
        <v>Website</v>
      </c>
      <c r="D3122" t="str">
        <f>HYPERLINK("http://www.google.com/maps/place/48.2844412,14.6800427","Location")</f>
        <v>Location</v>
      </c>
      <c r="E3122" t="s">
        <v>27233</v>
      </c>
      <c r="F3122" t="s">
        <v>27234</v>
      </c>
      <c r="G3122" t="s">
        <v>6390</v>
      </c>
      <c r="H3122" t="s">
        <v>27236</v>
      </c>
      <c r="I3122" t="s">
        <v>85</v>
      </c>
      <c r="J3122" t="s">
        <v>22</v>
      </c>
      <c r="K3122" t="s">
        <v>27235</v>
      </c>
      <c r="L3122" t="s">
        <v>27239</v>
      </c>
      <c r="M3122" t="s">
        <v>25</v>
      </c>
      <c r="N3122" t="s">
        <v>27240</v>
      </c>
      <c r="O3122" t="s">
        <v>27241</v>
      </c>
      <c r="P3122" t="s">
        <v>27242</v>
      </c>
      <c r="Q3122" t="s">
        <v>29</v>
      </c>
      <c r="R3122" t="s">
        <v>27237</v>
      </c>
      <c r="S3122" t="s">
        <v>27238</v>
      </c>
    </row>
    <row r="3123" spans="1:19" x14ac:dyDescent="0.25">
      <c r="A3123" s="1">
        <v>3121</v>
      </c>
      <c r="B3123" t="str">
        <f>HYPERLINK("https://www.dasschnelle.at/ma-steinwerk-og-freistadt-kalvarienbergstraße","Website")</f>
        <v>Website</v>
      </c>
      <c r="C3123" t="str">
        <f>HYPERLINK("http://www.mapflasterbau.at","Website")</f>
        <v>Website</v>
      </c>
      <c r="D3123" t="str">
        <f>HYPERLINK("http://www.google.com/maps/place/48.5163600,14.5010800","Location")</f>
        <v>Location</v>
      </c>
      <c r="E3123" t="s">
        <v>27243</v>
      </c>
      <c r="F3123" t="s">
        <v>27244</v>
      </c>
      <c r="G3123" t="s">
        <v>6891</v>
      </c>
      <c r="H3123" t="s">
        <v>6892</v>
      </c>
      <c r="I3123" t="s">
        <v>85</v>
      </c>
      <c r="J3123" t="s">
        <v>22</v>
      </c>
      <c r="K3123" t="s">
        <v>27245</v>
      </c>
      <c r="L3123" t="s">
        <v>27248</v>
      </c>
      <c r="M3123" t="s">
        <v>25</v>
      </c>
      <c r="N3123" t="s">
        <v>27249</v>
      </c>
      <c r="O3123" t="s">
        <v>27250</v>
      </c>
      <c r="P3123" t="s">
        <v>27251</v>
      </c>
      <c r="Q3123" t="s">
        <v>29</v>
      </c>
      <c r="R3123" t="s">
        <v>27246</v>
      </c>
      <c r="S3123" t="s">
        <v>27247</v>
      </c>
    </row>
    <row r="3124" spans="1:19" x14ac:dyDescent="0.25">
      <c r="A3124" s="1">
        <v>3122</v>
      </c>
      <c r="B3124" t="str">
        <f>HYPERLINK("https://www.dasschnelle.at/therapiepunkt-strohmaier-birgit-osteophatie-timelkam-oberthalheim","Website")</f>
        <v>Website</v>
      </c>
      <c r="C3124" t="str">
        <f>HYPERLINK("http://www.therapiepunkt.info","Website")</f>
        <v>Website</v>
      </c>
      <c r="D3124" t="str">
        <f>HYPERLINK("http://www.google.com/maps/place/48.00289,13.61335","Location")</f>
        <v>Location</v>
      </c>
      <c r="E3124" t="s">
        <v>27252</v>
      </c>
      <c r="F3124" t="s">
        <v>27253</v>
      </c>
      <c r="G3124" t="s">
        <v>3739</v>
      </c>
      <c r="H3124" t="s">
        <v>3740</v>
      </c>
      <c r="I3124" t="s">
        <v>85</v>
      </c>
      <c r="J3124" t="s">
        <v>22</v>
      </c>
      <c r="K3124" t="s">
        <v>27254</v>
      </c>
      <c r="L3124" t="s">
        <v>27257</v>
      </c>
      <c r="M3124" t="s">
        <v>25</v>
      </c>
      <c r="N3124" t="s">
        <v>27258</v>
      </c>
      <c r="O3124" t="s">
        <v>25</v>
      </c>
      <c r="P3124" t="s">
        <v>27259</v>
      </c>
      <c r="Q3124" t="s">
        <v>29</v>
      </c>
      <c r="R3124" t="s">
        <v>27255</v>
      </c>
      <c r="S3124" t="s">
        <v>27256</v>
      </c>
    </row>
    <row r="3125" spans="1:19" x14ac:dyDescent="0.25">
      <c r="A3125" s="1">
        <v>3123</v>
      </c>
      <c r="B3125" t="str">
        <f>HYPERLINK("https://www.dasschnelle.at/kfz-tech-grell-grein-kreuznerstraße","Website")</f>
        <v>Website</v>
      </c>
      <c r="C3125" t="str">
        <f>HYPERLINK("https://www.dasschnelle.at/kfz-tech-grell-grein-kreuznerstra%C3%9Fe","Website")</f>
        <v>Website</v>
      </c>
      <c r="D3125" t="str">
        <f>HYPERLINK("http://www.google.com/maps/place/48.22683,14.85454","Location")</f>
        <v>Location</v>
      </c>
      <c r="E3125" t="s">
        <v>27260</v>
      </c>
      <c r="F3125" t="s">
        <v>27261</v>
      </c>
      <c r="G3125" t="s">
        <v>27263</v>
      </c>
      <c r="H3125" t="s">
        <v>27264</v>
      </c>
      <c r="I3125" t="s">
        <v>85</v>
      </c>
      <c r="J3125" t="s">
        <v>22</v>
      </c>
      <c r="K3125" t="s">
        <v>27262</v>
      </c>
      <c r="L3125" t="s">
        <v>27267</v>
      </c>
      <c r="M3125" t="s">
        <v>27268</v>
      </c>
      <c r="N3125" t="s">
        <v>27269</v>
      </c>
      <c r="O3125" t="s">
        <v>25</v>
      </c>
      <c r="P3125" t="s">
        <v>27270</v>
      </c>
      <c r="Q3125" t="s">
        <v>29</v>
      </c>
      <c r="R3125" t="s">
        <v>27265</v>
      </c>
      <c r="S3125" t="s">
        <v>27266</v>
      </c>
    </row>
    <row r="3126" spans="1:19" x14ac:dyDescent="0.25">
      <c r="A3126" s="1">
        <v>3124</v>
      </c>
      <c r="B3126" t="str">
        <f>HYPERLINK("https://www.dasschnelle.at/dudzus-kristine-mag-königstetten-hochstraße","Website")</f>
        <v>Website</v>
      </c>
      <c r="C3126" t="str">
        <f>HYPERLINK("http://www.kristine-dudzus.at","Website")</f>
        <v>Website</v>
      </c>
      <c r="D3126" t="str">
        <f>HYPERLINK("http://www.google.com/maps/place/48.30045,16.14967","Location")</f>
        <v>Location</v>
      </c>
      <c r="E3126" t="s">
        <v>27271</v>
      </c>
      <c r="F3126" t="s">
        <v>27272</v>
      </c>
      <c r="G3126" t="s">
        <v>27274</v>
      </c>
      <c r="H3126" t="s">
        <v>27275</v>
      </c>
      <c r="I3126" t="s">
        <v>177</v>
      </c>
      <c r="J3126" t="s">
        <v>22</v>
      </c>
      <c r="K3126" t="s">
        <v>27273</v>
      </c>
      <c r="L3126" t="s">
        <v>27278</v>
      </c>
      <c r="M3126" t="s">
        <v>25</v>
      </c>
      <c r="N3126" t="s">
        <v>27279</v>
      </c>
      <c r="O3126" t="s">
        <v>25</v>
      </c>
      <c r="P3126" t="s">
        <v>27280</v>
      </c>
      <c r="Q3126" t="s">
        <v>29</v>
      </c>
      <c r="R3126" t="s">
        <v>27276</v>
      </c>
      <c r="S3126" t="s">
        <v>27277</v>
      </c>
    </row>
    <row r="3127" spans="1:19" x14ac:dyDescent="0.25">
      <c r="A3127" s="1">
        <v>3125</v>
      </c>
      <c r="B3127" t="str">
        <f>HYPERLINK("https://www.dasschnelle.at/attersee-treuhand-attersee-landungsplatz","Website")</f>
        <v>Website</v>
      </c>
      <c r="C3127" t="str">
        <f>HYPERLINK("http://www.attersee-treuhand.at","Website")</f>
        <v>Website</v>
      </c>
      <c r="D3127" t="str">
        <f>HYPERLINK("http://www.google.com/maps/place/47.9124589,13.5110736","Location")</f>
        <v>Location</v>
      </c>
      <c r="E3127" t="s">
        <v>27281</v>
      </c>
      <c r="F3127" t="s">
        <v>27282</v>
      </c>
      <c r="G3127" t="s">
        <v>3869</v>
      </c>
      <c r="H3127" t="s">
        <v>25942</v>
      </c>
      <c r="I3127" t="s">
        <v>85</v>
      </c>
      <c r="J3127" t="s">
        <v>22</v>
      </c>
      <c r="K3127" t="s">
        <v>27283</v>
      </c>
      <c r="L3127" t="s">
        <v>27286</v>
      </c>
      <c r="M3127" t="s">
        <v>25</v>
      </c>
      <c r="N3127" t="s">
        <v>27287</v>
      </c>
      <c r="O3127" t="s">
        <v>25</v>
      </c>
      <c r="P3127" t="s">
        <v>27288</v>
      </c>
      <c r="Q3127" t="s">
        <v>29</v>
      </c>
      <c r="R3127" t="s">
        <v>27284</v>
      </c>
      <c r="S3127" t="s">
        <v>27285</v>
      </c>
    </row>
    <row r="3128" spans="1:19" x14ac:dyDescent="0.25">
      <c r="A3128" s="1">
        <v>3126</v>
      </c>
      <c r="B3128" t="str">
        <f>HYPERLINK("https://www.dasschnelle.at/schmankerl-wirt-vorderweißenbach-brückenstraße","Website")</f>
        <v>Website</v>
      </c>
      <c r="C3128" t="str">
        <f>HYPERLINK("http://www.schmankerlwirt.at","Website")</f>
        <v>Website</v>
      </c>
      <c r="D3128" t="str">
        <f>HYPERLINK("http://www.google.com/maps/place/48.5513100,14.2163200","Location")</f>
        <v>Location</v>
      </c>
      <c r="E3128" t="s">
        <v>27289</v>
      </c>
      <c r="F3128" t="s">
        <v>27290</v>
      </c>
      <c r="G3128" t="s">
        <v>27292</v>
      </c>
      <c r="H3128" t="s">
        <v>27293</v>
      </c>
      <c r="I3128" t="s">
        <v>85</v>
      </c>
      <c r="J3128" t="s">
        <v>22</v>
      </c>
      <c r="K3128" t="s">
        <v>27291</v>
      </c>
      <c r="L3128" t="s">
        <v>27296</v>
      </c>
      <c r="M3128" t="s">
        <v>25</v>
      </c>
      <c r="N3128" t="s">
        <v>27297</v>
      </c>
      <c r="O3128" t="s">
        <v>27298</v>
      </c>
      <c r="P3128" t="s">
        <v>27299</v>
      </c>
      <c r="Q3128" t="s">
        <v>29</v>
      </c>
      <c r="R3128" t="s">
        <v>27294</v>
      </c>
      <c r="S3128" t="s">
        <v>27295</v>
      </c>
    </row>
    <row r="3129" spans="1:19" x14ac:dyDescent="0.25">
      <c r="A3129" s="1">
        <v>3127</v>
      </c>
      <c r="B3129" t="str">
        <f>HYPERLINK("https://www.dasschnelle.at/pröll-wohnideen-gmbh-piberschlag-piberschlag","Website")</f>
        <v>Website</v>
      </c>
      <c r="C3129" t="str">
        <f>HYPERLINK("http://www.proell-wohnideen.at","Website")</f>
        <v>Website</v>
      </c>
      <c r="D3129" t="str">
        <f>HYPERLINK("http://www.google.com/maps/place/48.5608284,14.1757803","Location")</f>
        <v>Location</v>
      </c>
      <c r="E3129" t="s">
        <v>27300</v>
      </c>
      <c r="F3129" t="s">
        <v>27301</v>
      </c>
      <c r="G3129" t="s">
        <v>27303</v>
      </c>
      <c r="H3129" t="s">
        <v>27304</v>
      </c>
      <c r="I3129" t="s">
        <v>85</v>
      </c>
      <c r="J3129" t="s">
        <v>22</v>
      </c>
      <c r="K3129" t="s">
        <v>27302</v>
      </c>
      <c r="L3129" t="s">
        <v>27307</v>
      </c>
      <c r="M3129" t="s">
        <v>25</v>
      </c>
      <c r="N3129" t="s">
        <v>27308</v>
      </c>
      <c r="O3129" t="s">
        <v>25</v>
      </c>
      <c r="P3129" t="s">
        <v>27309</v>
      </c>
      <c r="Q3129" t="s">
        <v>29</v>
      </c>
      <c r="R3129" t="s">
        <v>27305</v>
      </c>
      <c r="S3129" t="s">
        <v>27306</v>
      </c>
    </row>
    <row r="3130" spans="1:19" x14ac:dyDescent="0.25">
      <c r="A3130" s="1">
        <v>3128</v>
      </c>
      <c r="B3130" t="str">
        <f>HYPERLINK("https://www.dasschnelle.at/platten-u-fliesenleger-xanda-wagrain-goldanger","Website")</f>
        <v>Website</v>
      </c>
      <c r="C3130" t="str">
        <f>HYPERLINK("https://www.dasschnelle.at/platten-u-fliesenleger-xanda-wagrain-goldanger","Website")</f>
        <v>Website</v>
      </c>
      <c r="D3130" t="str">
        <f>HYPERLINK("http://www.google.com/maps/place/47.3351,13.29241","Location")</f>
        <v>Location</v>
      </c>
      <c r="E3130" t="s">
        <v>27310</v>
      </c>
      <c r="F3130" t="s">
        <v>27311</v>
      </c>
      <c r="G3130" t="s">
        <v>5866</v>
      </c>
      <c r="H3130" t="s">
        <v>5867</v>
      </c>
      <c r="I3130" t="s">
        <v>2239</v>
      </c>
      <c r="J3130" t="s">
        <v>22</v>
      </c>
      <c r="K3130" t="s">
        <v>27312</v>
      </c>
      <c r="L3130" t="s">
        <v>27315</v>
      </c>
      <c r="M3130" t="s">
        <v>25</v>
      </c>
      <c r="N3130" t="s">
        <v>27316</v>
      </c>
      <c r="O3130" t="s">
        <v>25</v>
      </c>
      <c r="P3130" t="s">
        <v>27317</v>
      </c>
      <c r="Q3130" t="s">
        <v>29</v>
      </c>
      <c r="R3130" t="s">
        <v>27313</v>
      </c>
      <c r="S3130" t="s">
        <v>27314</v>
      </c>
    </row>
    <row r="3131" spans="1:19" x14ac:dyDescent="0.25">
      <c r="A3131" s="1">
        <v>3129</v>
      </c>
      <c r="B3131" t="str">
        <f>HYPERLINK("https://www.dasschnelle.at/zimmerei-kaltner-goldegg-altenhof","Website")</f>
        <v>Website</v>
      </c>
      <c r="C3131" t="str">
        <f>HYPERLINK("http://www.zimmerei-kaltner.at","Website")</f>
        <v>Website</v>
      </c>
      <c r="D3131" t="str">
        <f>HYPERLINK("http://www.google.com/maps/place/47.3154691,13.0928292","Location")</f>
        <v>Location</v>
      </c>
      <c r="E3131" t="s">
        <v>27318</v>
      </c>
      <c r="F3131" t="s">
        <v>27319</v>
      </c>
      <c r="G3131" t="s">
        <v>27321</v>
      </c>
      <c r="H3131" t="s">
        <v>27322</v>
      </c>
      <c r="I3131" t="s">
        <v>2239</v>
      </c>
      <c r="J3131" t="s">
        <v>22</v>
      </c>
      <c r="K3131" t="s">
        <v>27320</v>
      </c>
      <c r="L3131" t="s">
        <v>27325</v>
      </c>
      <c r="M3131" t="s">
        <v>25</v>
      </c>
      <c r="N3131" t="s">
        <v>27326</v>
      </c>
      <c r="O3131" t="s">
        <v>25</v>
      </c>
      <c r="P3131" t="s">
        <v>27327</v>
      </c>
      <c r="Q3131" t="s">
        <v>29</v>
      </c>
      <c r="R3131" t="s">
        <v>27323</v>
      </c>
      <c r="S3131" t="s">
        <v>27324</v>
      </c>
    </row>
    <row r="3132" spans="1:19" x14ac:dyDescent="0.25">
      <c r="A3132" s="1">
        <v>3130</v>
      </c>
      <c r="B3132" t="str">
        <f>HYPERLINK("https://www.dasschnelle.at/huber-othmar-schwanenstadt-rudolf-staudinger-straße","Website")</f>
        <v>Website</v>
      </c>
      <c r="C3132" t="str">
        <f>HYPERLINK("http://www.physiotherapie-huber.at","Website")</f>
        <v>Website</v>
      </c>
      <c r="D3132" t="str">
        <f>HYPERLINK("http://www.google.com/maps/place/48.05594,13.78246","Location")</f>
        <v>Location</v>
      </c>
      <c r="E3132" t="s">
        <v>27328</v>
      </c>
      <c r="F3132" t="s">
        <v>27329</v>
      </c>
      <c r="G3132" t="s">
        <v>27331</v>
      </c>
      <c r="H3132" t="s">
        <v>27332</v>
      </c>
      <c r="I3132" t="s">
        <v>85</v>
      </c>
      <c r="J3132" t="s">
        <v>22</v>
      </c>
      <c r="K3132" t="s">
        <v>27330</v>
      </c>
      <c r="L3132" t="s">
        <v>27335</v>
      </c>
      <c r="M3132" t="s">
        <v>25</v>
      </c>
      <c r="N3132" t="s">
        <v>27336</v>
      </c>
      <c r="O3132" t="s">
        <v>25</v>
      </c>
      <c r="P3132" t="s">
        <v>27337</v>
      </c>
      <c r="Q3132" t="s">
        <v>29</v>
      </c>
      <c r="R3132" t="s">
        <v>27333</v>
      </c>
      <c r="S3132" t="s">
        <v>27334</v>
      </c>
    </row>
    <row r="3133" spans="1:19" x14ac:dyDescent="0.25">
      <c r="A3133" s="1">
        <v>3131</v>
      </c>
      <c r="B3133" t="str">
        <f>HYPERLINK("https://www.dasschnelle.at/reichtomann-eleonore-gramastetten-marktstraße","Website")</f>
        <v>Website</v>
      </c>
      <c r="C3133" t="str">
        <f>HYPERLINK("http://www.blumen-floren.at","Website")</f>
        <v>Website</v>
      </c>
      <c r="D3133" t="str">
        <f>HYPERLINK("http://www.google.com/maps/place/48.38068,14.18973","Location")</f>
        <v>Location</v>
      </c>
      <c r="E3133" t="s">
        <v>27338</v>
      </c>
      <c r="F3133" t="s">
        <v>27339</v>
      </c>
      <c r="G3133" t="s">
        <v>27341</v>
      </c>
      <c r="H3133" t="s">
        <v>27342</v>
      </c>
      <c r="I3133" t="s">
        <v>85</v>
      </c>
      <c r="J3133" t="s">
        <v>22</v>
      </c>
      <c r="K3133" t="s">
        <v>27340</v>
      </c>
      <c r="L3133" t="s">
        <v>27345</v>
      </c>
      <c r="M3133" t="s">
        <v>25</v>
      </c>
      <c r="N3133" t="s">
        <v>27346</v>
      </c>
      <c r="O3133" t="s">
        <v>27347</v>
      </c>
      <c r="P3133" t="s">
        <v>27348</v>
      </c>
      <c r="Q3133" t="s">
        <v>29</v>
      </c>
      <c r="R3133" t="s">
        <v>27343</v>
      </c>
      <c r="S3133" t="s">
        <v>27344</v>
      </c>
    </row>
    <row r="3134" spans="1:19" x14ac:dyDescent="0.25">
      <c r="A3134" s="1">
        <v>3132</v>
      </c>
      <c r="B3134" t="str">
        <f>HYPERLINK("https://www.dasschnelle.at/bambi-dach-brünning-baumbergerstraße","Website")</f>
        <v>Website</v>
      </c>
      <c r="C3134" t="str">
        <f>HYPERLINK("http://www.sites.google.com/site/bambidach","Website")</f>
        <v>Website</v>
      </c>
      <c r="D3134" t="str">
        <f>HYPERLINK("http://www.google.com/maps/place/48.3477,13.63703","Location")</f>
        <v>Location</v>
      </c>
      <c r="E3134" t="s">
        <v>27349</v>
      </c>
      <c r="F3134" t="s">
        <v>27350</v>
      </c>
      <c r="G3134" t="s">
        <v>8869</v>
      </c>
      <c r="H3134" t="s">
        <v>27352</v>
      </c>
      <c r="I3134" t="s">
        <v>85</v>
      </c>
      <c r="J3134" t="s">
        <v>22</v>
      </c>
      <c r="K3134" t="s">
        <v>27351</v>
      </c>
      <c r="L3134" t="s">
        <v>27355</v>
      </c>
      <c r="M3134" t="s">
        <v>25</v>
      </c>
      <c r="N3134" t="s">
        <v>27356</v>
      </c>
      <c r="O3134" t="s">
        <v>25</v>
      </c>
      <c r="P3134" t="s">
        <v>27357</v>
      </c>
      <c r="Q3134" t="s">
        <v>29</v>
      </c>
      <c r="R3134" t="s">
        <v>27353</v>
      </c>
      <c r="S3134" t="s">
        <v>27354</v>
      </c>
    </row>
    <row r="3135" spans="1:19" x14ac:dyDescent="0.25">
      <c r="A3135" s="1">
        <v>3133</v>
      </c>
      <c r="B3135" t="str">
        <f>HYPERLINK("https://www.dasschnelle.at/christoforov-ianko-dr-med-waidhofen-an-der-thaya-vitiserstraße","Website")</f>
        <v>Website</v>
      </c>
      <c r="C3135" t="str">
        <f>HYPERLINK("http://www.urologie-noe.at","Website")</f>
        <v>Website</v>
      </c>
      <c r="D3135" t="str">
        <f>HYPERLINK("http://www.google.com/maps/place/48.81065,15.27979","Location")</f>
        <v>Location</v>
      </c>
      <c r="E3135" t="s">
        <v>27358</v>
      </c>
      <c r="F3135" t="s">
        <v>27359</v>
      </c>
      <c r="G3135" t="s">
        <v>10987</v>
      </c>
      <c r="H3135" t="s">
        <v>10988</v>
      </c>
      <c r="I3135" t="s">
        <v>177</v>
      </c>
      <c r="J3135" t="s">
        <v>22</v>
      </c>
      <c r="K3135" t="s">
        <v>27360</v>
      </c>
      <c r="L3135" t="s">
        <v>27363</v>
      </c>
      <c r="M3135" t="s">
        <v>27364</v>
      </c>
      <c r="N3135" t="s">
        <v>27365</v>
      </c>
      <c r="O3135" t="s">
        <v>25</v>
      </c>
      <c r="P3135" t="s">
        <v>27366</v>
      </c>
      <c r="Q3135" t="s">
        <v>29</v>
      </c>
      <c r="R3135" t="s">
        <v>27361</v>
      </c>
      <c r="S3135" t="s">
        <v>27362</v>
      </c>
    </row>
    <row r="3136" spans="1:19" x14ac:dyDescent="0.25">
      <c r="A3136" s="1">
        <v>3134</v>
      </c>
      <c r="B3136" t="str">
        <f>HYPERLINK("https://www.dasschnelle.at/ginterseder-michael-gramastetten-alte-farb","Website")</f>
        <v>Website</v>
      </c>
      <c r="C3136" t="str">
        <f>HYPERLINK("https://www.dasschnelle.at/ginterseder-michael-gramastetten-alte-farb","Website")</f>
        <v>Website</v>
      </c>
      <c r="D3136" t="str">
        <f>HYPERLINK("http://www.google.com/maps/place/48.37933,14.19126","Location")</f>
        <v>Location</v>
      </c>
      <c r="E3136" t="s">
        <v>27367</v>
      </c>
      <c r="F3136" t="s">
        <v>27368</v>
      </c>
      <c r="G3136" t="s">
        <v>27341</v>
      </c>
      <c r="H3136" t="s">
        <v>27342</v>
      </c>
      <c r="I3136" t="s">
        <v>85</v>
      </c>
      <c r="J3136" t="s">
        <v>22</v>
      </c>
      <c r="K3136" t="s">
        <v>27369</v>
      </c>
      <c r="L3136" t="s">
        <v>27372</v>
      </c>
      <c r="M3136" t="s">
        <v>25</v>
      </c>
      <c r="N3136" t="s">
        <v>27373</v>
      </c>
      <c r="O3136" t="s">
        <v>25</v>
      </c>
      <c r="P3136" t="s">
        <v>27374</v>
      </c>
      <c r="Q3136" t="s">
        <v>29</v>
      </c>
      <c r="R3136" t="s">
        <v>27370</v>
      </c>
      <c r="S3136" t="s">
        <v>27371</v>
      </c>
    </row>
    <row r="3137" spans="1:19" x14ac:dyDescent="0.25">
      <c r="A3137" s="1">
        <v>3135</v>
      </c>
      <c r="B3137" t="str">
        <f>HYPERLINK("https://www.dasschnelle.at/een-elektro-gmbh-raab-marktstraße","Website")</f>
        <v>Website</v>
      </c>
      <c r="C3137" t="str">
        <f>HYPERLINK("http://een.co.at","Website")</f>
        <v>Website</v>
      </c>
      <c r="D3137" t="str">
        <f>HYPERLINK("http://www.google.com/maps/place/48.35102,13.65451","Location")</f>
        <v>Location</v>
      </c>
      <c r="E3137" t="s">
        <v>27375</v>
      </c>
      <c r="F3137" t="s">
        <v>27376</v>
      </c>
      <c r="G3137" t="s">
        <v>8869</v>
      </c>
      <c r="H3137" t="s">
        <v>8870</v>
      </c>
      <c r="I3137" t="s">
        <v>85</v>
      </c>
      <c r="J3137" t="s">
        <v>22</v>
      </c>
      <c r="K3137" t="s">
        <v>27377</v>
      </c>
      <c r="L3137" t="s">
        <v>27380</v>
      </c>
      <c r="M3137" t="s">
        <v>25</v>
      </c>
      <c r="N3137" t="s">
        <v>27381</v>
      </c>
      <c r="O3137" t="s">
        <v>25</v>
      </c>
      <c r="P3137" t="s">
        <v>27382</v>
      </c>
      <c r="Q3137" t="s">
        <v>29</v>
      </c>
      <c r="R3137" t="s">
        <v>27378</v>
      </c>
      <c r="S3137" t="s">
        <v>27379</v>
      </c>
    </row>
    <row r="3138" spans="1:19" x14ac:dyDescent="0.25">
      <c r="A3138" s="1">
        <v>3136</v>
      </c>
      <c r="B3138" t="str">
        <f>HYPERLINK("https://www.dasschnelle.at/paar-spenglerei-gesmbh-feldbach-feldgasse","Website")</f>
        <v>Website</v>
      </c>
      <c r="C3138" t="str">
        <f>HYPERLINK("http://www.paar.co.at","Website")</f>
        <v>Website</v>
      </c>
      <c r="D3138" t="str">
        <f>HYPERLINK("http://www.google.com/maps/place/46.95303,15.89297","Location")</f>
        <v>Location</v>
      </c>
      <c r="E3138" t="s">
        <v>27383</v>
      </c>
      <c r="F3138" t="s">
        <v>27384</v>
      </c>
      <c r="G3138" t="s">
        <v>470</v>
      </c>
      <c r="H3138" t="s">
        <v>471</v>
      </c>
      <c r="I3138" t="s">
        <v>451</v>
      </c>
      <c r="J3138" t="s">
        <v>22</v>
      </c>
      <c r="K3138" t="s">
        <v>27385</v>
      </c>
      <c r="L3138" t="s">
        <v>27388</v>
      </c>
      <c r="M3138" t="s">
        <v>25</v>
      </c>
      <c r="N3138" t="s">
        <v>27389</v>
      </c>
      <c r="O3138" t="s">
        <v>27390</v>
      </c>
      <c r="P3138" t="s">
        <v>27391</v>
      </c>
      <c r="Q3138" t="s">
        <v>29</v>
      </c>
      <c r="R3138" t="s">
        <v>27386</v>
      </c>
      <c r="S3138" t="s">
        <v>27387</v>
      </c>
    </row>
    <row r="3139" spans="1:19" x14ac:dyDescent="0.25">
      <c r="A3139" s="1">
        <v>3137</v>
      </c>
      <c r="B3139" t="str">
        <f>HYPERLINK("https://www.dasschnelle.at/glas-und-design-anton-u-christoph-kowald-og-feldbach-vogelsanggasse","Website")</f>
        <v>Website</v>
      </c>
      <c r="C3139" t="str">
        <f>HYPERLINK("http://www.glas-design-kowald.at","Website")</f>
        <v>Website</v>
      </c>
      <c r="D3139" t="str">
        <f>HYPERLINK("http://www.google.com/maps/place/46.95304,15.89189","Location")</f>
        <v>Location</v>
      </c>
      <c r="E3139" t="s">
        <v>27392</v>
      </c>
      <c r="F3139" t="s">
        <v>27393</v>
      </c>
      <c r="G3139" t="s">
        <v>470</v>
      </c>
      <c r="H3139" t="s">
        <v>471</v>
      </c>
      <c r="I3139" t="s">
        <v>451</v>
      </c>
      <c r="J3139" t="s">
        <v>22</v>
      </c>
      <c r="K3139" t="s">
        <v>27394</v>
      </c>
      <c r="L3139" t="s">
        <v>27397</v>
      </c>
      <c r="M3139" t="s">
        <v>25</v>
      </c>
      <c r="N3139" t="s">
        <v>27398</v>
      </c>
      <c r="O3139" t="s">
        <v>25</v>
      </c>
      <c r="P3139" t="s">
        <v>27399</v>
      </c>
      <c r="Q3139" t="s">
        <v>29</v>
      </c>
      <c r="R3139" t="s">
        <v>27395</v>
      </c>
      <c r="S3139" t="s">
        <v>27396</v>
      </c>
    </row>
    <row r="3140" spans="1:19" x14ac:dyDescent="0.25">
      <c r="A3140" s="1">
        <v>3138</v>
      </c>
      <c r="B3140" t="str">
        <f>HYPERLINK("https://www.dasschnelle.at/kolp-oswald-pians-pians","Website")</f>
        <v>Website</v>
      </c>
      <c r="C3140" t="str">
        <f>HYPERLINK("http://www.kolp-oswald.at","Website")</f>
        <v>Website</v>
      </c>
      <c r="D3140" t="str">
        <f>HYPERLINK("http://www.google.com/maps/place/47.1355401,10.5112042","Location")</f>
        <v>Location</v>
      </c>
      <c r="E3140" t="s">
        <v>27400</v>
      </c>
      <c r="F3140" t="s">
        <v>27401</v>
      </c>
      <c r="G3140" t="s">
        <v>27403</v>
      </c>
      <c r="H3140" t="s">
        <v>27404</v>
      </c>
      <c r="I3140" t="s">
        <v>21</v>
      </c>
      <c r="J3140" t="s">
        <v>22</v>
      </c>
      <c r="K3140" t="s">
        <v>27402</v>
      </c>
      <c r="L3140" t="s">
        <v>27407</v>
      </c>
      <c r="M3140" t="s">
        <v>25</v>
      </c>
      <c r="N3140" t="s">
        <v>27408</v>
      </c>
      <c r="O3140" t="s">
        <v>25</v>
      </c>
      <c r="P3140" t="s">
        <v>27409</v>
      </c>
      <c r="Q3140" t="s">
        <v>29</v>
      </c>
      <c r="R3140" t="s">
        <v>27405</v>
      </c>
      <c r="S3140" t="s">
        <v>27406</v>
      </c>
    </row>
    <row r="3141" spans="1:19" x14ac:dyDescent="0.25">
      <c r="A3141" s="1">
        <v>3139</v>
      </c>
      <c r="B3141" t="str">
        <f>HYPERLINK("https://www.dasschnelle.at/sajo-fassadenbau-pregarten-grünbichl","Website")</f>
        <v>Website</v>
      </c>
      <c r="C3141" t="str">
        <f>HYPERLINK("https://www.dasschnelle.at/sajo-fassadenbau-pregarten-gr%C3%BCnbichl","Website")</f>
        <v>Website</v>
      </c>
      <c r="D3141" t="str">
        <f>HYPERLINK("http://www.google.com/maps/place/48.3491500,14.5238600","Location")</f>
        <v>Location</v>
      </c>
      <c r="E3141" t="s">
        <v>27410</v>
      </c>
      <c r="F3141" t="s">
        <v>27411</v>
      </c>
      <c r="G3141" t="s">
        <v>25297</v>
      </c>
      <c r="H3141" t="s">
        <v>25298</v>
      </c>
      <c r="I3141" t="s">
        <v>85</v>
      </c>
      <c r="J3141" t="s">
        <v>22</v>
      </c>
      <c r="K3141" t="s">
        <v>27412</v>
      </c>
      <c r="L3141" t="s">
        <v>27415</v>
      </c>
      <c r="M3141" t="s">
        <v>25</v>
      </c>
      <c r="N3141" t="s">
        <v>27416</v>
      </c>
      <c r="O3141" t="s">
        <v>25</v>
      </c>
      <c r="P3141" t="s">
        <v>27417</v>
      </c>
      <c r="Q3141" t="s">
        <v>29</v>
      </c>
      <c r="R3141" t="s">
        <v>27413</v>
      </c>
      <c r="S3141" t="s">
        <v>27414</v>
      </c>
    </row>
    <row r="3142" spans="1:19" x14ac:dyDescent="0.25">
      <c r="A3142" s="1">
        <v>3140</v>
      </c>
      <c r="B3142" t="str">
        <f>HYPERLINK("https://www.dasschnelle.at/bestattung-schreiner-gmbh-fehring-annengasse","Website")</f>
        <v>Website</v>
      </c>
      <c r="C3142" t="str">
        <f>HYPERLINK("http://www.bestattung-schreiner.at","Website")</f>
        <v>Website</v>
      </c>
      <c r="D3142" t="str">
        <f>HYPERLINK("http://www.google.com/maps/place/46.93477,16.00822","Location")</f>
        <v>Location</v>
      </c>
      <c r="E3142" t="s">
        <v>27418</v>
      </c>
      <c r="F3142" t="s">
        <v>27419</v>
      </c>
      <c r="G3142" t="s">
        <v>754</v>
      </c>
      <c r="H3142" t="s">
        <v>755</v>
      </c>
      <c r="I3142" t="s">
        <v>451</v>
      </c>
      <c r="J3142" t="s">
        <v>22</v>
      </c>
      <c r="K3142" t="s">
        <v>27420</v>
      </c>
      <c r="L3142" t="s">
        <v>27423</v>
      </c>
      <c r="M3142" t="s">
        <v>25</v>
      </c>
      <c r="N3142" t="s">
        <v>27424</v>
      </c>
      <c r="O3142" t="s">
        <v>27425</v>
      </c>
      <c r="P3142" t="s">
        <v>27426</v>
      </c>
      <c r="Q3142" t="s">
        <v>29</v>
      </c>
      <c r="R3142" t="s">
        <v>27421</v>
      </c>
      <c r="S3142" t="s">
        <v>27422</v>
      </c>
    </row>
    <row r="3143" spans="1:19" x14ac:dyDescent="0.25">
      <c r="A3143" s="1">
        <v>3141</v>
      </c>
      <c r="B3143" t="str">
        <f>HYPERLINK("https://www.dasschnelle.at/tf-haustec-gmbh-katzendorf-katzendorf","Website")</f>
        <v>Website</v>
      </c>
      <c r="C3143" t="str">
        <f>HYPERLINK("http://www.tfhaustechnik.at","Website")</f>
        <v>Website</v>
      </c>
      <c r="D3143" t="str">
        <f>HYPERLINK("http://www.google.com/maps/place/46.8796929,15.8510061","Location")</f>
        <v>Location</v>
      </c>
      <c r="E3143" t="s">
        <v>27427</v>
      </c>
      <c r="F3143" t="s">
        <v>27428</v>
      </c>
      <c r="G3143" t="s">
        <v>480</v>
      </c>
      <c r="H3143" t="s">
        <v>27430</v>
      </c>
      <c r="I3143" t="s">
        <v>451</v>
      </c>
      <c r="J3143" t="s">
        <v>22</v>
      </c>
      <c r="K3143" t="s">
        <v>27429</v>
      </c>
      <c r="L3143" t="s">
        <v>27433</v>
      </c>
      <c r="M3143" t="s">
        <v>25</v>
      </c>
      <c r="N3143" t="s">
        <v>27434</v>
      </c>
      <c r="O3143" t="s">
        <v>25</v>
      </c>
      <c r="P3143" t="s">
        <v>27435</v>
      </c>
      <c r="Q3143" t="s">
        <v>29</v>
      </c>
      <c r="R3143" t="s">
        <v>27431</v>
      </c>
      <c r="S3143" t="s">
        <v>27432</v>
      </c>
    </row>
    <row r="3144" spans="1:19" x14ac:dyDescent="0.25">
      <c r="A3144" s="1">
        <v>3142</v>
      </c>
      <c r="B3144" t="str">
        <f>HYPERLINK("https://www.dasschnelle.at/autohaus-grufeneder-gmbh-grein-ufer","Website")</f>
        <v>Website</v>
      </c>
      <c r="C3144" t="str">
        <f>HYPERLINK("http://www.autohaus-grufeneder.at","Website")</f>
        <v>Website</v>
      </c>
      <c r="D3144" t="str">
        <f>HYPERLINK("http://www.google.com/maps/place/48.2212042,14.8525038","Location")</f>
        <v>Location</v>
      </c>
      <c r="E3144" t="s">
        <v>27436</v>
      </c>
      <c r="F3144" t="s">
        <v>27437</v>
      </c>
      <c r="G3144" t="s">
        <v>27263</v>
      </c>
      <c r="H3144" t="s">
        <v>27264</v>
      </c>
      <c r="I3144" t="s">
        <v>85</v>
      </c>
      <c r="J3144" t="s">
        <v>22</v>
      </c>
      <c r="K3144" t="s">
        <v>27438</v>
      </c>
      <c r="L3144" t="s">
        <v>27441</v>
      </c>
      <c r="M3144" t="s">
        <v>25</v>
      </c>
      <c r="N3144" t="s">
        <v>27442</v>
      </c>
      <c r="O3144" t="s">
        <v>27443</v>
      </c>
      <c r="P3144" t="s">
        <v>27444</v>
      </c>
      <c r="Q3144" t="s">
        <v>29</v>
      </c>
      <c r="R3144" t="s">
        <v>27439</v>
      </c>
      <c r="S3144" t="s">
        <v>27440</v>
      </c>
    </row>
    <row r="3145" spans="1:19" x14ac:dyDescent="0.25">
      <c r="A3145" s="1">
        <v>3143</v>
      </c>
      <c r="B3145" t="str">
        <f>HYPERLINK("https://www.dasschnelle.at/harras-parkett-handels-gmbh-stockerau-feldgasse","Website")</f>
        <v>Website</v>
      </c>
      <c r="C3145" t="str">
        <f>HYPERLINK("http://www.harras-parkett.at","Website")</f>
        <v>Website</v>
      </c>
      <c r="D3145" t="str">
        <f>HYPERLINK("http://www.google.com/maps/place/48.3863943,16.2051112","Location")</f>
        <v>Location</v>
      </c>
      <c r="E3145" t="s">
        <v>27445</v>
      </c>
      <c r="F3145" t="s">
        <v>27446</v>
      </c>
      <c r="G3145" t="s">
        <v>13026</v>
      </c>
      <c r="H3145" t="s">
        <v>13027</v>
      </c>
      <c r="I3145" t="s">
        <v>177</v>
      </c>
      <c r="J3145" t="s">
        <v>22</v>
      </c>
      <c r="K3145" t="s">
        <v>27447</v>
      </c>
      <c r="L3145" t="s">
        <v>27450</v>
      </c>
      <c r="M3145" t="s">
        <v>25</v>
      </c>
      <c r="N3145" t="s">
        <v>27451</v>
      </c>
      <c r="O3145" t="s">
        <v>25</v>
      </c>
      <c r="P3145" t="s">
        <v>27452</v>
      </c>
      <c r="Q3145" t="s">
        <v>29</v>
      </c>
      <c r="R3145" t="s">
        <v>27448</v>
      </c>
      <c r="S3145" t="s">
        <v>27449</v>
      </c>
    </row>
    <row r="3146" spans="1:19" x14ac:dyDescent="0.25">
      <c r="A3146" s="1">
        <v>3144</v>
      </c>
      <c r="B3146" t="str">
        <f>HYPERLINK("https://www.dasschnelle.at/immobilien-weber-klosterneuburg-hofkirchnergasse","Website")</f>
        <v>Website</v>
      </c>
      <c r="C3146" t="str">
        <f>HYPERLINK("http://www.i-w.at","Website")</f>
        <v>Website</v>
      </c>
      <c r="D3146" t="str">
        <f>HYPERLINK("http://www.google.com/maps/place/48.307336,16.3229002","Location")</f>
        <v>Location</v>
      </c>
      <c r="E3146" t="s">
        <v>27453</v>
      </c>
      <c r="F3146" t="s">
        <v>27454</v>
      </c>
      <c r="G3146" t="s">
        <v>10308</v>
      </c>
      <c r="H3146" t="s">
        <v>10317</v>
      </c>
      <c r="I3146" t="s">
        <v>177</v>
      </c>
      <c r="J3146" t="s">
        <v>22</v>
      </c>
      <c r="K3146" t="s">
        <v>27455</v>
      </c>
      <c r="L3146" t="s">
        <v>27458</v>
      </c>
      <c r="M3146" t="s">
        <v>25</v>
      </c>
      <c r="N3146" t="s">
        <v>27459</v>
      </c>
      <c r="O3146" t="s">
        <v>25</v>
      </c>
      <c r="P3146" t="s">
        <v>27460</v>
      </c>
      <c r="Q3146" t="s">
        <v>29</v>
      </c>
      <c r="R3146" t="s">
        <v>27456</v>
      </c>
      <c r="S3146" t="s">
        <v>27457</v>
      </c>
    </row>
    <row r="3147" spans="1:19" x14ac:dyDescent="0.25">
      <c r="A3147" s="1">
        <v>3145</v>
      </c>
      <c r="B3147" t="str">
        <f>HYPERLINK("https://www.dasschnelle.at/bonstingl-bau-gmbh-fürstenfeld-wieskapellenweg","Website")</f>
        <v>Website</v>
      </c>
      <c r="C3147" t="str">
        <f>HYPERLINK("http://www.bonstingl.at","Website")</f>
        <v>Website</v>
      </c>
      <c r="D3147" t="str">
        <f>HYPERLINK("http://www.google.com/maps/place/47.04292,16.08113","Location")</f>
        <v>Location</v>
      </c>
      <c r="E3147" t="s">
        <v>27461</v>
      </c>
      <c r="F3147" t="s">
        <v>27462</v>
      </c>
      <c r="G3147" t="s">
        <v>24441</v>
      </c>
      <c r="H3147" t="s">
        <v>24442</v>
      </c>
      <c r="I3147" t="s">
        <v>451</v>
      </c>
      <c r="J3147" t="s">
        <v>22</v>
      </c>
      <c r="K3147" t="s">
        <v>27463</v>
      </c>
      <c r="L3147" t="s">
        <v>27466</v>
      </c>
      <c r="M3147" t="s">
        <v>27467</v>
      </c>
      <c r="N3147" t="s">
        <v>27468</v>
      </c>
      <c r="O3147" t="s">
        <v>25</v>
      </c>
      <c r="P3147" t="s">
        <v>27469</v>
      </c>
      <c r="Q3147" t="s">
        <v>29</v>
      </c>
      <c r="R3147" t="s">
        <v>27464</v>
      </c>
      <c r="S3147" t="s">
        <v>27465</v>
      </c>
    </row>
    <row r="3148" spans="1:19" x14ac:dyDescent="0.25">
      <c r="A3148" s="1">
        <v>3146</v>
      </c>
      <c r="B3148" t="str">
        <f>HYPERLINK("https://www.dasschnelle.at/blumen-karin-bad-leonfelden-lebzelterstraße","Website")</f>
        <v>Website</v>
      </c>
      <c r="C3148" t="str">
        <f>HYPERLINK("http://www.blumenkarin.at","Website")</f>
        <v>Website</v>
      </c>
      <c r="D3148" t="str">
        <f>HYPERLINK("http://www.google.com/maps/place/48.52205,14.29599","Location")</f>
        <v>Location</v>
      </c>
      <c r="E3148" t="s">
        <v>27470</v>
      </c>
      <c r="F3148" t="s">
        <v>27471</v>
      </c>
      <c r="G3148" t="s">
        <v>4093</v>
      </c>
      <c r="H3148" t="s">
        <v>4094</v>
      </c>
      <c r="I3148" t="s">
        <v>85</v>
      </c>
      <c r="J3148" t="s">
        <v>22</v>
      </c>
      <c r="K3148" t="s">
        <v>27472</v>
      </c>
      <c r="L3148" t="s">
        <v>27475</v>
      </c>
      <c r="M3148" t="s">
        <v>25</v>
      </c>
      <c r="N3148" t="s">
        <v>27476</v>
      </c>
      <c r="O3148" t="s">
        <v>27477</v>
      </c>
      <c r="P3148" t="s">
        <v>27478</v>
      </c>
      <c r="Q3148" t="s">
        <v>29</v>
      </c>
      <c r="R3148" t="s">
        <v>27473</v>
      </c>
      <c r="S3148" t="s">
        <v>27474</v>
      </c>
    </row>
    <row r="3149" spans="1:19" x14ac:dyDescent="0.25">
      <c r="A3149" s="1">
        <v>3147</v>
      </c>
      <c r="B3149" t="str">
        <f>HYPERLINK("https://www.dasschnelle.at/bretbacher-jakob-ing-tuffeltsham","Website")</f>
        <v>Website</v>
      </c>
      <c r="C3149" t="str">
        <f>HYPERLINK("https://www.dasschnelle.at/bretbacher-jakob-ing-tuffeltsham","Website")</f>
        <v>Website</v>
      </c>
      <c r="D3149" t="str">
        <f>HYPERLINK("http://www.google.com/maps/place/48.0309470,13.7289577","Location")</f>
        <v>Location</v>
      </c>
      <c r="E3149" t="s">
        <v>27479</v>
      </c>
      <c r="F3149" t="s">
        <v>27480</v>
      </c>
      <c r="G3149" t="s">
        <v>27481</v>
      </c>
      <c r="H3149" t="s">
        <v>27482</v>
      </c>
      <c r="I3149" t="s">
        <v>85</v>
      </c>
      <c r="J3149" t="s">
        <v>22</v>
      </c>
      <c r="K3149" t="s">
        <v>25</v>
      </c>
      <c r="L3149" t="s">
        <v>27485</v>
      </c>
      <c r="M3149" t="s">
        <v>25</v>
      </c>
      <c r="N3149" t="s">
        <v>27486</v>
      </c>
      <c r="O3149" t="s">
        <v>25</v>
      </c>
      <c r="P3149" t="s">
        <v>27487</v>
      </c>
      <c r="Q3149" t="s">
        <v>29</v>
      </c>
      <c r="R3149" t="s">
        <v>27483</v>
      </c>
      <c r="S3149" t="s">
        <v>27484</v>
      </c>
    </row>
    <row r="3150" spans="1:19" x14ac:dyDescent="0.25">
      <c r="A3150" s="1">
        <v>3148</v>
      </c>
      <c r="B3150" t="str">
        <f>HYPERLINK("https://www.dasschnelle.at/ebner-elektro-gmbh-unterweißenbach-freistädter-straße","Website")</f>
        <v>Website</v>
      </c>
      <c r="C3150" t="str">
        <f>HYPERLINK("http://www.elektro-ebner.at","Website")</f>
        <v>Website</v>
      </c>
      <c r="D3150" t="str">
        <f>HYPERLINK("http://www.google.com/maps/place/48.4385,14.78111","Location")</f>
        <v>Location</v>
      </c>
      <c r="E3150" t="s">
        <v>27488</v>
      </c>
      <c r="F3150" t="s">
        <v>27489</v>
      </c>
      <c r="G3150" t="s">
        <v>26623</v>
      </c>
      <c r="H3150" t="s">
        <v>26735</v>
      </c>
      <c r="I3150" t="s">
        <v>85</v>
      </c>
      <c r="J3150" t="s">
        <v>22</v>
      </c>
      <c r="K3150" t="s">
        <v>27490</v>
      </c>
      <c r="L3150" t="s">
        <v>27493</v>
      </c>
      <c r="M3150" t="s">
        <v>25</v>
      </c>
      <c r="N3150" t="s">
        <v>27494</v>
      </c>
      <c r="O3150" t="s">
        <v>25</v>
      </c>
      <c r="P3150" t="s">
        <v>27495</v>
      </c>
      <c r="Q3150" t="s">
        <v>29</v>
      </c>
      <c r="R3150" t="s">
        <v>27491</v>
      </c>
      <c r="S3150" t="s">
        <v>27492</v>
      </c>
    </row>
    <row r="3151" spans="1:19" x14ac:dyDescent="0.25">
      <c r="A3151" s="1">
        <v>3149</v>
      </c>
      <c r="B3151" t="str">
        <f>HYPERLINK("https://www.dasschnelle.at/möbelhaus-u-tischlerei-pettino-gesbr-bischofshofen-bodenlehenstraße","Website")</f>
        <v>Website</v>
      </c>
      <c r="C3151" t="str">
        <f>HYPERLINK("http://www.pettino.at","Website")</f>
        <v>Website</v>
      </c>
      <c r="D3151" t="str">
        <f>HYPERLINK("http://www.google.com/maps/place/47.42054,13.21595","Location")</f>
        <v>Location</v>
      </c>
      <c r="E3151" t="s">
        <v>27496</v>
      </c>
      <c r="F3151" t="s">
        <v>27497</v>
      </c>
      <c r="G3151" t="s">
        <v>24827</v>
      </c>
      <c r="H3151" t="s">
        <v>24828</v>
      </c>
      <c r="I3151" t="s">
        <v>2239</v>
      </c>
      <c r="J3151" t="s">
        <v>22</v>
      </c>
      <c r="K3151" t="s">
        <v>27498</v>
      </c>
      <c r="L3151" t="s">
        <v>27501</v>
      </c>
      <c r="M3151" t="s">
        <v>27502</v>
      </c>
      <c r="N3151" t="s">
        <v>27503</v>
      </c>
      <c r="O3151" t="s">
        <v>25</v>
      </c>
      <c r="P3151" t="s">
        <v>27504</v>
      </c>
      <c r="Q3151" t="s">
        <v>29</v>
      </c>
      <c r="R3151" t="s">
        <v>27499</v>
      </c>
      <c r="S3151" t="s">
        <v>27500</v>
      </c>
    </row>
    <row r="3152" spans="1:19" x14ac:dyDescent="0.25">
      <c r="A3152" s="1">
        <v>3150</v>
      </c>
      <c r="B3152" t="str">
        <f>HYPERLINK("https://www.dasschnelle.at/waldstein-hörgeräte-og-gramastetten-marktstraße","Website")</f>
        <v>Website</v>
      </c>
      <c r="C3152" t="str">
        <f>HYPERLINK("http://www.faszination-hoeren.at","Website")</f>
        <v>Website</v>
      </c>
      <c r="D3152" t="str">
        <f>HYPERLINK("http://www.google.com/maps/place/48.38023,14.19034","Location")</f>
        <v>Location</v>
      </c>
      <c r="E3152" t="s">
        <v>27505</v>
      </c>
      <c r="F3152" t="s">
        <v>27506</v>
      </c>
      <c r="G3152" t="s">
        <v>27341</v>
      </c>
      <c r="H3152" t="s">
        <v>27342</v>
      </c>
      <c r="I3152" t="s">
        <v>85</v>
      </c>
      <c r="J3152" t="s">
        <v>22</v>
      </c>
      <c r="K3152" t="s">
        <v>27507</v>
      </c>
      <c r="L3152" t="s">
        <v>27510</v>
      </c>
      <c r="M3152" t="s">
        <v>25</v>
      </c>
      <c r="N3152" t="s">
        <v>27511</v>
      </c>
      <c r="O3152" t="s">
        <v>27512</v>
      </c>
      <c r="P3152" t="s">
        <v>27513</v>
      </c>
      <c r="Q3152" t="s">
        <v>29</v>
      </c>
      <c r="R3152" t="s">
        <v>27508</v>
      </c>
      <c r="S3152" t="s">
        <v>27509</v>
      </c>
    </row>
    <row r="3153" spans="1:19" x14ac:dyDescent="0.25">
      <c r="A3153" s="1">
        <v>3151</v>
      </c>
      <c r="B3153" t="str">
        <f>HYPERLINK("https://www.dasschnelle.at/dumfart-gerhard-gramastetten-marktstraße","Website")</f>
        <v>Website</v>
      </c>
      <c r="C3153" t="str">
        <f>HYPERLINK("http://www.raum-dumfart.com","Website")</f>
        <v>Website</v>
      </c>
      <c r="D3153" t="str">
        <f>HYPERLINK("http://www.google.com/maps/place/48.3807,14.18796","Location")</f>
        <v>Location</v>
      </c>
      <c r="E3153" t="s">
        <v>27514</v>
      </c>
      <c r="F3153" t="s">
        <v>27515</v>
      </c>
      <c r="G3153" t="s">
        <v>27341</v>
      </c>
      <c r="H3153" t="s">
        <v>27342</v>
      </c>
      <c r="I3153" t="s">
        <v>85</v>
      </c>
      <c r="J3153" t="s">
        <v>22</v>
      </c>
      <c r="K3153" t="s">
        <v>27516</v>
      </c>
      <c r="L3153" t="s">
        <v>27519</v>
      </c>
      <c r="M3153" t="s">
        <v>25</v>
      </c>
      <c r="N3153" t="s">
        <v>27520</v>
      </c>
      <c r="O3153" t="s">
        <v>25</v>
      </c>
      <c r="P3153" t="s">
        <v>27521</v>
      </c>
      <c r="Q3153" t="s">
        <v>29</v>
      </c>
      <c r="R3153" t="s">
        <v>27517</v>
      </c>
      <c r="S3153" t="s">
        <v>27518</v>
      </c>
    </row>
    <row r="3154" spans="1:19" x14ac:dyDescent="0.25">
      <c r="A3154" s="1">
        <v>3152</v>
      </c>
      <c r="B3154" t="str">
        <f>HYPERLINK("https://www.dasschnelle.at/hb-24-haustechnik-installationsgmbh-spital-ebenfeld","Website")</f>
        <v>Website</v>
      </c>
      <c r="C3154" t="str">
        <f>HYPERLINK("http://www.hb24.at","Website")</f>
        <v>Website</v>
      </c>
      <c r="D3154" t="str">
        <f>HYPERLINK("http://www.google.com/maps/place/48.28213,15.93041","Location")</f>
        <v>Location</v>
      </c>
      <c r="E3154" t="s">
        <v>27522</v>
      </c>
      <c r="F3154" t="s">
        <v>27523</v>
      </c>
      <c r="G3154" t="s">
        <v>27525</v>
      </c>
      <c r="H3154" t="s">
        <v>27526</v>
      </c>
      <c r="I3154" t="s">
        <v>177</v>
      </c>
      <c r="J3154" t="s">
        <v>22</v>
      </c>
      <c r="K3154" t="s">
        <v>27524</v>
      </c>
      <c r="L3154" t="s">
        <v>27529</v>
      </c>
      <c r="M3154" t="s">
        <v>25</v>
      </c>
      <c r="N3154" t="s">
        <v>27530</v>
      </c>
      <c r="O3154" t="s">
        <v>25</v>
      </c>
      <c r="P3154" t="s">
        <v>27531</v>
      </c>
      <c r="Q3154" t="s">
        <v>29</v>
      </c>
      <c r="R3154" t="s">
        <v>27527</v>
      </c>
      <c r="S3154" t="s">
        <v>27528</v>
      </c>
    </row>
    <row r="3155" spans="1:19" x14ac:dyDescent="0.25">
      <c r="A3155" s="1">
        <v>3153</v>
      </c>
      <c r="B3155" t="str">
        <f>HYPERLINK("https://www.dasschnelle.at/lagerhaus-landeck-grins-graf","Website")</f>
        <v>Website</v>
      </c>
      <c r="C3155" t="str">
        <f>HYPERLINK("http://www.lagerhaus-landeck.at","Website")</f>
        <v>Website</v>
      </c>
      <c r="D3155" t="str">
        <f>HYPERLINK("http://www.google.com/maps/place/47.15258,10.58202","Location")</f>
        <v>Location</v>
      </c>
      <c r="E3155" t="s">
        <v>27532</v>
      </c>
      <c r="F3155" t="s">
        <v>27533</v>
      </c>
      <c r="G3155" t="s">
        <v>1279</v>
      </c>
      <c r="H3155" t="s">
        <v>27535</v>
      </c>
      <c r="I3155" t="s">
        <v>21</v>
      </c>
      <c r="J3155" t="s">
        <v>22</v>
      </c>
      <c r="K3155" t="s">
        <v>27534</v>
      </c>
      <c r="L3155" t="s">
        <v>27538</v>
      </c>
      <c r="M3155" t="s">
        <v>25</v>
      </c>
      <c r="N3155" t="s">
        <v>27539</v>
      </c>
      <c r="O3155" t="s">
        <v>25</v>
      </c>
      <c r="P3155" t="s">
        <v>27540</v>
      </c>
      <c r="Q3155" t="s">
        <v>29</v>
      </c>
      <c r="R3155" t="s">
        <v>27536</v>
      </c>
      <c r="S3155" t="s">
        <v>27537</v>
      </c>
    </row>
    <row r="3156" spans="1:19" x14ac:dyDescent="0.25">
      <c r="A3156" s="1">
        <v>3154</v>
      </c>
      <c r="B3156" t="str">
        <f>HYPERLINK("https://www.dasschnelle.at/iklima-ivanko-mario-attnang-puchheim-erlenweg","Website")</f>
        <v>Website</v>
      </c>
      <c r="C3156" t="str">
        <f>HYPERLINK("http://www.iklima.at","Website")</f>
        <v>Website</v>
      </c>
      <c r="D3156" t="str">
        <f>HYPERLINK("http://www.google.com/maps/place/48.01758,13.71287","Location")</f>
        <v>Location</v>
      </c>
      <c r="E3156" t="s">
        <v>27541</v>
      </c>
      <c r="F3156" t="s">
        <v>27542</v>
      </c>
      <c r="G3156" t="s">
        <v>3728</v>
      </c>
      <c r="H3156" t="s">
        <v>3729</v>
      </c>
      <c r="I3156" t="s">
        <v>85</v>
      </c>
      <c r="J3156" t="s">
        <v>22</v>
      </c>
      <c r="K3156" t="s">
        <v>27543</v>
      </c>
      <c r="L3156" t="s">
        <v>27546</v>
      </c>
      <c r="M3156" t="s">
        <v>25</v>
      </c>
      <c r="N3156" t="s">
        <v>27547</v>
      </c>
      <c r="O3156" t="s">
        <v>25</v>
      </c>
      <c r="P3156" t="s">
        <v>27548</v>
      </c>
      <c r="Q3156" t="s">
        <v>29</v>
      </c>
      <c r="R3156" t="s">
        <v>27544</v>
      </c>
      <c r="S3156" t="s">
        <v>27545</v>
      </c>
    </row>
    <row r="3157" spans="1:19" x14ac:dyDescent="0.25">
      <c r="A3157" s="1">
        <v>3155</v>
      </c>
      <c r="B3157" t="str">
        <f>HYPERLINK("https://www.dasschnelle.at/hofinger-karl-sankt-veit-im-mühlkreis-hansbergstraße","Website")</f>
        <v>Website</v>
      </c>
      <c r="C3157" t="str">
        <f>HYPERLINK("https://www.dasschnelle.at/hofinger-karl-sankt-veit-im-m%C3%BChlkreis-hansbergstra%C3%9Fe","Website")</f>
        <v>Website</v>
      </c>
      <c r="D3157" t="str">
        <f>HYPERLINK("http://www.google.com/maps/place/48.46665,14.16256","Location")</f>
        <v>Location</v>
      </c>
      <c r="E3157" t="s">
        <v>27549</v>
      </c>
      <c r="F3157" t="s">
        <v>27550</v>
      </c>
      <c r="G3157" t="s">
        <v>27552</v>
      </c>
      <c r="H3157" t="s">
        <v>27553</v>
      </c>
      <c r="I3157" t="s">
        <v>85</v>
      </c>
      <c r="J3157" t="s">
        <v>22</v>
      </c>
      <c r="K3157" t="s">
        <v>27551</v>
      </c>
      <c r="L3157" t="s">
        <v>27556</v>
      </c>
      <c r="M3157" t="s">
        <v>25</v>
      </c>
      <c r="N3157" t="s">
        <v>27557</v>
      </c>
      <c r="O3157" t="s">
        <v>25</v>
      </c>
      <c r="P3157" t="s">
        <v>27558</v>
      </c>
      <c r="Q3157" t="s">
        <v>29</v>
      </c>
      <c r="R3157" t="s">
        <v>27554</v>
      </c>
      <c r="S3157" t="s">
        <v>27555</v>
      </c>
    </row>
    <row r="3158" spans="1:19" x14ac:dyDescent="0.25">
      <c r="A3158" s="1">
        <v>3156</v>
      </c>
      <c r="B3158" t="str">
        <f>HYPERLINK("https://www.dasschnelle.at/optiker-mayer-bad-leonfelden-hauptplatz","Website")</f>
        <v>Website</v>
      </c>
      <c r="C3158" t="str">
        <f>HYPERLINK("http://www.optikmayer.at","Website")</f>
        <v>Website</v>
      </c>
      <c r="D3158" t="str">
        <f>HYPERLINK("http://www.google.com/maps/place/48.5216700,14.2942300","Location")</f>
        <v>Location</v>
      </c>
      <c r="E3158" t="s">
        <v>27559</v>
      </c>
      <c r="F3158" t="s">
        <v>27560</v>
      </c>
      <c r="G3158" t="s">
        <v>4093</v>
      </c>
      <c r="H3158" t="s">
        <v>4094</v>
      </c>
      <c r="I3158" t="s">
        <v>85</v>
      </c>
      <c r="J3158" t="s">
        <v>22</v>
      </c>
      <c r="K3158" t="s">
        <v>20025</v>
      </c>
      <c r="L3158" t="s">
        <v>27563</v>
      </c>
      <c r="M3158" t="s">
        <v>25</v>
      </c>
      <c r="N3158" t="s">
        <v>27564</v>
      </c>
      <c r="O3158" t="s">
        <v>27565</v>
      </c>
      <c r="P3158" t="s">
        <v>27566</v>
      </c>
      <c r="Q3158" t="s">
        <v>29</v>
      </c>
      <c r="R3158" t="s">
        <v>27561</v>
      </c>
      <c r="S3158" t="s">
        <v>27562</v>
      </c>
    </row>
    <row r="3159" spans="1:19" x14ac:dyDescent="0.25">
      <c r="A3159" s="1">
        <v>3157</v>
      </c>
      <c r="B3159" t="str">
        <f>HYPERLINK("https://www.dasschnelle.at/steger-peter-höch-maderlehenweg","Website")</f>
        <v>Website</v>
      </c>
      <c r="C3159" t="str">
        <f>HYPERLINK("https://www.dasschnelle.at/steger-peter-h%C3%B6ch-maderlehenweg","Website")</f>
        <v>Website</v>
      </c>
      <c r="D3159" t="str">
        <f>HYPERLINK("http://www.google.com/maps/place/47.39041,13.39142","Location")</f>
        <v>Location</v>
      </c>
      <c r="E3159" t="s">
        <v>27567</v>
      </c>
      <c r="F3159" t="s">
        <v>27568</v>
      </c>
      <c r="G3159" t="s">
        <v>5896</v>
      </c>
      <c r="H3159" t="s">
        <v>5897</v>
      </c>
      <c r="I3159" t="s">
        <v>2239</v>
      </c>
      <c r="J3159" t="s">
        <v>22</v>
      </c>
      <c r="K3159" t="s">
        <v>27569</v>
      </c>
      <c r="L3159" t="s">
        <v>27572</v>
      </c>
      <c r="M3159" t="s">
        <v>25</v>
      </c>
      <c r="N3159" t="s">
        <v>27573</v>
      </c>
      <c r="O3159" t="s">
        <v>27574</v>
      </c>
      <c r="P3159" t="s">
        <v>697</v>
      </c>
      <c r="Q3159" t="s">
        <v>29</v>
      </c>
      <c r="R3159" t="s">
        <v>27570</v>
      </c>
      <c r="S3159" t="s">
        <v>27571</v>
      </c>
    </row>
    <row r="3160" spans="1:19" x14ac:dyDescent="0.25">
      <c r="A3160" s="1">
        <v>3158</v>
      </c>
      <c r="B3160" t="str">
        <f>HYPERLINK("https://www.dasschnelle.at/autohaus-baumgartner-johann-atzenbrugg-kremser-landstraße","Website")</f>
        <v>Website</v>
      </c>
      <c r="C3160" t="str">
        <f>HYPERLINK("http://www.mitsubishi-baumgartner.at","Website")</f>
        <v>Website</v>
      </c>
      <c r="D3160" t="str">
        <f>HYPERLINK("http://www.google.com/maps/place/48.30433,15.89105","Location")</f>
        <v>Location</v>
      </c>
      <c r="E3160" t="s">
        <v>27575</v>
      </c>
      <c r="F3160" t="s">
        <v>27576</v>
      </c>
      <c r="G3160" t="s">
        <v>9552</v>
      </c>
      <c r="H3160" t="s">
        <v>9553</v>
      </c>
      <c r="I3160" t="s">
        <v>177</v>
      </c>
      <c r="J3160" t="s">
        <v>22</v>
      </c>
      <c r="K3160" t="s">
        <v>27577</v>
      </c>
      <c r="L3160" t="s">
        <v>27580</v>
      </c>
      <c r="M3160" t="s">
        <v>27581</v>
      </c>
      <c r="N3160" t="s">
        <v>27582</v>
      </c>
      <c r="O3160" t="s">
        <v>25</v>
      </c>
      <c r="P3160" t="s">
        <v>27583</v>
      </c>
      <c r="Q3160" t="s">
        <v>29</v>
      </c>
      <c r="R3160" t="s">
        <v>27578</v>
      </c>
      <c r="S3160" t="s">
        <v>27579</v>
      </c>
    </row>
    <row r="3161" spans="1:19" x14ac:dyDescent="0.25">
      <c r="A3161" s="1">
        <v>3159</v>
      </c>
      <c r="B3161" t="str">
        <f>HYPERLINK("https://www.dasschnelle.at/kleinpötzl-gmbh-andorf-kurzenkirchen","Website")</f>
        <v>Website</v>
      </c>
      <c r="C3161" t="str">
        <f>HYPERLINK("http://www.kleinpoetzl.at","Website")</f>
        <v>Website</v>
      </c>
      <c r="D3161" t="str">
        <f>HYPERLINK("http://www.google.com/maps/place/48.3581189,13.5312561","Location")</f>
        <v>Location</v>
      </c>
      <c r="E3161" t="s">
        <v>27584</v>
      </c>
      <c r="F3161" t="s">
        <v>27585</v>
      </c>
      <c r="G3161" t="s">
        <v>26299</v>
      </c>
      <c r="H3161" t="s">
        <v>26300</v>
      </c>
      <c r="I3161" t="s">
        <v>85</v>
      </c>
      <c r="J3161" t="s">
        <v>22</v>
      </c>
      <c r="K3161" t="s">
        <v>27586</v>
      </c>
      <c r="L3161" t="s">
        <v>27589</v>
      </c>
      <c r="M3161" t="s">
        <v>25</v>
      </c>
      <c r="N3161" t="s">
        <v>27590</v>
      </c>
      <c r="O3161" t="s">
        <v>25</v>
      </c>
      <c r="P3161" t="s">
        <v>27591</v>
      </c>
      <c r="Q3161" t="s">
        <v>29</v>
      </c>
      <c r="R3161" t="s">
        <v>27587</v>
      </c>
      <c r="S3161" t="s">
        <v>27588</v>
      </c>
    </row>
    <row r="3162" spans="1:19" x14ac:dyDescent="0.25">
      <c r="A3162" s="1">
        <v>3160</v>
      </c>
      <c r="B3162" t="str">
        <f>HYPERLINK("https://www.dasschnelle.at/naderer-michael-perg-machlandstraße","Website")</f>
        <v>Website</v>
      </c>
      <c r="C3162" t="str">
        <f>HYPERLINK("http://www.heilmasseur-naderer.at","Website")</f>
        <v>Website</v>
      </c>
      <c r="D3162" t="str">
        <f>HYPERLINK("http://www.google.com/maps/place/48.24033,14.64088","Location")</f>
        <v>Location</v>
      </c>
      <c r="E3162" t="s">
        <v>27592</v>
      </c>
      <c r="F3162" t="s">
        <v>27593</v>
      </c>
      <c r="G3162" t="s">
        <v>6379</v>
      </c>
      <c r="H3162" t="s">
        <v>6380</v>
      </c>
      <c r="I3162" t="s">
        <v>85</v>
      </c>
      <c r="J3162" t="s">
        <v>22</v>
      </c>
      <c r="K3162" t="s">
        <v>27594</v>
      </c>
      <c r="L3162" t="s">
        <v>27597</v>
      </c>
      <c r="M3162" t="s">
        <v>25</v>
      </c>
      <c r="N3162" t="s">
        <v>27598</v>
      </c>
      <c r="O3162" t="s">
        <v>25</v>
      </c>
      <c r="P3162" t="s">
        <v>27599</v>
      </c>
      <c r="Q3162" t="s">
        <v>29</v>
      </c>
      <c r="R3162" t="s">
        <v>27595</v>
      </c>
      <c r="S3162" t="s">
        <v>27596</v>
      </c>
    </row>
    <row r="3163" spans="1:19" x14ac:dyDescent="0.25">
      <c r="A3163" s="1">
        <v>3161</v>
      </c>
      <c r="B3163" t="str">
        <f>HYPERLINK("https://www.dasschnelle.at/glaserei-schmidhuber-thalgau-ferd-zuckerstätter-straße","Website")</f>
        <v>Website</v>
      </c>
      <c r="C3163" t="str">
        <f>HYPERLINK("http://www.glasbautechnik-schmidhuber.at","Website")</f>
        <v>Website</v>
      </c>
      <c r="D3163" t="str">
        <f>HYPERLINK("http://www.google.com/maps/place/47.8489654,13.2545078","Location")</f>
        <v>Location</v>
      </c>
      <c r="E3163" t="s">
        <v>27600</v>
      </c>
      <c r="F3163" t="s">
        <v>27601</v>
      </c>
      <c r="G3163" t="s">
        <v>26904</v>
      </c>
      <c r="H3163" t="s">
        <v>26905</v>
      </c>
      <c r="I3163" t="s">
        <v>2239</v>
      </c>
      <c r="J3163" t="s">
        <v>22</v>
      </c>
      <c r="K3163" t="s">
        <v>27602</v>
      </c>
      <c r="L3163" t="s">
        <v>27605</v>
      </c>
      <c r="M3163" t="s">
        <v>25</v>
      </c>
      <c r="N3163" t="s">
        <v>27606</v>
      </c>
      <c r="O3163" t="s">
        <v>25</v>
      </c>
      <c r="P3163" t="s">
        <v>27607</v>
      </c>
      <c r="Q3163" t="s">
        <v>29</v>
      </c>
      <c r="R3163" t="s">
        <v>27603</v>
      </c>
      <c r="S3163" t="s">
        <v>27604</v>
      </c>
    </row>
    <row r="3164" spans="1:19" x14ac:dyDescent="0.25">
      <c r="A3164" s="1">
        <v>3162</v>
      </c>
      <c r="B3164" t="str">
        <f>HYPERLINK("https://www.dasschnelle.at/weiß-manfred-sankt-anna-am-aigen-plesch","Website")</f>
        <v>Website</v>
      </c>
      <c r="C3164" t="str">
        <f>HYPERLINK("http://www.weiss-daecher.at","Website")</f>
        <v>Website</v>
      </c>
      <c r="D3164" t="str">
        <f>HYPERLINK("http://www.google.com/maps/place/46.8299251,15.9633463","Location")</f>
        <v>Location</v>
      </c>
      <c r="E3164" t="s">
        <v>27608</v>
      </c>
      <c r="F3164" t="s">
        <v>27609</v>
      </c>
      <c r="G3164" t="s">
        <v>529</v>
      </c>
      <c r="H3164" t="s">
        <v>27611</v>
      </c>
      <c r="I3164" t="s">
        <v>451</v>
      </c>
      <c r="J3164" t="s">
        <v>22</v>
      </c>
      <c r="K3164" t="s">
        <v>27610</v>
      </c>
      <c r="L3164" t="s">
        <v>27614</v>
      </c>
      <c r="M3164" t="s">
        <v>25</v>
      </c>
      <c r="N3164" t="s">
        <v>27615</v>
      </c>
      <c r="O3164" t="s">
        <v>25</v>
      </c>
      <c r="P3164" t="s">
        <v>27616</v>
      </c>
      <c r="Q3164" t="s">
        <v>29</v>
      </c>
      <c r="R3164" t="s">
        <v>27612</v>
      </c>
      <c r="S3164" t="s">
        <v>27613</v>
      </c>
    </row>
    <row r="3165" spans="1:19" x14ac:dyDescent="0.25">
      <c r="A3165" s="1">
        <v>3163</v>
      </c>
      <c r="B3165" t="str">
        <f>HYPERLINK("https://www.dasschnelle.at/bestattung-luttenberger-kapfenstein","Website")</f>
        <v>Website</v>
      </c>
      <c r="C3165" t="str">
        <f>HYPERLINK("http://www.bestattung-luttenberger.at","Website")</f>
        <v>Website</v>
      </c>
      <c r="D3165" t="str">
        <f>HYPERLINK("http://www.google.com/maps/place/46.86354,15.90167","Location")</f>
        <v>Location</v>
      </c>
      <c r="E3165" t="s">
        <v>27617</v>
      </c>
      <c r="F3165" t="s">
        <v>27618</v>
      </c>
      <c r="G3165" t="s">
        <v>449</v>
      </c>
      <c r="H3165" t="s">
        <v>450</v>
      </c>
      <c r="I3165" t="s">
        <v>451</v>
      </c>
      <c r="J3165" t="s">
        <v>22</v>
      </c>
      <c r="K3165" t="s">
        <v>25</v>
      </c>
      <c r="L3165" t="s">
        <v>27621</v>
      </c>
      <c r="M3165" t="s">
        <v>27622</v>
      </c>
      <c r="N3165" t="s">
        <v>27623</v>
      </c>
      <c r="O3165" t="s">
        <v>27624</v>
      </c>
      <c r="P3165" t="s">
        <v>27625</v>
      </c>
      <c r="Q3165" t="s">
        <v>29</v>
      </c>
      <c r="R3165" t="s">
        <v>27619</v>
      </c>
      <c r="S3165" t="s">
        <v>27620</v>
      </c>
    </row>
    <row r="3166" spans="1:19" x14ac:dyDescent="0.25">
      <c r="A3166" s="1">
        <v>3164</v>
      </c>
      <c r="B3166" t="str">
        <f>HYPERLINK("https://www.dasschnelle.at/ist-installations-service-trumme-feldbach-mühldorf","Website")</f>
        <v>Website</v>
      </c>
      <c r="C3166" t="str">
        <f>HYPERLINK("http://www.ist-installationen.at","Website")</f>
        <v>Website</v>
      </c>
      <c r="D3166" t="str">
        <f>HYPERLINK("http://www.google.com/maps/place/46.94405,15.90912","Location")</f>
        <v>Location</v>
      </c>
      <c r="E3166" t="s">
        <v>27626</v>
      </c>
      <c r="F3166" t="s">
        <v>27627</v>
      </c>
      <c r="G3166" t="s">
        <v>470</v>
      </c>
      <c r="H3166" t="s">
        <v>471</v>
      </c>
      <c r="I3166" t="s">
        <v>451</v>
      </c>
      <c r="J3166" t="s">
        <v>22</v>
      </c>
      <c r="K3166" t="s">
        <v>27628</v>
      </c>
      <c r="L3166" t="s">
        <v>27631</v>
      </c>
      <c r="M3166" t="s">
        <v>25</v>
      </c>
      <c r="N3166" t="s">
        <v>27632</v>
      </c>
      <c r="O3166" t="s">
        <v>25</v>
      </c>
      <c r="P3166" t="s">
        <v>27633</v>
      </c>
      <c r="Q3166" t="s">
        <v>29</v>
      </c>
      <c r="R3166" t="s">
        <v>27629</v>
      </c>
      <c r="S3166" t="s">
        <v>27630</v>
      </c>
    </row>
    <row r="3167" spans="1:19" x14ac:dyDescent="0.25">
      <c r="A3167" s="1">
        <v>3165</v>
      </c>
      <c r="B3167" t="str">
        <f>HYPERLINK("https://www.dasschnelle.at/frisör-haarscharf-trautmannsdorf","Website")</f>
        <v>Website</v>
      </c>
      <c r="C3167" t="str">
        <f>HYPERLINK("https://www.dasschnelle.at/fris%C3%B6r-haarscharf-trautmannsdorf","Website")</f>
        <v>Website</v>
      </c>
      <c r="D3167" t="str">
        <f>HYPERLINK("http://www.google.com/maps/place/46.8733493,15.8838651","Location")</f>
        <v>Location</v>
      </c>
      <c r="E3167" t="s">
        <v>27634</v>
      </c>
      <c r="F3167" t="s">
        <v>27635</v>
      </c>
      <c r="G3167" t="s">
        <v>27636</v>
      </c>
      <c r="H3167" t="s">
        <v>27637</v>
      </c>
      <c r="I3167" t="s">
        <v>451</v>
      </c>
      <c r="J3167" t="s">
        <v>22</v>
      </c>
      <c r="K3167" t="s">
        <v>25</v>
      </c>
      <c r="L3167" t="s">
        <v>27640</v>
      </c>
      <c r="M3167" t="s">
        <v>25</v>
      </c>
      <c r="N3167" t="s">
        <v>27641</v>
      </c>
      <c r="O3167" t="s">
        <v>27642</v>
      </c>
      <c r="P3167" t="s">
        <v>27643</v>
      </c>
      <c r="Q3167" t="s">
        <v>29</v>
      </c>
      <c r="R3167" t="s">
        <v>27638</v>
      </c>
      <c r="S3167" t="s">
        <v>27639</v>
      </c>
    </row>
    <row r="3168" spans="1:19" x14ac:dyDescent="0.25">
      <c r="A3168" s="1">
        <v>3166</v>
      </c>
      <c r="B3168" t="str">
        <f>HYPERLINK("https://www.dasschnelle.at/raabe-modesto-dr-groß-gerungs-schulgasse","Website")</f>
        <v>Website</v>
      </c>
      <c r="C3168" t="str">
        <f>HYPERLINK("http://www.modestoraabe.at","Website")</f>
        <v>Website</v>
      </c>
      <c r="D3168" t="str">
        <f>HYPERLINK("http://www.google.com/maps/place/48.57253,14.9582","Location")</f>
        <v>Location</v>
      </c>
      <c r="E3168" t="s">
        <v>27644</v>
      </c>
      <c r="F3168" t="s">
        <v>27645</v>
      </c>
      <c r="G3168" t="s">
        <v>11242</v>
      </c>
      <c r="H3168" t="s">
        <v>11252</v>
      </c>
      <c r="I3168" t="s">
        <v>177</v>
      </c>
      <c r="J3168" t="s">
        <v>22</v>
      </c>
      <c r="K3168" t="s">
        <v>27646</v>
      </c>
      <c r="L3168" t="s">
        <v>27649</v>
      </c>
      <c r="M3168" t="s">
        <v>25</v>
      </c>
      <c r="N3168" t="s">
        <v>27650</v>
      </c>
      <c r="O3168" t="s">
        <v>25</v>
      </c>
      <c r="P3168" t="s">
        <v>27651</v>
      </c>
      <c r="Q3168" t="s">
        <v>29</v>
      </c>
      <c r="R3168" t="s">
        <v>27647</v>
      </c>
      <c r="S3168" t="s">
        <v>27648</v>
      </c>
    </row>
    <row r="3169" spans="1:19" x14ac:dyDescent="0.25">
      <c r="A3169" s="1">
        <v>3167</v>
      </c>
      <c r="B3169" t="str">
        <f>HYPERLINK("https://www.dasschnelle.at/veiter-andreas-dr-korneuburg-gärtnergasse","Website")</f>
        <v>Website</v>
      </c>
      <c r="C3169" t="str">
        <f>HYPERLINK("http://www.dr-veiter.at","Website")</f>
        <v>Website</v>
      </c>
      <c r="D3169" t="str">
        <f>HYPERLINK("http://www.google.com/maps/place/48.34065,16.33417","Location")</f>
        <v>Location</v>
      </c>
      <c r="E3169" t="s">
        <v>27652</v>
      </c>
      <c r="F3169" t="s">
        <v>27653</v>
      </c>
      <c r="G3169" t="s">
        <v>440</v>
      </c>
      <c r="H3169" t="s">
        <v>441</v>
      </c>
      <c r="I3169" t="s">
        <v>177</v>
      </c>
      <c r="J3169" t="s">
        <v>22</v>
      </c>
      <c r="K3169" t="s">
        <v>27654</v>
      </c>
      <c r="L3169" t="s">
        <v>27656</v>
      </c>
      <c r="M3169" t="s">
        <v>25</v>
      </c>
      <c r="N3169" t="s">
        <v>27657</v>
      </c>
      <c r="O3169" t="s">
        <v>25</v>
      </c>
      <c r="P3169" t="s">
        <v>27658</v>
      </c>
      <c r="Q3169" t="s">
        <v>29</v>
      </c>
      <c r="R3169" t="s">
        <v>13376</v>
      </c>
      <c r="S3169" t="s">
        <v>27655</v>
      </c>
    </row>
    <row r="3170" spans="1:19" x14ac:dyDescent="0.25">
      <c r="A3170" s="1">
        <v>3168</v>
      </c>
      <c r="B3170" t="str">
        <f>HYPERLINK("https://www.dasschnelle.at/dr-eugen-neururer-und-partner-landeck-innstraße","Website")</f>
        <v>Website</v>
      </c>
      <c r="C3170" t="str">
        <f>HYPERLINK("http://www.notar-neururer.at","Website")</f>
        <v>Website</v>
      </c>
      <c r="D3170" t="str">
        <f>HYPERLINK("http://www.google.com/maps/place/47.13758,10.56527","Location")</f>
        <v>Location</v>
      </c>
      <c r="E3170" t="s">
        <v>27659</v>
      </c>
      <c r="F3170" t="s">
        <v>27660</v>
      </c>
      <c r="G3170" t="s">
        <v>1279</v>
      </c>
      <c r="H3170" t="s">
        <v>1280</v>
      </c>
      <c r="I3170" t="s">
        <v>21</v>
      </c>
      <c r="J3170" t="s">
        <v>22</v>
      </c>
      <c r="K3170" t="s">
        <v>27661</v>
      </c>
      <c r="L3170" t="s">
        <v>27664</v>
      </c>
      <c r="M3170" t="s">
        <v>25</v>
      </c>
      <c r="N3170" t="s">
        <v>27665</v>
      </c>
      <c r="O3170" t="s">
        <v>27666</v>
      </c>
      <c r="P3170" t="s">
        <v>27667</v>
      </c>
      <c r="Q3170" t="s">
        <v>29</v>
      </c>
      <c r="R3170" t="s">
        <v>27662</v>
      </c>
      <c r="S3170" t="s">
        <v>27663</v>
      </c>
    </row>
    <row r="3171" spans="1:19" x14ac:dyDescent="0.25">
      <c r="A3171" s="1">
        <v>3169</v>
      </c>
      <c r="B3171" t="str">
        <f>HYPERLINK("https://www.dasschnelle.at/radsport-caska-gmbh-feldbach-ungarstraße","Website")</f>
        <v>Website</v>
      </c>
      <c r="C3171" t="str">
        <f>HYPERLINK("http://www.radcenter.at","Website")</f>
        <v>Website</v>
      </c>
      <c r="D3171" t="str">
        <f>HYPERLINK("http://www.google.com/maps/place/46.95061,15.89054","Location")</f>
        <v>Location</v>
      </c>
      <c r="E3171" t="s">
        <v>27668</v>
      </c>
      <c r="F3171" t="s">
        <v>27669</v>
      </c>
      <c r="G3171" t="s">
        <v>470</v>
      </c>
      <c r="H3171" t="s">
        <v>471</v>
      </c>
      <c r="I3171" t="s">
        <v>451</v>
      </c>
      <c r="J3171" t="s">
        <v>22</v>
      </c>
      <c r="K3171" t="s">
        <v>27670</v>
      </c>
      <c r="L3171" t="s">
        <v>27673</v>
      </c>
      <c r="M3171" t="s">
        <v>25</v>
      </c>
      <c r="N3171" t="s">
        <v>27674</v>
      </c>
      <c r="O3171" t="s">
        <v>25</v>
      </c>
      <c r="P3171" t="s">
        <v>27675</v>
      </c>
      <c r="Q3171" t="s">
        <v>29</v>
      </c>
      <c r="R3171" t="s">
        <v>27671</v>
      </c>
      <c r="S3171" t="s">
        <v>27672</v>
      </c>
    </row>
    <row r="3172" spans="1:19" x14ac:dyDescent="0.25">
      <c r="A3172" s="1">
        <v>3170</v>
      </c>
      <c r="B3172" t="str">
        <f>HYPERLINK("https://www.dasschnelle.at/planung-u-projektmanagement-spiss-u-partner-gmbh-landeck-urichstraße","Website")</f>
        <v>Website</v>
      </c>
      <c r="C3172" t="str">
        <f>HYPERLINK("http://www.spiss-partner.at","Website")</f>
        <v>Website</v>
      </c>
      <c r="D3172" t="str">
        <f>HYPERLINK("http://www.google.com/maps/place/47.14683,10.57774","Location")</f>
        <v>Location</v>
      </c>
      <c r="E3172" t="s">
        <v>27676</v>
      </c>
      <c r="F3172" t="s">
        <v>27677</v>
      </c>
      <c r="G3172" t="s">
        <v>1279</v>
      </c>
      <c r="H3172" t="s">
        <v>1280</v>
      </c>
      <c r="I3172" t="s">
        <v>21</v>
      </c>
      <c r="J3172" t="s">
        <v>22</v>
      </c>
      <c r="K3172" t="s">
        <v>27678</v>
      </c>
      <c r="L3172" t="s">
        <v>27681</v>
      </c>
      <c r="M3172" t="s">
        <v>27682</v>
      </c>
      <c r="N3172" t="s">
        <v>27683</v>
      </c>
      <c r="O3172" t="s">
        <v>25</v>
      </c>
      <c r="P3172" t="s">
        <v>27684</v>
      </c>
      <c r="Q3172" t="s">
        <v>29</v>
      </c>
      <c r="R3172" t="s">
        <v>27679</v>
      </c>
      <c r="S3172" t="s">
        <v>27680</v>
      </c>
    </row>
    <row r="3173" spans="1:19" x14ac:dyDescent="0.25">
      <c r="A3173" s="1">
        <v>3171</v>
      </c>
      <c r="B3173" t="str">
        <f>HYPERLINK("https://www.dasschnelle.at/huemer-manfred-gramastetten-linzer-straße","Website")</f>
        <v>Website</v>
      </c>
      <c r="C3173" t="str">
        <f>HYPERLINK("http://www.huemer-tischlerei.at","Website")</f>
        <v>Website</v>
      </c>
      <c r="D3173" t="str">
        <f>HYPERLINK("http://www.google.com/maps/place/48.38022,14.19559","Location")</f>
        <v>Location</v>
      </c>
      <c r="E3173" t="s">
        <v>27685</v>
      </c>
      <c r="F3173" t="s">
        <v>27686</v>
      </c>
      <c r="G3173" t="s">
        <v>27341</v>
      </c>
      <c r="H3173" t="s">
        <v>27342</v>
      </c>
      <c r="I3173" t="s">
        <v>85</v>
      </c>
      <c r="J3173" t="s">
        <v>22</v>
      </c>
      <c r="K3173" t="s">
        <v>27687</v>
      </c>
      <c r="L3173" t="s">
        <v>27690</v>
      </c>
      <c r="M3173" t="s">
        <v>27691</v>
      </c>
      <c r="N3173" t="s">
        <v>27692</v>
      </c>
      <c r="O3173" t="s">
        <v>25</v>
      </c>
      <c r="P3173" t="s">
        <v>27693</v>
      </c>
      <c r="Q3173" t="s">
        <v>29</v>
      </c>
      <c r="R3173" t="s">
        <v>27688</v>
      </c>
      <c r="S3173" t="s">
        <v>27689</v>
      </c>
    </row>
    <row r="3174" spans="1:19" x14ac:dyDescent="0.25">
      <c r="A3174" s="1">
        <v>3172</v>
      </c>
      <c r="B3174" t="str">
        <f>HYPERLINK("https://www.dasschnelle.at/wt-gruber-steuerberatung-gmbh-vöcklabruck-salzburger-straße","Website")</f>
        <v>Website</v>
      </c>
      <c r="C3174" t="str">
        <f>HYPERLINK("http://www.wtgruber.at","Website")</f>
        <v>Website</v>
      </c>
      <c r="D3174" t="str">
        <f>HYPERLINK("http://www.google.com/maps/place/48.00712,13.65248","Location")</f>
        <v>Location</v>
      </c>
      <c r="E3174" t="s">
        <v>27694</v>
      </c>
      <c r="F3174" t="s">
        <v>27695</v>
      </c>
      <c r="G3174" t="s">
        <v>3749</v>
      </c>
      <c r="H3174" t="s">
        <v>3750</v>
      </c>
      <c r="I3174" t="s">
        <v>85</v>
      </c>
      <c r="J3174" t="s">
        <v>22</v>
      </c>
      <c r="K3174" t="s">
        <v>27696</v>
      </c>
      <c r="L3174" t="s">
        <v>27699</v>
      </c>
      <c r="M3174" t="s">
        <v>27700</v>
      </c>
      <c r="N3174" t="s">
        <v>27701</v>
      </c>
      <c r="O3174" t="s">
        <v>27702</v>
      </c>
      <c r="P3174" t="s">
        <v>27703</v>
      </c>
      <c r="Q3174" t="s">
        <v>29</v>
      </c>
      <c r="R3174" t="s">
        <v>27697</v>
      </c>
      <c r="S3174" t="s">
        <v>27698</v>
      </c>
    </row>
    <row r="3175" spans="1:19" x14ac:dyDescent="0.25">
      <c r="A3175" s="1">
        <v>3173</v>
      </c>
      <c r="B3175" t="str">
        <f>HYPERLINK("https://www.dasschnelle.at/schernthaner-kurt-bad-hofgastein-gewerbepark-harbach","Website")</f>
        <v>Website</v>
      </c>
      <c r="C3175" t="str">
        <f>HYPERLINK("http://www.fliesen-schernthaner.at","Website")</f>
        <v>Website</v>
      </c>
      <c r="D3175" t="str">
        <f>HYPERLINK("http://www.google.com/maps/place/47.2079385,13.1095311","Location")</f>
        <v>Location</v>
      </c>
      <c r="E3175" t="s">
        <v>27704</v>
      </c>
      <c r="F3175" t="s">
        <v>27705</v>
      </c>
      <c r="G3175" t="s">
        <v>25969</v>
      </c>
      <c r="H3175" t="s">
        <v>25970</v>
      </c>
      <c r="I3175" t="s">
        <v>2239</v>
      </c>
      <c r="J3175" t="s">
        <v>22</v>
      </c>
      <c r="K3175" t="s">
        <v>27706</v>
      </c>
      <c r="L3175" t="s">
        <v>27709</v>
      </c>
      <c r="M3175" t="s">
        <v>25</v>
      </c>
      <c r="N3175" t="s">
        <v>27710</v>
      </c>
      <c r="O3175" t="s">
        <v>25</v>
      </c>
      <c r="P3175" t="s">
        <v>27711</v>
      </c>
      <c r="Q3175" t="s">
        <v>29</v>
      </c>
      <c r="R3175" t="s">
        <v>27707</v>
      </c>
      <c r="S3175" t="s">
        <v>27708</v>
      </c>
    </row>
    <row r="3176" spans="1:19" x14ac:dyDescent="0.25">
      <c r="A3176" s="1">
        <v>3174</v>
      </c>
      <c r="B3176" t="str">
        <f>HYPERLINK("https://www.dasschnelle.at/bönisch-peter-installations-gesmbh-gramastetten-gewerbepark","Website")</f>
        <v>Website</v>
      </c>
      <c r="C3176" t="str">
        <f>HYPERLINK("http://www.p-boenisch.at","Website")</f>
        <v>Website</v>
      </c>
      <c r="D3176" t="str">
        <f>HYPERLINK("http://www.google.com/maps/place/48.37339,14.21191","Location")</f>
        <v>Location</v>
      </c>
      <c r="E3176" t="s">
        <v>27712</v>
      </c>
      <c r="F3176" t="s">
        <v>27713</v>
      </c>
      <c r="G3176" t="s">
        <v>27341</v>
      </c>
      <c r="H3176" t="s">
        <v>27342</v>
      </c>
      <c r="I3176" t="s">
        <v>85</v>
      </c>
      <c r="J3176" t="s">
        <v>22</v>
      </c>
      <c r="K3176" t="s">
        <v>27714</v>
      </c>
      <c r="L3176" t="s">
        <v>27717</v>
      </c>
      <c r="M3176" t="s">
        <v>27718</v>
      </c>
      <c r="N3176" t="s">
        <v>27719</v>
      </c>
      <c r="O3176" t="s">
        <v>25</v>
      </c>
      <c r="P3176" t="s">
        <v>27720</v>
      </c>
      <c r="Q3176" t="s">
        <v>29</v>
      </c>
      <c r="R3176" t="s">
        <v>27715</v>
      </c>
      <c r="S3176" t="s">
        <v>27716</v>
      </c>
    </row>
    <row r="3177" spans="1:19" x14ac:dyDescent="0.25">
      <c r="A3177" s="1">
        <v>3175</v>
      </c>
      <c r="B3177" t="str">
        <f>HYPERLINK("https://www.dasschnelle.at/mühlegger-gmbh-sanitär-heizung-linz-leonfeldner-straße","Website")</f>
        <v>Website</v>
      </c>
      <c r="C3177" t="str">
        <f>HYPERLINK("http://www.muehlegger.at","Website")</f>
        <v>Website</v>
      </c>
      <c r="D3177" t="str">
        <f>HYPERLINK("http://www.google.com/maps/place/48.3375100,14.2926600","Location")</f>
        <v>Location</v>
      </c>
      <c r="E3177" t="s">
        <v>27721</v>
      </c>
      <c r="F3177" t="s">
        <v>27722</v>
      </c>
      <c r="G3177" t="s">
        <v>13430</v>
      </c>
      <c r="H3177" t="s">
        <v>6496</v>
      </c>
      <c r="I3177" t="s">
        <v>85</v>
      </c>
      <c r="J3177" t="s">
        <v>22</v>
      </c>
      <c r="K3177" t="s">
        <v>27723</v>
      </c>
      <c r="L3177" t="s">
        <v>27726</v>
      </c>
      <c r="M3177" t="s">
        <v>25</v>
      </c>
      <c r="N3177" t="s">
        <v>27727</v>
      </c>
      <c r="O3177" t="s">
        <v>27728</v>
      </c>
      <c r="P3177" t="s">
        <v>27729</v>
      </c>
      <c r="Q3177" t="s">
        <v>29</v>
      </c>
      <c r="R3177" t="s">
        <v>27724</v>
      </c>
      <c r="S3177" t="s">
        <v>27725</v>
      </c>
    </row>
    <row r="3178" spans="1:19" x14ac:dyDescent="0.25">
      <c r="A3178" s="1">
        <v>3176</v>
      </c>
      <c r="B3178" t="str">
        <f>HYPERLINK("https://www.dasschnelle.at/waglechner-alfred-installateurbetrieb-hkls-e-u-streithofen-ruprechtgasse","Website")</f>
        <v>Website</v>
      </c>
      <c r="C3178" t="str">
        <f>HYPERLINK("http://waglechner.jimdofree.com/","Website")</f>
        <v>Website</v>
      </c>
      <c r="D3178" t="str">
        <f>HYPERLINK("http://www.google.com/maps/place/48.27725,15.93802","Location")</f>
        <v>Location</v>
      </c>
      <c r="E3178" t="s">
        <v>27730</v>
      </c>
      <c r="F3178" t="s">
        <v>27731</v>
      </c>
      <c r="G3178" t="s">
        <v>27525</v>
      </c>
      <c r="H3178" t="s">
        <v>27733</v>
      </c>
      <c r="I3178" t="s">
        <v>177</v>
      </c>
      <c r="J3178" t="s">
        <v>22</v>
      </c>
      <c r="K3178" t="s">
        <v>27732</v>
      </c>
      <c r="L3178" t="s">
        <v>27736</v>
      </c>
      <c r="M3178" t="s">
        <v>25</v>
      </c>
      <c r="N3178" t="s">
        <v>27737</v>
      </c>
      <c r="O3178" t="s">
        <v>25</v>
      </c>
      <c r="P3178" t="s">
        <v>27738</v>
      </c>
      <c r="Q3178" t="s">
        <v>29</v>
      </c>
      <c r="R3178" t="s">
        <v>27734</v>
      </c>
      <c r="S3178" t="s">
        <v>27735</v>
      </c>
    </row>
    <row r="3179" spans="1:19" x14ac:dyDescent="0.25">
      <c r="A3179" s="1">
        <v>3177</v>
      </c>
      <c r="B3179" t="str">
        <f>HYPERLINK("https://www.dasschnelle.at/cosmetic-amanda-prutz-ballhausplatz","Website")</f>
        <v>Website</v>
      </c>
      <c r="C3179" t="str">
        <f>HYPERLINK("https://www.dasschnelle.at/cosmetic-amanda-prutz-ballhausplatz","Website")</f>
        <v>Website</v>
      </c>
      <c r="D3179" t="str">
        <f>HYPERLINK("http://www.google.com/maps/place/47.0793081,10.6630817","Location")</f>
        <v>Location</v>
      </c>
      <c r="E3179" t="s">
        <v>27739</v>
      </c>
      <c r="F3179" t="s">
        <v>27740</v>
      </c>
      <c r="G3179" t="s">
        <v>27742</v>
      </c>
      <c r="H3179" t="s">
        <v>27743</v>
      </c>
      <c r="I3179" t="s">
        <v>21</v>
      </c>
      <c r="J3179" t="s">
        <v>22</v>
      </c>
      <c r="K3179" t="s">
        <v>27741</v>
      </c>
      <c r="L3179" t="s">
        <v>27746</v>
      </c>
      <c r="M3179" t="s">
        <v>25</v>
      </c>
      <c r="N3179" t="s">
        <v>27747</v>
      </c>
      <c r="O3179" t="s">
        <v>25</v>
      </c>
      <c r="P3179" t="s">
        <v>27748</v>
      </c>
      <c r="Q3179" t="s">
        <v>29</v>
      </c>
      <c r="R3179" t="s">
        <v>27744</v>
      </c>
      <c r="S3179" t="s">
        <v>27745</v>
      </c>
    </row>
    <row r="3180" spans="1:19" x14ac:dyDescent="0.25">
      <c r="A3180" s="1">
        <v>3178</v>
      </c>
      <c r="B3180" t="str">
        <f>HYPERLINK("https://www.dasschnelle.at/geraia-khalid-dr-med-univ-bad-zell-marktplatz","Website")</f>
        <v>Website</v>
      </c>
      <c r="C3180" t="str">
        <f>HYPERLINK("http://www.dr-geraia.at","Website")</f>
        <v>Website</v>
      </c>
      <c r="D3180" t="str">
        <f>HYPERLINK("http://www.google.com/maps/place/48.34989,14.67008","Location")</f>
        <v>Location</v>
      </c>
      <c r="E3180" t="s">
        <v>27749</v>
      </c>
      <c r="F3180" t="s">
        <v>27750</v>
      </c>
      <c r="G3180" t="s">
        <v>6930</v>
      </c>
      <c r="H3180" t="s">
        <v>6931</v>
      </c>
      <c r="I3180" t="s">
        <v>85</v>
      </c>
      <c r="J3180" t="s">
        <v>22</v>
      </c>
      <c r="K3180" t="s">
        <v>23988</v>
      </c>
      <c r="L3180" t="s">
        <v>27753</v>
      </c>
      <c r="M3180" t="s">
        <v>25</v>
      </c>
      <c r="N3180" t="s">
        <v>27754</v>
      </c>
      <c r="O3180" t="s">
        <v>25</v>
      </c>
      <c r="P3180" t="s">
        <v>27755</v>
      </c>
      <c r="Q3180" t="s">
        <v>29</v>
      </c>
      <c r="R3180" t="s">
        <v>27751</v>
      </c>
      <c r="S3180" t="s">
        <v>27752</v>
      </c>
    </row>
    <row r="3181" spans="1:19" x14ac:dyDescent="0.25">
      <c r="A3181" s="1">
        <v>3179</v>
      </c>
      <c r="B3181" t="str">
        <f>HYPERLINK("https://www.dasschnelle.at/leuchtmittel-handelsgesmbh-tulln-an-der-donau-kaplanstraße","Website")</f>
        <v>Website</v>
      </c>
      <c r="C3181" t="str">
        <f>HYPERLINK("http://www.lichtprofi.at","Website")</f>
        <v>Website</v>
      </c>
      <c r="D3181" t="str">
        <f>HYPERLINK("http://www.google.com/maps/place/48.3279938,16.07695","Location")</f>
        <v>Location</v>
      </c>
      <c r="E3181" t="s">
        <v>27756</v>
      </c>
      <c r="F3181" t="s">
        <v>27757</v>
      </c>
      <c r="G3181" t="s">
        <v>9499</v>
      </c>
      <c r="H3181" t="s">
        <v>9500</v>
      </c>
      <c r="I3181" t="s">
        <v>177</v>
      </c>
      <c r="J3181" t="s">
        <v>22</v>
      </c>
      <c r="K3181" t="s">
        <v>27758</v>
      </c>
      <c r="L3181" t="s">
        <v>27761</v>
      </c>
      <c r="M3181" t="s">
        <v>25</v>
      </c>
      <c r="N3181" t="s">
        <v>27762</v>
      </c>
      <c r="O3181" t="s">
        <v>25</v>
      </c>
      <c r="P3181" t="s">
        <v>27763</v>
      </c>
      <c r="Q3181" t="s">
        <v>29</v>
      </c>
      <c r="R3181" t="s">
        <v>27759</v>
      </c>
      <c r="S3181" t="s">
        <v>27760</v>
      </c>
    </row>
    <row r="3182" spans="1:19" x14ac:dyDescent="0.25">
      <c r="A3182" s="1">
        <v>3180</v>
      </c>
      <c r="B3182" t="str">
        <f>HYPERLINK("https://www.dasschnelle.at/dr-sabine-eigner-perg-naarnerstraße","Website")</f>
        <v>Website</v>
      </c>
      <c r="C3182" t="str">
        <f>HYPERLINK("http://www.neurologie-perg.at","Website")</f>
        <v>Website</v>
      </c>
      <c r="D3182" t="str">
        <f>HYPERLINK("http://www.google.com/maps/place/48.24894,14.63869","Location")</f>
        <v>Location</v>
      </c>
      <c r="E3182" t="s">
        <v>27764</v>
      </c>
      <c r="F3182" t="s">
        <v>27765</v>
      </c>
      <c r="G3182" t="s">
        <v>6379</v>
      </c>
      <c r="H3182" t="s">
        <v>6380</v>
      </c>
      <c r="I3182" t="s">
        <v>85</v>
      </c>
      <c r="J3182" t="s">
        <v>22</v>
      </c>
      <c r="K3182" t="s">
        <v>27766</v>
      </c>
      <c r="L3182" t="s">
        <v>27769</v>
      </c>
      <c r="M3182" t="s">
        <v>25</v>
      </c>
      <c r="N3182" t="s">
        <v>27770</v>
      </c>
      <c r="O3182" t="s">
        <v>25</v>
      </c>
      <c r="P3182" t="s">
        <v>27771</v>
      </c>
      <c r="Q3182" t="s">
        <v>29</v>
      </c>
      <c r="R3182" t="s">
        <v>27767</v>
      </c>
      <c r="S3182" t="s">
        <v>27768</v>
      </c>
    </row>
    <row r="3183" spans="1:19" x14ac:dyDescent="0.25">
      <c r="A3183" s="1">
        <v>3181</v>
      </c>
      <c r="B3183" t="str">
        <f>HYPERLINK("https://www.dasschnelle.at/pichler-thomas-dr-med-landeck-innstraße","Website")</f>
        <v>Website</v>
      </c>
      <c r="C3183" t="str">
        <f>HYPERLINK("http://www.dr-thomas-pichler.at","Website")</f>
        <v>Website</v>
      </c>
      <c r="D3183" t="str">
        <f>HYPERLINK("http://www.google.com/maps/place/47.13891,10.56448","Location")</f>
        <v>Location</v>
      </c>
      <c r="E3183" t="s">
        <v>27772</v>
      </c>
      <c r="F3183" t="s">
        <v>27773</v>
      </c>
      <c r="G3183" t="s">
        <v>1279</v>
      </c>
      <c r="H3183" t="s">
        <v>1280</v>
      </c>
      <c r="I3183" t="s">
        <v>21</v>
      </c>
      <c r="J3183" t="s">
        <v>22</v>
      </c>
      <c r="K3183" t="s">
        <v>27774</v>
      </c>
      <c r="L3183" t="s">
        <v>27777</v>
      </c>
      <c r="M3183" t="s">
        <v>25</v>
      </c>
      <c r="N3183" t="s">
        <v>27778</v>
      </c>
      <c r="O3183" t="s">
        <v>25</v>
      </c>
      <c r="P3183" t="s">
        <v>27779</v>
      </c>
      <c r="Q3183" t="s">
        <v>29</v>
      </c>
      <c r="R3183" t="s">
        <v>27775</v>
      </c>
      <c r="S3183" t="s">
        <v>27776</v>
      </c>
    </row>
    <row r="3184" spans="1:19" x14ac:dyDescent="0.25">
      <c r="A3184" s="1">
        <v>3182</v>
      </c>
      <c r="B3184" t="str">
        <f>HYPERLINK("https://www.dasschnelle.at/platzer-und-partner-og-kirchberg-an-der-raab-kirchberg-an-der-raab","Website")</f>
        <v>Website</v>
      </c>
      <c r="C3184" t="str">
        <f>HYPERLINK("http://www.grabstein-service.at","Website")</f>
        <v>Website</v>
      </c>
      <c r="D3184" t="str">
        <f>HYPERLINK("http://www.google.com/maps/place/46.9867483,15.7608408","Location")</f>
        <v>Location</v>
      </c>
      <c r="E3184" t="s">
        <v>27780</v>
      </c>
      <c r="F3184" t="s">
        <v>27781</v>
      </c>
      <c r="G3184" t="s">
        <v>501</v>
      </c>
      <c r="H3184" t="s">
        <v>502</v>
      </c>
      <c r="I3184" t="s">
        <v>451</v>
      </c>
      <c r="J3184" t="s">
        <v>22</v>
      </c>
      <c r="K3184" t="s">
        <v>27782</v>
      </c>
      <c r="L3184" t="s">
        <v>27785</v>
      </c>
      <c r="M3184" t="s">
        <v>25</v>
      </c>
      <c r="N3184" t="s">
        <v>27786</v>
      </c>
      <c r="O3184" t="s">
        <v>27787</v>
      </c>
      <c r="P3184" t="s">
        <v>27788</v>
      </c>
      <c r="Q3184" t="s">
        <v>29</v>
      </c>
      <c r="R3184" t="s">
        <v>27783</v>
      </c>
      <c r="S3184" t="s">
        <v>27784</v>
      </c>
    </row>
    <row r="3185" spans="1:19" x14ac:dyDescent="0.25">
      <c r="A3185" s="1">
        <v>3183</v>
      </c>
      <c r="B3185" t="str">
        <f>HYPERLINK("https://www.dasschnelle.at/schweinzer-baubedarf-feldbach-mühlbach","Website")</f>
        <v>Website</v>
      </c>
      <c r="C3185" t="str">
        <f>HYPERLINK("http://www.baubedarf-schweinzer.at/","Website")</f>
        <v>Website</v>
      </c>
      <c r="D3185" t="str">
        <f>HYPERLINK("http://www.google.com/maps/place/46.93562,15.90632","Location")</f>
        <v>Location</v>
      </c>
      <c r="E3185" t="s">
        <v>27789</v>
      </c>
      <c r="F3185" t="s">
        <v>27790</v>
      </c>
      <c r="G3185" t="s">
        <v>470</v>
      </c>
      <c r="H3185" t="s">
        <v>471</v>
      </c>
      <c r="I3185" t="s">
        <v>451</v>
      </c>
      <c r="J3185" t="s">
        <v>22</v>
      </c>
      <c r="K3185" t="s">
        <v>27791</v>
      </c>
      <c r="L3185" t="s">
        <v>27794</v>
      </c>
      <c r="M3185" t="s">
        <v>25</v>
      </c>
      <c r="N3185" t="s">
        <v>27795</v>
      </c>
      <c r="O3185" t="s">
        <v>27796</v>
      </c>
      <c r="P3185" t="s">
        <v>27797</v>
      </c>
      <c r="Q3185" t="s">
        <v>29</v>
      </c>
      <c r="R3185" t="s">
        <v>27792</v>
      </c>
      <c r="S3185" t="s">
        <v>27793</v>
      </c>
    </row>
    <row r="3186" spans="1:19" x14ac:dyDescent="0.25">
      <c r="A3186" s="1">
        <v>3184</v>
      </c>
      <c r="B3186" t="str">
        <f>HYPERLINK("https://www.dasschnelle.at/fahrschule-kirchbach-logistik-gesmbh-kirchbach-in-steiermark","Website")</f>
        <v>Website</v>
      </c>
      <c r="C3186" t="str">
        <f>HYPERLINK("http://www.fahrschule-kirchbach.com","Website")</f>
        <v>Website</v>
      </c>
      <c r="D3186" t="str">
        <f>HYPERLINK("http://www.google.com/maps/place/46.9309250,15.6639320","Location")</f>
        <v>Location</v>
      </c>
      <c r="E3186" t="s">
        <v>27798</v>
      </c>
      <c r="F3186" t="s">
        <v>27799</v>
      </c>
      <c r="G3186" t="s">
        <v>27800</v>
      </c>
      <c r="H3186" t="s">
        <v>27801</v>
      </c>
      <c r="I3186" t="s">
        <v>451</v>
      </c>
      <c r="J3186" t="s">
        <v>22</v>
      </c>
      <c r="K3186" t="s">
        <v>25</v>
      </c>
      <c r="L3186" t="s">
        <v>27804</v>
      </c>
      <c r="M3186" t="s">
        <v>25</v>
      </c>
      <c r="N3186" t="s">
        <v>27805</v>
      </c>
      <c r="O3186" t="s">
        <v>27806</v>
      </c>
      <c r="P3186" t="s">
        <v>27807</v>
      </c>
      <c r="Q3186" t="s">
        <v>29</v>
      </c>
      <c r="R3186" t="s">
        <v>27802</v>
      </c>
      <c r="S3186" t="s">
        <v>27803</v>
      </c>
    </row>
    <row r="3187" spans="1:19" x14ac:dyDescent="0.25">
      <c r="A3187" s="1">
        <v>3185</v>
      </c>
      <c r="B3187" t="str">
        <f>HYPERLINK("https://www.dasschnelle.at/kreiner-peter-straden-marktl","Website")</f>
        <v>Website</v>
      </c>
      <c r="C3187" t="str">
        <f>HYPERLINK("http://www.meistermaler-kreiner.at","Website")</f>
        <v>Website</v>
      </c>
      <c r="D3187" t="str">
        <f>HYPERLINK("http://www.google.com/maps/place/46.8014335,15.8736521","Location")</f>
        <v>Location</v>
      </c>
      <c r="E3187" t="s">
        <v>27808</v>
      </c>
      <c r="F3187" t="s">
        <v>27809</v>
      </c>
      <c r="G3187" t="s">
        <v>460</v>
      </c>
      <c r="H3187" t="s">
        <v>461</v>
      </c>
      <c r="I3187" t="s">
        <v>451</v>
      </c>
      <c r="J3187" t="s">
        <v>22</v>
      </c>
      <c r="K3187" t="s">
        <v>27810</v>
      </c>
      <c r="L3187" t="s">
        <v>27813</v>
      </c>
      <c r="M3187" t="s">
        <v>27814</v>
      </c>
      <c r="N3187" t="s">
        <v>27815</v>
      </c>
      <c r="O3187" t="s">
        <v>25</v>
      </c>
      <c r="P3187" t="s">
        <v>27816</v>
      </c>
      <c r="Q3187" t="s">
        <v>29</v>
      </c>
      <c r="R3187" t="s">
        <v>27811</v>
      </c>
      <c r="S3187" t="s">
        <v>27812</v>
      </c>
    </row>
    <row r="3188" spans="1:19" x14ac:dyDescent="0.25">
      <c r="A3188" s="1">
        <v>3186</v>
      </c>
      <c r="B3188" t="str">
        <f>HYPERLINK("https://www.dasschnelle.at/foliensystem-hintersteiner-bad-kreuzen-kühweid","Website")</f>
        <v>Website</v>
      </c>
      <c r="C3188" t="str">
        <f>HYPERLINK("http://www.hiro.co.at","Website")</f>
        <v>Website</v>
      </c>
      <c r="D3188" t="str">
        <f>HYPERLINK("http://www.google.com/maps/place/48.2675395,14.8068987","Location")</f>
        <v>Location</v>
      </c>
      <c r="E3188" t="s">
        <v>27817</v>
      </c>
      <c r="F3188" t="s">
        <v>27818</v>
      </c>
      <c r="G3188" t="s">
        <v>27820</v>
      </c>
      <c r="H3188" t="s">
        <v>27821</v>
      </c>
      <c r="I3188" t="s">
        <v>85</v>
      </c>
      <c r="J3188" t="s">
        <v>22</v>
      </c>
      <c r="K3188" t="s">
        <v>27819</v>
      </c>
      <c r="L3188" t="s">
        <v>27824</v>
      </c>
      <c r="M3188" t="s">
        <v>25</v>
      </c>
      <c r="N3188" t="s">
        <v>27825</v>
      </c>
      <c r="O3188" t="s">
        <v>25</v>
      </c>
      <c r="P3188" t="s">
        <v>27826</v>
      </c>
      <c r="Q3188" t="s">
        <v>29</v>
      </c>
      <c r="R3188" t="s">
        <v>27822</v>
      </c>
      <c r="S3188" t="s">
        <v>27823</v>
      </c>
    </row>
    <row r="3189" spans="1:19" x14ac:dyDescent="0.25">
      <c r="A3189" s="1">
        <v>3187</v>
      </c>
      <c r="B3189" t="str">
        <f>HYPERLINK("https://www.dasschnelle.at/kern-lothar-dr-zwettl-franz-eigl-straße","Website")</f>
        <v>Website</v>
      </c>
      <c r="C3189" t="str">
        <f>HYPERLINK("https://www.dasschnelle.at/kern-lothar-dr-zwettl-franz-eigl-stra%C3%9Fe","Website")</f>
        <v>Website</v>
      </c>
      <c r="D3189" t="str">
        <f>HYPERLINK("http://www.google.com/maps/place/48.60237,15.18628","Location")</f>
        <v>Location</v>
      </c>
      <c r="E3189" t="s">
        <v>27827</v>
      </c>
      <c r="F3189" t="s">
        <v>27828</v>
      </c>
      <c r="G3189" t="s">
        <v>10518</v>
      </c>
      <c r="H3189" t="s">
        <v>10791</v>
      </c>
      <c r="I3189" t="s">
        <v>177</v>
      </c>
      <c r="J3189" t="s">
        <v>22</v>
      </c>
      <c r="K3189" t="s">
        <v>27829</v>
      </c>
      <c r="L3189" t="s">
        <v>27832</v>
      </c>
      <c r="M3189" t="s">
        <v>25</v>
      </c>
      <c r="N3189" t="s">
        <v>27833</v>
      </c>
      <c r="O3189" t="s">
        <v>25</v>
      </c>
      <c r="P3189" t="s">
        <v>697</v>
      </c>
      <c r="Q3189" t="s">
        <v>29</v>
      </c>
      <c r="R3189" t="s">
        <v>27830</v>
      </c>
      <c r="S3189" t="s">
        <v>27831</v>
      </c>
    </row>
    <row r="3190" spans="1:19" x14ac:dyDescent="0.25">
      <c r="A3190" s="1">
        <v>3188</v>
      </c>
      <c r="B3190" t="str">
        <f>HYPERLINK("https://www.dasschnelle.at/neuner-peter-prim-dr-freistadt-etrichstraße","Website")</f>
        <v>Website</v>
      </c>
      <c r="C3190" t="str">
        <f>HYPERLINK("https://www.dasschnelle.at/neuner-peter-prim-dr-freistadt-etrichstra%C3%9Fe","Website")</f>
        <v>Website</v>
      </c>
      <c r="D3190" t="str">
        <f>HYPERLINK("http://www.google.com/maps/place/48.4915778,14.5035995","Location")</f>
        <v>Location</v>
      </c>
      <c r="E3190" t="s">
        <v>27834</v>
      </c>
      <c r="F3190" t="s">
        <v>27835</v>
      </c>
      <c r="G3190" t="s">
        <v>6891</v>
      </c>
      <c r="H3190" t="s">
        <v>6892</v>
      </c>
      <c r="I3190" t="s">
        <v>85</v>
      </c>
      <c r="J3190" t="s">
        <v>22</v>
      </c>
      <c r="K3190" t="s">
        <v>27836</v>
      </c>
      <c r="L3190" t="s">
        <v>27839</v>
      </c>
      <c r="M3190" t="s">
        <v>25</v>
      </c>
      <c r="N3190" t="s">
        <v>27840</v>
      </c>
      <c r="O3190" t="s">
        <v>25</v>
      </c>
      <c r="P3190" t="s">
        <v>27841</v>
      </c>
      <c r="Q3190" t="s">
        <v>29</v>
      </c>
      <c r="R3190" t="s">
        <v>27837</v>
      </c>
      <c r="S3190" t="s">
        <v>27838</v>
      </c>
    </row>
    <row r="3191" spans="1:19" x14ac:dyDescent="0.25">
      <c r="A3191" s="1">
        <v>3189</v>
      </c>
      <c r="B3191" t="str">
        <f>HYPERLINK("https://www.dasschnelle.at/schützeneder-leopold-münzbach-taferlweg","Website")</f>
        <v>Website</v>
      </c>
      <c r="C3191" t="str">
        <f>HYPERLINK("http://www.schuetzeneder-moebel.at","Website")</f>
        <v>Website</v>
      </c>
      <c r="D3191" t="str">
        <f>HYPERLINK("http://www.google.com/maps/place/48.27123,14.71838","Location")</f>
        <v>Location</v>
      </c>
      <c r="E3191" t="s">
        <v>27842</v>
      </c>
      <c r="F3191" t="s">
        <v>27843</v>
      </c>
      <c r="G3191" t="s">
        <v>6443</v>
      </c>
      <c r="H3191" t="s">
        <v>6444</v>
      </c>
      <c r="I3191" t="s">
        <v>85</v>
      </c>
      <c r="J3191" t="s">
        <v>22</v>
      </c>
      <c r="K3191" t="s">
        <v>27844</v>
      </c>
      <c r="L3191" t="s">
        <v>27847</v>
      </c>
      <c r="M3191" t="s">
        <v>25</v>
      </c>
      <c r="N3191" t="s">
        <v>27848</v>
      </c>
      <c r="O3191" t="s">
        <v>25</v>
      </c>
      <c r="P3191" t="s">
        <v>27849</v>
      </c>
      <c r="Q3191" t="s">
        <v>29</v>
      </c>
      <c r="R3191" t="s">
        <v>27845</v>
      </c>
      <c r="S3191" t="s">
        <v>27846</v>
      </c>
    </row>
    <row r="3192" spans="1:19" x14ac:dyDescent="0.25">
      <c r="A3192" s="1">
        <v>3190</v>
      </c>
      <c r="B3192" t="str">
        <f>HYPERLINK("https://www.dasschnelle.at/gasthaus-hofbauer-schardenberg-kirchenplatz","Website")</f>
        <v>Website</v>
      </c>
      <c r="C3192" t="str">
        <f>HYPERLINK("http://www.kirchenwirt-schardenberg.at","Website")</f>
        <v>Website</v>
      </c>
      <c r="D3192" t="str">
        <f>HYPERLINK("http://www.google.com/maps/place/48.52012,13.49901","Location")</f>
        <v>Location</v>
      </c>
      <c r="E3192" t="s">
        <v>27850</v>
      </c>
      <c r="F3192" t="s">
        <v>27851</v>
      </c>
      <c r="G3192" t="s">
        <v>10951</v>
      </c>
      <c r="H3192" t="s">
        <v>10952</v>
      </c>
      <c r="I3192" t="s">
        <v>85</v>
      </c>
      <c r="J3192" t="s">
        <v>22</v>
      </c>
      <c r="K3192" t="s">
        <v>11151</v>
      </c>
      <c r="L3192" t="s">
        <v>24392</v>
      </c>
      <c r="M3192" t="s">
        <v>24393</v>
      </c>
      <c r="N3192" t="s">
        <v>24394</v>
      </c>
      <c r="O3192" t="s">
        <v>25</v>
      </c>
      <c r="P3192" t="s">
        <v>27852</v>
      </c>
      <c r="Q3192" t="s">
        <v>29</v>
      </c>
      <c r="R3192" t="s">
        <v>24390</v>
      </c>
      <c r="S3192" t="s">
        <v>24391</v>
      </c>
    </row>
    <row r="3193" spans="1:19" x14ac:dyDescent="0.25">
      <c r="A3193" s="1">
        <v>3191</v>
      </c>
      <c r="B3193" t="str">
        <f>HYPERLINK("https://www.dasschnelle.at/reisenberger-martina-zell-am-pettenfirst-gewerbestraße","Website")</f>
        <v>Website</v>
      </c>
      <c r="C3193" t="str">
        <f>HYPERLINK("http://www.reisenberger-online.at","Website")</f>
        <v>Website</v>
      </c>
      <c r="D3193" t="str">
        <f>HYPERLINK("http://www.google.com/maps/place/48.0707808,13.5970660","Location")</f>
        <v>Location</v>
      </c>
      <c r="E3193" t="s">
        <v>27853</v>
      </c>
      <c r="F3193" t="s">
        <v>27854</v>
      </c>
      <c r="G3193" t="s">
        <v>27855</v>
      </c>
      <c r="H3193" t="s">
        <v>27856</v>
      </c>
      <c r="I3193" t="s">
        <v>85</v>
      </c>
      <c r="J3193" t="s">
        <v>22</v>
      </c>
      <c r="K3193" t="s">
        <v>1978</v>
      </c>
      <c r="L3193" t="s">
        <v>27859</v>
      </c>
      <c r="M3193" t="s">
        <v>25</v>
      </c>
      <c r="N3193" t="s">
        <v>27860</v>
      </c>
      <c r="O3193" t="s">
        <v>25</v>
      </c>
      <c r="P3193" t="s">
        <v>27861</v>
      </c>
      <c r="Q3193" t="s">
        <v>29</v>
      </c>
      <c r="R3193" t="s">
        <v>27857</v>
      </c>
      <c r="S3193" t="s">
        <v>27858</v>
      </c>
    </row>
    <row r="3194" spans="1:19" x14ac:dyDescent="0.25">
      <c r="A3194" s="1">
        <v>3192</v>
      </c>
      <c r="B3194" t="str">
        <f>HYPERLINK("https://www.dasschnelle.at/ebner-center-elektro-ebner-gesmbh-und-co-kg-st-valentin-werkstraße","Website")</f>
        <v>Website</v>
      </c>
      <c r="C3194" t="str">
        <f>HYPERLINK("http://www.elektroebner.at","Website")</f>
        <v>Website</v>
      </c>
      <c r="D3194" t="str">
        <f>HYPERLINK("http://www.google.com/maps/place/48.16842,14.51408","Location")</f>
        <v>Location</v>
      </c>
      <c r="E3194" t="s">
        <v>27862</v>
      </c>
      <c r="F3194" t="s">
        <v>27863</v>
      </c>
      <c r="G3194" t="s">
        <v>1484</v>
      </c>
      <c r="H3194" t="s">
        <v>1485</v>
      </c>
      <c r="I3194" t="s">
        <v>177</v>
      </c>
      <c r="J3194" t="s">
        <v>22</v>
      </c>
      <c r="K3194" t="s">
        <v>27864</v>
      </c>
      <c r="L3194" t="s">
        <v>27867</v>
      </c>
      <c r="M3194" t="s">
        <v>25</v>
      </c>
      <c r="N3194" t="s">
        <v>27868</v>
      </c>
      <c r="O3194" t="s">
        <v>25</v>
      </c>
      <c r="P3194" t="s">
        <v>27869</v>
      </c>
      <c r="Q3194" t="s">
        <v>29</v>
      </c>
      <c r="R3194" t="s">
        <v>27865</v>
      </c>
      <c r="S3194" t="s">
        <v>27866</v>
      </c>
    </row>
    <row r="3195" spans="1:19" x14ac:dyDescent="0.25">
      <c r="A3195" s="1">
        <v>3193</v>
      </c>
      <c r="B3195" t="str">
        <f>HYPERLINK("https://www.dasschnelle.at/kettl-gerhard-fornach-oberalberting","Website")</f>
        <v>Website</v>
      </c>
      <c r="C3195" t="str">
        <f>HYPERLINK("https://www.dasschnelle.at/kettl-gerhard-fornach-oberalberting","Website")</f>
        <v>Website</v>
      </c>
      <c r="D3195" t="str">
        <f>HYPERLINK("http://www.google.com/maps/place/48.0114605,13.4426333","Location")</f>
        <v>Location</v>
      </c>
      <c r="E3195" t="s">
        <v>27870</v>
      </c>
      <c r="F3195" t="s">
        <v>27871</v>
      </c>
      <c r="G3195" t="s">
        <v>3896</v>
      </c>
      <c r="H3195" t="s">
        <v>27873</v>
      </c>
      <c r="I3195" t="s">
        <v>85</v>
      </c>
      <c r="J3195" t="s">
        <v>22</v>
      </c>
      <c r="K3195" t="s">
        <v>27872</v>
      </c>
      <c r="L3195" t="s">
        <v>27876</v>
      </c>
      <c r="M3195" t="s">
        <v>27877</v>
      </c>
      <c r="N3195" t="s">
        <v>27878</v>
      </c>
      <c r="O3195" t="s">
        <v>27879</v>
      </c>
      <c r="P3195" t="s">
        <v>27880</v>
      </c>
      <c r="Q3195" t="s">
        <v>29</v>
      </c>
      <c r="R3195" t="s">
        <v>27874</v>
      </c>
      <c r="S3195" t="s">
        <v>27875</v>
      </c>
    </row>
    <row r="3196" spans="1:19" x14ac:dyDescent="0.25">
      <c r="A3196" s="1">
        <v>3194</v>
      </c>
      <c r="B3196" t="str">
        <f>HYPERLINK("https://www.dasschnelle.at/gattringer-thomas-gramastetten-finsterau","Website")</f>
        <v>Website</v>
      </c>
      <c r="C3196" t="str">
        <f>HYPERLINK("http://tischlerei-gattringer.at","Website")</f>
        <v>Website</v>
      </c>
      <c r="D3196" t="str">
        <f>HYPERLINK("http://www.google.com/maps/place/48.43823,14.20795","Location")</f>
        <v>Location</v>
      </c>
      <c r="E3196" t="s">
        <v>27881</v>
      </c>
      <c r="F3196" t="s">
        <v>27882</v>
      </c>
      <c r="G3196" t="s">
        <v>27341</v>
      </c>
      <c r="H3196" t="s">
        <v>27342</v>
      </c>
      <c r="I3196" t="s">
        <v>85</v>
      </c>
      <c r="J3196" t="s">
        <v>22</v>
      </c>
      <c r="K3196" t="s">
        <v>27883</v>
      </c>
      <c r="L3196" t="s">
        <v>27886</v>
      </c>
      <c r="M3196" t="s">
        <v>25</v>
      </c>
      <c r="N3196" t="s">
        <v>27887</v>
      </c>
      <c r="O3196" t="s">
        <v>25</v>
      </c>
      <c r="P3196" t="s">
        <v>27888</v>
      </c>
      <c r="Q3196" t="s">
        <v>29</v>
      </c>
      <c r="R3196" t="s">
        <v>27884</v>
      </c>
      <c r="S3196" t="s">
        <v>27885</v>
      </c>
    </row>
    <row r="3197" spans="1:19" x14ac:dyDescent="0.25">
      <c r="A3197" s="1">
        <v>3195</v>
      </c>
      <c r="B3197" t="str">
        <f>HYPERLINK("https://www.dasschnelle.at/mittermüllner-martin-bad-leonfelden-ringstraße","Website")</f>
        <v>Website</v>
      </c>
      <c r="C3197" t="str">
        <f>HYPERLINK("http://www.mittermuellner.at","Website")</f>
        <v>Website</v>
      </c>
      <c r="D3197" t="str">
        <f>HYPERLINK("http://www.google.com/maps/place/48.52251,14.29594","Location")</f>
        <v>Location</v>
      </c>
      <c r="E3197" t="s">
        <v>27889</v>
      </c>
      <c r="F3197" t="s">
        <v>27890</v>
      </c>
      <c r="G3197" t="s">
        <v>4093</v>
      </c>
      <c r="H3197" t="s">
        <v>4094</v>
      </c>
      <c r="I3197" t="s">
        <v>85</v>
      </c>
      <c r="J3197" t="s">
        <v>22</v>
      </c>
      <c r="K3197" t="s">
        <v>27891</v>
      </c>
      <c r="L3197" t="s">
        <v>27894</v>
      </c>
      <c r="M3197" t="s">
        <v>25</v>
      </c>
      <c r="N3197" t="s">
        <v>27895</v>
      </c>
      <c r="O3197" t="s">
        <v>25</v>
      </c>
      <c r="P3197" t="s">
        <v>27896</v>
      </c>
      <c r="Q3197" t="s">
        <v>29</v>
      </c>
      <c r="R3197" t="s">
        <v>27892</v>
      </c>
      <c r="S3197" t="s">
        <v>27893</v>
      </c>
    </row>
    <row r="3198" spans="1:19" x14ac:dyDescent="0.25">
      <c r="A3198" s="1">
        <v>3196</v>
      </c>
      <c r="B3198" t="str">
        <f>HYPERLINK("https://www.dasschnelle.at/christen-markus-st-andrä-wördern-gewerbestraße","Website")</f>
        <v>Website</v>
      </c>
      <c r="C3198" t="str">
        <f>HYPERLINK("http://www.installationen-christen.at","Website")</f>
        <v>Website</v>
      </c>
      <c r="D3198" t="str">
        <f>HYPERLINK("http://www.google.com/maps/place/48.3294167,16.1948861","Location")</f>
        <v>Location</v>
      </c>
      <c r="E3198" t="s">
        <v>27897</v>
      </c>
      <c r="F3198" t="s">
        <v>27898</v>
      </c>
      <c r="G3198" t="s">
        <v>27899</v>
      </c>
      <c r="H3198" t="s">
        <v>27900</v>
      </c>
      <c r="I3198" t="s">
        <v>177</v>
      </c>
      <c r="J3198" t="s">
        <v>22</v>
      </c>
      <c r="K3198" t="s">
        <v>4254</v>
      </c>
      <c r="L3198" t="s">
        <v>27903</v>
      </c>
      <c r="M3198" t="s">
        <v>25</v>
      </c>
      <c r="N3198" t="s">
        <v>27904</v>
      </c>
      <c r="O3198" t="s">
        <v>25</v>
      </c>
      <c r="P3198" t="s">
        <v>27905</v>
      </c>
      <c r="Q3198" t="s">
        <v>29</v>
      </c>
      <c r="R3198" t="s">
        <v>27901</v>
      </c>
      <c r="S3198" t="s">
        <v>27902</v>
      </c>
    </row>
    <row r="3199" spans="1:19" x14ac:dyDescent="0.25">
      <c r="A3199" s="1">
        <v>3197</v>
      </c>
      <c r="B3199" t="str">
        <f>HYPERLINK("https://www.dasschnelle.at/rittirsch-bernhard-hayrl-hayrl","Website")</f>
        <v>Website</v>
      </c>
      <c r="C3199" t="str">
        <f>HYPERLINK("http://www.rittirsch.at","Website")</f>
        <v>Website</v>
      </c>
      <c r="D3199" t="str">
        <f>HYPERLINK("http://www.google.com/maps/place/48.5409332,14.3883399","Location")</f>
        <v>Location</v>
      </c>
      <c r="E3199" t="s">
        <v>27906</v>
      </c>
      <c r="F3199" t="s">
        <v>27907</v>
      </c>
      <c r="G3199" t="s">
        <v>25161</v>
      </c>
      <c r="H3199" t="s">
        <v>27909</v>
      </c>
      <c r="I3199" t="s">
        <v>85</v>
      </c>
      <c r="J3199" t="s">
        <v>22</v>
      </c>
      <c r="K3199" t="s">
        <v>27908</v>
      </c>
      <c r="L3199" t="s">
        <v>27912</v>
      </c>
      <c r="M3199" t="s">
        <v>25</v>
      </c>
      <c r="N3199" t="s">
        <v>27913</v>
      </c>
      <c r="O3199" t="s">
        <v>25</v>
      </c>
      <c r="P3199" t="s">
        <v>27914</v>
      </c>
      <c r="Q3199" t="s">
        <v>29</v>
      </c>
      <c r="R3199" t="s">
        <v>27910</v>
      </c>
      <c r="S3199" t="s">
        <v>27911</v>
      </c>
    </row>
    <row r="3200" spans="1:19" x14ac:dyDescent="0.25">
      <c r="A3200" s="1">
        <v>3198</v>
      </c>
      <c r="B3200" t="str">
        <f>HYPERLINK("https://www.dasschnelle.at/radaschitz-gmbh-riegersburg-riegersburg","Website")</f>
        <v>Website</v>
      </c>
      <c r="C3200" t="str">
        <f>HYPERLINK("http://www.bestattungradaschitz.at","Website")</f>
        <v>Website</v>
      </c>
      <c r="D3200" t="str">
        <f>HYPERLINK("http://www.google.com/maps/place/46.9987257,15.9287281","Location")</f>
        <v>Location</v>
      </c>
      <c r="E3200" t="s">
        <v>27915</v>
      </c>
      <c r="F3200" t="s">
        <v>27916</v>
      </c>
      <c r="G3200" t="s">
        <v>718</v>
      </c>
      <c r="H3200" t="s">
        <v>719</v>
      </c>
      <c r="I3200" t="s">
        <v>451</v>
      </c>
      <c r="J3200" t="s">
        <v>22</v>
      </c>
      <c r="K3200" t="s">
        <v>27917</v>
      </c>
      <c r="L3200" t="s">
        <v>27920</v>
      </c>
      <c r="M3200" t="s">
        <v>25</v>
      </c>
      <c r="N3200" t="s">
        <v>27921</v>
      </c>
      <c r="O3200" t="s">
        <v>25</v>
      </c>
      <c r="P3200" t="s">
        <v>27922</v>
      </c>
      <c r="Q3200" t="s">
        <v>29</v>
      </c>
      <c r="R3200" t="s">
        <v>27918</v>
      </c>
      <c r="S3200" t="s">
        <v>27919</v>
      </c>
    </row>
    <row r="3201" spans="1:19" x14ac:dyDescent="0.25">
      <c r="A3201" s="1">
        <v>3199</v>
      </c>
      <c r="B3201" t="str">
        <f>HYPERLINK("https://www.dasschnelle.at/farbenpracht-malerbetrieb-paldau-puch","Website")</f>
        <v>Website</v>
      </c>
      <c r="C3201" t="str">
        <f>HYPERLINK("http://www.farbenpracht-malerbetrieb.business.site","Website")</f>
        <v>Website</v>
      </c>
      <c r="D3201" t="str">
        <f>HYPERLINK("http://www.google.com/maps/place/46.9391945,15.7773138","Location")</f>
        <v>Location</v>
      </c>
      <c r="E3201" t="s">
        <v>27923</v>
      </c>
      <c r="F3201" t="s">
        <v>27924</v>
      </c>
      <c r="G3201" t="s">
        <v>610</v>
      </c>
      <c r="H3201" t="s">
        <v>611</v>
      </c>
      <c r="I3201" t="s">
        <v>451</v>
      </c>
      <c r="J3201" t="s">
        <v>22</v>
      </c>
      <c r="K3201" t="s">
        <v>27925</v>
      </c>
      <c r="L3201" t="s">
        <v>27928</v>
      </c>
      <c r="M3201" t="s">
        <v>25</v>
      </c>
      <c r="N3201" t="s">
        <v>27929</v>
      </c>
      <c r="O3201" t="s">
        <v>25</v>
      </c>
      <c r="P3201" t="s">
        <v>27930</v>
      </c>
      <c r="Q3201" t="s">
        <v>29</v>
      </c>
      <c r="R3201" t="s">
        <v>27926</v>
      </c>
      <c r="S3201" t="s">
        <v>27927</v>
      </c>
    </row>
    <row r="3202" spans="1:19" x14ac:dyDescent="0.25">
      <c r="A3202" s="1">
        <v>3200</v>
      </c>
      <c r="B3202" t="str">
        <f>HYPERLINK("https://www.dasschnelle.at/gesperger-peter-wilfersdorf-akaziengasse","Website")</f>
        <v>Website</v>
      </c>
      <c r="C3202" t="str">
        <f>HYPERLINK("https://www.dasschnelle.at/gesperger-peter-wilfersdorf-akaziengasse","Website")</f>
        <v>Website</v>
      </c>
      <c r="D3202" t="str">
        <f>HYPERLINK("http://www.google.com/maps/place/48.27957,16.09903","Location")</f>
        <v>Location</v>
      </c>
      <c r="E3202" t="s">
        <v>27931</v>
      </c>
      <c r="F3202" t="s">
        <v>27932</v>
      </c>
      <c r="G3202" t="s">
        <v>27934</v>
      </c>
      <c r="H3202" t="s">
        <v>27935</v>
      </c>
      <c r="I3202" t="s">
        <v>177</v>
      </c>
      <c r="J3202" t="s">
        <v>22</v>
      </c>
      <c r="K3202" t="s">
        <v>27933</v>
      </c>
      <c r="L3202" t="s">
        <v>27938</v>
      </c>
      <c r="M3202" t="s">
        <v>25</v>
      </c>
      <c r="N3202" t="s">
        <v>27939</v>
      </c>
      <c r="O3202" t="s">
        <v>27940</v>
      </c>
      <c r="P3202" t="s">
        <v>27941</v>
      </c>
      <c r="Q3202" t="s">
        <v>29</v>
      </c>
      <c r="R3202" t="s">
        <v>27936</v>
      </c>
      <c r="S3202" t="s">
        <v>27937</v>
      </c>
    </row>
    <row r="3203" spans="1:19" x14ac:dyDescent="0.25">
      <c r="A3203" s="1">
        <v>3201</v>
      </c>
      <c r="B3203" t="str">
        <f>HYPERLINK("https://www.dasschnelle.at/frisuersalon-sonja-flirsch-dorf","Website")</f>
        <v>Website</v>
      </c>
      <c r="C3203" t="str">
        <f>HYPERLINK("https://www.dasschnelle.at/frisuersalon-sonja-flirsch-dorf","Website")</f>
        <v>Website</v>
      </c>
      <c r="D3203" t="str">
        <f>HYPERLINK("http://www.google.com/maps/place/47.14851,10.40724","Location")</f>
        <v>Location</v>
      </c>
      <c r="E3203" t="s">
        <v>27942</v>
      </c>
      <c r="F3203" t="s">
        <v>27943</v>
      </c>
      <c r="G3203" t="s">
        <v>27945</v>
      </c>
      <c r="H3203" t="s">
        <v>27946</v>
      </c>
      <c r="I3203" t="s">
        <v>21</v>
      </c>
      <c r="J3203" t="s">
        <v>22</v>
      </c>
      <c r="K3203" t="s">
        <v>27944</v>
      </c>
      <c r="L3203" t="s">
        <v>27949</v>
      </c>
      <c r="M3203" t="s">
        <v>25</v>
      </c>
      <c r="N3203" t="s">
        <v>27950</v>
      </c>
      <c r="O3203" t="s">
        <v>25</v>
      </c>
      <c r="P3203" t="s">
        <v>27951</v>
      </c>
      <c r="Q3203" t="s">
        <v>29</v>
      </c>
      <c r="R3203" t="s">
        <v>27947</v>
      </c>
      <c r="S3203" t="s">
        <v>27948</v>
      </c>
    </row>
    <row r="3204" spans="1:19" x14ac:dyDescent="0.25">
      <c r="A3204" s="1">
        <v>3202</v>
      </c>
      <c r="B3204" t="str">
        <f>HYPERLINK("https://www.dasschnelle.at/bestattung-feldkirchen-feldkirchen-in-kärnten-schulhausgasse","Website")</f>
        <v>Website</v>
      </c>
      <c r="C3204" t="str">
        <f>HYPERLINK("http://www.bestattung.feldkirchen.at","Website")</f>
        <v>Website</v>
      </c>
      <c r="D3204" t="str">
        <f>HYPERLINK("http://www.google.com/maps/place/46.7274922,14.0940996","Location")</f>
        <v>Location</v>
      </c>
      <c r="E3204" t="s">
        <v>27952</v>
      </c>
      <c r="F3204" t="s">
        <v>27953</v>
      </c>
      <c r="G3204" t="s">
        <v>8498</v>
      </c>
      <c r="H3204" t="s">
        <v>8499</v>
      </c>
      <c r="I3204" t="s">
        <v>4130</v>
      </c>
      <c r="J3204" t="s">
        <v>22</v>
      </c>
      <c r="K3204" t="s">
        <v>27954</v>
      </c>
      <c r="L3204" t="s">
        <v>27957</v>
      </c>
      <c r="M3204" t="s">
        <v>25</v>
      </c>
      <c r="N3204" t="s">
        <v>27958</v>
      </c>
      <c r="O3204" t="s">
        <v>25</v>
      </c>
      <c r="P3204" t="s">
        <v>27959</v>
      </c>
      <c r="Q3204" t="s">
        <v>29</v>
      </c>
      <c r="R3204" t="s">
        <v>27955</v>
      </c>
      <c r="S3204" t="s">
        <v>27956</v>
      </c>
    </row>
    <row r="3205" spans="1:19" x14ac:dyDescent="0.25">
      <c r="A3205" s="1">
        <v>3203</v>
      </c>
      <c r="B3205" t="str">
        <f>HYPERLINK("https://www.dasschnelle.at/klausner-eduard-ing-gesmbh-spittal-villacher-straße","Website")</f>
        <v>Website</v>
      </c>
      <c r="C3205" t="str">
        <f>HYPERLINK("http://www.klausner.co.at","Website")</f>
        <v>Website</v>
      </c>
      <c r="D3205" t="str">
        <f>HYPERLINK("http://www.google.com/maps/place/46.7906800,13.5165800","Location")</f>
        <v>Location</v>
      </c>
      <c r="E3205" t="s">
        <v>27960</v>
      </c>
      <c r="F3205" t="s">
        <v>27961</v>
      </c>
      <c r="G3205" t="s">
        <v>4160</v>
      </c>
      <c r="H3205" t="s">
        <v>4161</v>
      </c>
      <c r="I3205" t="s">
        <v>4130</v>
      </c>
      <c r="J3205" t="s">
        <v>22</v>
      </c>
      <c r="K3205" t="s">
        <v>27962</v>
      </c>
      <c r="L3205" t="s">
        <v>27965</v>
      </c>
      <c r="M3205" t="s">
        <v>27966</v>
      </c>
      <c r="N3205" t="s">
        <v>27967</v>
      </c>
      <c r="O3205" t="s">
        <v>25</v>
      </c>
      <c r="P3205" t="s">
        <v>27968</v>
      </c>
      <c r="Q3205" t="s">
        <v>29</v>
      </c>
      <c r="R3205" t="s">
        <v>27963</v>
      </c>
      <c r="S3205" t="s">
        <v>27964</v>
      </c>
    </row>
    <row r="3206" spans="1:19" x14ac:dyDescent="0.25">
      <c r="A3206" s="1">
        <v>3204</v>
      </c>
      <c r="B3206" t="str">
        <f>HYPERLINK("https://www.dasschnelle.at/müsli-s-beauty-prutz-ballhausplatz","Website")</f>
        <v>Website</v>
      </c>
      <c r="C3206" t="str">
        <f>HYPERLINK("https://www.dasschnelle.at/m%C3%BCsli-s-beauty-prutz-ballhausplatz","Website")</f>
        <v>Website</v>
      </c>
      <c r="D3206" t="str">
        <f>HYPERLINK("http://www.google.com/maps/place/47.0760100,10.6640200","Location")</f>
        <v>Location</v>
      </c>
      <c r="E3206" t="s">
        <v>27969</v>
      </c>
      <c r="F3206" t="s">
        <v>27970</v>
      </c>
      <c r="G3206" t="s">
        <v>27742</v>
      </c>
      <c r="H3206" t="s">
        <v>27743</v>
      </c>
      <c r="I3206" t="s">
        <v>21</v>
      </c>
      <c r="J3206" t="s">
        <v>22</v>
      </c>
      <c r="K3206" t="s">
        <v>27741</v>
      </c>
      <c r="L3206" t="s">
        <v>27973</v>
      </c>
      <c r="M3206" t="s">
        <v>25</v>
      </c>
      <c r="N3206" t="s">
        <v>27974</v>
      </c>
      <c r="O3206" t="s">
        <v>25</v>
      </c>
      <c r="P3206" t="s">
        <v>27975</v>
      </c>
      <c r="Q3206" t="s">
        <v>29</v>
      </c>
      <c r="R3206" t="s">
        <v>27971</v>
      </c>
      <c r="S3206" t="s">
        <v>27972</v>
      </c>
    </row>
    <row r="3207" spans="1:19" x14ac:dyDescent="0.25">
      <c r="A3207" s="1">
        <v>3205</v>
      </c>
      <c r="B3207" t="str">
        <f>HYPERLINK("https://www.dasschnelle.at/spindler-karl-frankenburg-am-hausruck-ottokönigen","Website")</f>
        <v>Website</v>
      </c>
      <c r="C3207" t="str">
        <f>HYPERLINK("https://www.dasschnelle.at/spindler-karl-frankenburg-am-hausruck-ottok%C3%B6nigen","Website")</f>
        <v>Website</v>
      </c>
      <c r="D3207" t="str">
        <f>HYPERLINK("http://www.google.com/maps/place/48.0737038,13.4567455","Location")</f>
        <v>Location</v>
      </c>
      <c r="E3207" t="s">
        <v>27976</v>
      </c>
      <c r="F3207" t="s">
        <v>27977</v>
      </c>
      <c r="G3207" t="s">
        <v>3795</v>
      </c>
      <c r="H3207" t="s">
        <v>3796</v>
      </c>
      <c r="I3207" t="s">
        <v>85</v>
      </c>
      <c r="J3207" t="s">
        <v>22</v>
      </c>
      <c r="K3207" t="s">
        <v>27978</v>
      </c>
      <c r="L3207" t="s">
        <v>27981</v>
      </c>
      <c r="M3207" t="s">
        <v>25</v>
      </c>
      <c r="N3207" t="s">
        <v>27982</v>
      </c>
      <c r="O3207" t="s">
        <v>25</v>
      </c>
      <c r="P3207" t="s">
        <v>27983</v>
      </c>
      <c r="Q3207" t="s">
        <v>29</v>
      </c>
      <c r="R3207" t="s">
        <v>27979</v>
      </c>
      <c r="S3207" t="s">
        <v>27980</v>
      </c>
    </row>
    <row r="3208" spans="1:19" x14ac:dyDescent="0.25">
      <c r="A3208" s="1">
        <v>3206</v>
      </c>
      <c r="B3208" t="str">
        <f>HYPERLINK("https://www.dasschnelle.at/spießberger-und-söhne-gmbh-bad-gastein-böcksteiner-bundesstraße","Website")</f>
        <v>Website</v>
      </c>
      <c r="C3208" t="str">
        <f>HYPERLINK("https://www.dasschnelle.at/spie%C3%9Fberger-und-s%C3%B6hne-gmbh-bad-gastein-b%C3%B6cksteiner-bundesstra%C3%9Fe","Website")</f>
        <v>Website</v>
      </c>
      <c r="D3208" t="str">
        <f>HYPERLINK("http://www.google.com/maps/place/47.08959,13.11993","Location")</f>
        <v>Location</v>
      </c>
      <c r="E3208" t="s">
        <v>27984</v>
      </c>
      <c r="F3208" t="s">
        <v>27985</v>
      </c>
      <c r="G3208" t="s">
        <v>27987</v>
      </c>
      <c r="H3208" t="s">
        <v>26993</v>
      </c>
      <c r="I3208" t="s">
        <v>2239</v>
      </c>
      <c r="J3208" t="s">
        <v>22</v>
      </c>
      <c r="K3208" t="s">
        <v>27986</v>
      </c>
      <c r="L3208" t="s">
        <v>27990</v>
      </c>
      <c r="M3208" t="s">
        <v>25</v>
      </c>
      <c r="N3208" t="s">
        <v>27991</v>
      </c>
      <c r="O3208" t="s">
        <v>25</v>
      </c>
      <c r="P3208" t="s">
        <v>27992</v>
      </c>
      <c r="Q3208" t="s">
        <v>29</v>
      </c>
      <c r="R3208" t="s">
        <v>27988</v>
      </c>
      <c r="S3208" t="s">
        <v>27989</v>
      </c>
    </row>
    <row r="3209" spans="1:19" x14ac:dyDescent="0.25">
      <c r="A3209" s="1">
        <v>3207</v>
      </c>
      <c r="B3209" t="str">
        <f>HYPERLINK("https://www.dasschnelle.at/nothegger-gerhard-dr-wels-dr-salzmann-straße","Website")</f>
        <v>Website</v>
      </c>
      <c r="C3209" t="str">
        <f>HYPERLINK("http://www.notar-nothegger.at","Website")</f>
        <v>Website</v>
      </c>
      <c r="D3209" t="str">
        <f>HYPERLINK("http://www.google.com/maps/place/48.15728,14.02016","Location")</f>
        <v>Location</v>
      </c>
      <c r="E3209" t="s">
        <v>27993</v>
      </c>
      <c r="F3209" t="s">
        <v>27994</v>
      </c>
      <c r="G3209" t="s">
        <v>4725</v>
      </c>
      <c r="H3209" t="s">
        <v>4754</v>
      </c>
      <c r="I3209" t="s">
        <v>85</v>
      </c>
      <c r="J3209" t="s">
        <v>22</v>
      </c>
      <c r="K3209" t="s">
        <v>27995</v>
      </c>
      <c r="L3209" t="s">
        <v>27998</v>
      </c>
      <c r="M3209" t="s">
        <v>27999</v>
      </c>
      <c r="N3209" t="s">
        <v>28000</v>
      </c>
      <c r="O3209" t="s">
        <v>28001</v>
      </c>
      <c r="P3209" t="s">
        <v>28002</v>
      </c>
      <c r="Q3209" t="s">
        <v>29</v>
      </c>
      <c r="R3209" t="s">
        <v>27996</v>
      </c>
      <c r="S3209" t="s">
        <v>27997</v>
      </c>
    </row>
    <row r="3210" spans="1:19" x14ac:dyDescent="0.25">
      <c r="A3210" s="1">
        <v>3208</v>
      </c>
      <c r="B3210" t="str">
        <f>HYPERLINK("https://www.dasschnelle.at/netzer-bernhard-pfunds-dorf","Website")</f>
        <v>Website</v>
      </c>
      <c r="C3210" t="str">
        <f>HYPERLINK("http://www.maler-netzer.at","Website")</f>
        <v>Website</v>
      </c>
      <c r="D3210" t="str">
        <f>HYPERLINK("http://www.google.com/maps/place/46.96521,10.53965","Location")</f>
        <v>Location</v>
      </c>
      <c r="E3210" t="s">
        <v>28003</v>
      </c>
      <c r="F3210" t="s">
        <v>28004</v>
      </c>
      <c r="G3210" t="s">
        <v>27119</v>
      </c>
      <c r="H3210" t="s">
        <v>27120</v>
      </c>
      <c r="I3210" t="s">
        <v>21</v>
      </c>
      <c r="J3210" t="s">
        <v>22</v>
      </c>
      <c r="K3210" t="s">
        <v>28005</v>
      </c>
      <c r="L3210" t="s">
        <v>28008</v>
      </c>
      <c r="M3210" t="s">
        <v>25</v>
      </c>
      <c r="N3210" t="s">
        <v>28009</v>
      </c>
      <c r="O3210" t="s">
        <v>25</v>
      </c>
      <c r="P3210" t="s">
        <v>28010</v>
      </c>
      <c r="Q3210" t="s">
        <v>29</v>
      </c>
      <c r="R3210" t="s">
        <v>28006</v>
      </c>
      <c r="S3210" t="s">
        <v>28007</v>
      </c>
    </row>
    <row r="3211" spans="1:19" x14ac:dyDescent="0.25">
      <c r="A3211" s="1">
        <v>3209</v>
      </c>
      <c r="B3211" t="str">
        <f>HYPERLINK("https://www.dasschnelle.at/pronebner-andreas-sankt-veit-im-pongau-gewerbepark","Website")</f>
        <v>Website</v>
      </c>
      <c r="C3211" t="str">
        <f>HYPERLINK("http://www.holz-pronebner.at","Website")</f>
        <v>Website</v>
      </c>
      <c r="D3211" t="str">
        <f>HYPERLINK("http://www.google.com/maps/place/47.32469,13.1679","Location")</f>
        <v>Location</v>
      </c>
      <c r="E3211" t="s">
        <v>28011</v>
      </c>
      <c r="F3211" t="s">
        <v>28012</v>
      </c>
      <c r="G3211" t="s">
        <v>26790</v>
      </c>
      <c r="H3211" t="s">
        <v>26791</v>
      </c>
      <c r="I3211" t="s">
        <v>2239</v>
      </c>
      <c r="J3211" t="s">
        <v>22</v>
      </c>
      <c r="K3211" t="s">
        <v>28013</v>
      </c>
      <c r="L3211" t="s">
        <v>28016</v>
      </c>
      <c r="M3211" t="s">
        <v>25</v>
      </c>
      <c r="N3211" t="s">
        <v>28017</v>
      </c>
      <c r="O3211" t="s">
        <v>25</v>
      </c>
      <c r="P3211" t="s">
        <v>28018</v>
      </c>
      <c r="Q3211" t="s">
        <v>29</v>
      </c>
      <c r="R3211" t="s">
        <v>28014</v>
      </c>
      <c r="S3211" t="s">
        <v>28015</v>
      </c>
    </row>
    <row r="3212" spans="1:19" x14ac:dyDescent="0.25">
      <c r="A3212" s="1">
        <v>3210</v>
      </c>
      <c r="B3212" t="str">
        <f>HYPERLINK("https://www.dasschnelle.at/haustechnik-fleiss-gmbh-bad-hofgastein-gallwiesweg","Website")</f>
        <v>Website</v>
      </c>
      <c r="C3212" t="str">
        <f>HYPERLINK("http://www.ht-fleiss.at","Website")</f>
        <v>Website</v>
      </c>
      <c r="D3212" t="str">
        <f>HYPERLINK("http://www.google.com/maps/place/47.1843,13.09993","Location")</f>
        <v>Location</v>
      </c>
      <c r="E3212" t="s">
        <v>28019</v>
      </c>
      <c r="F3212" t="s">
        <v>28020</v>
      </c>
      <c r="G3212" t="s">
        <v>25969</v>
      </c>
      <c r="H3212" t="s">
        <v>25970</v>
      </c>
      <c r="I3212" t="s">
        <v>2239</v>
      </c>
      <c r="J3212" t="s">
        <v>22</v>
      </c>
      <c r="K3212" t="s">
        <v>28021</v>
      </c>
      <c r="L3212" t="s">
        <v>28024</v>
      </c>
      <c r="M3212" t="s">
        <v>25</v>
      </c>
      <c r="N3212" t="s">
        <v>28025</v>
      </c>
      <c r="O3212" t="s">
        <v>25</v>
      </c>
      <c r="P3212" t="s">
        <v>28026</v>
      </c>
      <c r="Q3212" t="s">
        <v>29</v>
      </c>
      <c r="R3212" t="s">
        <v>28022</v>
      </c>
      <c r="S3212" t="s">
        <v>28023</v>
      </c>
    </row>
    <row r="3213" spans="1:19" x14ac:dyDescent="0.25">
      <c r="A3213" s="1">
        <v>3211</v>
      </c>
      <c r="B3213" t="str">
        <f>HYPERLINK("https://www.dasschnelle.at/tiefenthaler-claudia-dr-thalheim-traunufer-arkade","Website")</f>
        <v>Website</v>
      </c>
      <c r="C3213" t="str">
        <f>HYPERLINK("https://www.dasschnelle.at/tiefenthaler-claudia-dr-thalheim-traunufer-arkade","Website")</f>
        <v>Website</v>
      </c>
      <c r="D3213" t="str">
        <f>HYPERLINK("http://www.google.com/maps/place/48.1488736,14.0375153","Location")</f>
        <v>Location</v>
      </c>
      <c r="E3213" t="s">
        <v>28027</v>
      </c>
      <c r="F3213" t="s">
        <v>28028</v>
      </c>
      <c r="G3213" t="s">
        <v>4725</v>
      </c>
      <c r="H3213" t="s">
        <v>28030</v>
      </c>
      <c r="I3213" t="s">
        <v>85</v>
      </c>
      <c r="J3213" t="s">
        <v>22</v>
      </c>
      <c r="K3213" t="s">
        <v>28029</v>
      </c>
      <c r="L3213" t="s">
        <v>28033</v>
      </c>
      <c r="M3213" t="s">
        <v>25</v>
      </c>
      <c r="N3213" t="s">
        <v>28034</v>
      </c>
      <c r="O3213" t="s">
        <v>25</v>
      </c>
      <c r="P3213" t="s">
        <v>28035</v>
      </c>
      <c r="Q3213" t="s">
        <v>29</v>
      </c>
      <c r="R3213" t="s">
        <v>28031</v>
      </c>
      <c r="S3213" t="s">
        <v>28032</v>
      </c>
    </row>
    <row r="3214" spans="1:19" x14ac:dyDescent="0.25">
      <c r="A3214" s="1">
        <v>3212</v>
      </c>
      <c r="B3214" t="str">
        <f>HYPERLINK("https://www.dasschnelle.at/pfunds-mode-pfunds-stuben","Website")</f>
        <v>Website</v>
      </c>
      <c r="C3214" t="str">
        <f>HYPERLINK("http://www.pfunds-mode.at","Website")</f>
        <v>Website</v>
      </c>
      <c r="D3214" t="str">
        <f>HYPERLINK("http://www.google.com/maps/place/46.96885,10.53608","Location")</f>
        <v>Location</v>
      </c>
      <c r="E3214" t="s">
        <v>28036</v>
      </c>
      <c r="F3214" t="s">
        <v>28037</v>
      </c>
      <c r="G3214" t="s">
        <v>27119</v>
      </c>
      <c r="H3214" t="s">
        <v>27120</v>
      </c>
      <c r="I3214" t="s">
        <v>21</v>
      </c>
      <c r="J3214" t="s">
        <v>22</v>
      </c>
      <c r="K3214" t="s">
        <v>28038</v>
      </c>
      <c r="L3214" t="s">
        <v>28041</v>
      </c>
      <c r="M3214" t="s">
        <v>25</v>
      </c>
      <c r="N3214" t="s">
        <v>28042</v>
      </c>
      <c r="O3214" t="s">
        <v>25</v>
      </c>
      <c r="P3214" t="s">
        <v>28043</v>
      </c>
      <c r="Q3214" t="s">
        <v>29</v>
      </c>
      <c r="R3214" t="s">
        <v>28039</v>
      </c>
      <c r="S3214" t="s">
        <v>28040</v>
      </c>
    </row>
    <row r="3215" spans="1:19" x14ac:dyDescent="0.25">
      <c r="A3215" s="1">
        <v>3213</v>
      </c>
      <c r="B3215" t="str">
        <f>HYPERLINK("https://www.dasschnelle.at/danklmayer-gesmbh-puchenau-hammerschmiede","Website")</f>
        <v>Website</v>
      </c>
      <c r="C3215" t="str">
        <f>HYPERLINK("http://www.danklmayer.at","Website")</f>
        <v>Website</v>
      </c>
      <c r="D3215" t="str">
        <f>HYPERLINK("http://www.google.com/maps/place/48.31266,14.24085","Location")</f>
        <v>Location</v>
      </c>
      <c r="E3215" t="s">
        <v>28044</v>
      </c>
      <c r="F3215" t="s">
        <v>28045</v>
      </c>
      <c r="G3215" t="s">
        <v>28047</v>
      </c>
      <c r="H3215" t="s">
        <v>28048</v>
      </c>
      <c r="I3215" t="s">
        <v>85</v>
      </c>
      <c r="J3215" t="s">
        <v>22</v>
      </c>
      <c r="K3215" t="s">
        <v>28046</v>
      </c>
      <c r="L3215" t="s">
        <v>28051</v>
      </c>
      <c r="M3215" t="s">
        <v>25</v>
      </c>
      <c r="N3215" t="s">
        <v>28052</v>
      </c>
      <c r="O3215" t="s">
        <v>25</v>
      </c>
      <c r="P3215" t="s">
        <v>28053</v>
      </c>
      <c r="Q3215" t="s">
        <v>29</v>
      </c>
      <c r="R3215" t="s">
        <v>28049</v>
      </c>
      <c r="S3215" t="s">
        <v>28050</v>
      </c>
    </row>
    <row r="3216" spans="1:19" x14ac:dyDescent="0.25">
      <c r="A3216" s="1">
        <v>3214</v>
      </c>
      <c r="B3216" t="str">
        <f>HYPERLINK("https://www.dasschnelle.at/sternapotheke-mag-pharm-véronique-wolfram-e-u-wels-bahnhofstraße","Website")</f>
        <v>Website</v>
      </c>
      <c r="C3216" t="str">
        <f>HYPERLINK("http://www.sternapotheke.at","Website")</f>
        <v>Website</v>
      </c>
      <c r="D3216" t="str">
        <f>HYPERLINK("http://www.google.com/maps/place/48.16148,14.02503","Location")</f>
        <v>Location</v>
      </c>
      <c r="E3216" t="s">
        <v>28054</v>
      </c>
      <c r="F3216" t="s">
        <v>28055</v>
      </c>
      <c r="G3216" t="s">
        <v>4725</v>
      </c>
      <c r="H3216" t="s">
        <v>4754</v>
      </c>
      <c r="I3216" t="s">
        <v>85</v>
      </c>
      <c r="J3216" t="s">
        <v>22</v>
      </c>
      <c r="K3216" t="s">
        <v>12804</v>
      </c>
      <c r="L3216" t="s">
        <v>28058</v>
      </c>
      <c r="M3216" t="s">
        <v>25</v>
      </c>
      <c r="N3216" t="s">
        <v>28059</v>
      </c>
      <c r="O3216" t="s">
        <v>25</v>
      </c>
      <c r="P3216" t="s">
        <v>28060</v>
      </c>
      <c r="Q3216" t="s">
        <v>29</v>
      </c>
      <c r="R3216" t="s">
        <v>28056</v>
      </c>
      <c r="S3216" t="s">
        <v>28057</v>
      </c>
    </row>
    <row r="3217" spans="1:19" x14ac:dyDescent="0.25">
      <c r="A3217" s="1">
        <v>3215</v>
      </c>
      <c r="B3217" t="str">
        <f>HYPERLINK("https://www.dasschnelle.at/katzmayr-birgit-vorderweißenbach-hauptstraße","Website")</f>
        <v>Website</v>
      </c>
      <c r="C3217" t="str">
        <f>HYPERLINK("http://www.haargenau-birgit.at","Website")</f>
        <v>Website</v>
      </c>
      <c r="D3217" t="str">
        <f>HYPERLINK("http://www.google.com/maps/place/48.55276,14.21808","Location")</f>
        <v>Location</v>
      </c>
      <c r="E3217" t="s">
        <v>28061</v>
      </c>
      <c r="F3217" t="s">
        <v>28062</v>
      </c>
      <c r="G3217" t="s">
        <v>27292</v>
      </c>
      <c r="H3217" t="s">
        <v>27293</v>
      </c>
      <c r="I3217" t="s">
        <v>85</v>
      </c>
      <c r="J3217" t="s">
        <v>22</v>
      </c>
      <c r="K3217" t="s">
        <v>2199</v>
      </c>
      <c r="L3217" t="s">
        <v>28065</v>
      </c>
      <c r="M3217" t="s">
        <v>25</v>
      </c>
      <c r="N3217" t="s">
        <v>28066</v>
      </c>
      <c r="O3217" t="s">
        <v>25</v>
      </c>
      <c r="P3217" t="s">
        <v>28067</v>
      </c>
      <c r="Q3217" t="s">
        <v>29</v>
      </c>
      <c r="R3217" t="s">
        <v>28063</v>
      </c>
      <c r="S3217" t="s">
        <v>28064</v>
      </c>
    </row>
    <row r="3218" spans="1:19" x14ac:dyDescent="0.25">
      <c r="A3218" s="1">
        <v>3216</v>
      </c>
      <c r="B3218" t="str">
        <f>HYPERLINK("https://www.dasschnelle.at/erlacher-hermann-bad-hofgastein-salzburger-straße","Website")</f>
        <v>Website</v>
      </c>
      <c r="C3218" t="str">
        <f>HYPERLINK("https://www.dasschnelle.at/erlacher-hermann-bad-hofgastein-salzburger-stra%C3%9Fe","Website")</f>
        <v>Website</v>
      </c>
      <c r="D3218" t="str">
        <f>HYPERLINK("http://www.google.com/maps/place/47.17803,13.10385","Location")</f>
        <v>Location</v>
      </c>
      <c r="E3218" t="s">
        <v>28068</v>
      </c>
      <c r="F3218" t="s">
        <v>28069</v>
      </c>
      <c r="G3218" t="s">
        <v>25969</v>
      </c>
      <c r="H3218" t="s">
        <v>25970</v>
      </c>
      <c r="I3218" t="s">
        <v>2239</v>
      </c>
      <c r="J3218" t="s">
        <v>22</v>
      </c>
      <c r="K3218" t="s">
        <v>28070</v>
      </c>
      <c r="L3218" t="s">
        <v>28073</v>
      </c>
      <c r="M3218" t="s">
        <v>28074</v>
      </c>
      <c r="N3218" t="s">
        <v>28075</v>
      </c>
      <c r="O3218" t="s">
        <v>25</v>
      </c>
      <c r="P3218" t="s">
        <v>28076</v>
      </c>
      <c r="Q3218" t="s">
        <v>29</v>
      </c>
      <c r="R3218" t="s">
        <v>28071</v>
      </c>
      <c r="S3218" t="s">
        <v>28072</v>
      </c>
    </row>
    <row r="3219" spans="1:19" x14ac:dyDescent="0.25">
      <c r="A3219" s="1">
        <v>3217</v>
      </c>
      <c r="B3219" t="str">
        <f>HYPERLINK("https://www.dasschnelle.at/wollendorfer-johann-eidenberg-schmiedweg","Website")</f>
        <v>Website</v>
      </c>
      <c r="C3219" t="str">
        <f>HYPERLINK("http://www.wollendorfer.at","Website")</f>
        <v>Website</v>
      </c>
      <c r="D3219" t="str">
        <f>HYPERLINK("http://www.google.com/maps/place/48.42726,14.23892","Location")</f>
        <v>Location</v>
      </c>
      <c r="E3219" t="s">
        <v>28077</v>
      </c>
      <c r="F3219" t="s">
        <v>28078</v>
      </c>
      <c r="G3219" t="s">
        <v>27341</v>
      </c>
      <c r="H3219" t="s">
        <v>28080</v>
      </c>
      <c r="I3219" t="s">
        <v>85</v>
      </c>
      <c r="J3219" t="s">
        <v>22</v>
      </c>
      <c r="K3219" t="s">
        <v>28079</v>
      </c>
      <c r="L3219" t="s">
        <v>28083</v>
      </c>
      <c r="M3219" t="s">
        <v>28084</v>
      </c>
      <c r="N3219" t="s">
        <v>28085</v>
      </c>
      <c r="O3219" t="s">
        <v>25</v>
      </c>
      <c r="P3219" t="s">
        <v>28086</v>
      </c>
      <c r="Q3219" t="s">
        <v>29</v>
      </c>
      <c r="R3219" t="s">
        <v>28081</v>
      </c>
      <c r="S3219" t="s">
        <v>28082</v>
      </c>
    </row>
    <row r="3220" spans="1:19" x14ac:dyDescent="0.25">
      <c r="A3220" s="1">
        <v>3218</v>
      </c>
      <c r="B3220" t="str">
        <f>HYPERLINK("https://www.dasschnelle.at/haigl-kg-bau-u-möbeltischlerei-großarl-gemeindestraße","Website")</f>
        <v>Website</v>
      </c>
      <c r="C3220" t="str">
        <f>HYPERLINK("http://www.haigl-grossarl.at","Website")</f>
        <v>Website</v>
      </c>
      <c r="D3220" t="str">
        <f>HYPERLINK("http://www.google.com/maps/place/47.2380300,13.1992100","Location")</f>
        <v>Location</v>
      </c>
      <c r="E3220" t="s">
        <v>28087</v>
      </c>
      <c r="F3220" t="s">
        <v>28088</v>
      </c>
      <c r="G3220" t="s">
        <v>25267</v>
      </c>
      <c r="H3220" t="s">
        <v>25268</v>
      </c>
      <c r="I3220" t="s">
        <v>2239</v>
      </c>
      <c r="J3220" t="s">
        <v>22</v>
      </c>
      <c r="K3220" t="s">
        <v>28089</v>
      </c>
      <c r="L3220" t="s">
        <v>28092</v>
      </c>
      <c r="M3220" t="s">
        <v>25</v>
      </c>
      <c r="N3220" t="s">
        <v>28093</v>
      </c>
      <c r="O3220" t="s">
        <v>25</v>
      </c>
      <c r="P3220" t="s">
        <v>28094</v>
      </c>
      <c r="Q3220" t="s">
        <v>29</v>
      </c>
      <c r="R3220" t="s">
        <v>28090</v>
      </c>
      <c r="S3220" t="s">
        <v>28091</v>
      </c>
    </row>
    <row r="3221" spans="1:19" x14ac:dyDescent="0.25">
      <c r="A3221" s="1">
        <v>3219</v>
      </c>
      <c r="B3221" t="str">
        <f>HYPERLINK("https://www.dasschnelle.at/erdbau-gschwandtl-großarl-maurachweg","Website")</f>
        <v>Website</v>
      </c>
      <c r="C3221" t="str">
        <f>HYPERLINK("https://www.dasschnelle.at/erdbau-gschwandtl-gro%C3%9Farl-maurachweg","Website")</f>
        <v>Website</v>
      </c>
      <c r="D3221" t="str">
        <f>HYPERLINK("http://www.google.com/maps/place/47.27777,13.21161","Location")</f>
        <v>Location</v>
      </c>
      <c r="E3221" t="s">
        <v>28095</v>
      </c>
      <c r="F3221" t="s">
        <v>28096</v>
      </c>
      <c r="G3221" t="s">
        <v>25267</v>
      </c>
      <c r="H3221" t="s">
        <v>25268</v>
      </c>
      <c r="I3221" t="s">
        <v>2239</v>
      </c>
      <c r="J3221" t="s">
        <v>22</v>
      </c>
      <c r="K3221" t="s">
        <v>28097</v>
      </c>
      <c r="L3221" t="s">
        <v>28100</v>
      </c>
      <c r="M3221" t="s">
        <v>25</v>
      </c>
      <c r="N3221" t="s">
        <v>28101</v>
      </c>
      <c r="O3221" t="s">
        <v>25</v>
      </c>
      <c r="P3221" t="s">
        <v>28102</v>
      </c>
      <c r="Q3221" t="s">
        <v>29</v>
      </c>
      <c r="R3221" t="s">
        <v>28098</v>
      </c>
      <c r="S3221" t="s">
        <v>28099</v>
      </c>
    </row>
    <row r="3222" spans="1:19" x14ac:dyDescent="0.25">
      <c r="A3222" s="1">
        <v>3220</v>
      </c>
      <c r="B3222" t="str">
        <f>HYPERLINK("https://www.dasschnelle.at/niederbichler-erwin-himmelberg-tobitsch","Website")</f>
        <v>Website</v>
      </c>
      <c r="C3222" t="str">
        <f>HYPERLINK("https://www.dasschnelle.at/niederbichler-erwin-himmelberg-tobitsch","Website")</f>
        <v>Website</v>
      </c>
      <c r="D3222" t="str">
        <f>HYPERLINK("http://www.google.com/maps/place/46.7406103,14.0443753","Location")</f>
        <v>Location</v>
      </c>
      <c r="E3222" t="s">
        <v>28103</v>
      </c>
      <c r="F3222" t="s">
        <v>28104</v>
      </c>
      <c r="G3222" t="s">
        <v>8540</v>
      </c>
      <c r="H3222" t="s">
        <v>8541</v>
      </c>
      <c r="I3222" t="s">
        <v>4130</v>
      </c>
      <c r="J3222" t="s">
        <v>22</v>
      </c>
      <c r="K3222" t="s">
        <v>28105</v>
      </c>
      <c r="L3222" t="s">
        <v>28108</v>
      </c>
      <c r="M3222" t="s">
        <v>25</v>
      </c>
      <c r="N3222" t="s">
        <v>28109</v>
      </c>
      <c r="O3222" t="s">
        <v>25</v>
      </c>
      <c r="P3222" t="s">
        <v>28110</v>
      </c>
      <c r="Q3222" t="s">
        <v>29</v>
      </c>
      <c r="R3222" t="s">
        <v>28106</v>
      </c>
      <c r="S3222" t="s">
        <v>28107</v>
      </c>
    </row>
    <row r="3223" spans="1:19" x14ac:dyDescent="0.25">
      <c r="A3223" s="1">
        <v>3221</v>
      </c>
      <c r="B3223" t="str">
        <f>HYPERLINK("https://www.dasschnelle.at/friessnegg-christian-feldkirchen-alte-villacher-straße","Website")</f>
        <v>Website</v>
      </c>
      <c r="C3223" t="str">
        <f>HYPERLINK("https://www.dasschnelle.at/friessnegg-christian-feldkirchen-alte-villacher-stra%C3%9Fe","Website")</f>
        <v>Website</v>
      </c>
      <c r="D3223" t="str">
        <f>HYPERLINK("http://www.google.com/maps/place/46.7204146,14.0957911","Location")</f>
        <v>Location</v>
      </c>
      <c r="E3223" t="s">
        <v>28111</v>
      </c>
      <c r="F3223" t="s">
        <v>28112</v>
      </c>
      <c r="G3223" t="s">
        <v>8498</v>
      </c>
      <c r="H3223" t="s">
        <v>8530</v>
      </c>
      <c r="I3223" t="s">
        <v>4130</v>
      </c>
      <c r="J3223" t="s">
        <v>22</v>
      </c>
      <c r="K3223" t="s">
        <v>28113</v>
      </c>
      <c r="L3223" t="s">
        <v>28116</v>
      </c>
      <c r="M3223" t="s">
        <v>25</v>
      </c>
      <c r="N3223" t="s">
        <v>28117</v>
      </c>
      <c r="O3223" t="s">
        <v>25</v>
      </c>
      <c r="P3223" t="s">
        <v>28118</v>
      </c>
      <c r="Q3223" t="s">
        <v>29</v>
      </c>
      <c r="R3223" t="s">
        <v>28114</v>
      </c>
      <c r="S3223" t="s">
        <v>28115</v>
      </c>
    </row>
    <row r="3224" spans="1:19" x14ac:dyDescent="0.25">
      <c r="A3224" s="1">
        <v>3222</v>
      </c>
      <c r="B3224" t="str">
        <f>HYPERLINK("https://www.dasschnelle.at/fliesen-unger-studenzen-erbersdorf","Website")</f>
        <v>Website</v>
      </c>
      <c r="C3224" t="str">
        <f>HYPERLINK("http://www.fliesenunger.at","Website")</f>
        <v>Website</v>
      </c>
      <c r="D3224" t="str">
        <f>HYPERLINK("http://www.google.com/maps/place/47.0121250,15.7719847","Location")</f>
        <v>Location</v>
      </c>
      <c r="E3224" t="s">
        <v>28119</v>
      </c>
      <c r="F3224" t="s">
        <v>28120</v>
      </c>
      <c r="G3224" t="s">
        <v>28122</v>
      </c>
      <c r="H3224" t="s">
        <v>28123</v>
      </c>
      <c r="I3224" t="s">
        <v>451</v>
      </c>
      <c r="J3224" t="s">
        <v>22</v>
      </c>
      <c r="K3224" t="s">
        <v>28121</v>
      </c>
      <c r="L3224" t="s">
        <v>28126</v>
      </c>
      <c r="M3224" t="s">
        <v>25</v>
      </c>
      <c r="N3224" t="s">
        <v>28127</v>
      </c>
      <c r="O3224" t="s">
        <v>25</v>
      </c>
      <c r="P3224" t="s">
        <v>28128</v>
      </c>
      <c r="Q3224" t="s">
        <v>29</v>
      </c>
      <c r="R3224" t="s">
        <v>28124</v>
      </c>
      <c r="S3224" t="s">
        <v>28125</v>
      </c>
    </row>
    <row r="3225" spans="1:19" x14ac:dyDescent="0.25">
      <c r="A3225" s="1">
        <v>3223</v>
      </c>
      <c r="B3225" t="str">
        <f>HYPERLINK("https://www.dasschnelle.at/yildiz-ali-traisen-mariazeller-straße","Website")</f>
        <v>Website</v>
      </c>
      <c r="C3225" t="str">
        <f>HYPERLINK("http://www.ali-waschzentrum.stadtausstellung.at","Website")</f>
        <v>Website</v>
      </c>
      <c r="D3225" t="str">
        <f>HYPERLINK("http://www.google.com/maps/place/48.0446,15.60924","Location")</f>
        <v>Location</v>
      </c>
      <c r="E3225" t="s">
        <v>28129</v>
      </c>
      <c r="F3225" t="s">
        <v>28130</v>
      </c>
      <c r="G3225" t="s">
        <v>12519</v>
      </c>
      <c r="H3225" t="s">
        <v>12520</v>
      </c>
      <c r="I3225" t="s">
        <v>177</v>
      </c>
      <c r="J3225" t="s">
        <v>22</v>
      </c>
      <c r="K3225" t="s">
        <v>28131</v>
      </c>
      <c r="L3225" t="s">
        <v>28134</v>
      </c>
      <c r="M3225" t="s">
        <v>25</v>
      </c>
      <c r="N3225" t="s">
        <v>28135</v>
      </c>
      <c r="O3225" t="s">
        <v>25</v>
      </c>
      <c r="P3225" t="s">
        <v>28136</v>
      </c>
      <c r="Q3225" t="s">
        <v>29</v>
      </c>
      <c r="R3225" t="s">
        <v>28132</v>
      </c>
      <c r="S3225" t="s">
        <v>28133</v>
      </c>
    </row>
    <row r="3226" spans="1:19" x14ac:dyDescent="0.25">
      <c r="A3226" s="1">
        <v>3224</v>
      </c>
      <c r="B3226" t="str">
        <f>HYPERLINK("https://www.dasschnelle.at/theuer-wolfgang-grein-kreuznerstraße","Website")</f>
        <v>Website</v>
      </c>
      <c r="C3226" t="str">
        <f>HYPERLINK("http://www.wolfgang-theuer.at","Website")</f>
        <v>Website</v>
      </c>
      <c r="D3226" t="str">
        <f>HYPERLINK("http://www.google.com/maps/place/48.22716,14.85405","Location")</f>
        <v>Location</v>
      </c>
      <c r="E3226" t="s">
        <v>28137</v>
      </c>
      <c r="F3226" t="s">
        <v>28138</v>
      </c>
      <c r="G3226" t="s">
        <v>27263</v>
      </c>
      <c r="H3226" t="s">
        <v>27264</v>
      </c>
      <c r="I3226" t="s">
        <v>85</v>
      </c>
      <c r="J3226" t="s">
        <v>22</v>
      </c>
      <c r="K3226" t="s">
        <v>28139</v>
      </c>
      <c r="L3226" t="s">
        <v>28142</v>
      </c>
      <c r="M3226" t="s">
        <v>25</v>
      </c>
      <c r="N3226" t="s">
        <v>28143</v>
      </c>
      <c r="O3226" t="s">
        <v>25</v>
      </c>
      <c r="P3226" t="s">
        <v>28144</v>
      </c>
      <c r="Q3226" t="s">
        <v>29</v>
      </c>
      <c r="R3226" t="s">
        <v>28140</v>
      </c>
      <c r="S3226" t="s">
        <v>28141</v>
      </c>
    </row>
    <row r="3227" spans="1:19" x14ac:dyDescent="0.25">
      <c r="A3227" s="1">
        <v>3225</v>
      </c>
      <c r="B3227" t="str">
        <f>HYPERLINK("https://www.dasschnelle.at/j-gründlinger-ges-m-b-h-ottnang-a-h-gartenstraße","Website")</f>
        <v>Website</v>
      </c>
      <c r="C3227" t="str">
        <f>HYPERLINK("http://www.gruendlinger.at","Website")</f>
        <v>Website</v>
      </c>
      <c r="D3227" t="str">
        <f>HYPERLINK("http://www.google.com/maps/place/48.0996785,13.6586602","Location")</f>
        <v>Location</v>
      </c>
      <c r="E3227" t="s">
        <v>28145</v>
      </c>
      <c r="F3227" t="s">
        <v>28146</v>
      </c>
      <c r="G3227" t="s">
        <v>3952</v>
      </c>
      <c r="H3227" t="s">
        <v>28148</v>
      </c>
      <c r="I3227" t="s">
        <v>85</v>
      </c>
      <c r="J3227" t="s">
        <v>22</v>
      </c>
      <c r="K3227" t="s">
        <v>28147</v>
      </c>
      <c r="L3227" t="s">
        <v>28151</v>
      </c>
      <c r="M3227" t="s">
        <v>25</v>
      </c>
      <c r="N3227" t="s">
        <v>28152</v>
      </c>
      <c r="O3227" t="s">
        <v>25</v>
      </c>
      <c r="P3227" t="s">
        <v>28153</v>
      </c>
      <c r="Q3227" t="s">
        <v>29</v>
      </c>
      <c r="R3227" t="s">
        <v>28149</v>
      </c>
      <c r="S3227" t="s">
        <v>28150</v>
      </c>
    </row>
    <row r="3228" spans="1:19" x14ac:dyDescent="0.25">
      <c r="A3228" s="1">
        <v>3226</v>
      </c>
      <c r="B3228" t="str">
        <f>HYPERLINK("https://www.dasschnelle.at/kloiber-franz-sankt-gilgen-steinklüftstraße","Website")</f>
        <v>Website</v>
      </c>
      <c r="C3228" t="str">
        <f>HYPERLINK("http://www.franzkloiber.at","Website")</f>
        <v>Website</v>
      </c>
      <c r="D3228" t="str">
        <f>HYPERLINK("http://www.google.com/maps/place/47.76956,13.36357","Location")</f>
        <v>Location</v>
      </c>
      <c r="E3228" t="s">
        <v>28154</v>
      </c>
      <c r="F3228" t="s">
        <v>28155</v>
      </c>
      <c r="G3228" t="s">
        <v>2326</v>
      </c>
      <c r="H3228" t="s">
        <v>2327</v>
      </c>
      <c r="I3228" t="s">
        <v>2239</v>
      </c>
      <c r="J3228" t="s">
        <v>22</v>
      </c>
      <c r="K3228" t="s">
        <v>28156</v>
      </c>
      <c r="L3228" t="s">
        <v>28159</v>
      </c>
      <c r="M3228" t="s">
        <v>25</v>
      </c>
      <c r="N3228" t="s">
        <v>28160</v>
      </c>
      <c r="O3228" t="s">
        <v>28161</v>
      </c>
      <c r="P3228" t="s">
        <v>28162</v>
      </c>
      <c r="Q3228" t="s">
        <v>29</v>
      </c>
      <c r="R3228" t="s">
        <v>28157</v>
      </c>
      <c r="S3228" t="s">
        <v>28158</v>
      </c>
    </row>
    <row r="3229" spans="1:19" x14ac:dyDescent="0.25">
      <c r="A3229" s="1">
        <v>3227</v>
      </c>
      <c r="B3229" t="str">
        <f>HYPERLINK("https://www.dasschnelle.at/elesto-elektrotechnik-stollberger-thomas-schauern-schauern","Website")</f>
        <v>Website</v>
      </c>
      <c r="C3229" t="str">
        <f>HYPERLINK("http://www.elesto.at","Website")</f>
        <v>Website</v>
      </c>
      <c r="D3229" t="str">
        <f>HYPERLINK("http://www.google.com/maps/place/48.4693102,13.7529794","Location")</f>
        <v>Location</v>
      </c>
      <c r="E3229" t="s">
        <v>28163</v>
      </c>
      <c r="F3229" t="s">
        <v>28164</v>
      </c>
      <c r="G3229" t="s">
        <v>26975</v>
      </c>
      <c r="H3229" t="s">
        <v>28166</v>
      </c>
      <c r="I3229" t="s">
        <v>85</v>
      </c>
      <c r="J3229" t="s">
        <v>22</v>
      </c>
      <c r="K3229" t="s">
        <v>28165</v>
      </c>
      <c r="L3229" t="s">
        <v>28167</v>
      </c>
      <c r="M3229" t="s">
        <v>25</v>
      </c>
      <c r="N3229" t="s">
        <v>28168</v>
      </c>
      <c r="O3229" t="s">
        <v>25</v>
      </c>
      <c r="P3229" t="s">
        <v>28169</v>
      </c>
      <c r="Q3229" t="s">
        <v>29</v>
      </c>
      <c r="R3229" t="s">
        <v>27030</v>
      </c>
      <c r="S3229" t="s">
        <v>27031</v>
      </c>
    </row>
    <row r="3230" spans="1:19" x14ac:dyDescent="0.25">
      <c r="A3230" s="1">
        <v>3228</v>
      </c>
      <c r="B3230" t="str">
        <f>HYPERLINK("https://www.dasschnelle.at/weiß-anneliese-altenmarkt-im-pongau-grubgasse","Website")</f>
        <v>Website</v>
      </c>
      <c r="C3230" t="str">
        <f>HYPERLINK("http://www.massage-anneliese.at","Website")</f>
        <v>Website</v>
      </c>
      <c r="D3230" t="str">
        <f>HYPERLINK("http://www.google.com/maps/place/47.38057,13.42276","Location")</f>
        <v>Location</v>
      </c>
      <c r="E3230" t="s">
        <v>28170</v>
      </c>
      <c r="F3230" t="s">
        <v>28171</v>
      </c>
      <c r="G3230" t="s">
        <v>5876</v>
      </c>
      <c r="H3230" t="s">
        <v>5877</v>
      </c>
      <c r="I3230" t="s">
        <v>2239</v>
      </c>
      <c r="J3230" t="s">
        <v>22</v>
      </c>
      <c r="K3230" t="s">
        <v>28172</v>
      </c>
      <c r="L3230" t="s">
        <v>28175</v>
      </c>
      <c r="M3230" t="s">
        <v>25</v>
      </c>
      <c r="N3230" t="s">
        <v>28176</v>
      </c>
      <c r="O3230" t="s">
        <v>25</v>
      </c>
      <c r="P3230" t="s">
        <v>28177</v>
      </c>
      <c r="Q3230" t="s">
        <v>29</v>
      </c>
      <c r="R3230" t="s">
        <v>28173</v>
      </c>
      <c r="S3230" t="s">
        <v>28174</v>
      </c>
    </row>
    <row r="3231" spans="1:19" x14ac:dyDescent="0.25">
      <c r="A3231" s="1">
        <v>3229</v>
      </c>
      <c r="B3231" t="str">
        <f>HYPERLINK("https://www.dasschnelle.at/dr-schartner-rechtsanwalt-gmbh-altenmarkt-im-pongau-obere-marktstraße","Website")</f>
        <v>Website</v>
      </c>
      <c r="C3231" t="str">
        <f>HYPERLINK("http://www.peterschartner.at","Website")</f>
        <v>Website</v>
      </c>
      <c r="D3231" t="str">
        <f>HYPERLINK("http://www.google.com/maps/place/47.38172,13.41373","Location")</f>
        <v>Location</v>
      </c>
      <c r="E3231" t="s">
        <v>28178</v>
      </c>
      <c r="F3231" t="s">
        <v>28179</v>
      </c>
      <c r="G3231" t="s">
        <v>5876</v>
      </c>
      <c r="H3231" t="s">
        <v>5877</v>
      </c>
      <c r="I3231" t="s">
        <v>2239</v>
      </c>
      <c r="J3231" t="s">
        <v>22</v>
      </c>
      <c r="K3231" t="s">
        <v>28180</v>
      </c>
      <c r="L3231" t="s">
        <v>28183</v>
      </c>
      <c r="M3231" t="s">
        <v>25</v>
      </c>
      <c r="N3231" t="s">
        <v>28184</v>
      </c>
      <c r="O3231" t="s">
        <v>25</v>
      </c>
      <c r="P3231" t="s">
        <v>28185</v>
      </c>
      <c r="Q3231" t="s">
        <v>29</v>
      </c>
      <c r="R3231" t="s">
        <v>28181</v>
      </c>
      <c r="S3231" t="s">
        <v>28182</v>
      </c>
    </row>
    <row r="3232" spans="1:19" x14ac:dyDescent="0.25">
      <c r="A3232" s="1">
        <v>3230</v>
      </c>
      <c r="B3232" t="str">
        <f>HYPERLINK("https://www.dasschnelle.at/wartinger-alice-dr-med-dent-marchtrenk-eichenstraße","Website")</f>
        <v>Website</v>
      </c>
      <c r="C3232" t="str">
        <f>HYPERLINK("http://www.dr-wartinger.at","Website")</f>
        <v>Website</v>
      </c>
      <c r="D3232" t="str">
        <f>HYPERLINK("http://www.google.com/maps/place/48.19226,14.11771","Location")</f>
        <v>Location</v>
      </c>
      <c r="E3232" t="s">
        <v>28186</v>
      </c>
      <c r="F3232" t="s">
        <v>28187</v>
      </c>
      <c r="G3232" t="s">
        <v>4902</v>
      </c>
      <c r="H3232" t="s">
        <v>7155</v>
      </c>
      <c r="I3232" t="s">
        <v>85</v>
      </c>
      <c r="J3232" t="s">
        <v>22</v>
      </c>
      <c r="K3232" t="s">
        <v>28188</v>
      </c>
      <c r="L3232" t="s">
        <v>28191</v>
      </c>
      <c r="M3232" t="s">
        <v>25</v>
      </c>
      <c r="N3232" t="s">
        <v>28192</v>
      </c>
      <c r="O3232" t="s">
        <v>25</v>
      </c>
      <c r="P3232" t="s">
        <v>28193</v>
      </c>
      <c r="Q3232" t="s">
        <v>29</v>
      </c>
      <c r="R3232" t="s">
        <v>28189</v>
      </c>
      <c r="S3232" t="s">
        <v>28190</v>
      </c>
    </row>
    <row r="3233" spans="1:19" x14ac:dyDescent="0.25">
      <c r="A3233" s="1">
        <v>3231</v>
      </c>
      <c r="B3233" t="str">
        <f>HYPERLINK("https://www.dasschnelle.at/wolfsegger-friede-barbara-dr-med-wels-grieskirchner-straße","Website")</f>
        <v>Website</v>
      </c>
      <c r="C3233" t="str">
        <f>HYPERLINK("https://www.dasschnelle.at/wolfsegger-friede-barbara-dr-med-wels-grieskirchner-stra%C3%9Fe","Website")</f>
        <v>Website</v>
      </c>
      <c r="D3233" t="str">
        <f>HYPERLINK("http://www.google.com/maps/place/48.1770300,14.0210800","Location")</f>
        <v>Location</v>
      </c>
      <c r="E3233" t="s">
        <v>28194</v>
      </c>
      <c r="F3233" t="s">
        <v>28195</v>
      </c>
      <c r="G3233" t="s">
        <v>4725</v>
      </c>
      <c r="H3233" t="s">
        <v>4754</v>
      </c>
      <c r="I3233" t="s">
        <v>85</v>
      </c>
      <c r="J3233" t="s">
        <v>22</v>
      </c>
      <c r="K3233" t="s">
        <v>28196</v>
      </c>
      <c r="L3233" t="s">
        <v>28199</v>
      </c>
      <c r="M3233" t="s">
        <v>28200</v>
      </c>
      <c r="N3233" t="s">
        <v>28201</v>
      </c>
      <c r="O3233" t="s">
        <v>25</v>
      </c>
      <c r="P3233" t="s">
        <v>28202</v>
      </c>
      <c r="Q3233" t="s">
        <v>29</v>
      </c>
      <c r="R3233" t="s">
        <v>28197</v>
      </c>
      <c r="S3233" t="s">
        <v>28198</v>
      </c>
    </row>
    <row r="3234" spans="1:19" x14ac:dyDescent="0.25">
      <c r="A3234" s="1">
        <v>3232</v>
      </c>
      <c r="B3234" t="str">
        <f>HYPERLINK("https://www.dasschnelle.at/kirchmayr-anita-dr-med-marchtrenk-bahnhofstraße","Website")</f>
        <v>Website</v>
      </c>
      <c r="C3234" t="str">
        <f>HYPERLINK("http://www.dr-kirchmayr.at","Website")</f>
        <v>Website</v>
      </c>
      <c r="D3234" t="str">
        <f>HYPERLINK("http://www.google.com/maps/place/48.19362,14.1096","Location")</f>
        <v>Location</v>
      </c>
      <c r="E3234" t="s">
        <v>28203</v>
      </c>
      <c r="F3234" t="s">
        <v>28204</v>
      </c>
      <c r="G3234" t="s">
        <v>4902</v>
      </c>
      <c r="H3234" t="s">
        <v>7155</v>
      </c>
      <c r="I3234" t="s">
        <v>85</v>
      </c>
      <c r="J3234" t="s">
        <v>22</v>
      </c>
      <c r="K3234" t="s">
        <v>28205</v>
      </c>
      <c r="L3234" t="s">
        <v>28208</v>
      </c>
      <c r="M3234" t="s">
        <v>25</v>
      </c>
      <c r="N3234" t="s">
        <v>25</v>
      </c>
      <c r="O3234" t="s">
        <v>25</v>
      </c>
      <c r="P3234" t="s">
        <v>28209</v>
      </c>
      <c r="Q3234" t="s">
        <v>29</v>
      </c>
      <c r="R3234" t="s">
        <v>28206</v>
      </c>
      <c r="S3234" t="s">
        <v>28207</v>
      </c>
    </row>
    <row r="3235" spans="1:19" x14ac:dyDescent="0.25">
      <c r="A3235" s="1">
        <v>3233</v>
      </c>
      <c r="B3235" t="str">
        <f>HYPERLINK("https://www.dasschnelle.at/bestattung-ecker-gesmbh-steinhaus-schlossstraße","Website")</f>
        <v>Website</v>
      </c>
      <c r="C3235" t="str">
        <f>HYPERLINK("http://www.bestattung-ecker.at","Website")</f>
        <v>Website</v>
      </c>
      <c r="D3235" t="str">
        <f>HYPERLINK("http://www.google.com/maps/place/48.11289,14.02182","Location")</f>
        <v>Location</v>
      </c>
      <c r="E3235" t="s">
        <v>28210</v>
      </c>
      <c r="F3235" t="s">
        <v>28211</v>
      </c>
      <c r="G3235" t="s">
        <v>4965</v>
      </c>
      <c r="H3235" t="s">
        <v>4966</v>
      </c>
      <c r="I3235" t="s">
        <v>85</v>
      </c>
      <c r="J3235" t="s">
        <v>22</v>
      </c>
      <c r="K3235" t="s">
        <v>28212</v>
      </c>
      <c r="L3235" t="s">
        <v>28215</v>
      </c>
      <c r="M3235" t="s">
        <v>25</v>
      </c>
      <c r="N3235" t="s">
        <v>28216</v>
      </c>
      <c r="O3235" t="s">
        <v>28217</v>
      </c>
      <c r="P3235" t="s">
        <v>28218</v>
      </c>
      <c r="Q3235" t="s">
        <v>29</v>
      </c>
      <c r="R3235" t="s">
        <v>28213</v>
      </c>
      <c r="S3235" t="s">
        <v>28214</v>
      </c>
    </row>
    <row r="3236" spans="1:19" x14ac:dyDescent="0.25">
      <c r="A3236" s="1">
        <v>3234</v>
      </c>
      <c r="B3236" t="str">
        <f>HYPERLINK("https://www.dasschnelle.at/kfz-martin-krenn-gmbh-hellmonsödt-weignersdorf","Website")</f>
        <v>Website</v>
      </c>
      <c r="C3236" t="str">
        <f>HYPERLINK("http://www.kfz-krenn.at","Website")</f>
        <v>Website</v>
      </c>
      <c r="D3236" t="str">
        <f>HYPERLINK("http://www.google.com/maps/place/48.4184127,14.3435453","Location")</f>
        <v>Location</v>
      </c>
      <c r="E3236" t="s">
        <v>28219</v>
      </c>
      <c r="F3236" t="s">
        <v>28220</v>
      </c>
      <c r="G3236" t="s">
        <v>28222</v>
      </c>
      <c r="H3236" t="s">
        <v>28223</v>
      </c>
      <c r="I3236" t="s">
        <v>85</v>
      </c>
      <c r="J3236" t="s">
        <v>22</v>
      </c>
      <c r="K3236" t="s">
        <v>28221</v>
      </c>
      <c r="L3236" t="s">
        <v>28226</v>
      </c>
      <c r="M3236" t="s">
        <v>25</v>
      </c>
      <c r="N3236" t="s">
        <v>28227</v>
      </c>
      <c r="O3236" t="s">
        <v>25</v>
      </c>
      <c r="P3236" t="s">
        <v>28228</v>
      </c>
      <c r="Q3236" t="s">
        <v>29</v>
      </c>
      <c r="R3236" t="s">
        <v>28224</v>
      </c>
      <c r="S3236" t="s">
        <v>28225</v>
      </c>
    </row>
    <row r="3237" spans="1:19" x14ac:dyDescent="0.25">
      <c r="A3237" s="1">
        <v>3235</v>
      </c>
      <c r="B3237" t="str">
        <f>HYPERLINK("https://www.dasschnelle.at/sagmeister-regina-thalheim-bei-wels-falkenweg","Website")</f>
        <v>Website</v>
      </c>
      <c r="C3237" t="str">
        <f>HYPERLINK("http://www.kinesiologie-sagmeister.at","Website")</f>
        <v>Website</v>
      </c>
      <c r="D3237" t="str">
        <f>HYPERLINK("http://www.google.com/maps/place/48.1469242,14.0410824","Location")</f>
        <v>Location</v>
      </c>
      <c r="E3237" t="s">
        <v>28229</v>
      </c>
      <c r="F3237" t="s">
        <v>28230</v>
      </c>
      <c r="G3237" t="s">
        <v>4725</v>
      </c>
      <c r="H3237" t="s">
        <v>4736</v>
      </c>
      <c r="I3237" t="s">
        <v>85</v>
      </c>
      <c r="J3237" t="s">
        <v>22</v>
      </c>
      <c r="K3237" t="s">
        <v>28231</v>
      </c>
      <c r="L3237" t="s">
        <v>28234</v>
      </c>
      <c r="M3237" t="s">
        <v>25</v>
      </c>
      <c r="N3237" t="s">
        <v>28235</v>
      </c>
      <c r="O3237" t="s">
        <v>25</v>
      </c>
      <c r="P3237" t="s">
        <v>28236</v>
      </c>
      <c r="Q3237" t="s">
        <v>29</v>
      </c>
      <c r="R3237" t="s">
        <v>28232</v>
      </c>
      <c r="S3237" t="s">
        <v>28233</v>
      </c>
    </row>
    <row r="3238" spans="1:19" x14ac:dyDescent="0.25">
      <c r="A3238" s="1">
        <v>3236</v>
      </c>
      <c r="B3238" t="str">
        <f>HYPERLINK("https://www.dasschnelle.at/lengauer-leopold-reichenau-im-mühlkreis-zeil","Website")</f>
        <v>Website</v>
      </c>
      <c r="C3238" t="str">
        <f>HYPERLINK("http://www.eventtaxi.at","Website")</f>
        <v>Website</v>
      </c>
      <c r="D3238" t="str">
        <f>HYPERLINK("http://www.google.com/maps/place/48.4697052,14.3407714","Location")</f>
        <v>Location</v>
      </c>
      <c r="E3238" t="s">
        <v>28237</v>
      </c>
      <c r="F3238" t="s">
        <v>28238</v>
      </c>
      <c r="G3238" t="s">
        <v>28240</v>
      </c>
      <c r="H3238" t="s">
        <v>28241</v>
      </c>
      <c r="I3238" t="s">
        <v>85</v>
      </c>
      <c r="J3238" t="s">
        <v>22</v>
      </c>
      <c r="K3238" t="s">
        <v>28239</v>
      </c>
      <c r="L3238" t="s">
        <v>28244</v>
      </c>
      <c r="M3238" t="s">
        <v>25</v>
      </c>
      <c r="N3238" t="s">
        <v>28245</v>
      </c>
      <c r="O3238" t="s">
        <v>25</v>
      </c>
      <c r="P3238" t="s">
        <v>28246</v>
      </c>
      <c r="Q3238" t="s">
        <v>29</v>
      </c>
      <c r="R3238" t="s">
        <v>28242</v>
      </c>
      <c r="S3238" t="s">
        <v>28243</v>
      </c>
    </row>
    <row r="3239" spans="1:19" x14ac:dyDescent="0.25">
      <c r="A3239" s="1">
        <v>3237</v>
      </c>
      <c r="B3239" t="str">
        <f>HYPERLINK("https://www.dasschnelle.at/elektrotechnik-bürgler-und-mooslechner-gmbh-goldegg-oberhof","Website")</f>
        <v>Website</v>
      </c>
      <c r="C3239" t="str">
        <f>HYPERLINK("http://www.bm-elektrotechnik.at","Website")</f>
        <v>Website</v>
      </c>
      <c r="D3239" t="str">
        <f>HYPERLINK("http://www.google.com/maps/place/47.3103841,13.0995383","Location")</f>
        <v>Location</v>
      </c>
      <c r="E3239" t="s">
        <v>28247</v>
      </c>
      <c r="F3239" t="s">
        <v>28248</v>
      </c>
      <c r="G3239" t="s">
        <v>27321</v>
      </c>
      <c r="H3239" t="s">
        <v>27322</v>
      </c>
      <c r="I3239" t="s">
        <v>2239</v>
      </c>
      <c r="J3239" t="s">
        <v>22</v>
      </c>
      <c r="K3239" t="s">
        <v>28249</v>
      </c>
      <c r="L3239" t="s">
        <v>28252</v>
      </c>
      <c r="M3239" t="s">
        <v>25</v>
      </c>
      <c r="N3239" t="s">
        <v>28253</v>
      </c>
      <c r="O3239" t="s">
        <v>28254</v>
      </c>
      <c r="P3239" t="s">
        <v>28255</v>
      </c>
      <c r="Q3239" t="s">
        <v>29</v>
      </c>
      <c r="R3239" t="s">
        <v>28250</v>
      </c>
      <c r="S3239" t="s">
        <v>28251</v>
      </c>
    </row>
    <row r="3240" spans="1:19" x14ac:dyDescent="0.25">
      <c r="A3240" s="1">
        <v>3238</v>
      </c>
      <c r="B3240" t="str">
        <f>HYPERLINK("https://www.dasschnelle.at/hochreiter-stadlbauer-og-hellmonsödt-sagweg","Website")</f>
        <v>Website</v>
      </c>
      <c r="C3240" t="str">
        <f>HYPERLINK("http://www.hostog.at","Website")</f>
        <v>Website</v>
      </c>
      <c r="D3240" t="str">
        <f>HYPERLINK("http://www.google.com/maps/place/48.4300600,14.2953800","Location")</f>
        <v>Location</v>
      </c>
      <c r="E3240" t="s">
        <v>28256</v>
      </c>
      <c r="F3240" t="s">
        <v>28257</v>
      </c>
      <c r="G3240" t="s">
        <v>28222</v>
      </c>
      <c r="H3240" t="s">
        <v>28223</v>
      </c>
      <c r="I3240" t="s">
        <v>85</v>
      </c>
      <c r="J3240" t="s">
        <v>22</v>
      </c>
      <c r="K3240" t="s">
        <v>28258</v>
      </c>
      <c r="L3240" t="s">
        <v>28261</v>
      </c>
      <c r="M3240" t="s">
        <v>25</v>
      </c>
      <c r="N3240" t="s">
        <v>28262</v>
      </c>
      <c r="O3240" t="s">
        <v>25</v>
      </c>
      <c r="P3240" t="s">
        <v>28263</v>
      </c>
      <c r="Q3240" t="s">
        <v>29</v>
      </c>
      <c r="R3240" t="s">
        <v>28259</v>
      </c>
      <c r="S3240" t="s">
        <v>28260</v>
      </c>
    </row>
    <row r="3241" spans="1:19" x14ac:dyDescent="0.25">
      <c r="A3241" s="1">
        <v>3239</v>
      </c>
      <c r="B3241" t="str">
        <f>HYPERLINK("https://www.dasschnelle.at/salon-cupak-hellmonsödt-marktplatz","Website")</f>
        <v>Website</v>
      </c>
      <c r="C3241" t="str">
        <f>HYPERLINK("http://www.friseur-cupak.at","Website")</f>
        <v>Website</v>
      </c>
      <c r="D3241" t="str">
        <f>HYPERLINK("http://www.google.com/maps/place/48.43146,14.29919","Location")</f>
        <v>Location</v>
      </c>
      <c r="E3241" t="s">
        <v>28264</v>
      </c>
      <c r="F3241" t="s">
        <v>28265</v>
      </c>
      <c r="G3241" t="s">
        <v>28222</v>
      </c>
      <c r="H3241" t="s">
        <v>28223</v>
      </c>
      <c r="I3241" t="s">
        <v>85</v>
      </c>
      <c r="J3241" t="s">
        <v>22</v>
      </c>
      <c r="K3241" t="s">
        <v>23322</v>
      </c>
      <c r="L3241" t="s">
        <v>28268</v>
      </c>
      <c r="M3241" t="s">
        <v>25</v>
      </c>
      <c r="N3241" t="s">
        <v>28269</v>
      </c>
      <c r="O3241" t="s">
        <v>25</v>
      </c>
      <c r="P3241" t="s">
        <v>28270</v>
      </c>
      <c r="Q3241" t="s">
        <v>29</v>
      </c>
      <c r="R3241" t="s">
        <v>28266</v>
      </c>
      <c r="S3241" t="s">
        <v>28267</v>
      </c>
    </row>
    <row r="3242" spans="1:19" x14ac:dyDescent="0.25">
      <c r="A3242" s="1">
        <v>3240</v>
      </c>
      <c r="B3242" t="str">
        <f>HYPERLINK("https://www.dasschnelle.at/fischer-entsorgungs-u-transport-gmbh-wilhelmsburg-industriezone-burgerfeld","Website")</f>
        <v>Website</v>
      </c>
      <c r="C3242" t="str">
        <f>HYPERLINK("http://www.fischer-entsorgung.at","Website")</f>
        <v>Website</v>
      </c>
      <c r="D3242" t="str">
        <f>HYPERLINK("http://www.google.com/maps/place/48.1138379,15.6105355","Location")</f>
        <v>Location</v>
      </c>
      <c r="E3242" t="s">
        <v>28271</v>
      </c>
      <c r="F3242" t="s">
        <v>28272</v>
      </c>
      <c r="G3242" t="s">
        <v>28274</v>
      </c>
      <c r="H3242" t="s">
        <v>28275</v>
      </c>
      <c r="I3242" t="s">
        <v>177</v>
      </c>
      <c r="J3242" t="s">
        <v>22</v>
      </c>
      <c r="K3242" t="s">
        <v>28273</v>
      </c>
      <c r="L3242" t="s">
        <v>28278</v>
      </c>
      <c r="M3242" t="s">
        <v>25</v>
      </c>
      <c r="N3242" t="s">
        <v>28279</v>
      </c>
      <c r="O3242" t="s">
        <v>25</v>
      </c>
      <c r="P3242" t="s">
        <v>28280</v>
      </c>
      <c r="Q3242" t="s">
        <v>29</v>
      </c>
      <c r="R3242" t="s">
        <v>28276</v>
      </c>
      <c r="S3242" t="s">
        <v>28277</v>
      </c>
    </row>
    <row r="3243" spans="1:19" x14ac:dyDescent="0.25">
      <c r="A3243" s="1">
        <v>3241</v>
      </c>
      <c r="B3243" t="str">
        <f>HYPERLINK("https://www.dasschnelle.at/reisecker-mike-st-willibald-hauptstraße","Website")</f>
        <v>Website</v>
      </c>
      <c r="C3243" t="str">
        <f>HYPERLINK("http://www.rip.at","Website")</f>
        <v>Website</v>
      </c>
      <c r="D3243" t="str">
        <f>HYPERLINK("http://www.google.com/maps/place/48.34347,13.77216","Location")</f>
        <v>Location</v>
      </c>
      <c r="E3243" t="s">
        <v>28281</v>
      </c>
      <c r="F3243" t="s">
        <v>28282</v>
      </c>
      <c r="G3243" t="s">
        <v>28283</v>
      </c>
      <c r="H3243" t="s">
        <v>28284</v>
      </c>
      <c r="I3243" t="s">
        <v>85</v>
      </c>
      <c r="J3243" t="s">
        <v>22</v>
      </c>
      <c r="K3243" t="s">
        <v>25100</v>
      </c>
      <c r="L3243" t="s">
        <v>28287</v>
      </c>
      <c r="M3243" t="s">
        <v>25</v>
      </c>
      <c r="N3243" t="s">
        <v>28288</v>
      </c>
      <c r="O3243" t="s">
        <v>25</v>
      </c>
      <c r="P3243" t="s">
        <v>697</v>
      </c>
      <c r="Q3243" t="s">
        <v>29</v>
      </c>
      <c r="R3243" t="s">
        <v>28285</v>
      </c>
      <c r="S3243" t="s">
        <v>28286</v>
      </c>
    </row>
    <row r="3244" spans="1:19" x14ac:dyDescent="0.25">
      <c r="A3244" s="1">
        <v>3242</v>
      </c>
      <c r="B3244" t="str">
        <f>HYPERLINK("https://www.dasschnelle.at/tischlerei-löckinger-enzenkirchen-hauptstraße","Website")</f>
        <v>Website</v>
      </c>
      <c r="C3244" t="str">
        <f>HYPERLINK("http://www.tischlerei-innviertel.at","Website")</f>
        <v>Website</v>
      </c>
      <c r="D3244" t="str">
        <f>HYPERLINK("http://www.google.com/maps/place/48.38622,13.64835","Location")</f>
        <v>Location</v>
      </c>
      <c r="E3244" t="s">
        <v>28289</v>
      </c>
      <c r="F3244" t="s">
        <v>28290</v>
      </c>
      <c r="G3244" t="s">
        <v>26651</v>
      </c>
      <c r="H3244" t="s">
        <v>26652</v>
      </c>
      <c r="I3244" t="s">
        <v>85</v>
      </c>
      <c r="J3244" t="s">
        <v>22</v>
      </c>
      <c r="K3244" t="s">
        <v>28291</v>
      </c>
      <c r="L3244" t="s">
        <v>28294</v>
      </c>
      <c r="M3244" t="s">
        <v>25</v>
      </c>
      <c r="N3244" t="s">
        <v>28295</v>
      </c>
      <c r="O3244" t="s">
        <v>25</v>
      </c>
      <c r="P3244" t="s">
        <v>28296</v>
      </c>
      <c r="Q3244" t="s">
        <v>29</v>
      </c>
      <c r="R3244" t="s">
        <v>28292</v>
      </c>
      <c r="S3244" t="s">
        <v>28293</v>
      </c>
    </row>
    <row r="3245" spans="1:19" x14ac:dyDescent="0.25">
      <c r="A3245" s="1">
        <v>3243</v>
      </c>
      <c r="B3245" t="str">
        <f>HYPERLINK("https://www.dasschnelle.at/haustechnik-thomas-aichinger-ges-m-b-h-kopfing-im-innkreis-entholz","Website")</f>
        <v>Website</v>
      </c>
      <c r="C3245" t="str">
        <f>HYPERLINK("http://www.aichinger-haustechnik.at","Website")</f>
        <v>Website</v>
      </c>
      <c r="D3245" t="str">
        <f>HYPERLINK("http://www.google.com/maps/place/48.4193864,13.6754174","Location")</f>
        <v>Location</v>
      </c>
      <c r="E3245" t="s">
        <v>28297</v>
      </c>
      <c r="F3245" t="s">
        <v>28298</v>
      </c>
      <c r="G3245" t="s">
        <v>28300</v>
      </c>
      <c r="H3245" t="s">
        <v>28301</v>
      </c>
      <c r="I3245" t="s">
        <v>85</v>
      </c>
      <c r="J3245" t="s">
        <v>22</v>
      </c>
      <c r="K3245" t="s">
        <v>28299</v>
      </c>
      <c r="L3245" t="s">
        <v>28304</v>
      </c>
      <c r="M3245" t="s">
        <v>25</v>
      </c>
      <c r="N3245" t="s">
        <v>28305</v>
      </c>
      <c r="O3245" t="s">
        <v>25</v>
      </c>
      <c r="P3245" t="s">
        <v>28306</v>
      </c>
      <c r="Q3245" t="s">
        <v>29</v>
      </c>
      <c r="R3245" t="s">
        <v>28302</v>
      </c>
      <c r="S3245" t="s">
        <v>28303</v>
      </c>
    </row>
    <row r="3246" spans="1:19" x14ac:dyDescent="0.25">
      <c r="A3246" s="1">
        <v>3244</v>
      </c>
      <c r="B3246" t="str">
        <f>HYPERLINK("https://www.dasschnelle.at/haustechnik-fichtinger-gmbh-reiferdorf-kaplanstraße","Website")</f>
        <v>Website</v>
      </c>
      <c r="C3246" t="str">
        <f>HYPERLINK("http://www.fichtinger.co.at","Website")</f>
        <v>Website</v>
      </c>
      <c r="D3246" t="str">
        <f>HYPERLINK("http://www.google.com/maps/place/48.24295,14.54902","Location")</f>
        <v>Location</v>
      </c>
      <c r="E3246" t="s">
        <v>28307</v>
      </c>
      <c r="F3246" t="s">
        <v>28308</v>
      </c>
      <c r="G3246" t="s">
        <v>6513</v>
      </c>
      <c r="H3246" t="s">
        <v>28310</v>
      </c>
      <c r="I3246" t="s">
        <v>85</v>
      </c>
      <c r="J3246" t="s">
        <v>22</v>
      </c>
      <c r="K3246" t="s">
        <v>28309</v>
      </c>
      <c r="L3246" t="s">
        <v>28313</v>
      </c>
      <c r="M3246" t="s">
        <v>25</v>
      </c>
      <c r="N3246" t="s">
        <v>28314</v>
      </c>
      <c r="O3246" t="s">
        <v>25</v>
      </c>
      <c r="P3246" t="s">
        <v>28315</v>
      </c>
      <c r="Q3246" t="s">
        <v>29</v>
      </c>
      <c r="R3246" t="s">
        <v>28311</v>
      </c>
      <c r="S3246" t="s">
        <v>28312</v>
      </c>
    </row>
    <row r="3247" spans="1:19" x14ac:dyDescent="0.25">
      <c r="A3247" s="1">
        <v>3245</v>
      </c>
      <c r="B3247" t="str">
        <f>HYPERLINK("https://www.dasschnelle.at/karner-karl-wilhelmsburg-schießstattstraße","Website")</f>
        <v>Website</v>
      </c>
      <c r="C3247" t="str">
        <f>HYPERLINK("http://www.tischlerei-karner.at","Website")</f>
        <v>Website</v>
      </c>
      <c r="D3247" t="str">
        <f>HYPERLINK("http://www.google.com/maps/place/48.10799,15.60525","Location")</f>
        <v>Location</v>
      </c>
      <c r="E3247" t="s">
        <v>28316</v>
      </c>
      <c r="F3247" t="s">
        <v>28317</v>
      </c>
      <c r="G3247" t="s">
        <v>28274</v>
      </c>
      <c r="H3247" t="s">
        <v>28275</v>
      </c>
      <c r="I3247" t="s">
        <v>177</v>
      </c>
      <c r="J3247" t="s">
        <v>22</v>
      </c>
      <c r="K3247" t="s">
        <v>28318</v>
      </c>
      <c r="L3247" t="s">
        <v>28321</v>
      </c>
      <c r="M3247" t="s">
        <v>28322</v>
      </c>
      <c r="N3247" t="s">
        <v>28323</v>
      </c>
      <c r="O3247" t="s">
        <v>25</v>
      </c>
      <c r="P3247" t="s">
        <v>28324</v>
      </c>
      <c r="Q3247" t="s">
        <v>29</v>
      </c>
      <c r="R3247" t="s">
        <v>28319</v>
      </c>
      <c r="S3247" t="s">
        <v>28320</v>
      </c>
    </row>
    <row r="3248" spans="1:19" x14ac:dyDescent="0.25">
      <c r="A3248" s="1">
        <v>3246</v>
      </c>
      <c r="B3248" t="str">
        <f>HYPERLINK("https://www.dasschnelle.at/insamer-f-gmbh-und-co-kg-andrichsfurt-albertsedt","Website")</f>
        <v>Website</v>
      </c>
      <c r="C3248" t="str">
        <f>HYPERLINK("http://www.insamer.at","Website")</f>
        <v>Website</v>
      </c>
      <c r="D3248" t="str">
        <f>HYPERLINK("http://www.google.com/maps/place/48.2615105,13.5114390","Location")</f>
        <v>Location</v>
      </c>
      <c r="E3248" t="s">
        <v>28325</v>
      </c>
      <c r="F3248" t="s">
        <v>28326</v>
      </c>
      <c r="G3248" t="s">
        <v>28328</v>
      </c>
      <c r="H3248" t="s">
        <v>28329</v>
      </c>
      <c r="I3248" t="s">
        <v>85</v>
      </c>
      <c r="J3248" t="s">
        <v>22</v>
      </c>
      <c r="K3248" t="s">
        <v>28327</v>
      </c>
      <c r="L3248" t="s">
        <v>28332</v>
      </c>
      <c r="M3248" t="s">
        <v>25</v>
      </c>
      <c r="N3248" t="s">
        <v>28333</v>
      </c>
      <c r="O3248" t="s">
        <v>25</v>
      </c>
      <c r="P3248" t="s">
        <v>28334</v>
      </c>
      <c r="Q3248" t="s">
        <v>29</v>
      </c>
      <c r="R3248" t="s">
        <v>28330</v>
      </c>
      <c r="S3248" t="s">
        <v>28331</v>
      </c>
    </row>
    <row r="3249" spans="1:19" x14ac:dyDescent="0.25">
      <c r="A3249" s="1">
        <v>3247</v>
      </c>
      <c r="B3249" t="str">
        <f>HYPERLINK("https://www.dasschnelle.at/pflegezentrum-unterlamm-maurer-gmbh-unterlamm-unterlamm","Website")</f>
        <v>Website</v>
      </c>
      <c r="C3249" t="str">
        <f>HYPERLINK("http://www.pflegezentrum-unterlamm.at","Website")</f>
        <v>Website</v>
      </c>
      <c r="D3249" t="str">
        <f>HYPERLINK("http://www.google.com/maps/place/46.9764749,16.0587881","Location")</f>
        <v>Location</v>
      </c>
      <c r="E3249" t="s">
        <v>28335</v>
      </c>
      <c r="F3249" t="s">
        <v>28336</v>
      </c>
      <c r="G3249" t="s">
        <v>28338</v>
      </c>
      <c r="H3249" t="s">
        <v>28339</v>
      </c>
      <c r="I3249" t="s">
        <v>451</v>
      </c>
      <c r="J3249" t="s">
        <v>22</v>
      </c>
      <c r="K3249" t="s">
        <v>28337</v>
      </c>
      <c r="L3249" t="s">
        <v>28342</v>
      </c>
      <c r="M3249" t="s">
        <v>25</v>
      </c>
      <c r="N3249" t="s">
        <v>28343</v>
      </c>
      <c r="O3249" t="s">
        <v>25</v>
      </c>
      <c r="P3249" t="s">
        <v>28344</v>
      </c>
      <c r="Q3249" t="s">
        <v>29</v>
      </c>
      <c r="R3249" t="s">
        <v>28340</v>
      </c>
      <c r="S3249" t="s">
        <v>28341</v>
      </c>
    </row>
    <row r="3250" spans="1:19" x14ac:dyDescent="0.25">
      <c r="A3250" s="1">
        <v>3248</v>
      </c>
      <c r="B3250" t="str">
        <f>HYPERLINK("https://www.dasschnelle.at/pertl-planungsgmbh-bodensdorf-fasanenweg","Website")</f>
        <v>Website</v>
      </c>
      <c r="C3250" t="str">
        <f>HYPERLINK("http://www.cad-pertl.at","Website")</f>
        <v>Website</v>
      </c>
      <c r="D3250" t="str">
        <f>HYPERLINK("http://www.google.com/maps/place/46.69125,13.97887","Location")</f>
        <v>Location</v>
      </c>
      <c r="E3250" t="s">
        <v>28345</v>
      </c>
      <c r="F3250" t="s">
        <v>28346</v>
      </c>
      <c r="G3250" t="s">
        <v>28348</v>
      </c>
      <c r="H3250" t="s">
        <v>28349</v>
      </c>
      <c r="I3250" t="s">
        <v>4130</v>
      </c>
      <c r="J3250" t="s">
        <v>22</v>
      </c>
      <c r="K3250" t="s">
        <v>28347</v>
      </c>
      <c r="L3250" t="s">
        <v>28352</v>
      </c>
      <c r="M3250" t="s">
        <v>25</v>
      </c>
      <c r="N3250" t="s">
        <v>28353</v>
      </c>
      <c r="O3250" t="s">
        <v>28354</v>
      </c>
      <c r="P3250" t="s">
        <v>28355</v>
      </c>
      <c r="Q3250" t="s">
        <v>29</v>
      </c>
      <c r="R3250" t="s">
        <v>28350</v>
      </c>
      <c r="S3250" t="s">
        <v>28351</v>
      </c>
    </row>
    <row r="3251" spans="1:19" x14ac:dyDescent="0.25">
      <c r="A3251" s="1">
        <v>3249</v>
      </c>
      <c r="B3251" t="str">
        <f>HYPERLINK("https://www.dasschnelle.at/meniga-a-dr-wels-grieskirchner-straße","Website")</f>
        <v>Website</v>
      </c>
      <c r="C3251" t="str">
        <f>HYPERLINK("http://www.meniga.at","Website")</f>
        <v>Website</v>
      </c>
      <c r="D3251" t="str">
        <f>HYPERLINK("http://www.google.com/maps/place/48.1696687,14.0243478","Location")</f>
        <v>Location</v>
      </c>
      <c r="E3251" t="s">
        <v>28356</v>
      </c>
      <c r="F3251" t="s">
        <v>28357</v>
      </c>
      <c r="G3251" t="s">
        <v>4725</v>
      </c>
      <c r="H3251" t="s">
        <v>4754</v>
      </c>
      <c r="I3251" t="s">
        <v>85</v>
      </c>
      <c r="J3251" t="s">
        <v>22</v>
      </c>
      <c r="K3251" t="s">
        <v>28358</v>
      </c>
      <c r="L3251" t="s">
        <v>28361</v>
      </c>
      <c r="M3251" t="s">
        <v>25</v>
      </c>
      <c r="N3251" t="s">
        <v>28362</v>
      </c>
      <c r="O3251" t="s">
        <v>25</v>
      </c>
      <c r="P3251" t="s">
        <v>28363</v>
      </c>
      <c r="Q3251" t="s">
        <v>29</v>
      </c>
      <c r="R3251" t="s">
        <v>28359</v>
      </c>
      <c r="S3251" t="s">
        <v>28360</v>
      </c>
    </row>
    <row r="3252" spans="1:19" x14ac:dyDescent="0.25">
      <c r="A3252" s="1">
        <v>3250</v>
      </c>
      <c r="B3252" t="str">
        <f>HYPERLINK("https://www.dasschnelle.at/stadtapotheke-marchtrenk-mag-pharm-manfred-prillinger-kg-marchtrenk-linzer-straße","Website")</f>
        <v>Website</v>
      </c>
      <c r="C3252" t="str">
        <f>HYPERLINK("http://www.stadtapotheke-marchtrenk.at","Website")</f>
        <v>Website</v>
      </c>
      <c r="D3252" t="str">
        <f>HYPERLINK("http://www.google.com/maps/place/48.19156,14.11942","Location")</f>
        <v>Location</v>
      </c>
      <c r="E3252" t="s">
        <v>28364</v>
      </c>
      <c r="F3252" t="s">
        <v>28365</v>
      </c>
      <c r="G3252" t="s">
        <v>4902</v>
      </c>
      <c r="H3252" t="s">
        <v>7155</v>
      </c>
      <c r="I3252" t="s">
        <v>85</v>
      </c>
      <c r="J3252" t="s">
        <v>22</v>
      </c>
      <c r="K3252" t="s">
        <v>28366</v>
      </c>
      <c r="L3252" t="s">
        <v>28369</v>
      </c>
      <c r="M3252" t="s">
        <v>25</v>
      </c>
      <c r="N3252" t="s">
        <v>28370</v>
      </c>
      <c r="O3252" t="s">
        <v>28371</v>
      </c>
      <c r="P3252" t="s">
        <v>28372</v>
      </c>
      <c r="Q3252" t="s">
        <v>29</v>
      </c>
      <c r="R3252" t="s">
        <v>28367</v>
      </c>
      <c r="S3252" t="s">
        <v>28368</v>
      </c>
    </row>
    <row r="3253" spans="1:19" x14ac:dyDescent="0.25">
      <c r="A3253" s="1">
        <v>3251</v>
      </c>
      <c r="B3253" t="str">
        <f>HYPERLINK("https://www.dasschnelle.at/riepl-josef-tiffen","Website")</f>
        <v>Website</v>
      </c>
      <c r="C3253" t="str">
        <f>HYPERLINK("http://www.riepl.co.at","Website")</f>
        <v>Website</v>
      </c>
      <c r="D3253" t="str">
        <f>HYPERLINK("http://www.google.com/maps/place/46.7082730,14.0584680","Location")</f>
        <v>Location</v>
      </c>
      <c r="E3253" t="s">
        <v>28373</v>
      </c>
      <c r="F3253" t="s">
        <v>28374</v>
      </c>
      <c r="G3253" t="s">
        <v>8498</v>
      </c>
      <c r="H3253" t="s">
        <v>28375</v>
      </c>
      <c r="I3253" t="s">
        <v>4130</v>
      </c>
      <c r="J3253" t="s">
        <v>22</v>
      </c>
      <c r="K3253" t="s">
        <v>25</v>
      </c>
      <c r="L3253" t="s">
        <v>28378</v>
      </c>
      <c r="M3253" t="s">
        <v>28379</v>
      </c>
      <c r="N3253" t="s">
        <v>28380</v>
      </c>
      <c r="O3253" t="s">
        <v>25</v>
      </c>
      <c r="P3253" t="s">
        <v>28381</v>
      </c>
      <c r="Q3253" t="s">
        <v>29</v>
      </c>
      <c r="R3253" t="s">
        <v>28376</v>
      </c>
      <c r="S3253" t="s">
        <v>28377</v>
      </c>
    </row>
    <row r="3254" spans="1:19" x14ac:dyDescent="0.25">
      <c r="A3254" s="1">
        <v>3252</v>
      </c>
      <c r="B3254" t="str">
        <f>HYPERLINK("https://www.dasschnelle.at/hse-huber-gmbh-landeck-urichstraße","Website")</f>
        <v>Website</v>
      </c>
      <c r="C3254" t="str">
        <f>HYPERLINK("http://www.hse-huber.at","Website")</f>
        <v>Website</v>
      </c>
      <c r="D3254" t="str">
        <f>HYPERLINK("http://www.google.com/maps/place/47.14057,10.56114","Location")</f>
        <v>Location</v>
      </c>
      <c r="E3254" t="s">
        <v>28382</v>
      </c>
      <c r="F3254" t="s">
        <v>28383</v>
      </c>
      <c r="G3254" t="s">
        <v>1279</v>
      </c>
      <c r="H3254" t="s">
        <v>1280</v>
      </c>
      <c r="I3254" t="s">
        <v>21</v>
      </c>
      <c r="J3254" t="s">
        <v>22</v>
      </c>
      <c r="K3254" t="s">
        <v>28384</v>
      </c>
      <c r="L3254" t="s">
        <v>28387</v>
      </c>
      <c r="M3254" t="s">
        <v>25</v>
      </c>
      <c r="N3254" t="s">
        <v>28388</v>
      </c>
      <c r="O3254" t="s">
        <v>25</v>
      </c>
      <c r="P3254" t="s">
        <v>28389</v>
      </c>
      <c r="Q3254" t="s">
        <v>29</v>
      </c>
      <c r="R3254" t="s">
        <v>28385</v>
      </c>
      <c r="S3254" t="s">
        <v>28386</v>
      </c>
    </row>
    <row r="3255" spans="1:19" x14ac:dyDescent="0.25">
      <c r="A3255" s="1">
        <v>3253</v>
      </c>
      <c r="B3255" t="str">
        <f>HYPERLINK("https://www.dasschnelle.at/sommer-gmbh-walding-mühlkreisbahnstraße","Website")</f>
        <v>Website</v>
      </c>
      <c r="C3255" t="str">
        <f>HYPERLINK("http://www.sommer-torantriebe.at","Website")</f>
        <v>Website</v>
      </c>
      <c r="D3255" t="str">
        <f>HYPERLINK("http://www.google.com/maps/place/48.34653,14.16135","Location")</f>
        <v>Location</v>
      </c>
      <c r="E3255" t="s">
        <v>28390</v>
      </c>
      <c r="F3255" t="s">
        <v>28391</v>
      </c>
      <c r="G3255" t="s">
        <v>28393</v>
      </c>
      <c r="H3255" t="s">
        <v>28394</v>
      </c>
      <c r="I3255" t="s">
        <v>85</v>
      </c>
      <c r="J3255" t="s">
        <v>22</v>
      </c>
      <c r="K3255" t="s">
        <v>28392</v>
      </c>
      <c r="L3255" t="s">
        <v>28397</v>
      </c>
      <c r="M3255" t="s">
        <v>25</v>
      </c>
      <c r="N3255" t="s">
        <v>28398</v>
      </c>
      <c r="O3255" t="s">
        <v>28399</v>
      </c>
      <c r="P3255" t="s">
        <v>28400</v>
      </c>
      <c r="Q3255" t="s">
        <v>29</v>
      </c>
      <c r="R3255" t="s">
        <v>28395</v>
      </c>
      <c r="S3255" t="s">
        <v>28396</v>
      </c>
    </row>
    <row r="3256" spans="1:19" x14ac:dyDescent="0.25">
      <c r="A3256" s="1">
        <v>3254</v>
      </c>
      <c r="B3256" t="str">
        <f>HYPERLINK("https://www.dasschnelle.at/mayr-rudolf-walding-semleitnerweg","Website")</f>
        <v>Website</v>
      </c>
      <c r="C3256" t="str">
        <f>HYPERLINK("http://www.wintergartenmayr.at","Website")</f>
        <v>Website</v>
      </c>
      <c r="D3256" t="str">
        <f>HYPERLINK("http://www.google.com/maps/place/48.3591,14.14356","Location")</f>
        <v>Location</v>
      </c>
      <c r="E3256" t="s">
        <v>28401</v>
      </c>
      <c r="F3256" t="s">
        <v>28402</v>
      </c>
      <c r="G3256" t="s">
        <v>28393</v>
      </c>
      <c r="H3256" t="s">
        <v>28394</v>
      </c>
      <c r="I3256" t="s">
        <v>85</v>
      </c>
      <c r="J3256" t="s">
        <v>22</v>
      </c>
      <c r="K3256" t="s">
        <v>28403</v>
      </c>
      <c r="L3256" t="s">
        <v>28406</v>
      </c>
      <c r="M3256" t="s">
        <v>25</v>
      </c>
      <c r="N3256" t="s">
        <v>28407</v>
      </c>
      <c r="O3256" t="s">
        <v>25</v>
      </c>
      <c r="P3256" t="s">
        <v>28408</v>
      </c>
      <c r="Q3256" t="s">
        <v>29</v>
      </c>
      <c r="R3256" t="s">
        <v>28404</v>
      </c>
      <c r="S3256" t="s">
        <v>28405</v>
      </c>
    </row>
    <row r="3257" spans="1:19" x14ac:dyDescent="0.25">
      <c r="A3257" s="1">
        <v>3255</v>
      </c>
      <c r="B3257" t="str">
        <f>HYPERLINK("https://www.dasschnelle.at/sallinger-markus-st-valentin-stöcklerhöhe","Website")</f>
        <v>Website</v>
      </c>
      <c r="C3257" t="str">
        <f>HYPERLINK("http://www.masastein.at","Website")</f>
        <v>Website</v>
      </c>
      <c r="D3257" t="str">
        <f>HYPERLINK("http://www.google.com/maps/place/48.18153,14.54837","Location")</f>
        <v>Location</v>
      </c>
      <c r="E3257" t="s">
        <v>28409</v>
      </c>
      <c r="F3257" t="s">
        <v>28410</v>
      </c>
      <c r="G3257" t="s">
        <v>1484</v>
      </c>
      <c r="H3257" t="s">
        <v>1485</v>
      </c>
      <c r="I3257" t="s">
        <v>177</v>
      </c>
      <c r="J3257" t="s">
        <v>22</v>
      </c>
      <c r="K3257" t="s">
        <v>28411</v>
      </c>
      <c r="L3257" t="s">
        <v>28414</v>
      </c>
      <c r="M3257" t="s">
        <v>25</v>
      </c>
      <c r="N3257" t="s">
        <v>28415</v>
      </c>
      <c r="O3257" t="s">
        <v>28416</v>
      </c>
      <c r="P3257" t="s">
        <v>28417</v>
      </c>
      <c r="Q3257" t="s">
        <v>29</v>
      </c>
      <c r="R3257" t="s">
        <v>28412</v>
      </c>
      <c r="S3257" t="s">
        <v>28413</v>
      </c>
    </row>
    <row r="3258" spans="1:19" x14ac:dyDescent="0.25">
      <c r="A3258" s="1">
        <v>3256</v>
      </c>
      <c r="B3258" t="str">
        <f>HYPERLINK("https://www.dasschnelle.at/handlbauer-sylvia-feldkirchen-an-der-donau-hauptstraße","Website")</f>
        <v>Website</v>
      </c>
      <c r="C3258" t="str">
        <f>HYPERLINK("http://www.blumen-handlbauer.at","Website")</f>
        <v>Website</v>
      </c>
      <c r="D3258" t="str">
        <f>HYPERLINK("http://www.google.com/maps/place/48.3461552,14.0539080","Location")</f>
        <v>Location</v>
      </c>
      <c r="E3258" t="s">
        <v>28418</v>
      </c>
      <c r="F3258" t="s">
        <v>28419</v>
      </c>
      <c r="G3258" t="s">
        <v>28421</v>
      </c>
      <c r="H3258" t="s">
        <v>28422</v>
      </c>
      <c r="I3258" t="s">
        <v>85</v>
      </c>
      <c r="J3258" t="s">
        <v>22</v>
      </c>
      <c r="K3258" t="s">
        <v>28420</v>
      </c>
      <c r="L3258" t="s">
        <v>28425</v>
      </c>
      <c r="M3258" t="s">
        <v>25</v>
      </c>
      <c r="N3258" t="s">
        <v>28426</v>
      </c>
      <c r="O3258" t="s">
        <v>25</v>
      </c>
      <c r="P3258" t="s">
        <v>28427</v>
      </c>
      <c r="Q3258" t="s">
        <v>29</v>
      </c>
      <c r="R3258" t="s">
        <v>28423</v>
      </c>
      <c r="S3258" t="s">
        <v>28424</v>
      </c>
    </row>
    <row r="3259" spans="1:19" x14ac:dyDescent="0.25">
      <c r="A3259" s="1">
        <v>3257</v>
      </c>
      <c r="B3259" t="str">
        <f>HYPERLINK("https://www.dasschnelle.at/bestattung-schönbichler-gmbh-hainfeld-hauptstraße","Website")</f>
        <v>Website</v>
      </c>
      <c r="C3259" t="str">
        <f>HYPERLINK("http://www.bestattung-schoenbichler.at","Website")</f>
        <v>Website</v>
      </c>
      <c r="D3259" t="str">
        <f>HYPERLINK("http://www.google.com/maps/place/48.0364288,15.7691692","Location")</f>
        <v>Location</v>
      </c>
      <c r="E3259" t="s">
        <v>28428</v>
      </c>
      <c r="F3259" t="s">
        <v>28429</v>
      </c>
      <c r="G3259" t="s">
        <v>13419</v>
      </c>
      <c r="H3259" t="s">
        <v>13420</v>
      </c>
      <c r="I3259" t="s">
        <v>177</v>
      </c>
      <c r="J3259" t="s">
        <v>22</v>
      </c>
      <c r="K3259" t="s">
        <v>13025</v>
      </c>
      <c r="L3259" t="s">
        <v>28432</v>
      </c>
      <c r="M3259" t="s">
        <v>28433</v>
      </c>
      <c r="N3259" t="s">
        <v>28434</v>
      </c>
      <c r="O3259" t="s">
        <v>25</v>
      </c>
      <c r="P3259" t="s">
        <v>28435</v>
      </c>
      <c r="Q3259" t="s">
        <v>29</v>
      </c>
      <c r="R3259" t="s">
        <v>28430</v>
      </c>
      <c r="S3259" t="s">
        <v>28431</v>
      </c>
    </row>
    <row r="3260" spans="1:19" x14ac:dyDescent="0.25">
      <c r="A3260" s="1">
        <v>3258</v>
      </c>
      <c r="B3260" t="str">
        <f>HYPERLINK("https://www.dasschnelle.at/stögmüller-elke-feldkirchen-an-der-donau-am-pfarrfeld","Website")</f>
        <v>Website</v>
      </c>
      <c r="C3260" t="str">
        <f>HYPERLINK("https://www.dasschnelle.at/st%C3%B6gm%C3%BCller-elke-feldkirchen-an-der-donau-am-pfarrfeld","Website")</f>
        <v>Website</v>
      </c>
      <c r="D3260" t="str">
        <f>HYPERLINK("http://www.google.com/maps/place/48.3458740,14.0497550","Location")</f>
        <v>Location</v>
      </c>
      <c r="E3260" t="s">
        <v>28436</v>
      </c>
      <c r="F3260" t="s">
        <v>28437</v>
      </c>
      <c r="G3260" t="s">
        <v>28421</v>
      </c>
      <c r="H3260" t="s">
        <v>28422</v>
      </c>
      <c r="I3260" t="s">
        <v>85</v>
      </c>
      <c r="J3260" t="s">
        <v>22</v>
      </c>
      <c r="K3260" t="s">
        <v>28438</v>
      </c>
      <c r="L3260" t="s">
        <v>28441</v>
      </c>
      <c r="M3260" t="s">
        <v>25</v>
      </c>
      <c r="N3260" t="s">
        <v>28442</v>
      </c>
      <c r="O3260" t="s">
        <v>25</v>
      </c>
      <c r="P3260" t="s">
        <v>28443</v>
      </c>
      <c r="Q3260" t="s">
        <v>29</v>
      </c>
      <c r="R3260" t="s">
        <v>28439</v>
      </c>
      <c r="S3260" t="s">
        <v>28440</v>
      </c>
    </row>
    <row r="3261" spans="1:19" x14ac:dyDescent="0.25">
      <c r="A3261" s="1">
        <v>3259</v>
      </c>
      <c r="B3261" t="str">
        <f>HYPERLINK("https://www.dasschnelle.at/gaisbauer-johann-lacken-lacken","Website")</f>
        <v>Website</v>
      </c>
      <c r="C3261" t="str">
        <f>HYPERLINK("https://www.dasschnelle.at/gaisbauer-johann-lacken-lacken","Website")</f>
        <v>Website</v>
      </c>
      <c r="D3261" t="str">
        <f>HYPERLINK("http://www.google.com/maps/place/48.3833334,14.0888422","Location")</f>
        <v>Location</v>
      </c>
      <c r="E3261" t="s">
        <v>28444</v>
      </c>
      <c r="F3261" t="s">
        <v>28445</v>
      </c>
      <c r="G3261" t="s">
        <v>28421</v>
      </c>
      <c r="H3261" t="s">
        <v>28447</v>
      </c>
      <c r="I3261" t="s">
        <v>85</v>
      </c>
      <c r="J3261" t="s">
        <v>22</v>
      </c>
      <c r="K3261" t="s">
        <v>28446</v>
      </c>
      <c r="L3261" t="s">
        <v>28450</v>
      </c>
      <c r="M3261" t="s">
        <v>25</v>
      </c>
      <c r="N3261" t="s">
        <v>28451</v>
      </c>
      <c r="O3261" t="s">
        <v>25</v>
      </c>
      <c r="P3261" t="s">
        <v>28452</v>
      </c>
      <c r="Q3261" t="s">
        <v>29</v>
      </c>
      <c r="R3261" t="s">
        <v>28448</v>
      </c>
      <c r="S3261" t="s">
        <v>28449</v>
      </c>
    </row>
    <row r="3262" spans="1:19" x14ac:dyDescent="0.25">
      <c r="A3262" s="1">
        <v>3260</v>
      </c>
      <c r="B3262" t="str">
        <f>HYPERLINK("https://www.dasschnelle.at/janisch-gesmbh-traisen-mariazeller-straße","Website")</f>
        <v>Website</v>
      </c>
      <c r="C3262" t="str">
        <f>HYPERLINK("http://www.janisch-1a.at","Website")</f>
        <v>Website</v>
      </c>
      <c r="D3262" t="str">
        <f>HYPERLINK("http://www.google.com/maps/place/48.0483,15.61047","Location")</f>
        <v>Location</v>
      </c>
      <c r="E3262" t="s">
        <v>28453</v>
      </c>
      <c r="F3262" t="s">
        <v>28454</v>
      </c>
      <c r="G3262" t="s">
        <v>12519</v>
      </c>
      <c r="H3262" t="s">
        <v>12520</v>
      </c>
      <c r="I3262" t="s">
        <v>177</v>
      </c>
      <c r="J3262" t="s">
        <v>22</v>
      </c>
      <c r="K3262" t="s">
        <v>28455</v>
      </c>
      <c r="L3262" t="s">
        <v>28458</v>
      </c>
      <c r="M3262" t="s">
        <v>28459</v>
      </c>
      <c r="N3262" t="s">
        <v>28460</v>
      </c>
      <c r="O3262" t="s">
        <v>28461</v>
      </c>
      <c r="P3262" t="s">
        <v>28462</v>
      </c>
      <c r="Q3262" t="s">
        <v>29</v>
      </c>
      <c r="R3262" t="s">
        <v>28456</v>
      </c>
      <c r="S3262" t="s">
        <v>28457</v>
      </c>
    </row>
    <row r="3263" spans="1:19" x14ac:dyDescent="0.25">
      <c r="A3263" s="1">
        <v>3261</v>
      </c>
      <c r="B3263" t="str">
        <f>HYPERLINK("https://www.dasschnelle.at/feichtinger-kurt-traisen-gölsensiedlung","Website")</f>
        <v>Website</v>
      </c>
      <c r="C3263" t="str">
        <f>HYPERLINK("http://www.feichtinger.cc","Website")</f>
        <v>Website</v>
      </c>
      <c r="D3263" t="str">
        <f>HYPERLINK("http://www.google.com/maps/place/48.0516,15.61442","Location")</f>
        <v>Location</v>
      </c>
      <c r="E3263" t="s">
        <v>28463</v>
      </c>
      <c r="F3263" t="s">
        <v>28464</v>
      </c>
      <c r="G3263" t="s">
        <v>12519</v>
      </c>
      <c r="H3263" t="s">
        <v>12520</v>
      </c>
      <c r="I3263" t="s">
        <v>177</v>
      </c>
      <c r="J3263" t="s">
        <v>22</v>
      </c>
      <c r="K3263" t="s">
        <v>28465</v>
      </c>
      <c r="L3263" t="s">
        <v>28468</v>
      </c>
      <c r="M3263" t="s">
        <v>28469</v>
      </c>
      <c r="N3263" t="s">
        <v>28470</v>
      </c>
      <c r="O3263" t="s">
        <v>25</v>
      </c>
      <c r="P3263" t="s">
        <v>28471</v>
      </c>
      <c r="Q3263" t="s">
        <v>29</v>
      </c>
      <c r="R3263" t="s">
        <v>28466</v>
      </c>
      <c r="S3263" t="s">
        <v>28467</v>
      </c>
    </row>
    <row r="3264" spans="1:19" x14ac:dyDescent="0.25">
      <c r="A3264" s="1">
        <v>3262</v>
      </c>
      <c r="B3264" t="str">
        <f>HYPERLINK("https://www.dasschnelle.at/schärdinger-waffenstube-franz-rameder-e-u-schärding-vorstadt-linzer-straße","Website")</f>
        <v>Website</v>
      </c>
      <c r="C3264" t="str">
        <f>HYPERLINK("http://www.schaerdinger-waffenstube.at","Website")</f>
        <v>Website</v>
      </c>
      <c r="D3264" t="str">
        <f>HYPERLINK("http://www.google.com/maps/place/48.45311,13.4356","Location")</f>
        <v>Location</v>
      </c>
      <c r="E3264" t="s">
        <v>28472</v>
      </c>
      <c r="F3264" t="s">
        <v>28473</v>
      </c>
      <c r="G3264" t="s">
        <v>8850</v>
      </c>
      <c r="H3264" t="s">
        <v>28475</v>
      </c>
      <c r="I3264" t="s">
        <v>85</v>
      </c>
      <c r="J3264" t="s">
        <v>22</v>
      </c>
      <c r="K3264" t="s">
        <v>28474</v>
      </c>
      <c r="L3264" t="s">
        <v>28478</v>
      </c>
      <c r="M3264" t="s">
        <v>25</v>
      </c>
      <c r="N3264" t="s">
        <v>28479</v>
      </c>
      <c r="O3264" t="s">
        <v>25</v>
      </c>
      <c r="P3264" t="s">
        <v>28480</v>
      </c>
      <c r="Q3264" t="s">
        <v>29</v>
      </c>
      <c r="R3264" t="s">
        <v>28476</v>
      </c>
      <c r="S3264" t="s">
        <v>28477</v>
      </c>
    </row>
    <row r="3265" spans="1:19" x14ac:dyDescent="0.25">
      <c r="A3265" s="1">
        <v>3263</v>
      </c>
      <c r="B3265" t="str">
        <f>HYPERLINK("https://www.dasschnelle.at/gangl-malermeister-suben-suben","Website")</f>
        <v>Website</v>
      </c>
      <c r="C3265" t="str">
        <f>HYPERLINK("https://www.dasschnelle.at/gangl-malermeister-suben-suben","Website")</f>
        <v>Website</v>
      </c>
      <c r="D3265" t="str">
        <f>HYPERLINK("http://www.google.com/maps/place/48.4104529,13.4304788","Location")</f>
        <v>Location</v>
      </c>
      <c r="E3265" t="s">
        <v>28481</v>
      </c>
      <c r="F3265" t="s">
        <v>28482</v>
      </c>
      <c r="G3265" t="s">
        <v>28484</v>
      </c>
      <c r="H3265" t="s">
        <v>28485</v>
      </c>
      <c r="I3265" t="s">
        <v>85</v>
      </c>
      <c r="J3265" t="s">
        <v>22</v>
      </c>
      <c r="K3265" t="s">
        <v>28483</v>
      </c>
      <c r="L3265" t="s">
        <v>28488</v>
      </c>
      <c r="M3265" t="s">
        <v>25</v>
      </c>
      <c r="N3265" t="s">
        <v>28489</v>
      </c>
      <c r="O3265" t="s">
        <v>25</v>
      </c>
      <c r="P3265" t="s">
        <v>28490</v>
      </c>
      <c r="Q3265" t="s">
        <v>29</v>
      </c>
      <c r="R3265" t="s">
        <v>28486</v>
      </c>
      <c r="S3265" t="s">
        <v>28487</v>
      </c>
    </row>
    <row r="3266" spans="1:19" x14ac:dyDescent="0.25">
      <c r="A3266" s="1">
        <v>3264</v>
      </c>
      <c r="B3266" t="str">
        <f>HYPERLINK("https://www.dasschnelle.at/swoboda-peter-dr-klosterneuburg-albrechtstraße","Website")</f>
        <v>Website</v>
      </c>
      <c r="C3266" t="str">
        <f>HYPERLINK("http://www.dr-swoboda.at","Website")</f>
        <v>Website</v>
      </c>
      <c r="D3266" t="str">
        <f>HYPERLINK("http://www.google.com/maps/place/48.30976,16.32076","Location")</f>
        <v>Location</v>
      </c>
      <c r="E3266" t="s">
        <v>28491</v>
      </c>
      <c r="F3266" t="s">
        <v>28492</v>
      </c>
      <c r="G3266" t="s">
        <v>10308</v>
      </c>
      <c r="H3266" t="s">
        <v>10317</v>
      </c>
      <c r="I3266" t="s">
        <v>177</v>
      </c>
      <c r="J3266" t="s">
        <v>22</v>
      </c>
      <c r="K3266" t="s">
        <v>28493</v>
      </c>
      <c r="L3266" t="s">
        <v>28496</v>
      </c>
      <c r="M3266" t="s">
        <v>25</v>
      </c>
      <c r="N3266" t="s">
        <v>28497</v>
      </c>
      <c r="O3266" t="s">
        <v>25</v>
      </c>
      <c r="P3266" t="s">
        <v>28498</v>
      </c>
      <c r="Q3266" t="s">
        <v>29</v>
      </c>
      <c r="R3266" t="s">
        <v>28494</v>
      </c>
      <c r="S3266" t="s">
        <v>28495</v>
      </c>
    </row>
    <row r="3267" spans="1:19" x14ac:dyDescent="0.25">
      <c r="A3267" s="1">
        <v>3265</v>
      </c>
      <c r="B3267" t="str">
        <f>HYPERLINK("https://www.dasschnelle.at/neger-astrid-dr-med-dent-riegersburg-riegersburg","Website")</f>
        <v>Website</v>
      </c>
      <c r="C3267" t="str">
        <f>HYPERLINK("http://www.zahnarzt-riegersburg.at","Website")</f>
        <v>Website</v>
      </c>
      <c r="D3267" t="str">
        <f>HYPERLINK("http://www.google.com/maps/place/47.0008403,15.9363605","Location")</f>
        <v>Location</v>
      </c>
      <c r="E3267" t="s">
        <v>28499</v>
      </c>
      <c r="F3267" t="s">
        <v>28500</v>
      </c>
      <c r="G3267" t="s">
        <v>718</v>
      </c>
      <c r="H3267" t="s">
        <v>719</v>
      </c>
      <c r="I3267" t="s">
        <v>451</v>
      </c>
      <c r="J3267" t="s">
        <v>22</v>
      </c>
      <c r="K3267" t="s">
        <v>28501</v>
      </c>
      <c r="L3267" t="s">
        <v>28504</v>
      </c>
      <c r="M3267" t="s">
        <v>25</v>
      </c>
      <c r="N3267" t="s">
        <v>28505</v>
      </c>
      <c r="O3267" t="s">
        <v>25</v>
      </c>
      <c r="P3267" t="s">
        <v>28506</v>
      </c>
      <c r="Q3267" t="s">
        <v>29</v>
      </c>
      <c r="R3267" t="s">
        <v>28502</v>
      </c>
      <c r="S3267" t="s">
        <v>28503</v>
      </c>
    </row>
    <row r="3268" spans="1:19" x14ac:dyDescent="0.25">
      <c r="A3268" s="1">
        <v>3266</v>
      </c>
      <c r="B3268" t="str">
        <f>HYPERLINK("https://www.dasschnelle.at/werdinig-gmbh-feldkirchen-in-kärnten-gurktaler-straße","Website")</f>
        <v>Website</v>
      </c>
      <c r="C3268" t="str">
        <f>HYPERLINK("http://www.werdinig.at","Website")</f>
        <v>Website</v>
      </c>
      <c r="D3268" t="str">
        <f>HYPERLINK("http://www.google.com/maps/place/46.7233066,14.0980057","Location")</f>
        <v>Location</v>
      </c>
      <c r="E3268" t="s">
        <v>28507</v>
      </c>
      <c r="F3268" t="s">
        <v>28508</v>
      </c>
      <c r="G3268" t="s">
        <v>8498</v>
      </c>
      <c r="H3268" t="s">
        <v>8499</v>
      </c>
      <c r="I3268" t="s">
        <v>4130</v>
      </c>
      <c r="J3268" t="s">
        <v>22</v>
      </c>
      <c r="K3268" t="s">
        <v>28509</v>
      </c>
      <c r="L3268" t="s">
        <v>28512</v>
      </c>
      <c r="M3268" t="s">
        <v>25</v>
      </c>
      <c r="N3268" t="s">
        <v>28513</v>
      </c>
      <c r="O3268" t="s">
        <v>28514</v>
      </c>
      <c r="P3268" t="s">
        <v>28515</v>
      </c>
      <c r="Q3268" t="s">
        <v>29</v>
      </c>
      <c r="R3268" t="s">
        <v>28510</v>
      </c>
      <c r="S3268" t="s">
        <v>28511</v>
      </c>
    </row>
    <row r="3269" spans="1:19" x14ac:dyDescent="0.25">
      <c r="A3269" s="1">
        <v>3267</v>
      </c>
      <c r="B3269" t="str">
        <f>HYPERLINK("https://www.dasschnelle.at/dr-döller-vermessung-zt-gmbh-zwettl-niederösterreich-franz-forstreiter-str","Website")</f>
        <v>Website</v>
      </c>
      <c r="C3269" t="str">
        <f>HYPERLINK("http://www.doeller.biz","Website")</f>
        <v>Website</v>
      </c>
      <c r="D3269" t="str">
        <f>HYPERLINK("http://www.google.com/maps/place/48.6025900,15.1840500","Location")</f>
        <v>Location</v>
      </c>
      <c r="E3269" t="s">
        <v>28516</v>
      </c>
      <c r="F3269" t="s">
        <v>28517</v>
      </c>
      <c r="G3269" t="s">
        <v>10518</v>
      </c>
      <c r="H3269" t="s">
        <v>10519</v>
      </c>
      <c r="I3269" t="s">
        <v>177</v>
      </c>
      <c r="J3269" t="s">
        <v>22</v>
      </c>
      <c r="K3269" t="s">
        <v>28518</v>
      </c>
      <c r="L3269" t="s">
        <v>28521</v>
      </c>
      <c r="M3269" t="s">
        <v>28522</v>
      </c>
      <c r="N3269" t="s">
        <v>28523</v>
      </c>
      <c r="O3269" t="s">
        <v>25</v>
      </c>
      <c r="P3269" t="s">
        <v>697</v>
      </c>
      <c r="Q3269" t="s">
        <v>29</v>
      </c>
      <c r="R3269" t="s">
        <v>28519</v>
      </c>
      <c r="S3269" t="s">
        <v>28520</v>
      </c>
    </row>
    <row r="3270" spans="1:19" x14ac:dyDescent="0.25">
      <c r="A3270" s="1">
        <v>3268</v>
      </c>
      <c r="B3270" t="str">
        <f>HYPERLINK("https://www.dasschnelle.at/dr-döller-vermessung-zt-gmbh-waidhofen-an-der-thaya-raiffeisenpromenade","Website")</f>
        <v>Website</v>
      </c>
      <c r="C3270" t="str">
        <f>HYPERLINK("http://www.doeller.biz","Website")</f>
        <v>Website</v>
      </c>
      <c r="D3270" t="str">
        <f>HYPERLINK("http://www.google.com/maps/place/48.81477,15.28325","Location")</f>
        <v>Location</v>
      </c>
      <c r="E3270" t="s">
        <v>28524</v>
      </c>
      <c r="F3270" t="s">
        <v>28525</v>
      </c>
      <c r="G3270" t="s">
        <v>10987</v>
      </c>
      <c r="H3270" t="s">
        <v>10988</v>
      </c>
      <c r="I3270" t="s">
        <v>177</v>
      </c>
      <c r="J3270" t="s">
        <v>22</v>
      </c>
      <c r="K3270" t="s">
        <v>28526</v>
      </c>
      <c r="L3270" t="s">
        <v>28529</v>
      </c>
      <c r="M3270" t="s">
        <v>25</v>
      </c>
      <c r="N3270" t="s">
        <v>28530</v>
      </c>
      <c r="O3270" t="s">
        <v>25</v>
      </c>
      <c r="P3270" t="s">
        <v>697</v>
      </c>
      <c r="Q3270" t="s">
        <v>29</v>
      </c>
      <c r="R3270" t="s">
        <v>28527</v>
      </c>
      <c r="S3270" t="s">
        <v>28528</v>
      </c>
    </row>
    <row r="3271" spans="1:19" x14ac:dyDescent="0.25">
      <c r="A3271" s="1">
        <v>3269</v>
      </c>
      <c r="B3271" t="str">
        <f>HYPERLINK("https://www.dasschnelle.at/zauner-alois-gmbh-eggerding-hackledt","Website")</f>
        <v>Website</v>
      </c>
      <c r="C3271" t="str">
        <f>HYPERLINK("http://www.kachelofen-zauner.at","Website")</f>
        <v>Website</v>
      </c>
      <c r="D3271" t="str">
        <f>HYPERLINK("http://www.google.com/maps/place/48.3504455,13.4484419","Location")</f>
        <v>Location</v>
      </c>
      <c r="E3271" t="s">
        <v>28531</v>
      </c>
      <c r="F3271" t="s">
        <v>28532</v>
      </c>
      <c r="G3271" t="s">
        <v>28534</v>
      </c>
      <c r="H3271" t="s">
        <v>28535</v>
      </c>
      <c r="I3271" t="s">
        <v>85</v>
      </c>
      <c r="J3271" t="s">
        <v>22</v>
      </c>
      <c r="K3271" t="s">
        <v>28533</v>
      </c>
      <c r="L3271" t="s">
        <v>28538</v>
      </c>
      <c r="M3271" t="s">
        <v>25</v>
      </c>
      <c r="N3271" t="s">
        <v>28539</v>
      </c>
      <c r="O3271" t="s">
        <v>25</v>
      </c>
      <c r="P3271" t="s">
        <v>28540</v>
      </c>
      <c r="Q3271" t="s">
        <v>29</v>
      </c>
      <c r="R3271" t="s">
        <v>28536</v>
      </c>
      <c r="S3271" t="s">
        <v>28537</v>
      </c>
    </row>
    <row r="3272" spans="1:19" x14ac:dyDescent="0.25">
      <c r="A3272" s="1">
        <v>3270</v>
      </c>
      <c r="B3272" t="str">
        <f>HYPERLINK("https://www.dasschnelle.at/krempl-christian-dr-leibnitz-dechant-thaller-straße","Website")</f>
        <v>Website</v>
      </c>
      <c r="C3272" t="str">
        <f>HYPERLINK("http://www.drkrempl.at","Website")</f>
        <v>Website</v>
      </c>
      <c r="D3272" t="str">
        <f>HYPERLINK("http://www.google.com/maps/place/46.78853,15.54072","Location")</f>
        <v>Location</v>
      </c>
      <c r="E3272" t="s">
        <v>28541</v>
      </c>
      <c r="F3272" t="s">
        <v>28542</v>
      </c>
      <c r="G3272" t="s">
        <v>1013</v>
      </c>
      <c r="H3272" t="s">
        <v>1023</v>
      </c>
      <c r="I3272" t="s">
        <v>451</v>
      </c>
      <c r="J3272" t="s">
        <v>22</v>
      </c>
      <c r="K3272" t="s">
        <v>28543</v>
      </c>
      <c r="L3272" t="s">
        <v>28546</v>
      </c>
      <c r="M3272" t="s">
        <v>25</v>
      </c>
      <c r="N3272" t="s">
        <v>28547</v>
      </c>
      <c r="O3272" t="s">
        <v>25</v>
      </c>
      <c r="P3272" t="s">
        <v>28548</v>
      </c>
      <c r="Q3272" t="s">
        <v>29</v>
      </c>
      <c r="R3272" t="s">
        <v>28544</v>
      </c>
      <c r="S3272" t="s">
        <v>28545</v>
      </c>
    </row>
    <row r="3273" spans="1:19" x14ac:dyDescent="0.25">
      <c r="A3273" s="1">
        <v>3271</v>
      </c>
      <c r="B3273" t="str">
        <f>HYPERLINK("https://www.dasschnelle.at/malerei-wiesinger-andreas-walding-mühlkreisbahnstraße","Website")</f>
        <v>Website</v>
      </c>
      <c r="C3273" t="str">
        <f>HYPERLINK("http://www.malerei-wiesinger.at","Website")</f>
        <v>Website</v>
      </c>
      <c r="D3273" t="str">
        <f>HYPERLINK("http://www.google.com/maps/place/48.35498,14.14514","Location")</f>
        <v>Location</v>
      </c>
      <c r="E3273" t="s">
        <v>28549</v>
      </c>
      <c r="F3273" t="s">
        <v>28550</v>
      </c>
      <c r="G3273" t="s">
        <v>28393</v>
      </c>
      <c r="H3273" t="s">
        <v>28394</v>
      </c>
      <c r="I3273" t="s">
        <v>85</v>
      </c>
      <c r="J3273" t="s">
        <v>22</v>
      </c>
      <c r="K3273" t="s">
        <v>28551</v>
      </c>
      <c r="L3273" t="s">
        <v>28554</v>
      </c>
      <c r="M3273" t="s">
        <v>25</v>
      </c>
      <c r="N3273" t="s">
        <v>28555</v>
      </c>
      <c r="O3273" t="s">
        <v>28556</v>
      </c>
      <c r="P3273" t="s">
        <v>28557</v>
      </c>
      <c r="Q3273" t="s">
        <v>29</v>
      </c>
      <c r="R3273" t="s">
        <v>28552</v>
      </c>
      <c r="S3273" t="s">
        <v>28553</v>
      </c>
    </row>
    <row r="3274" spans="1:19" x14ac:dyDescent="0.25">
      <c r="A3274" s="1">
        <v>3272</v>
      </c>
      <c r="B3274" t="str">
        <f>HYPERLINK("https://www.dasschnelle.at/vural-sadettin-audorf-audorfsiedlung","Website")</f>
        <v>Website</v>
      </c>
      <c r="C3274" t="str">
        <f>HYPERLINK("http://www.vuralmarmor.at","Website")</f>
        <v>Website</v>
      </c>
      <c r="D3274" t="str">
        <f>HYPERLINK("http://www.google.com/maps/place/48.34267,14.06166","Location")</f>
        <v>Location</v>
      </c>
      <c r="E3274" t="s">
        <v>28558</v>
      </c>
      <c r="F3274" t="s">
        <v>28559</v>
      </c>
      <c r="G3274" t="s">
        <v>28421</v>
      </c>
      <c r="H3274" t="s">
        <v>28561</v>
      </c>
      <c r="I3274" t="s">
        <v>85</v>
      </c>
      <c r="J3274" t="s">
        <v>22</v>
      </c>
      <c r="K3274" t="s">
        <v>28560</v>
      </c>
      <c r="L3274" t="s">
        <v>28564</v>
      </c>
      <c r="M3274" t="s">
        <v>25</v>
      </c>
      <c r="N3274" t="s">
        <v>28565</v>
      </c>
      <c r="O3274" t="s">
        <v>25</v>
      </c>
      <c r="P3274" t="s">
        <v>28566</v>
      </c>
      <c r="Q3274" t="s">
        <v>29</v>
      </c>
      <c r="R3274" t="s">
        <v>28562</v>
      </c>
      <c r="S3274" t="s">
        <v>28563</v>
      </c>
    </row>
    <row r="3275" spans="1:19" x14ac:dyDescent="0.25">
      <c r="A3275" s="1">
        <v>3273</v>
      </c>
      <c r="B3275" t="str">
        <f>HYPERLINK("https://www.dasschnelle.at/pernsteiner-josef-reifen-sepp-feldkirchen-an-der-donau-schauerbachweg","Website")</f>
        <v>Website</v>
      </c>
      <c r="C3275" t="str">
        <f>HYPERLINK("http://www.mobiler-reifendienst.at","Website")</f>
        <v>Website</v>
      </c>
      <c r="D3275" t="str">
        <f>HYPERLINK("http://www.google.com/maps/place/48.36294,14.10955","Location")</f>
        <v>Location</v>
      </c>
      <c r="E3275" t="s">
        <v>28567</v>
      </c>
      <c r="F3275" t="s">
        <v>28568</v>
      </c>
      <c r="G3275" t="s">
        <v>28421</v>
      </c>
      <c r="H3275" t="s">
        <v>28422</v>
      </c>
      <c r="I3275" t="s">
        <v>85</v>
      </c>
      <c r="J3275" t="s">
        <v>22</v>
      </c>
      <c r="K3275" t="s">
        <v>28569</v>
      </c>
      <c r="L3275" t="s">
        <v>28572</v>
      </c>
      <c r="M3275" t="s">
        <v>25</v>
      </c>
      <c r="N3275" t="s">
        <v>28573</v>
      </c>
      <c r="O3275" t="s">
        <v>25</v>
      </c>
      <c r="P3275" t="s">
        <v>28574</v>
      </c>
      <c r="Q3275" t="s">
        <v>29</v>
      </c>
      <c r="R3275" t="s">
        <v>28570</v>
      </c>
      <c r="S3275" t="s">
        <v>28571</v>
      </c>
    </row>
    <row r="3276" spans="1:19" x14ac:dyDescent="0.25">
      <c r="A3276" s="1">
        <v>3274</v>
      </c>
      <c r="B3276" t="str">
        <f>HYPERLINK("https://www.dasschnelle.at/pirklbauer-steuerberatung-gmbh-und-co-kg-freistadt-badgasse","Website")</f>
        <v>Website</v>
      </c>
      <c r="C3276" t="str">
        <f>HYPERLINK("http://www.pirklbauer.com","Website")</f>
        <v>Website</v>
      </c>
      <c r="D3276" t="str">
        <f>HYPERLINK("http://www.google.com/maps/place/48.51168,14.50266","Location")</f>
        <v>Location</v>
      </c>
      <c r="E3276" t="s">
        <v>28575</v>
      </c>
      <c r="F3276" t="s">
        <v>28576</v>
      </c>
      <c r="G3276" t="s">
        <v>28578</v>
      </c>
      <c r="H3276" t="s">
        <v>6892</v>
      </c>
      <c r="I3276" t="s">
        <v>85</v>
      </c>
      <c r="J3276" t="s">
        <v>22</v>
      </c>
      <c r="K3276" t="s">
        <v>28577</v>
      </c>
      <c r="L3276" t="s">
        <v>28581</v>
      </c>
      <c r="M3276" t="s">
        <v>25</v>
      </c>
      <c r="N3276" t="s">
        <v>28582</v>
      </c>
      <c r="O3276" t="s">
        <v>25</v>
      </c>
      <c r="P3276" t="s">
        <v>28583</v>
      </c>
      <c r="Q3276" t="s">
        <v>29</v>
      </c>
      <c r="R3276" t="s">
        <v>28579</v>
      </c>
      <c r="S3276" t="s">
        <v>28580</v>
      </c>
    </row>
    <row r="3277" spans="1:19" x14ac:dyDescent="0.25">
      <c r="A3277" s="1">
        <v>3275</v>
      </c>
      <c r="B3277" t="str">
        <f>HYPERLINK("https://www.dasschnelle.at/bestattung-wazlawik-reischl-kg-schwarzach-im-pongau-salzburgerstraße","Website")</f>
        <v>Website</v>
      </c>
      <c r="C3277" t="str">
        <f>HYPERLINK("http://www.bestattung-wazlawik.at","Website")</f>
        <v>Website</v>
      </c>
      <c r="D3277" t="str">
        <f>HYPERLINK("http://www.google.com/maps/place/47.31991,13.15252","Location")</f>
        <v>Location</v>
      </c>
      <c r="E3277" t="s">
        <v>28584</v>
      </c>
      <c r="F3277" t="s">
        <v>28585</v>
      </c>
      <c r="G3277" t="s">
        <v>5886</v>
      </c>
      <c r="H3277" t="s">
        <v>5887</v>
      </c>
      <c r="I3277" t="s">
        <v>2239</v>
      </c>
      <c r="J3277" t="s">
        <v>22</v>
      </c>
      <c r="K3277" t="s">
        <v>28586</v>
      </c>
      <c r="L3277" t="s">
        <v>28589</v>
      </c>
      <c r="M3277" t="s">
        <v>25</v>
      </c>
      <c r="N3277" t="s">
        <v>28590</v>
      </c>
      <c r="O3277" t="s">
        <v>25</v>
      </c>
      <c r="P3277" t="s">
        <v>28591</v>
      </c>
      <c r="Q3277" t="s">
        <v>29</v>
      </c>
      <c r="R3277" t="s">
        <v>28587</v>
      </c>
      <c r="S3277" t="s">
        <v>28588</v>
      </c>
    </row>
    <row r="3278" spans="1:19" x14ac:dyDescent="0.25">
      <c r="A3278" s="1">
        <v>3276</v>
      </c>
      <c r="B3278" t="str">
        <f>HYPERLINK("https://www.dasschnelle.at/pirnbacher-susanne-sankt-johann-im-pongau-leo-neumayer-straße","Website")</f>
        <v>Website</v>
      </c>
      <c r="C3278" t="str">
        <f>HYPERLINK("http://www.hauptsache-schoen.at","Website")</f>
        <v>Website</v>
      </c>
      <c r="D3278" t="str">
        <f>HYPERLINK("http://www.google.com/maps/place/47.34906,13.20419","Location")</f>
        <v>Location</v>
      </c>
      <c r="E3278" t="s">
        <v>28592</v>
      </c>
      <c r="F3278" t="s">
        <v>28593</v>
      </c>
      <c r="G3278" t="s">
        <v>24837</v>
      </c>
      <c r="H3278" t="s">
        <v>24838</v>
      </c>
      <c r="I3278" t="s">
        <v>2239</v>
      </c>
      <c r="J3278" t="s">
        <v>22</v>
      </c>
      <c r="K3278" t="s">
        <v>28594</v>
      </c>
      <c r="L3278" t="s">
        <v>28597</v>
      </c>
      <c r="M3278" t="s">
        <v>25</v>
      </c>
      <c r="N3278" t="s">
        <v>28598</v>
      </c>
      <c r="O3278" t="s">
        <v>25</v>
      </c>
      <c r="P3278" t="s">
        <v>28599</v>
      </c>
      <c r="Q3278" t="s">
        <v>29</v>
      </c>
      <c r="R3278" t="s">
        <v>28595</v>
      </c>
      <c r="S3278" t="s">
        <v>28596</v>
      </c>
    </row>
    <row r="3279" spans="1:19" x14ac:dyDescent="0.25">
      <c r="A3279" s="1">
        <v>3277</v>
      </c>
      <c r="B3279" t="str">
        <f>HYPERLINK("https://www.dasschnelle.at/autohaus-psk-ottensheim-linzer-straße","Website")</f>
        <v>Website</v>
      </c>
      <c r="C3279" t="str">
        <f>HYPERLINK("http://www.automobile-psk.at","Website")</f>
        <v>Website</v>
      </c>
      <c r="D3279" t="str">
        <f>HYPERLINK("http://www.google.com/maps/place/48.33515,14.18317","Location")</f>
        <v>Location</v>
      </c>
      <c r="E3279" t="s">
        <v>28600</v>
      </c>
      <c r="F3279" t="s">
        <v>28601</v>
      </c>
      <c r="G3279" t="s">
        <v>28603</v>
      </c>
      <c r="H3279" t="s">
        <v>28604</v>
      </c>
      <c r="I3279" t="s">
        <v>85</v>
      </c>
      <c r="J3279" t="s">
        <v>22</v>
      </c>
      <c r="K3279" t="s">
        <v>28602</v>
      </c>
      <c r="L3279" t="s">
        <v>28607</v>
      </c>
      <c r="M3279" t="s">
        <v>25</v>
      </c>
      <c r="N3279" t="s">
        <v>28608</v>
      </c>
      <c r="O3279" t="s">
        <v>28609</v>
      </c>
      <c r="P3279" t="s">
        <v>28610</v>
      </c>
      <c r="Q3279" t="s">
        <v>29</v>
      </c>
      <c r="R3279" t="s">
        <v>28605</v>
      </c>
      <c r="S3279" t="s">
        <v>28606</v>
      </c>
    </row>
    <row r="3280" spans="1:19" x14ac:dyDescent="0.25">
      <c r="A3280" s="1">
        <v>3278</v>
      </c>
      <c r="B3280" t="str">
        <f>HYPERLINK("https://www.dasschnelle.at/dewo-sonnen-u-insektenschutz-e-u-walding-ziegelbauerstraße","Website")</f>
        <v>Website</v>
      </c>
      <c r="C3280" t="str">
        <f>HYPERLINK("http://www.dewo.at","Website")</f>
        <v>Website</v>
      </c>
      <c r="D3280" t="str">
        <f>HYPERLINK("http://www.google.com/maps/place/48.34961,14.16171","Location")</f>
        <v>Location</v>
      </c>
      <c r="E3280" t="s">
        <v>28611</v>
      </c>
      <c r="F3280" t="s">
        <v>28612</v>
      </c>
      <c r="G3280" t="s">
        <v>28393</v>
      </c>
      <c r="H3280" t="s">
        <v>28394</v>
      </c>
      <c r="I3280" t="s">
        <v>85</v>
      </c>
      <c r="J3280" t="s">
        <v>22</v>
      </c>
      <c r="K3280" t="s">
        <v>28613</v>
      </c>
      <c r="L3280" t="s">
        <v>28616</v>
      </c>
      <c r="M3280" t="s">
        <v>25</v>
      </c>
      <c r="N3280" t="s">
        <v>28617</v>
      </c>
      <c r="O3280" t="s">
        <v>25</v>
      </c>
      <c r="P3280" t="s">
        <v>28618</v>
      </c>
      <c r="Q3280" t="s">
        <v>29</v>
      </c>
      <c r="R3280" t="s">
        <v>28614</v>
      </c>
      <c r="S3280" t="s">
        <v>28615</v>
      </c>
    </row>
    <row r="3281" spans="1:19" x14ac:dyDescent="0.25">
      <c r="A3281" s="1">
        <v>3279</v>
      </c>
      <c r="B3281" t="str">
        <f>HYPERLINK("https://www.dasschnelle.at/zöchling-peter-traisen-stambergstraße","Website")</f>
        <v>Website</v>
      </c>
      <c r="C3281" t="str">
        <f>HYPERLINK("http://www.zoechling-fenster.at","Website")</f>
        <v>Website</v>
      </c>
      <c r="D3281" t="str">
        <f>HYPERLINK("http://www.google.com/maps/place/48.0425,15.61094","Location")</f>
        <v>Location</v>
      </c>
      <c r="E3281" t="s">
        <v>28619</v>
      </c>
      <c r="F3281" t="s">
        <v>28620</v>
      </c>
      <c r="G3281" t="s">
        <v>12519</v>
      </c>
      <c r="H3281" t="s">
        <v>12520</v>
      </c>
      <c r="I3281" t="s">
        <v>177</v>
      </c>
      <c r="J3281" t="s">
        <v>22</v>
      </c>
      <c r="K3281" t="s">
        <v>28621</v>
      </c>
      <c r="L3281" t="s">
        <v>28624</v>
      </c>
      <c r="M3281" t="s">
        <v>25</v>
      </c>
      <c r="N3281" t="s">
        <v>28625</v>
      </c>
      <c r="O3281" t="s">
        <v>25</v>
      </c>
      <c r="P3281" t="s">
        <v>28626</v>
      </c>
      <c r="Q3281" t="s">
        <v>29</v>
      </c>
      <c r="R3281" t="s">
        <v>28622</v>
      </c>
      <c r="S3281" t="s">
        <v>28623</v>
      </c>
    </row>
    <row r="3282" spans="1:19" x14ac:dyDescent="0.25">
      <c r="A3282" s="1">
        <v>3280</v>
      </c>
      <c r="B3282" t="str">
        <f>HYPERLINK("https://www.dasschnelle.at/putz-johann-türnitz-markt","Website")</f>
        <v>Website</v>
      </c>
      <c r="C3282" t="str">
        <f>HYPERLINK("https://www.dasschnelle.at/putz-johann-t%C3%BCrnitz-markt","Website")</f>
        <v>Website</v>
      </c>
      <c r="D3282" t="str">
        <f>HYPERLINK("http://www.google.com/maps/place/47.93018,15.48957","Location")</f>
        <v>Location</v>
      </c>
      <c r="E3282" t="s">
        <v>28627</v>
      </c>
      <c r="F3282" t="s">
        <v>28628</v>
      </c>
      <c r="G3282" t="s">
        <v>28630</v>
      </c>
      <c r="H3282" t="s">
        <v>12500</v>
      </c>
      <c r="I3282" t="s">
        <v>177</v>
      </c>
      <c r="J3282" t="s">
        <v>22</v>
      </c>
      <c r="K3282" t="s">
        <v>28629</v>
      </c>
      <c r="L3282" t="s">
        <v>28633</v>
      </c>
      <c r="M3282" t="s">
        <v>25</v>
      </c>
      <c r="N3282" t="s">
        <v>25</v>
      </c>
      <c r="O3282" t="s">
        <v>25</v>
      </c>
      <c r="P3282" t="s">
        <v>28634</v>
      </c>
      <c r="Q3282" t="s">
        <v>29</v>
      </c>
      <c r="R3282" t="s">
        <v>28631</v>
      </c>
      <c r="S3282" t="s">
        <v>28632</v>
      </c>
    </row>
    <row r="3283" spans="1:19" x14ac:dyDescent="0.25">
      <c r="A3283" s="1">
        <v>3281</v>
      </c>
      <c r="B3283" t="str">
        <f>HYPERLINK("https://www.dasschnelle.at/apotheke-zur-welser-heide-magpharm-christa-prillinger-kg-marchtrenk-welser-straße","Website")</f>
        <v>Website</v>
      </c>
      <c r="C3283" t="str">
        <f>HYPERLINK("http://www.apotheke-welserheide.at","Website")</f>
        <v>Website</v>
      </c>
      <c r="D3283" t="str">
        <f>HYPERLINK("http://www.google.com/maps/place/48.19078,14.11102","Location")</f>
        <v>Location</v>
      </c>
      <c r="E3283" t="s">
        <v>28635</v>
      </c>
      <c r="F3283" t="s">
        <v>28636</v>
      </c>
      <c r="G3283" t="s">
        <v>4902</v>
      </c>
      <c r="H3283" t="s">
        <v>7155</v>
      </c>
      <c r="I3283" t="s">
        <v>85</v>
      </c>
      <c r="J3283" t="s">
        <v>22</v>
      </c>
      <c r="K3283" t="s">
        <v>28637</v>
      </c>
      <c r="L3283" t="s">
        <v>28640</v>
      </c>
      <c r="M3283" t="s">
        <v>25</v>
      </c>
      <c r="N3283" t="s">
        <v>28641</v>
      </c>
      <c r="O3283" t="s">
        <v>28642</v>
      </c>
      <c r="P3283" t="s">
        <v>28643</v>
      </c>
      <c r="Q3283" t="s">
        <v>29</v>
      </c>
      <c r="R3283" t="s">
        <v>28638</v>
      </c>
      <c r="S3283" t="s">
        <v>28639</v>
      </c>
    </row>
    <row r="3284" spans="1:19" x14ac:dyDescent="0.25">
      <c r="A3284" s="1">
        <v>3282</v>
      </c>
      <c r="B3284" t="str">
        <f>HYPERLINK("https://www.dasschnelle.at/partner-treuhand-traunviertel-gmbh-thalheim-flößerstraße","Website")</f>
        <v>Website</v>
      </c>
      <c r="C3284" t="str">
        <f>HYPERLINK("http://www.partner-treuhand.at","Website")</f>
        <v>Website</v>
      </c>
      <c r="D3284" t="str">
        <f>HYPERLINK("http://www.google.com/maps/place/48.1567700,14.0221400","Location")</f>
        <v>Location</v>
      </c>
      <c r="E3284" t="s">
        <v>28644</v>
      </c>
      <c r="F3284" t="s">
        <v>28645</v>
      </c>
      <c r="G3284" t="s">
        <v>4725</v>
      </c>
      <c r="H3284" t="s">
        <v>28030</v>
      </c>
      <c r="I3284" t="s">
        <v>85</v>
      </c>
      <c r="J3284" t="s">
        <v>22</v>
      </c>
      <c r="K3284" t="s">
        <v>28646</v>
      </c>
      <c r="L3284" t="s">
        <v>28649</v>
      </c>
      <c r="M3284" t="s">
        <v>25</v>
      </c>
      <c r="N3284" t="s">
        <v>28650</v>
      </c>
      <c r="O3284" t="s">
        <v>25</v>
      </c>
      <c r="P3284" t="s">
        <v>28651</v>
      </c>
      <c r="Q3284" t="s">
        <v>29</v>
      </c>
      <c r="R3284" t="s">
        <v>28647</v>
      </c>
      <c r="S3284" t="s">
        <v>28648</v>
      </c>
    </row>
    <row r="3285" spans="1:19" x14ac:dyDescent="0.25">
      <c r="A3285" s="1">
        <v>3283</v>
      </c>
      <c r="B3285" t="str">
        <f>HYPERLINK("https://www.dasschnelle.at/pvz-vöcklamarkt-vöcklamarkt-hauptstraße","Website")</f>
        <v>Website</v>
      </c>
      <c r="C3285" t="str">
        <f>HYPERLINK("http://www.gesundheit-voecklamarkt.at","Website")</f>
        <v>Website</v>
      </c>
      <c r="D3285" t="str">
        <f>HYPERLINK("http://www.google.com/maps/place/48.0023800,13.4857300","Location")</f>
        <v>Location</v>
      </c>
      <c r="E3285" t="s">
        <v>28652</v>
      </c>
      <c r="F3285" t="s">
        <v>28653</v>
      </c>
      <c r="G3285" t="s">
        <v>3823</v>
      </c>
      <c r="H3285" t="s">
        <v>3824</v>
      </c>
      <c r="I3285" t="s">
        <v>85</v>
      </c>
      <c r="J3285" t="s">
        <v>22</v>
      </c>
      <c r="K3285" t="s">
        <v>3090</v>
      </c>
      <c r="L3285" t="s">
        <v>28656</v>
      </c>
      <c r="M3285" t="s">
        <v>25</v>
      </c>
      <c r="N3285" t="s">
        <v>28657</v>
      </c>
      <c r="O3285" t="s">
        <v>28658</v>
      </c>
      <c r="P3285" t="s">
        <v>28659</v>
      </c>
      <c r="Q3285" t="s">
        <v>29</v>
      </c>
      <c r="R3285" t="s">
        <v>28654</v>
      </c>
      <c r="S3285" t="s">
        <v>28655</v>
      </c>
    </row>
    <row r="3286" spans="1:19" x14ac:dyDescent="0.25">
      <c r="A3286" s="1">
        <v>3284</v>
      </c>
      <c r="B3286" t="str">
        <f>HYPERLINK("https://www.dasschnelle.at/schustereder-gunther-dr-vöcklabruck-franz-schubert-straße","Website")</f>
        <v>Website</v>
      </c>
      <c r="C3286" t="str">
        <f>HYPERLINK("http://www.zahnarzt-schustereder.at","Website")</f>
        <v>Website</v>
      </c>
      <c r="D3286" t="str">
        <f>HYPERLINK("http://www.google.com/maps/place/48.00524,13.64579","Location")</f>
        <v>Location</v>
      </c>
      <c r="E3286" t="s">
        <v>28660</v>
      </c>
      <c r="F3286" t="s">
        <v>28661</v>
      </c>
      <c r="G3286" t="s">
        <v>3749</v>
      </c>
      <c r="H3286" t="s">
        <v>3750</v>
      </c>
      <c r="I3286" t="s">
        <v>85</v>
      </c>
      <c r="J3286" t="s">
        <v>22</v>
      </c>
      <c r="K3286" t="s">
        <v>28662</v>
      </c>
      <c r="L3286" t="s">
        <v>28665</v>
      </c>
      <c r="M3286" t="s">
        <v>25</v>
      </c>
      <c r="N3286" t="s">
        <v>28666</v>
      </c>
      <c r="O3286" t="s">
        <v>28667</v>
      </c>
      <c r="P3286" t="s">
        <v>28668</v>
      </c>
      <c r="Q3286" t="s">
        <v>29</v>
      </c>
      <c r="R3286" t="s">
        <v>28663</v>
      </c>
      <c r="S3286" t="s">
        <v>28664</v>
      </c>
    </row>
    <row r="3287" spans="1:19" x14ac:dyDescent="0.25">
      <c r="A3287" s="1">
        <v>3285</v>
      </c>
      <c r="B3287" t="str">
        <f>HYPERLINK("https://www.dasschnelle.at/grasch-krachler-rechtsanwälte-og-kaindorf-grazer-straße","Website")</f>
        <v>Website</v>
      </c>
      <c r="C3287" t="str">
        <f>HYPERLINK("http://www.recht-empfinden.at","Website")</f>
        <v>Website</v>
      </c>
      <c r="D3287" t="str">
        <f>HYPERLINK("http://www.google.com/maps/place/46.79331,15.53843","Location")</f>
        <v>Location</v>
      </c>
      <c r="E3287" t="s">
        <v>28669</v>
      </c>
      <c r="F3287" t="s">
        <v>28670</v>
      </c>
      <c r="G3287" t="s">
        <v>1013</v>
      </c>
      <c r="H3287" t="s">
        <v>1014</v>
      </c>
      <c r="I3287" t="s">
        <v>451</v>
      </c>
      <c r="J3287" t="s">
        <v>22</v>
      </c>
      <c r="K3287" t="s">
        <v>28671</v>
      </c>
      <c r="L3287" t="s">
        <v>28674</v>
      </c>
      <c r="M3287" t="s">
        <v>28675</v>
      </c>
      <c r="N3287" t="s">
        <v>28676</v>
      </c>
      <c r="O3287" t="s">
        <v>25</v>
      </c>
      <c r="P3287" t="s">
        <v>28677</v>
      </c>
      <c r="Q3287" t="s">
        <v>29</v>
      </c>
      <c r="R3287" t="s">
        <v>28672</v>
      </c>
      <c r="S3287" t="s">
        <v>28673</v>
      </c>
    </row>
    <row r="3288" spans="1:19" x14ac:dyDescent="0.25">
      <c r="A3288" s="1">
        <v>3286</v>
      </c>
      <c r="B3288" t="str">
        <f>HYPERLINK("https://www.dasschnelle.at/dynergetik-rohrmoser-stefan-hüttschlag-wolfau","Website")</f>
        <v>Website</v>
      </c>
      <c r="C3288" t="str">
        <f>HYPERLINK("http://www.dynergetik.at","Website")</f>
        <v>Website</v>
      </c>
      <c r="D3288" t="str">
        <f>HYPERLINK("http://www.google.com/maps/place/47.1691579,13.2470164","Location")</f>
        <v>Location</v>
      </c>
      <c r="E3288" t="s">
        <v>28678</v>
      </c>
      <c r="F3288" t="s">
        <v>28679</v>
      </c>
      <c r="G3288" t="s">
        <v>25915</v>
      </c>
      <c r="H3288" t="s">
        <v>25916</v>
      </c>
      <c r="I3288" t="s">
        <v>2239</v>
      </c>
      <c r="J3288" t="s">
        <v>22</v>
      </c>
      <c r="K3288" t="s">
        <v>28680</v>
      </c>
      <c r="L3288" t="s">
        <v>28683</v>
      </c>
      <c r="M3288" t="s">
        <v>25</v>
      </c>
      <c r="N3288" t="s">
        <v>28684</v>
      </c>
      <c r="O3288" t="s">
        <v>25</v>
      </c>
      <c r="P3288" t="s">
        <v>28685</v>
      </c>
      <c r="Q3288" t="s">
        <v>29</v>
      </c>
      <c r="R3288" t="s">
        <v>28681</v>
      </c>
      <c r="S3288" t="s">
        <v>28682</v>
      </c>
    </row>
    <row r="3289" spans="1:19" x14ac:dyDescent="0.25">
      <c r="A3289" s="1">
        <v>3287</v>
      </c>
      <c r="B3289" t="str">
        <f>HYPERLINK("https://www.dasschnelle.at/ebner-installationen-glanegg-friedlach","Website")</f>
        <v>Website</v>
      </c>
      <c r="C3289" t="str">
        <f>HYPERLINK("http://www.ebner-installationen.at","Website")</f>
        <v>Website</v>
      </c>
      <c r="D3289" t="str">
        <f>HYPERLINK("http://www.google.com/maps/place/46.7220154,14.1948734","Location")</f>
        <v>Location</v>
      </c>
      <c r="E3289" t="s">
        <v>28686</v>
      </c>
      <c r="F3289" t="s">
        <v>28687</v>
      </c>
      <c r="G3289" t="s">
        <v>27180</v>
      </c>
      <c r="H3289" t="s">
        <v>27181</v>
      </c>
      <c r="I3289" t="s">
        <v>4130</v>
      </c>
      <c r="J3289" t="s">
        <v>22</v>
      </c>
      <c r="K3289" t="s">
        <v>28688</v>
      </c>
      <c r="L3289" t="s">
        <v>28691</v>
      </c>
      <c r="M3289" t="s">
        <v>25</v>
      </c>
      <c r="N3289" t="s">
        <v>28692</v>
      </c>
      <c r="O3289" t="s">
        <v>28693</v>
      </c>
      <c r="P3289" t="s">
        <v>28694</v>
      </c>
      <c r="Q3289" t="s">
        <v>29</v>
      </c>
      <c r="R3289" t="s">
        <v>28689</v>
      </c>
      <c r="S3289" t="s">
        <v>28690</v>
      </c>
    </row>
    <row r="3290" spans="1:19" x14ac:dyDescent="0.25">
      <c r="A3290" s="1">
        <v>3288</v>
      </c>
      <c r="B3290" t="str">
        <f>HYPERLINK("https://www.dasschnelle.at/kreuzwirt-pizzeria-st-ulrich-wimitzer-straße","Website")</f>
        <v>Website</v>
      </c>
      <c r="C3290" t="str">
        <f>HYPERLINK("https://www.dasschnelle.at/kreuzwirt-pizzeria-st-ulrich-wimitzer-stra%C3%9Fe","Website")</f>
        <v>Website</v>
      </c>
      <c r="D3290" t="str">
        <f>HYPERLINK("http://www.google.com/maps/place/46.75179,14.10873","Location")</f>
        <v>Location</v>
      </c>
      <c r="E3290" t="s">
        <v>28695</v>
      </c>
      <c r="F3290" t="s">
        <v>28696</v>
      </c>
      <c r="G3290" t="s">
        <v>8498</v>
      </c>
      <c r="H3290" t="s">
        <v>28698</v>
      </c>
      <c r="I3290" t="s">
        <v>4130</v>
      </c>
      <c r="J3290" t="s">
        <v>22</v>
      </c>
      <c r="K3290" t="s">
        <v>28697</v>
      </c>
      <c r="L3290" t="s">
        <v>28701</v>
      </c>
      <c r="M3290" t="s">
        <v>25</v>
      </c>
      <c r="N3290" t="s">
        <v>28702</v>
      </c>
      <c r="O3290" t="s">
        <v>25</v>
      </c>
      <c r="P3290" t="s">
        <v>28703</v>
      </c>
      <c r="Q3290" t="s">
        <v>29</v>
      </c>
      <c r="R3290" t="s">
        <v>28699</v>
      </c>
      <c r="S3290" t="s">
        <v>28700</v>
      </c>
    </row>
    <row r="3291" spans="1:19" x14ac:dyDescent="0.25">
      <c r="A3291" s="1">
        <v>3289</v>
      </c>
      <c r="B3291" t="str">
        <f>HYPERLINK("https://www.dasschnelle.at/zawia-yosry-dr-med-hoheneich-katzenbergen","Website")</f>
        <v>Website</v>
      </c>
      <c r="C3291" t="str">
        <f>HYPERLINK("http://www.zawia.at","Website")</f>
        <v>Website</v>
      </c>
      <c r="D3291" t="str">
        <f>HYPERLINK("http://www.google.com/maps/place/48.77541,15.02849","Location")</f>
        <v>Location</v>
      </c>
      <c r="E3291" t="s">
        <v>28704</v>
      </c>
      <c r="F3291" t="s">
        <v>28705</v>
      </c>
      <c r="G3291" t="s">
        <v>28707</v>
      </c>
      <c r="H3291" t="s">
        <v>28708</v>
      </c>
      <c r="I3291" t="s">
        <v>177</v>
      </c>
      <c r="J3291" t="s">
        <v>22</v>
      </c>
      <c r="K3291" t="s">
        <v>28706</v>
      </c>
      <c r="L3291" t="s">
        <v>28711</v>
      </c>
      <c r="M3291" t="s">
        <v>25</v>
      </c>
      <c r="N3291" t="s">
        <v>28712</v>
      </c>
      <c r="O3291" t="s">
        <v>25</v>
      </c>
      <c r="P3291" t="s">
        <v>28713</v>
      </c>
      <c r="Q3291" t="s">
        <v>29</v>
      </c>
      <c r="R3291" t="s">
        <v>28709</v>
      </c>
      <c r="S3291" t="s">
        <v>28710</v>
      </c>
    </row>
    <row r="3292" spans="1:19" x14ac:dyDescent="0.25">
      <c r="A3292" s="1">
        <v>3290</v>
      </c>
      <c r="B3292" t="str">
        <f>HYPERLINK("https://www.dasschnelle.at/lebenskreisquelle-schönbichler-kg-hainfeld-hauptstraße","Website")</f>
        <v>Website</v>
      </c>
      <c r="C3292" t="str">
        <f>HYPERLINK("http://www.lebenskreisquelle.at","Website")</f>
        <v>Website</v>
      </c>
      <c r="D3292" t="str">
        <f>HYPERLINK("http://www.google.com/maps/place/48.0364288,15.7691692","Location")</f>
        <v>Location</v>
      </c>
      <c r="E3292" t="s">
        <v>28714</v>
      </c>
      <c r="F3292" t="s">
        <v>28715</v>
      </c>
      <c r="G3292" t="s">
        <v>13419</v>
      </c>
      <c r="H3292" t="s">
        <v>13420</v>
      </c>
      <c r="I3292" t="s">
        <v>177</v>
      </c>
      <c r="J3292" t="s">
        <v>22</v>
      </c>
      <c r="K3292" t="s">
        <v>13025</v>
      </c>
      <c r="L3292" t="s">
        <v>28716</v>
      </c>
      <c r="M3292" t="s">
        <v>25</v>
      </c>
      <c r="N3292" t="s">
        <v>28717</v>
      </c>
      <c r="O3292" t="s">
        <v>25</v>
      </c>
      <c r="P3292" t="s">
        <v>28718</v>
      </c>
      <c r="Q3292" t="s">
        <v>29</v>
      </c>
      <c r="R3292" t="s">
        <v>28430</v>
      </c>
      <c r="S3292" t="s">
        <v>28431</v>
      </c>
    </row>
    <row r="3293" spans="1:19" x14ac:dyDescent="0.25">
      <c r="A3293" s="1">
        <v>3291</v>
      </c>
      <c r="B3293" t="str">
        <f>HYPERLINK("https://www.dasschnelle.at/auto-schmal-gmbh-traisen-mariazeller-straße","Website")</f>
        <v>Website</v>
      </c>
      <c r="C3293" t="str">
        <f>HYPERLINK("http://www.schmal.at","Website")</f>
        <v>Website</v>
      </c>
      <c r="D3293" t="str">
        <f>HYPERLINK("http://www.google.com/maps/place/48.04931,15.61063","Location")</f>
        <v>Location</v>
      </c>
      <c r="E3293" t="s">
        <v>28719</v>
      </c>
      <c r="F3293" t="s">
        <v>28720</v>
      </c>
      <c r="G3293" t="s">
        <v>12519</v>
      </c>
      <c r="H3293" t="s">
        <v>12520</v>
      </c>
      <c r="I3293" t="s">
        <v>177</v>
      </c>
      <c r="J3293" t="s">
        <v>22</v>
      </c>
      <c r="K3293" t="s">
        <v>28721</v>
      </c>
      <c r="L3293" t="s">
        <v>28724</v>
      </c>
      <c r="M3293" t="s">
        <v>25</v>
      </c>
      <c r="N3293" t="s">
        <v>28725</v>
      </c>
      <c r="O3293" t="s">
        <v>25</v>
      </c>
      <c r="P3293" t="s">
        <v>28726</v>
      </c>
      <c r="Q3293" t="s">
        <v>29</v>
      </c>
      <c r="R3293" t="s">
        <v>28722</v>
      </c>
      <c r="S3293" t="s">
        <v>28723</v>
      </c>
    </row>
    <row r="3294" spans="1:19" x14ac:dyDescent="0.25">
      <c r="A3294" s="1">
        <v>3292</v>
      </c>
      <c r="B3294" t="str">
        <f>HYPERLINK("https://www.dasschnelle.at/ebner-gmbh-lilienfeld-babenbergerstraße","Website")</f>
        <v>Website</v>
      </c>
      <c r="C3294" t="str">
        <f>HYPERLINK("https://www.dasschnelle.at/ebner-gmbh-lilienfeld-babenbergerstra%C3%9Fe","Website")</f>
        <v>Website</v>
      </c>
      <c r="D3294" t="str">
        <f>HYPERLINK("http://www.google.com/maps/place/48.0161,15.59614","Location")</f>
        <v>Location</v>
      </c>
      <c r="E3294" t="s">
        <v>28727</v>
      </c>
      <c r="F3294" t="s">
        <v>28728</v>
      </c>
      <c r="G3294" t="s">
        <v>11860</v>
      </c>
      <c r="H3294" t="s">
        <v>11861</v>
      </c>
      <c r="I3294" t="s">
        <v>177</v>
      </c>
      <c r="J3294" t="s">
        <v>22</v>
      </c>
      <c r="K3294" t="s">
        <v>28729</v>
      </c>
      <c r="L3294" t="s">
        <v>28732</v>
      </c>
      <c r="M3294" t="s">
        <v>25</v>
      </c>
      <c r="N3294" t="s">
        <v>28733</v>
      </c>
      <c r="O3294" t="s">
        <v>25</v>
      </c>
      <c r="P3294" t="s">
        <v>28734</v>
      </c>
      <c r="Q3294" t="s">
        <v>29</v>
      </c>
      <c r="R3294" t="s">
        <v>28730</v>
      </c>
      <c r="S3294" t="s">
        <v>28731</v>
      </c>
    </row>
    <row r="3295" spans="1:19" x14ac:dyDescent="0.25">
      <c r="A3295" s="1">
        <v>3293</v>
      </c>
      <c r="B3295" t="str">
        <f>HYPERLINK("https://www.dasschnelle.at/andritsch-gesmbh-hohenberg-obere-hauptstraße","Website")</f>
        <v>Website</v>
      </c>
      <c r="C3295" t="str">
        <f>HYPERLINK("http://www.andritsch-dach.at","Website")</f>
        <v>Website</v>
      </c>
      <c r="D3295" t="str">
        <f>HYPERLINK("http://www.google.com/maps/place/47.89854,15.61906","Location")</f>
        <v>Location</v>
      </c>
      <c r="E3295" t="s">
        <v>28735</v>
      </c>
      <c r="F3295" t="s">
        <v>28736</v>
      </c>
      <c r="G3295" t="s">
        <v>12462</v>
      </c>
      <c r="H3295" t="s">
        <v>12463</v>
      </c>
      <c r="I3295" t="s">
        <v>177</v>
      </c>
      <c r="J3295" t="s">
        <v>22</v>
      </c>
      <c r="K3295" t="s">
        <v>28737</v>
      </c>
      <c r="L3295" t="s">
        <v>28740</v>
      </c>
      <c r="M3295" t="s">
        <v>25</v>
      </c>
      <c r="N3295" t="s">
        <v>28741</v>
      </c>
      <c r="O3295" t="s">
        <v>25</v>
      </c>
      <c r="P3295" t="s">
        <v>28742</v>
      </c>
      <c r="Q3295" t="s">
        <v>29</v>
      </c>
      <c r="R3295" t="s">
        <v>28738</v>
      </c>
      <c r="S3295" t="s">
        <v>28739</v>
      </c>
    </row>
    <row r="3296" spans="1:19" x14ac:dyDescent="0.25">
      <c r="A3296" s="1">
        <v>3294</v>
      </c>
      <c r="B3296" t="str">
        <f>HYPERLINK("https://www.dasschnelle.at/zauner-maria-st-willibald-dick","Website")</f>
        <v>Website</v>
      </c>
      <c r="C3296" t="str">
        <f>HYPERLINK("http://www.fusspflege-schaerding.at","Website")</f>
        <v>Website</v>
      </c>
      <c r="D3296" t="str">
        <f>HYPERLINK("http://www.google.com/maps/place/48.3750941,13.6804882","Location")</f>
        <v>Location</v>
      </c>
      <c r="E3296" t="s">
        <v>28743</v>
      </c>
      <c r="F3296" t="s">
        <v>28744</v>
      </c>
      <c r="G3296" t="s">
        <v>28283</v>
      </c>
      <c r="H3296" t="s">
        <v>28284</v>
      </c>
      <c r="I3296" t="s">
        <v>85</v>
      </c>
      <c r="J3296" t="s">
        <v>22</v>
      </c>
      <c r="K3296" t="s">
        <v>28745</v>
      </c>
      <c r="L3296" t="s">
        <v>28748</v>
      </c>
      <c r="M3296" t="s">
        <v>25</v>
      </c>
      <c r="N3296" t="s">
        <v>28749</v>
      </c>
      <c r="O3296" t="s">
        <v>25</v>
      </c>
      <c r="P3296" t="s">
        <v>28750</v>
      </c>
      <c r="Q3296" t="s">
        <v>29</v>
      </c>
      <c r="R3296" t="s">
        <v>28746</v>
      </c>
      <c r="S3296" t="s">
        <v>28747</v>
      </c>
    </row>
    <row r="3297" spans="1:19" x14ac:dyDescent="0.25">
      <c r="A3297" s="1">
        <v>3295</v>
      </c>
      <c r="B3297" t="str">
        <f>HYPERLINK("https://www.dasschnelle.at/fliesen-joe-niederbrucker-mondsee-oberhöribach","Website")</f>
        <v>Website</v>
      </c>
      <c r="C3297" t="str">
        <f>HYPERLINK("http://www.fliesenjoe.at","Website")</f>
        <v>Website</v>
      </c>
      <c r="D3297" t="str">
        <f>HYPERLINK("http://www.google.com/maps/place/47.84304,13.33484","Location")</f>
        <v>Location</v>
      </c>
      <c r="E3297" t="s">
        <v>28751</v>
      </c>
      <c r="F3297" t="s">
        <v>28752</v>
      </c>
      <c r="G3297" t="s">
        <v>6543</v>
      </c>
      <c r="H3297" t="s">
        <v>6544</v>
      </c>
      <c r="I3297" t="s">
        <v>85</v>
      </c>
      <c r="J3297" t="s">
        <v>22</v>
      </c>
      <c r="K3297" t="s">
        <v>28753</v>
      </c>
      <c r="L3297" t="s">
        <v>28756</v>
      </c>
      <c r="M3297" t="s">
        <v>25</v>
      </c>
      <c r="N3297" t="s">
        <v>28757</v>
      </c>
      <c r="O3297" t="s">
        <v>25</v>
      </c>
      <c r="P3297" t="s">
        <v>28758</v>
      </c>
      <c r="Q3297" t="s">
        <v>29</v>
      </c>
      <c r="R3297" t="s">
        <v>28754</v>
      </c>
      <c r="S3297" t="s">
        <v>28755</v>
      </c>
    </row>
    <row r="3298" spans="1:19" x14ac:dyDescent="0.25">
      <c r="A3298" s="1">
        <v>3296</v>
      </c>
      <c r="B3298" t="str">
        <f>HYPERLINK("https://www.dasschnelle.at/klinger-gerhard-heinrichsbrunn-vormarktstraße","Website")</f>
        <v>Website</v>
      </c>
      <c r="C3298" t="str">
        <f>HYPERLINK("http://www.heizgeraete-service.at","Website")</f>
        <v>Website</v>
      </c>
      <c r="D3298" t="str">
        <f>HYPERLINK("http://www.google.com/maps/place/48.24119,14.53121","Location")</f>
        <v>Location</v>
      </c>
      <c r="E3298" t="s">
        <v>28759</v>
      </c>
      <c r="F3298" t="s">
        <v>28760</v>
      </c>
      <c r="G3298" t="s">
        <v>6513</v>
      </c>
      <c r="H3298" t="s">
        <v>28762</v>
      </c>
      <c r="I3298" t="s">
        <v>85</v>
      </c>
      <c r="J3298" t="s">
        <v>22</v>
      </c>
      <c r="K3298" t="s">
        <v>28761</v>
      </c>
      <c r="L3298" t="s">
        <v>28765</v>
      </c>
      <c r="M3298" t="s">
        <v>25</v>
      </c>
      <c r="N3298" t="s">
        <v>28766</v>
      </c>
      <c r="O3298" t="s">
        <v>25</v>
      </c>
      <c r="P3298" t="s">
        <v>28767</v>
      </c>
      <c r="Q3298" t="s">
        <v>29</v>
      </c>
      <c r="R3298" t="s">
        <v>28763</v>
      </c>
      <c r="S3298" t="s">
        <v>28764</v>
      </c>
    </row>
    <row r="3299" spans="1:19" x14ac:dyDescent="0.25">
      <c r="A3299" s="1">
        <v>3297</v>
      </c>
      <c r="B3299" t="str">
        <f>HYPERLINK("https://www.dasschnelle.at/falb-konrad-dr-med-wels-dr-schauer-straße","Website")</f>
        <v>Website</v>
      </c>
      <c r="C3299" t="str">
        <f>HYPERLINK("http://www.augenarzt-falb.at","Website")</f>
        <v>Website</v>
      </c>
      <c r="D3299" t="str">
        <f>HYPERLINK("http://www.google.com/maps/place/48.16494,14.02832","Location")</f>
        <v>Location</v>
      </c>
      <c r="E3299" t="s">
        <v>28768</v>
      </c>
      <c r="F3299" t="s">
        <v>28769</v>
      </c>
      <c r="G3299" t="s">
        <v>4725</v>
      </c>
      <c r="H3299" t="s">
        <v>4754</v>
      </c>
      <c r="I3299" t="s">
        <v>85</v>
      </c>
      <c r="J3299" t="s">
        <v>22</v>
      </c>
      <c r="K3299" t="s">
        <v>28770</v>
      </c>
      <c r="L3299" t="s">
        <v>28773</v>
      </c>
      <c r="M3299" t="s">
        <v>28774</v>
      </c>
      <c r="N3299" t="s">
        <v>28775</v>
      </c>
      <c r="O3299" t="s">
        <v>28776</v>
      </c>
      <c r="P3299" t="s">
        <v>697</v>
      </c>
      <c r="Q3299" t="s">
        <v>29</v>
      </c>
      <c r="R3299" t="s">
        <v>28771</v>
      </c>
      <c r="S3299" t="s">
        <v>28772</v>
      </c>
    </row>
    <row r="3300" spans="1:19" x14ac:dyDescent="0.25">
      <c r="A3300" s="1">
        <v>3298</v>
      </c>
      <c r="B3300" t="str">
        <f>HYPERLINK("https://www.dasschnelle.at/frisurendesign-pia-gmbh-klosterneuburg-hofkirchnergasse","Website")</f>
        <v>Website</v>
      </c>
      <c r="C3300" t="str">
        <f>HYPERLINK("http://www.piafrisurendesign.at","Website")</f>
        <v>Website</v>
      </c>
      <c r="D3300" t="str">
        <f>HYPERLINK("http://www.google.com/maps/place/48.30752,16.32264","Location")</f>
        <v>Location</v>
      </c>
      <c r="E3300" t="s">
        <v>28777</v>
      </c>
      <c r="F3300" t="s">
        <v>28778</v>
      </c>
      <c r="G3300" t="s">
        <v>10308</v>
      </c>
      <c r="H3300" t="s">
        <v>10317</v>
      </c>
      <c r="I3300" t="s">
        <v>177</v>
      </c>
      <c r="J3300" t="s">
        <v>22</v>
      </c>
      <c r="K3300" t="s">
        <v>28779</v>
      </c>
      <c r="L3300" t="s">
        <v>28782</v>
      </c>
      <c r="M3300" t="s">
        <v>25</v>
      </c>
      <c r="N3300" t="s">
        <v>28783</v>
      </c>
      <c r="O3300" t="s">
        <v>25</v>
      </c>
      <c r="P3300" t="s">
        <v>28784</v>
      </c>
      <c r="Q3300" t="s">
        <v>29</v>
      </c>
      <c r="R3300" t="s">
        <v>28780</v>
      </c>
      <c r="S3300" t="s">
        <v>28781</v>
      </c>
    </row>
    <row r="3301" spans="1:19" x14ac:dyDescent="0.25">
      <c r="A3301" s="1">
        <v>3299</v>
      </c>
      <c r="B3301" t="str">
        <f>HYPERLINK("https://www.dasschnelle.at/fuchs-ing-gesmbh-klosterneuburg-franz-rumpler-straße","Website")</f>
        <v>Website</v>
      </c>
      <c r="C3301" t="str">
        <f>HYPERLINK("http://www.holzfuchs.at","Website")</f>
        <v>Website</v>
      </c>
      <c r="D3301" t="str">
        <f>HYPERLINK("http://www.google.com/maps/place/48.30096,16.32463","Location")</f>
        <v>Location</v>
      </c>
      <c r="E3301" t="s">
        <v>28785</v>
      </c>
      <c r="F3301" t="s">
        <v>28786</v>
      </c>
      <c r="G3301" t="s">
        <v>10308</v>
      </c>
      <c r="H3301" t="s">
        <v>10317</v>
      </c>
      <c r="I3301" t="s">
        <v>177</v>
      </c>
      <c r="J3301" t="s">
        <v>22</v>
      </c>
      <c r="K3301" t="s">
        <v>28787</v>
      </c>
      <c r="L3301" t="s">
        <v>28790</v>
      </c>
      <c r="M3301" t="s">
        <v>28791</v>
      </c>
      <c r="N3301" t="s">
        <v>28792</v>
      </c>
      <c r="O3301" t="s">
        <v>25</v>
      </c>
      <c r="P3301" t="s">
        <v>697</v>
      </c>
      <c r="Q3301" t="s">
        <v>29</v>
      </c>
      <c r="R3301" t="s">
        <v>28788</v>
      </c>
      <c r="S3301" t="s">
        <v>28789</v>
      </c>
    </row>
    <row r="3302" spans="1:19" x14ac:dyDescent="0.25">
      <c r="A3302" s="1">
        <v>3300</v>
      </c>
      <c r="B3302" t="str">
        <f>HYPERLINK("https://www.dasschnelle.at/lichtenauer-anton-gesmbh-und-co-kg-münzkirchen-hofmark","Website")</f>
        <v>Website</v>
      </c>
      <c r="C3302" t="str">
        <f>HYPERLINK("http://www.autohaus-lichtenauer.at","Website")</f>
        <v>Website</v>
      </c>
      <c r="D3302" t="str">
        <f>HYPERLINK("http://www.google.com/maps/place/48.48513,13.57298","Location")</f>
        <v>Location</v>
      </c>
      <c r="E3302" t="s">
        <v>28793</v>
      </c>
      <c r="F3302" t="s">
        <v>28794</v>
      </c>
      <c r="G3302" t="s">
        <v>11983</v>
      </c>
      <c r="H3302" t="s">
        <v>24220</v>
      </c>
      <c r="I3302" t="s">
        <v>85</v>
      </c>
      <c r="J3302" t="s">
        <v>22</v>
      </c>
      <c r="K3302" t="s">
        <v>28795</v>
      </c>
      <c r="L3302" t="s">
        <v>28798</v>
      </c>
      <c r="M3302" t="s">
        <v>28799</v>
      </c>
      <c r="N3302" t="s">
        <v>28800</v>
      </c>
      <c r="O3302" t="s">
        <v>25</v>
      </c>
      <c r="P3302" t="s">
        <v>28801</v>
      </c>
      <c r="Q3302" t="s">
        <v>29</v>
      </c>
      <c r="R3302" t="s">
        <v>28796</v>
      </c>
      <c r="S3302" t="s">
        <v>28797</v>
      </c>
    </row>
    <row r="3303" spans="1:19" x14ac:dyDescent="0.25">
      <c r="A3303" s="1">
        <v>3301</v>
      </c>
      <c r="B3303" t="str">
        <f>HYPERLINK("https://www.dasschnelle.at/öffentlicher-notar-mag-oskar-platter-und-partner-landeck-malserstraße","Website")</f>
        <v>Website</v>
      </c>
      <c r="C3303" t="str">
        <f>HYPERLINK("http://www.notariatplatter.at","Website")</f>
        <v>Website</v>
      </c>
      <c r="D3303" t="str">
        <f>HYPERLINK("http://www.google.com/maps/place/47.13778,10.56664","Location")</f>
        <v>Location</v>
      </c>
      <c r="E3303" t="s">
        <v>28802</v>
      </c>
      <c r="F3303" t="s">
        <v>28803</v>
      </c>
      <c r="G3303" t="s">
        <v>1279</v>
      </c>
      <c r="H3303" t="s">
        <v>1280</v>
      </c>
      <c r="I3303" t="s">
        <v>21</v>
      </c>
      <c r="J3303" t="s">
        <v>22</v>
      </c>
      <c r="K3303" t="s">
        <v>28804</v>
      </c>
      <c r="L3303" t="s">
        <v>28807</v>
      </c>
      <c r="M3303" t="s">
        <v>25</v>
      </c>
      <c r="N3303" t="s">
        <v>28808</v>
      </c>
      <c r="O3303" t="s">
        <v>28809</v>
      </c>
      <c r="P3303" t="s">
        <v>28810</v>
      </c>
      <c r="Q3303" t="s">
        <v>29</v>
      </c>
      <c r="R3303" t="s">
        <v>28805</v>
      </c>
      <c r="S3303" t="s">
        <v>28806</v>
      </c>
    </row>
    <row r="3304" spans="1:19" x14ac:dyDescent="0.25">
      <c r="A3304" s="1">
        <v>3302</v>
      </c>
      <c r="B3304" t="str">
        <f>HYPERLINK("https://www.dasschnelle.at/petrowitsch-gerhard-dr-leibnitz-kada-gasse","Website")</f>
        <v>Website</v>
      </c>
      <c r="C3304" t="str">
        <f>HYPERLINK("http://www.ra-petrowitsch.at","Website")</f>
        <v>Website</v>
      </c>
      <c r="D3304" t="str">
        <f>HYPERLINK("http://www.google.com/maps/place/46.77933,15.53851","Location")</f>
        <v>Location</v>
      </c>
      <c r="E3304" t="s">
        <v>28811</v>
      </c>
      <c r="F3304" t="s">
        <v>28812</v>
      </c>
      <c r="G3304" t="s">
        <v>1013</v>
      </c>
      <c r="H3304" t="s">
        <v>1023</v>
      </c>
      <c r="I3304" t="s">
        <v>451</v>
      </c>
      <c r="J3304" t="s">
        <v>22</v>
      </c>
      <c r="K3304" t="s">
        <v>28813</v>
      </c>
      <c r="L3304" t="s">
        <v>28816</v>
      </c>
      <c r="M3304" t="s">
        <v>28817</v>
      </c>
      <c r="N3304" t="s">
        <v>28818</v>
      </c>
      <c r="O3304" t="s">
        <v>25</v>
      </c>
      <c r="P3304" t="s">
        <v>28819</v>
      </c>
      <c r="Q3304" t="s">
        <v>29</v>
      </c>
      <c r="R3304" t="s">
        <v>28814</v>
      </c>
      <c r="S3304" t="s">
        <v>28815</v>
      </c>
    </row>
    <row r="3305" spans="1:19" x14ac:dyDescent="0.25">
      <c r="A3305" s="1">
        <v>3303</v>
      </c>
      <c r="B3305" t="str">
        <f>HYPERLINK("https://www.dasschnelle.at/wiesmüllner-birgit-dr-klosterneuburg-wiener-straße","Website")</f>
        <v>Website</v>
      </c>
      <c r="C3305" t="str">
        <f>HYPERLINK("http://www.wiesmuellner.at","Website")</f>
        <v>Website</v>
      </c>
      <c r="D3305" t="str">
        <f>HYPERLINK("http://www.google.com/maps/place/48.29741,16.33389","Location")</f>
        <v>Location</v>
      </c>
      <c r="E3305" t="s">
        <v>28820</v>
      </c>
      <c r="F3305" t="s">
        <v>28821</v>
      </c>
      <c r="G3305" t="s">
        <v>10308</v>
      </c>
      <c r="H3305" t="s">
        <v>10317</v>
      </c>
      <c r="I3305" t="s">
        <v>177</v>
      </c>
      <c r="J3305" t="s">
        <v>22</v>
      </c>
      <c r="K3305" t="s">
        <v>28822</v>
      </c>
      <c r="L3305" t="s">
        <v>28825</v>
      </c>
      <c r="M3305" t="s">
        <v>25</v>
      </c>
      <c r="N3305" t="s">
        <v>28826</v>
      </c>
      <c r="O3305" t="s">
        <v>25</v>
      </c>
      <c r="P3305" t="s">
        <v>28827</v>
      </c>
      <c r="Q3305" t="s">
        <v>29</v>
      </c>
      <c r="R3305" t="s">
        <v>28823</v>
      </c>
      <c r="S3305" t="s">
        <v>28824</v>
      </c>
    </row>
    <row r="3306" spans="1:19" x14ac:dyDescent="0.25">
      <c r="A3306" s="1">
        <v>3304</v>
      </c>
      <c r="B3306" t="str">
        <f>HYPERLINK("https://www.dasschnelle.at/posch-siegfried-eben-im-pongau-eben","Website")</f>
        <v>Website</v>
      </c>
      <c r="C3306" t="str">
        <f>HYPERLINK("https://www.dasschnelle.at/posch-siegfried-eben-im-pongau-eben","Website")</f>
        <v>Website</v>
      </c>
      <c r="D3306" t="str">
        <f>HYPERLINK("http://www.google.com/maps/place/47.4071920,13.3957341","Location")</f>
        <v>Location</v>
      </c>
      <c r="E3306" t="s">
        <v>28828</v>
      </c>
      <c r="F3306" t="s">
        <v>28829</v>
      </c>
      <c r="G3306" t="s">
        <v>26241</v>
      </c>
      <c r="H3306" t="s">
        <v>26242</v>
      </c>
      <c r="I3306" t="s">
        <v>2239</v>
      </c>
      <c r="J3306" t="s">
        <v>22</v>
      </c>
      <c r="K3306" t="s">
        <v>28830</v>
      </c>
      <c r="L3306" t="s">
        <v>28833</v>
      </c>
      <c r="M3306" t="s">
        <v>25</v>
      </c>
      <c r="N3306" t="s">
        <v>28834</v>
      </c>
      <c r="O3306" t="s">
        <v>25</v>
      </c>
      <c r="P3306" t="s">
        <v>28835</v>
      </c>
      <c r="Q3306" t="s">
        <v>29</v>
      </c>
      <c r="R3306" t="s">
        <v>28831</v>
      </c>
      <c r="S3306" t="s">
        <v>28832</v>
      </c>
    </row>
    <row r="3307" spans="1:19" x14ac:dyDescent="0.25">
      <c r="A3307" s="1">
        <v>3305</v>
      </c>
      <c r="B3307" t="str">
        <f>HYPERLINK("https://www.dasschnelle.at/hagmayr-dietmar-zahntechnik-gmbh-oberhart-oberhartstraße","Website")</f>
        <v>Website</v>
      </c>
      <c r="C3307" t="str">
        <f>HYPERLINK("http://www.zahnlabor.at","Website")</f>
        <v>Website</v>
      </c>
      <c r="D3307" t="str">
        <f>HYPERLINK("http://www.google.com/maps/place/48.18481,14.05488","Location")</f>
        <v>Location</v>
      </c>
      <c r="E3307" t="s">
        <v>28836</v>
      </c>
      <c r="F3307" t="s">
        <v>28837</v>
      </c>
      <c r="G3307" t="s">
        <v>4725</v>
      </c>
      <c r="H3307" t="s">
        <v>28839</v>
      </c>
      <c r="I3307" t="s">
        <v>85</v>
      </c>
      <c r="J3307" t="s">
        <v>22</v>
      </c>
      <c r="K3307" t="s">
        <v>28838</v>
      </c>
      <c r="L3307" t="s">
        <v>28842</v>
      </c>
      <c r="M3307" t="s">
        <v>25</v>
      </c>
      <c r="N3307" t="s">
        <v>28843</v>
      </c>
      <c r="O3307" t="s">
        <v>25</v>
      </c>
      <c r="P3307" t="s">
        <v>28844</v>
      </c>
      <c r="Q3307" t="s">
        <v>29</v>
      </c>
      <c r="R3307" t="s">
        <v>28840</v>
      </c>
      <c r="S3307" t="s">
        <v>28841</v>
      </c>
    </row>
    <row r="3308" spans="1:19" x14ac:dyDescent="0.25">
      <c r="A3308" s="1">
        <v>3306</v>
      </c>
      <c r="B3308" t="str">
        <f>HYPERLINK("https://www.dasschnelle.at/hehenberger-klaus-mag-wels-maria-theresia-straße","Website")</f>
        <v>Website</v>
      </c>
      <c r="C3308" t="str">
        <f>HYPERLINK("http://www.ra-hehenberger.at","Website")</f>
        <v>Website</v>
      </c>
      <c r="D3308" t="str">
        <f>HYPERLINK("http://www.google.com/maps/place/48.15308,14.00939","Location")</f>
        <v>Location</v>
      </c>
      <c r="E3308" t="s">
        <v>28845</v>
      </c>
      <c r="F3308" t="s">
        <v>28846</v>
      </c>
      <c r="G3308" t="s">
        <v>4725</v>
      </c>
      <c r="H3308" t="s">
        <v>4754</v>
      </c>
      <c r="I3308" t="s">
        <v>85</v>
      </c>
      <c r="J3308" t="s">
        <v>22</v>
      </c>
      <c r="K3308" t="s">
        <v>28847</v>
      </c>
      <c r="L3308" t="s">
        <v>28850</v>
      </c>
      <c r="M3308" t="s">
        <v>28851</v>
      </c>
      <c r="N3308" t="s">
        <v>28852</v>
      </c>
      <c r="O3308" t="s">
        <v>28853</v>
      </c>
      <c r="P3308" t="s">
        <v>28854</v>
      </c>
      <c r="Q3308" t="s">
        <v>29</v>
      </c>
      <c r="R3308" t="s">
        <v>28848</v>
      </c>
      <c r="S3308" t="s">
        <v>28849</v>
      </c>
    </row>
    <row r="3309" spans="1:19" x14ac:dyDescent="0.25">
      <c r="A3309" s="1">
        <v>3307</v>
      </c>
      <c r="B3309" t="str">
        <f>HYPERLINK("https://www.dasschnelle.at/kohl-peter-dr-med-univ-frohnleiten-römerpark","Website")</f>
        <v>Website</v>
      </c>
      <c r="C3309" t="str">
        <f>HYPERLINK("https://www.dasschnelle.at/kohl-peter-dr-med-univ-frohnleiten-r%C3%B6merpark","Website")</f>
        <v>Website</v>
      </c>
      <c r="D3309" t="str">
        <f>HYPERLINK("http://www.google.com/maps/place/47.269,15.32126","Location")</f>
        <v>Location</v>
      </c>
      <c r="E3309" t="s">
        <v>28855</v>
      </c>
      <c r="F3309" t="s">
        <v>28856</v>
      </c>
      <c r="G3309" t="s">
        <v>7874</v>
      </c>
      <c r="H3309" t="s">
        <v>7875</v>
      </c>
      <c r="I3309" t="s">
        <v>451</v>
      </c>
      <c r="J3309" t="s">
        <v>22</v>
      </c>
      <c r="K3309" t="s">
        <v>28857</v>
      </c>
      <c r="L3309" t="s">
        <v>28860</v>
      </c>
      <c r="M3309" t="s">
        <v>28861</v>
      </c>
      <c r="N3309" t="s">
        <v>28862</v>
      </c>
      <c r="O3309" t="s">
        <v>25</v>
      </c>
      <c r="P3309" t="s">
        <v>28863</v>
      </c>
      <c r="Q3309" t="s">
        <v>29</v>
      </c>
      <c r="R3309" t="s">
        <v>28858</v>
      </c>
      <c r="S3309" t="s">
        <v>28859</v>
      </c>
    </row>
    <row r="3310" spans="1:19" x14ac:dyDescent="0.25">
      <c r="A3310" s="1">
        <v>3308</v>
      </c>
      <c r="B3310" t="str">
        <f>HYPERLINK("https://www.dasschnelle.at/affenzeller-wolfgang-dipl-freistadt-manzenreith","Website")</f>
        <v>Website</v>
      </c>
      <c r="C3310" t="str">
        <f>HYPERLINK("https://www.dasschnelle.at/affenzeller-wolfgang-dipl-freistadt-manzenreith","Website")</f>
        <v>Website</v>
      </c>
      <c r="D3310" t="str">
        <f>HYPERLINK("http://www.google.com/maps/place/48.5103395,14.5134927","Location")</f>
        <v>Location</v>
      </c>
      <c r="E3310" t="s">
        <v>28864</v>
      </c>
      <c r="F3310" t="s">
        <v>28865</v>
      </c>
      <c r="G3310" t="s">
        <v>6891</v>
      </c>
      <c r="H3310" t="s">
        <v>6892</v>
      </c>
      <c r="I3310" t="s">
        <v>85</v>
      </c>
      <c r="J3310" t="s">
        <v>22</v>
      </c>
      <c r="K3310" t="s">
        <v>28866</v>
      </c>
      <c r="L3310" t="s">
        <v>28869</v>
      </c>
      <c r="M3310" t="s">
        <v>25</v>
      </c>
      <c r="N3310" t="s">
        <v>28870</v>
      </c>
      <c r="O3310" t="s">
        <v>25</v>
      </c>
      <c r="P3310" t="s">
        <v>28871</v>
      </c>
      <c r="Q3310" t="s">
        <v>29</v>
      </c>
      <c r="R3310" t="s">
        <v>28867</v>
      </c>
      <c r="S3310" t="s">
        <v>28868</v>
      </c>
    </row>
    <row r="3311" spans="1:19" x14ac:dyDescent="0.25">
      <c r="A3311" s="1">
        <v>3309</v>
      </c>
      <c r="B3311" t="str">
        <f>HYPERLINK("https://www.dasschnelle.at/reformhaus-drogerie-kräuter-u-diät-hohl-eberle-vöcklabruck-stadtplatz","Website")</f>
        <v>Website</v>
      </c>
      <c r="C3311" t="str">
        <f>HYPERLINK("https://www.dasschnelle.at/reformhaus-drogerie-kr%C3%A4uter-u-di%C3%A4t-hohl-eberle-v%C3%B6cklabruck-stadtplatz","Website")</f>
        <v>Website</v>
      </c>
      <c r="D3311" t="str">
        <f>HYPERLINK("http://www.google.com/maps/place/48.0084,13.65418","Location")</f>
        <v>Location</v>
      </c>
      <c r="E3311" t="s">
        <v>28872</v>
      </c>
      <c r="F3311" t="s">
        <v>28873</v>
      </c>
      <c r="G3311" t="s">
        <v>3749</v>
      </c>
      <c r="H3311" t="s">
        <v>3750</v>
      </c>
      <c r="I3311" t="s">
        <v>85</v>
      </c>
      <c r="J3311" t="s">
        <v>22</v>
      </c>
      <c r="K3311" t="s">
        <v>28874</v>
      </c>
      <c r="L3311" t="s">
        <v>28877</v>
      </c>
      <c r="M3311" t="s">
        <v>25</v>
      </c>
      <c r="N3311" t="s">
        <v>28878</v>
      </c>
      <c r="O3311" t="s">
        <v>25</v>
      </c>
      <c r="P3311" t="s">
        <v>28879</v>
      </c>
      <c r="Q3311" t="s">
        <v>29</v>
      </c>
      <c r="R3311" t="s">
        <v>28875</v>
      </c>
      <c r="S3311" t="s">
        <v>28876</v>
      </c>
    </row>
    <row r="3312" spans="1:19" x14ac:dyDescent="0.25">
      <c r="A3312" s="1">
        <v>3310</v>
      </c>
      <c r="B3312" t="str">
        <f>HYPERLINK("https://www.dasschnelle.at/plöckinger-schatzl-thomas-freistadt-sonnbergstraße","Website")</f>
        <v>Website</v>
      </c>
      <c r="C3312" t="str">
        <f>HYPERLINK("http://www.pur-freistadt.at","Website")</f>
        <v>Website</v>
      </c>
      <c r="D3312" t="str">
        <f>HYPERLINK("http://www.google.com/maps/place/48.51572,14.49233","Location")</f>
        <v>Location</v>
      </c>
      <c r="E3312" t="s">
        <v>28880</v>
      </c>
      <c r="F3312" t="s">
        <v>28881</v>
      </c>
      <c r="G3312" t="s">
        <v>6891</v>
      </c>
      <c r="H3312" t="s">
        <v>6892</v>
      </c>
      <c r="I3312" t="s">
        <v>85</v>
      </c>
      <c r="J3312" t="s">
        <v>22</v>
      </c>
      <c r="K3312" t="s">
        <v>28882</v>
      </c>
      <c r="L3312" t="s">
        <v>28885</v>
      </c>
      <c r="M3312" t="s">
        <v>25</v>
      </c>
      <c r="N3312" t="s">
        <v>28886</v>
      </c>
      <c r="O3312" t="s">
        <v>28887</v>
      </c>
      <c r="P3312" t="s">
        <v>28888</v>
      </c>
      <c r="Q3312" t="s">
        <v>29</v>
      </c>
      <c r="R3312" t="s">
        <v>28883</v>
      </c>
      <c r="S3312" t="s">
        <v>28884</v>
      </c>
    </row>
    <row r="3313" spans="1:19" x14ac:dyDescent="0.25">
      <c r="A3313" s="1">
        <v>3311</v>
      </c>
      <c r="B3313" t="str">
        <f>HYPERLINK("https://www.dasschnelle.at/rottner-christine-sankt-georgen-im-attergau-hummelbachgasse","Website")</f>
        <v>Website</v>
      </c>
      <c r="C3313" t="str">
        <f>HYPERLINK("http://www.rottner-beschriftungen.at","Website")</f>
        <v>Website</v>
      </c>
      <c r="D3313" t="str">
        <f>HYPERLINK("http://www.google.com/maps/place/47.93871,13.4895","Location")</f>
        <v>Location</v>
      </c>
      <c r="E3313" t="s">
        <v>28889</v>
      </c>
      <c r="F3313" t="s">
        <v>28890</v>
      </c>
      <c r="G3313" t="s">
        <v>3833</v>
      </c>
      <c r="H3313" t="s">
        <v>26014</v>
      </c>
      <c r="I3313" t="s">
        <v>85</v>
      </c>
      <c r="J3313" t="s">
        <v>22</v>
      </c>
      <c r="K3313" t="s">
        <v>28891</v>
      </c>
      <c r="L3313" t="s">
        <v>28894</v>
      </c>
      <c r="M3313" t="s">
        <v>25</v>
      </c>
      <c r="N3313" t="s">
        <v>28895</v>
      </c>
      <c r="O3313" t="s">
        <v>25</v>
      </c>
      <c r="P3313" t="s">
        <v>28896</v>
      </c>
      <c r="Q3313" t="s">
        <v>29</v>
      </c>
      <c r="R3313" t="s">
        <v>28892</v>
      </c>
      <c r="S3313" t="s">
        <v>28893</v>
      </c>
    </row>
    <row r="3314" spans="1:19" x14ac:dyDescent="0.25">
      <c r="A3314" s="1">
        <v>3312</v>
      </c>
      <c r="B3314" t="str">
        <f>HYPERLINK("https://www.dasschnelle.at/elektrotechnik-mühlthaler-sankt-johann-im-pongau-pöllnstraße","Website")</f>
        <v>Website</v>
      </c>
      <c r="C3314" t="str">
        <f>HYPERLINK("http://www.elektro-muehlthaler.at","Website")</f>
        <v>Website</v>
      </c>
      <c r="D3314" t="str">
        <f>HYPERLINK("http://www.google.com/maps/place/47.3487818,13.1999607","Location")</f>
        <v>Location</v>
      </c>
      <c r="E3314" t="s">
        <v>28897</v>
      </c>
      <c r="F3314" t="s">
        <v>28898</v>
      </c>
      <c r="G3314" t="s">
        <v>24837</v>
      </c>
      <c r="H3314" t="s">
        <v>24838</v>
      </c>
      <c r="I3314" t="s">
        <v>2239</v>
      </c>
      <c r="J3314" t="s">
        <v>22</v>
      </c>
      <c r="K3314" t="s">
        <v>28899</v>
      </c>
      <c r="L3314" t="s">
        <v>28902</v>
      </c>
      <c r="M3314" t="s">
        <v>28903</v>
      </c>
      <c r="N3314" t="s">
        <v>28904</v>
      </c>
      <c r="O3314" t="s">
        <v>25</v>
      </c>
      <c r="P3314" t="s">
        <v>28905</v>
      </c>
      <c r="Q3314" t="s">
        <v>29</v>
      </c>
      <c r="R3314" t="s">
        <v>28900</v>
      </c>
      <c r="S3314" t="s">
        <v>28901</v>
      </c>
    </row>
    <row r="3315" spans="1:19" x14ac:dyDescent="0.25">
      <c r="A3315" s="1">
        <v>3313</v>
      </c>
      <c r="B3315" t="str">
        <f>HYPERLINK("https://www.dasschnelle.at/rottner-werner-st-georgen-im-attergau-hummelbachgasse","Website")</f>
        <v>Website</v>
      </c>
      <c r="C3315" t="str">
        <f>HYPERLINK("http://www.malerei-attergau.at","Website")</f>
        <v>Website</v>
      </c>
      <c r="D3315" t="str">
        <f>HYPERLINK("http://www.google.com/maps/place/47.93871,13.4895","Location")</f>
        <v>Location</v>
      </c>
      <c r="E3315" t="s">
        <v>28906</v>
      </c>
      <c r="F3315" t="s">
        <v>28907</v>
      </c>
      <c r="G3315" t="s">
        <v>3833</v>
      </c>
      <c r="H3315" t="s">
        <v>3834</v>
      </c>
      <c r="I3315" t="s">
        <v>85</v>
      </c>
      <c r="J3315" t="s">
        <v>22</v>
      </c>
      <c r="K3315" t="s">
        <v>28891</v>
      </c>
      <c r="L3315" t="s">
        <v>28908</v>
      </c>
      <c r="M3315" t="s">
        <v>25</v>
      </c>
      <c r="N3315" t="s">
        <v>28909</v>
      </c>
      <c r="O3315" t="s">
        <v>25</v>
      </c>
      <c r="P3315" t="s">
        <v>28910</v>
      </c>
      <c r="Q3315" t="s">
        <v>29</v>
      </c>
      <c r="R3315" t="s">
        <v>28892</v>
      </c>
      <c r="S3315" t="s">
        <v>28893</v>
      </c>
    </row>
    <row r="3316" spans="1:19" x14ac:dyDescent="0.25">
      <c r="A3316" s="1">
        <v>3314</v>
      </c>
      <c r="B3316" t="str">
        <f>HYPERLINK("https://www.dasschnelle.at/pammer-hohner-dachdeckerei-und-spenglerei-gesmbh-oberneukirchen-ledererstraße","Website")</f>
        <v>Website</v>
      </c>
      <c r="C3316" t="str">
        <f>HYPERLINK("http://www.pammer-hohner.at","Website")</f>
        <v>Website</v>
      </c>
      <c r="D3316" t="str">
        <f>HYPERLINK("http://www.google.com/maps/place/48.46293,14.22433","Location")</f>
        <v>Location</v>
      </c>
      <c r="E3316" t="s">
        <v>28911</v>
      </c>
      <c r="F3316" t="s">
        <v>28912</v>
      </c>
      <c r="G3316" t="s">
        <v>28914</v>
      </c>
      <c r="H3316" t="s">
        <v>28915</v>
      </c>
      <c r="I3316" t="s">
        <v>85</v>
      </c>
      <c r="J3316" t="s">
        <v>22</v>
      </c>
      <c r="K3316" t="s">
        <v>28913</v>
      </c>
      <c r="L3316" t="s">
        <v>28918</v>
      </c>
      <c r="M3316" t="s">
        <v>25</v>
      </c>
      <c r="N3316" t="s">
        <v>28919</v>
      </c>
      <c r="O3316" t="s">
        <v>25</v>
      </c>
      <c r="P3316" t="s">
        <v>28920</v>
      </c>
      <c r="Q3316" t="s">
        <v>29</v>
      </c>
      <c r="R3316" t="s">
        <v>28916</v>
      </c>
      <c r="S3316" t="s">
        <v>28917</v>
      </c>
    </row>
    <row r="3317" spans="1:19" x14ac:dyDescent="0.25">
      <c r="A3317" s="1">
        <v>3315</v>
      </c>
      <c r="B3317" t="str">
        <f>HYPERLINK("https://www.dasschnelle.at/taxi-rammerstorfer-oberneukirchen-ringstraße","Website")</f>
        <v>Website</v>
      </c>
      <c r="C3317" t="str">
        <f>HYPERLINK("http://www.rammerstorfer.eu","Website")</f>
        <v>Website</v>
      </c>
      <c r="D3317" t="str">
        <f>HYPERLINK("http://www.google.com/maps/place/48.4642200,14.2300100","Location")</f>
        <v>Location</v>
      </c>
      <c r="E3317" t="s">
        <v>28921</v>
      </c>
      <c r="F3317" t="s">
        <v>28922</v>
      </c>
      <c r="G3317" t="s">
        <v>28914</v>
      </c>
      <c r="H3317" t="s">
        <v>28915</v>
      </c>
      <c r="I3317" t="s">
        <v>85</v>
      </c>
      <c r="J3317" t="s">
        <v>22</v>
      </c>
      <c r="K3317" t="s">
        <v>28923</v>
      </c>
      <c r="L3317" t="s">
        <v>28926</v>
      </c>
      <c r="M3317" t="s">
        <v>25</v>
      </c>
      <c r="N3317" t="s">
        <v>28927</v>
      </c>
      <c r="O3317" t="s">
        <v>25</v>
      </c>
      <c r="P3317" t="s">
        <v>28928</v>
      </c>
      <c r="Q3317" t="s">
        <v>29</v>
      </c>
      <c r="R3317" t="s">
        <v>28924</v>
      </c>
      <c r="S3317" t="s">
        <v>28925</v>
      </c>
    </row>
    <row r="3318" spans="1:19" x14ac:dyDescent="0.25">
      <c r="A3318" s="1">
        <v>3316</v>
      </c>
      <c r="B3318" t="str">
        <f>HYPERLINK("https://www.dasschnelle.at/fahrzeugtechnik-philipp-simetsberger-eschenau-rotheau","Website")</f>
        <v>Website</v>
      </c>
      <c r="C3318" t="str">
        <f>HYPERLINK("http://www.fahrzeugtechnik-simetsberger.at","Website")</f>
        <v>Website</v>
      </c>
      <c r="D3318" t="str">
        <f>HYPERLINK("http://www.google.com/maps/place/48.0688200,15.5990200","Location")</f>
        <v>Location</v>
      </c>
      <c r="E3318" t="s">
        <v>28929</v>
      </c>
      <c r="F3318" t="s">
        <v>28930</v>
      </c>
      <c r="G3318" t="s">
        <v>28932</v>
      </c>
      <c r="H3318" t="s">
        <v>28933</v>
      </c>
      <c r="I3318" t="s">
        <v>177</v>
      </c>
      <c r="J3318" t="s">
        <v>22</v>
      </c>
      <c r="K3318" t="s">
        <v>28931</v>
      </c>
      <c r="L3318" t="s">
        <v>28936</v>
      </c>
      <c r="M3318" t="s">
        <v>25</v>
      </c>
      <c r="N3318" t="s">
        <v>28937</v>
      </c>
      <c r="O3318" t="s">
        <v>25</v>
      </c>
      <c r="P3318" t="s">
        <v>28938</v>
      </c>
      <c r="Q3318" t="s">
        <v>29</v>
      </c>
      <c r="R3318" t="s">
        <v>28934</v>
      </c>
      <c r="S3318" t="s">
        <v>28935</v>
      </c>
    </row>
    <row r="3319" spans="1:19" x14ac:dyDescent="0.25">
      <c r="A3319" s="1">
        <v>3317</v>
      </c>
      <c r="B3319" t="str">
        <f>HYPERLINK("https://www.dasschnelle.at/saxinger-werner-prim-dr-univ-wels-grieskirchner-straße","Website")</f>
        <v>Website</v>
      </c>
      <c r="C3319" t="str">
        <f>HYPERLINK("http://www.dr-saxinger.at","Website")</f>
        <v>Website</v>
      </c>
      <c r="D3319" t="str">
        <f>HYPERLINK("http://www.google.com/maps/place/48.17241,14.01548","Location")</f>
        <v>Location</v>
      </c>
      <c r="E3319" t="s">
        <v>28939</v>
      </c>
      <c r="F3319" t="s">
        <v>28940</v>
      </c>
      <c r="G3319" t="s">
        <v>4725</v>
      </c>
      <c r="H3319" t="s">
        <v>4754</v>
      </c>
      <c r="I3319" t="s">
        <v>85</v>
      </c>
      <c r="J3319" t="s">
        <v>22</v>
      </c>
      <c r="K3319" t="s">
        <v>28941</v>
      </c>
      <c r="L3319" t="s">
        <v>28944</v>
      </c>
      <c r="M3319" t="s">
        <v>25</v>
      </c>
      <c r="N3319" t="s">
        <v>28945</v>
      </c>
      <c r="O3319" t="s">
        <v>28946</v>
      </c>
      <c r="P3319" t="s">
        <v>28947</v>
      </c>
      <c r="Q3319" t="s">
        <v>29</v>
      </c>
      <c r="R3319" t="s">
        <v>28942</v>
      </c>
      <c r="S3319" t="s">
        <v>28943</v>
      </c>
    </row>
    <row r="3320" spans="1:19" x14ac:dyDescent="0.25">
      <c r="A3320" s="1">
        <v>3318</v>
      </c>
      <c r="B3320" t="str">
        <f>HYPERLINK("https://www.dasschnelle.at/stiefmüller-norbert-mag-stadl-traun-maximilian-pagl-straße","Website")</f>
        <v>Website</v>
      </c>
      <c r="C3320" t="str">
        <f>HYPERLINK("http://www.rechtsvertretung.cc","Website")</f>
        <v>Website</v>
      </c>
      <c r="D3320" t="str">
        <f>HYPERLINK("http://www.google.com/maps/place/48.08557,13.87165","Location")</f>
        <v>Location</v>
      </c>
      <c r="E3320" t="s">
        <v>28948</v>
      </c>
      <c r="F3320" t="s">
        <v>28949</v>
      </c>
      <c r="G3320" t="s">
        <v>10875</v>
      </c>
      <c r="H3320" t="s">
        <v>14798</v>
      </c>
      <c r="I3320" t="s">
        <v>85</v>
      </c>
      <c r="J3320" t="s">
        <v>22</v>
      </c>
      <c r="K3320" t="s">
        <v>28950</v>
      </c>
      <c r="L3320" t="s">
        <v>28953</v>
      </c>
      <c r="M3320" t="s">
        <v>25</v>
      </c>
      <c r="N3320" t="s">
        <v>28954</v>
      </c>
      <c r="O3320" t="s">
        <v>28955</v>
      </c>
      <c r="P3320" t="s">
        <v>28956</v>
      </c>
      <c r="Q3320" t="s">
        <v>29</v>
      </c>
      <c r="R3320" t="s">
        <v>28951</v>
      </c>
      <c r="S3320" t="s">
        <v>28952</v>
      </c>
    </row>
    <row r="3321" spans="1:19" x14ac:dyDescent="0.25">
      <c r="A3321" s="1">
        <v>3319</v>
      </c>
      <c r="B3321" t="str">
        <f>HYPERLINK("https://www.dasschnelle.at/stockhammer-josef-und-sohn-installationsgesmbh-landeck-marktplatz","Website")</f>
        <v>Website</v>
      </c>
      <c r="C3321" t="str">
        <f>HYPERLINK("http://www.stockhammer.tirol","Website")</f>
        <v>Website</v>
      </c>
      <c r="D3321" t="str">
        <f>HYPERLINK("http://www.google.com/maps/place/47.13876,10.56762","Location")</f>
        <v>Location</v>
      </c>
      <c r="E3321" t="s">
        <v>28957</v>
      </c>
      <c r="F3321" t="s">
        <v>28958</v>
      </c>
      <c r="G3321" t="s">
        <v>1279</v>
      </c>
      <c r="H3321" t="s">
        <v>1280</v>
      </c>
      <c r="I3321" t="s">
        <v>21</v>
      </c>
      <c r="J3321" t="s">
        <v>22</v>
      </c>
      <c r="K3321" t="s">
        <v>1394</v>
      </c>
      <c r="L3321" t="s">
        <v>28961</v>
      </c>
      <c r="M3321" t="s">
        <v>25</v>
      </c>
      <c r="N3321" t="s">
        <v>28962</v>
      </c>
      <c r="O3321" t="s">
        <v>25</v>
      </c>
      <c r="P3321" t="s">
        <v>28963</v>
      </c>
      <c r="Q3321" t="s">
        <v>29</v>
      </c>
      <c r="R3321" t="s">
        <v>28959</v>
      </c>
      <c r="S3321" t="s">
        <v>28960</v>
      </c>
    </row>
    <row r="3322" spans="1:19" x14ac:dyDescent="0.25">
      <c r="A3322" s="1">
        <v>3320</v>
      </c>
      <c r="B3322" t="str">
        <f>HYPERLINK("https://www.dasschnelle.at/mayr-sieglinde-mag-wels-martin-luther-platz","Website")</f>
        <v>Website</v>
      </c>
      <c r="C3322" t="str">
        <f>HYPERLINK("http://www.wt-mayr.at","Website")</f>
        <v>Website</v>
      </c>
      <c r="D3322" t="str">
        <f>HYPERLINK("http://www.google.com/maps/place/48.16104,14.0255","Location")</f>
        <v>Location</v>
      </c>
      <c r="E3322" t="s">
        <v>28964</v>
      </c>
      <c r="F3322" t="s">
        <v>28965</v>
      </c>
      <c r="G3322" t="s">
        <v>4725</v>
      </c>
      <c r="H3322" t="s">
        <v>4754</v>
      </c>
      <c r="I3322" t="s">
        <v>85</v>
      </c>
      <c r="J3322" t="s">
        <v>22</v>
      </c>
      <c r="K3322" t="s">
        <v>28966</v>
      </c>
      <c r="L3322" t="s">
        <v>28969</v>
      </c>
      <c r="M3322" t="s">
        <v>25</v>
      </c>
      <c r="N3322" t="s">
        <v>28970</v>
      </c>
      <c r="O3322" t="s">
        <v>25</v>
      </c>
      <c r="P3322" t="s">
        <v>28971</v>
      </c>
      <c r="Q3322" t="s">
        <v>29</v>
      </c>
      <c r="R3322" t="s">
        <v>28967</v>
      </c>
      <c r="S3322" t="s">
        <v>28968</v>
      </c>
    </row>
    <row r="3323" spans="1:19" x14ac:dyDescent="0.25">
      <c r="A3323" s="1">
        <v>3321</v>
      </c>
      <c r="B3323" t="str">
        <f>HYPERLINK("https://www.dasschnelle.at/metall-u-designwerkstätte-karl-gmbh-und-co-kg-ottensheim-gewerbepark","Website")</f>
        <v>Website</v>
      </c>
      <c r="C3323" t="str">
        <f>HYPERLINK("http://www.mdwkarl.at","Website")</f>
        <v>Website</v>
      </c>
      <c r="D3323" t="str">
        <f>HYPERLINK("http://www.google.com/maps/place/48.34101,14.16407","Location")</f>
        <v>Location</v>
      </c>
      <c r="E3323" t="s">
        <v>28972</v>
      </c>
      <c r="F3323" t="s">
        <v>28973</v>
      </c>
      <c r="G3323" t="s">
        <v>28603</v>
      </c>
      <c r="H3323" t="s">
        <v>28604</v>
      </c>
      <c r="I3323" t="s">
        <v>85</v>
      </c>
      <c r="J3323" t="s">
        <v>22</v>
      </c>
      <c r="K3323" t="s">
        <v>28013</v>
      </c>
      <c r="L3323" t="s">
        <v>28976</v>
      </c>
      <c r="M3323" t="s">
        <v>25</v>
      </c>
      <c r="N3323" t="s">
        <v>28977</v>
      </c>
      <c r="O3323" t="s">
        <v>25</v>
      </c>
      <c r="P3323" t="s">
        <v>28978</v>
      </c>
      <c r="Q3323" t="s">
        <v>29</v>
      </c>
      <c r="R3323" t="s">
        <v>28974</v>
      </c>
      <c r="S3323" t="s">
        <v>28975</v>
      </c>
    </row>
    <row r="3324" spans="1:19" x14ac:dyDescent="0.25">
      <c r="A3324" s="1">
        <v>3322</v>
      </c>
      <c r="B3324" t="str">
        <f>HYPERLINK("https://www.dasschnelle.at/mayer-tortechnik-gmbh-ottensheim-hostauerstraße","Website")</f>
        <v>Website</v>
      </c>
      <c r="C3324" t="str">
        <f>HYPERLINK("http://www.mayer-tortechnik.at","Website")</f>
        <v>Website</v>
      </c>
      <c r="D3324" t="str">
        <f>HYPERLINK("http://www.google.com/maps/place/48.3411094,14.1662597","Location")</f>
        <v>Location</v>
      </c>
      <c r="E3324" t="s">
        <v>28979</v>
      </c>
      <c r="F3324" t="s">
        <v>28980</v>
      </c>
      <c r="G3324" t="s">
        <v>28603</v>
      </c>
      <c r="H3324" t="s">
        <v>28604</v>
      </c>
      <c r="I3324" t="s">
        <v>85</v>
      </c>
      <c r="J3324" t="s">
        <v>22</v>
      </c>
      <c r="K3324" t="s">
        <v>28981</v>
      </c>
      <c r="L3324" t="s">
        <v>28984</v>
      </c>
      <c r="M3324" t="s">
        <v>25</v>
      </c>
      <c r="N3324" t="s">
        <v>28985</v>
      </c>
      <c r="O3324" t="s">
        <v>25</v>
      </c>
      <c r="P3324" t="s">
        <v>28986</v>
      </c>
      <c r="Q3324" t="s">
        <v>29</v>
      </c>
      <c r="R3324" t="s">
        <v>28982</v>
      </c>
      <c r="S3324" t="s">
        <v>28983</v>
      </c>
    </row>
    <row r="3325" spans="1:19" x14ac:dyDescent="0.25">
      <c r="A3325" s="1">
        <v>3323</v>
      </c>
      <c r="B3325" t="str">
        <f>HYPERLINK("https://www.dasschnelle.at/the-body-lounge-walding-reiterstraße","Website")</f>
        <v>Website</v>
      </c>
      <c r="C3325" t="str">
        <f>HYPERLINK("http://www.thebodylounge.at/","Website")</f>
        <v>Website</v>
      </c>
      <c r="D3325" t="str">
        <f>HYPERLINK("http://www.google.com/maps/place/48.34965,14.15775","Location")</f>
        <v>Location</v>
      </c>
      <c r="E3325" t="s">
        <v>28987</v>
      </c>
      <c r="F3325" t="s">
        <v>28988</v>
      </c>
      <c r="G3325" t="s">
        <v>28393</v>
      </c>
      <c r="H3325" t="s">
        <v>28394</v>
      </c>
      <c r="I3325" t="s">
        <v>85</v>
      </c>
      <c r="J3325" t="s">
        <v>22</v>
      </c>
      <c r="K3325" t="s">
        <v>28989</v>
      </c>
      <c r="L3325" t="s">
        <v>28992</v>
      </c>
      <c r="M3325" t="s">
        <v>25</v>
      </c>
      <c r="N3325" t="s">
        <v>28993</v>
      </c>
      <c r="O3325" t="s">
        <v>28994</v>
      </c>
      <c r="P3325" t="s">
        <v>28995</v>
      </c>
      <c r="Q3325" t="s">
        <v>29</v>
      </c>
      <c r="R3325" t="s">
        <v>28990</v>
      </c>
      <c r="S3325" t="s">
        <v>28991</v>
      </c>
    </row>
    <row r="3326" spans="1:19" x14ac:dyDescent="0.25">
      <c r="A3326" s="1">
        <v>3324</v>
      </c>
      <c r="B3326" t="str">
        <f>HYPERLINK("https://www.dasschnelle.at/geiger-hermann-mag-sieghartskirchen-koglerstraße","Website")</f>
        <v>Website</v>
      </c>
      <c r="C3326" t="str">
        <f>HYPERLINK("http://www.bestattung-geiger.at","Website")</f>
        <v>Website</v>
      </c>
      <c r="D3326" t="str">
        <f>HYPERLINK("http://www.google.com/maps/place/48.2491200,16.0121800","Location")</f>
        <v>Location</v>
      </c>
      <c r="E3326" t="s">
        <v>28996</v>
      </c>
      <c r="F3326" t="s">
        <v>28997</v>
      </c>
      <c r="G3326" t="s">
        <v>9534</v>
      </c>
      <c r="H3326" t="s">
        <v>9535</v>
      </c>
      <c r="I3326" t="s">
        <v>177</v>
      </c>
      <c r="J3326" t="s">
        <v>22</v>
      </c>
      <c r="K3326" t="s">
        <v>28998</v>
      </c>
      <c r="L3326" t="s">
        <v>29001</v>
      </c>
      <c r="M3326" t="s">
        <v>29002</v>
      </c>
      <c r="N3326" t="s">
        <v>29003</v>
      </c>
      <c r="O3326" t="s">
        <v>29004</v>
      </c>
      <c r="P3326" t="s">
        <v>29005</v>
      </c>
      <c r="Q3326" t="s">
        <v>29</v>
      </c>
      <c r="R3326" t="s">
        <v>28999</v>
      </c>
      <c r="S3326" t="s">
        <v>29000</v>
      </c>
    </row>
    <row r="3327" spans="1:19" x14ac:dyDescent="0.25">
      <c r="A3327" s="1">
        <v>3325</v>
      </c>
      <c r="B3327" t="str">
        <f>HYPERLINK("https://www.dasschnelle.at/klingelbrunner-dominik-kritzendorf-hauptstraße","Website")</f>
        <v>Website</v>
      </c>
      <c r="C3327" t="str">
        <f>HYPERLINK("https://hausundgartenklingelbrunner.jimdofree.com","Website")</f>
        <v>Website</v>
      </c>
      <c r="D3327" t="str">
        <f>HYPERLINK("http://www.google.com/maps/place/48.34427,16.2911","Location")</f>
        <v>Location</v>
      </c>
      <c r="E3327" t="s">
        <v>29006</v>
      </c>
      <c r="F3327" t="s">
        <v>29007</v>
      </c>
      <c r="G3327" t="s">
        <v>26282</v>
      </c>
      <c r="H3327" t="s">
        <v>26283</v>
      </c>
      <c r="I3327" t="s">
        <v>177</v>
      </c>
      <c r="J3327" t="s">
        <v>22</v>
      </c>
      <c r="K3327" t="s">
        <v>29008</v>
      </c>
      <c r="L3327" t="s">
        <v>29011</v>
      </c>
      <c r="M3327" t="s">
        <v>25</v>
      </c>
      <c r="N3327" t="s">
        <v>29012</v>
      </c>
      <c r="O3327" t="s">
        <v>29013</v>
      </c>
      <c r="P3327" t="s">
        <v>29014</v>
      </c>
      <c r="Q3327" t="s">
        <v>29</v>
      </c>
      <c r="R3327" t="s">
        <v>29009</v>
      </c>
      <c r="S3327" t="s">
        <v>29010</v>
      </c>
    </row>
    <row r="3328" spans="1:19" x14ac:dyDescent="0.25">
      <c r="A3328" s="1">
        <v>3326</v>
      </c>
      <c r="B3328" t="str">
        <f>HYPERLINK("https://www.dasschnelle.at/frieberger-thomas-ing-st-andrä-wördern-greifensteinerstraße","Website")</f>
        <v>Website</v>
      </c>
      <c r="C3328" t="str">
        <f>HYPERLINK("http://www.installateur-frieberger.at","Website")</f>
        <v>Website</v>
      </c>
      <c r="D3328" t="str">
        <f>HYPERLINK("http://www.google.com/maps/place/48.32376,16.21151","Location")</f>
        <v>Location</v>
      </c>
      <c r="E3328" t="s">
        <v>29015</v>
      </c>
      <c r="F3328" t="s">
        <v>29016</v>
      </c>
      <c r="G3328" t="s">
        <v>27899</v>
      </c>
      <c r="H3328" t="s">
        <v>27900</v>
      </c>
      <c r="I3328" t="s">
        <v>177</v>
      </c>
      <c r="J3328" t="s">
        <v>22</v>
      </c>
      <c r="K3328" t="s">
        <v>29017</v>
      </c>
      <c r="L3328" t="s">
        <v>29020</v>
      </c>
      <c r="M3328" t="s">
        <v>25</v>
      </c>
      <c r="N3328" t="s">
        <v>29021</v>
      </c>
      <c r="O3328" t="s">
        <v>25</v>
      </c>
      <c r="P3328" t="s">
        <v>29022</v>
      </c>
      <c r="Q3328" t="s">
        <v>29</v>
      </c>
      <c r="R3328" t="s">
        <v>29018</v>
      </c>
      <c r="S3328" t="s">
        <v>29019</v>
      </c>
    </row>
    <row r="3329" spans="1:19" x14ac:dyDescent="0.25">
      <c r="A3329" s="1">
        <v>3327</v>
      </c>
      <c r="B3329" t="str">
        <f>HYPERLINK("https://www.dasschnelle.at/reindl-gesmbh-sankt-willibald-gewerbepark","Website")</f>
        <v>Website</v>
      </c>
      <c r="C3329" t="str">
        <f>HYPERLINK("http://www.reindl.at","Website")</f>
        <v>Website</v>
      </c>
      <c r="D3329" t="str">
        <f>HYPERLINK("http://www.google.com/maps/place/48.35765,13.69623","Location")</f>
        <v>Location</v>
      </c>
      <c r="E3329" t="s">
        <v>29023</v>
      </c>
      <c r="F3329" t="s">
        <v>29024</v>
      </c>
      <c r="G3329" t="s">
        <v>28283</v>
      </c>
      <c r="H3329" t="s">
        <v>29026</v>
      </c>
      <c r="I3329" t="s">
        <v>85</v>
      </c>
      <c r="J3329" t="s">
        <v>22</v>
      </c>
      <c r="K3329" t="s">
        <v>29025</v>
      </c>
      <c r="L3329" t="s">
        <v>29029</v>
      </c>
      <c r="M3329" t="s">
        <v>25</v>
      </c>
      <c r="N3329" t="s">
        <v>29030</v>
      </c>
      <c r="O3329" t="s">
        <v>25</v>
      </c>
      <c r="P3329" t="s">
        <v>697</v>
      </c>
      <c r="Q3329" t="s">
        <v>29</v>
      </c>
      <c r="R3329" t="s">
        <v>29027</v>
      </c>
      <c r="S3329" t="s">
        <v>29028</v>
      </c>
    </row>
    <row r="3330" spans="1:19" x14ac:dyDescent="0.25">
      <c r="A3330" s="1">
        <v>3328</v>
      </c>
      <c r="B3330" t="str">
        <f>HYPERLINK("https://www.dasschnelle.at/auto-scharnböck-münzkirchen-eisenbirn","Website")</f>
        <v>Website</v>
      </c>
      <c r="C3330" t="str">
        <f>HYPERLINK("https://www.dasschnelle.at/auto-scharnb%C3%B6ck-m%C3%BCnzkirchen-eisenbirn","Website")</f>
        <v>Website</v>
      </c>
      <c r="D3330" t="str">
        <f>HYPERLINK("http://www.google.com/maps/place/48.4723483,13.5611661","Location")</f>
        <v>Location</v>
      </c>
      <c r="E3330" t="s">
        <v>29031</v>
      </c>
      <c r="F3330" t="s">
        <v>29032</v>
      </c>
      <c r="G3330" t="s">
        <v>11983</v>
      </c>
      <c r="H3330" t="s">
        <v>24220</v>
      </c>
      <c r="I3330" t="s">
        <v>85</v>
      </c>
      <c r="J3330" t="s">
        <v>22</v>
      </c>
      <c r="K3330" t="s">
        <v>29033</v>
      </c>
      <c r="L3330" t="s">
        <v>29036</v>
      </c>
      <c r="M3330" t="s">
        <v>25</v>
      </c>
      <c r="N3330" t="s">
        <v>29037</v>
      </c>
      <c r="O3330" t="s">
        <v>25</v>
      </c>
      <c r="P3330" t="s">
        <v>29038</v>
      </c>
      <c r="Q3330" t="s">
        <v>29</v>
      </c>
      <c r="R3330" t="s">
        <v>29034</v>
      </c>
      <c r="S3330" t="s">
        <v>29035</v>
      </c>
    </row>
    <row r="3331" spans="1:19" x14ac:dyDescent="0.25">
      <c r="A3331" s="1">
        <v>3329</v>
      </c>
      <c r="B3331" t="str">
        <f>HYPERLINK("https://www.dasschnelle.at/reisinger-vital-und-schön-karin-andorf-seifriedsedt","Website")</f>
        <v>Website</v>
      </c>
      <c r="C3331" t="str">
        <f>HYPERLINK("https://www.dasschnelle.at/reisinger-vital-und-sch%C3%B6n-karin-andorf-seifriedsedt","Website")</f>
        <v>Website</v>
      </c>
      <c r="D3331" t="str">
        <f>HYPERLINK("http://www.google.com/maps/place/48.3889724,13.5876543","Location")</f>
        <v>Location</v>
      </c>
      <c r="E3331" t="s">
        <v>29039</v>
      </c>
      <c r="F3331" t="s">
        <v>29040</v>
      </c>
      <c r="G3331" t="s">
        <v>26299</v>
      </c>
      <c r="H3331" t="s">
        <v>26300</v>
      </c>
      <c r="I3331" t="s">
        <v>85</v>
      </c>
      <c r="J3331" t="s">
        <v>22</v>
      </c>
      <c r="K3331" t="s">
        <v>29041</v>
      </c>
      <c r="L3331" t="s">
        <v>29044</v>
      </c>
      <c r="M3331" t="s">
        <v>25</v>
      </c>
      <c r="N3331" t="s">
        <v>25</v>
      </c>
      <c r="O3331" t="s">
        <v>25</v>
      </c>
      <c r="P3331" t="s">
        <v>29045</v>
      </c>
      <c r="Q3331" t="s">
        <v>29</v>
      </c>
      <c r="R3331" t="s">
        <v>29042</v>
      </c>
      <c r="S3331" t="s">
        <v>29043</v>
      </c>
    </row>
    <row r="3332" spans="1:19" x14ac:dyDescent="0.25">
      <c r="A3332" s="1">
        <v>3330</v>
      </c>
      <c r="B3332" t="str">
        <f>HYPERLINK("https://www.dasschnelle.at/pizzeria-da-gino-engelhartszell-marktplatz","Website")</f>
        <v>Website</v>
      </c>
      <c r="C3332" t="str">
        <f>HYPERLINK("http://www.pizzeria-dagino.at","Website")</f>
        <v>Website</v>
      </c>
      <c r="D3332" t="str">
        <f>HYPERLINK("http://www.google.com/maps/place/48.5059300,13.7326200","Location")</f>
        <v>Location</v>
      </c>
      <c r="E3332" t="s">
        <v>29046</v>
      </c>
      <c r="F3332" t="s">
        <v>29047</v>
      </c>
      <c r="G3332" t="s">
        <v>29049</v>
      </c>
      <c r="H3332" t="s">
        <v>29050</v>
      </c>
      <c r="I3332" t="s">
        <v>85</v>
      </c>
      <c r="J3332" t="s">
        <v>22</v>
      </c>
      <c r="K3332" t="s">
        <v>29048</v>
      </c>
      <c r="L3332" t="s">
        <v>29053</v>
      </c>
      <c r="M3332" t="s">
        <v>25</v>
      </c>
      <c r="N3332" t="s">
        <v>25</v>
      </c>
      <c r="O3332" t="s">
        <v>25</v>
      </c>
      <c r="P3332" t="s">
        <v>29054</v>
      </c>
      <c r="Q3332" t="s">
        <v>29</v>
      </c>
      <c r="R3332" t="s">
        <v>29051</v>
      </c>
      <c r="S3332" t="s">
        <v>29052</v>
      </c>
    </row>
    <row r="3333" spans="1:19" x14ac:dyDescent="0.25">
      <c r="A3333" s="1">
        <v>3331</v>
      </c>
      <c r="B3333" t="str">
        <f>HYPERLINK("https://www.dasschnelle.at/berger-günther-tulln-an-der-donau-bahnhofstraße","Website")</f>
        <v>Website</v>
      </c>
      <c r="C3333" t="str">
        <f>HYPERLINK("http://www.taxi-berger.at","Website")</f>
        <v>Website</v>
      </c>
      <c r="D3333" t="str">
        <f>HYPERLINK("http://www.google.com/maps/place/48.33072,16.0535","Location")</f>
        <v>Location</v>
      </c>
      <c r="E3333" t="s">
        <v>29055</v>
      </c>
      <c r="F3333" t="s">
        <v>29056</v>
      </c>
      <c r="G3333" t="s">
        <v>9499</v>
      </c>
      <c r="H3333" t="s">
        <v>9500</v>
      </c>
      <c r="I3333" t="s">
        <v>177</v>
      </c>
      <c r="J3333" t="s">
        <v>22</v>
      </c>
      <c r="K3333" t="s">
        <v>4581</v>
      </c>
      <c r="L3333" t="s">
        <v>29059</v>
      </c>
      <c r="M3333" t="s">
        <v>25</v>
      </c>
      <c r="N3333" t="s">
        <v>29060</v>
      </c>
      <c r="O3333" t="s">
        <v>25</v>
      </c>
      <c r="P3333" t="s">
        <v>29061</v>
      </c>
      <c r="Q3333" t="s">
        <v>29</v>
      </c>
      <c r="R3333" t="s">
        <v>29057</v>
      </c>
      <c r="S3333" t="s">
        <v>29058</v>
      </c>
    </row>
    <row r="3334" spans="1:19" x14ac:dyDescent="0.25">
      <c r="A3334" s="1">
        <v>3332</v>
      </c>
      <c r="B3334" t="str">
        <f>HYPERLINK("https://www.dasschnelle.at/hochenthanner-gmbh-rust-im-tullnerfeld-leopold-figl-straße","Website")</f>
        <v>Website</v>
      </c>
      <c r="C3334" t="str">
        <f>HYPERLINK("http://www.hochenthanner.at/","Website")</f>
        <v>Website</v>
      </c>
      <c r="D3334" t="str">
        <f>HYPERLINK("http://www.google.com/maps/place/48.30688,15.9327","Location")</f>
        <v>Location</v>
      </c>
      <c r="E3334" t="s">
        <v>29062</v>
      </c>
      <c r="F3334" t="s">
        <v>29063</v>
      </c>
      <c r="G3334" t="s">
        <v>27525</v>
      </c>
      <c r="H3334" t="s">
        <v>29065</v>
      </c>
      <c r="I3334" t="s">
        <v>177</v>
      </c>
      <c r="J3334" t="s">
        <v>22</v>
      </c>
      <c r="K3334" t="s">
        <v>29064</v>
      </c>
      <c r="L3334" t="s">
        <v>29068</v>
      </c>
      <c r="M3334" t="s">
        <v>29069</v>
      </c>
      <c r="N3334" t="s">
        <v>29070</v>
      </c>
      <c r="O3334" t="s">
        <v>25</v>
      </c>
      <c r="P3334" t="s">
        <v>29071</v>
      </c>
      <c r="Q3334" t="s">
        <v>29</v>
      </c>
      <c r="R3334" t="s">
        <v>29066</v>
      </c>
      <c r="S3334" t="s">
        <v>29067</v>
      </c>
    </row>
    <row r="3335" spans="1:19" x14ac:dyDescent="0.25">
      <c r="A3335" s="1">
        <v>3333</v>
      </c>
      <c r="B3335" t="str">
        <f>HYPERLINK("https://www.dasschnelle.at/blahuschek-gesmbh-langenrohr-tullner-straße","Website")</f>
        <v>Website</v>
      </c>
      <c r="C3335" t="str">
        <f>HYPERLINK("http://www.spar.at/standorte/spar-langenrohr-3442-tullner-strasse-19?icid=sca","Website")</f>
        <v>Website</v>
      </c>
      <c r="D3335" t="str">
        <f>HYPERLINK("http://www.google.com/maps/place/48.30969,16.01324","Location")</f>
        <v>Location</v>
      </c>
      <c r="E3335" t="s">
        <v>29072</v>
      </c>
      <c r="F3335" t="s">
        <v>29073</v>
      </c>
      <c r="G3335" t="s">
        <v>29075</v>
      </c>
      <c r="H3335" t="s">
        <v>29076</v>
      </c>
      <c r="I3335" t="s">
        <v>177</v>
      </c>
      <c r="J3335" t="s">
        <v>22</v>
      </c>
      <c r="K3335" t="s">
        <v>29074</v>
      </c>
      <c r="L3335" t="s">
        <v>29079</v>
      </c>
      <c r="M3335" t="s">
        <v>25</v>
      </c>
      <c r="N3335" t="s">
        <v>29080</v>
      </c>
      <c r="O3335" t="s">
        <v>25</v>
      </c>
      <c r="P3335" t="s">
        <v>29081</v>
      </c>
      <c r="Q3335" t="s">
        <v>29</v>
      </c>
      <c r="R3335" t="s">
        <v>29077</v>
      </c>
      <c r="S3335" t="s">
        <v>29078</v>
      </c>
    </row>
    <row r="3336" spans="1:19" x14ac:dyDescent="0.25">
      <c r="A3336" s="1">
        <v>3334</v>
      </c>
      <c r="B3336" t="str">
        <f>HYPERLINK("https://www.dasschnelle.at/horiba-gmbh-tulln-an-der-donau-kaplanstraße","Website")</f>
        <v>Website</v>
      </c>
      <c r="C3336" t="str">
        <f>HYPERLINK("https://www.horiba.com/at/","Website")</f>
        <v>Website</v>
      </c>
      <c r="D3336" t="str">
        <f>HYPERLINK("http://www.google.com/maps/place/48.32737,16.0777","Location")</f>
        <v>Location</v>
      </c>
      <c r="E3336" t="s">
        <v>29082</v>
      </c>
      <c r="F3336" t="s">
        <v>29083</v>
      </c>
      <c r="G3336" t="s">
        <v>9499</v>
      </c>
      <c r="H3336" t="s">
        <v>9500</v>
      </c>
      <c r="I3336" t="s">
        <v>177</v>
      </c>
      <c r="J3336" t="s">
        <v>22</v>
      </c>
      <c r="K3336" t="s">
        <v>28309</v>
      </c>
      <c r="L3336" t="s">
        <v>29086</v>
      </c>
      <c r="M3336" t="s">
        <v>29087</v>
      </c>
      <c r="N3336" t="s">
        <v>29088</v>
      </c>
      <c r="O3336" t="s">
        <v>25</v>
      </c>
      <c r="P3336" t="s">
        <v>29089</v>
      </c>
      <c r="Q3336" t="s">
        <v>29</v>
      </c>
      <c r="R3336" t="s">
        <v>29084</v>
      </c>
      <c r="S3336" t="s">
        <v>29085</v>
      </c>
    </row>
    <row r="3337" spans="1:19" x14ac:dyDescent="0.25">
      <c r="A3337" s="1">
        <v>3335</v>
      </c>
      <c r="B3337" t="str">
        <f>HYPERLINK("https://www.dasschnelle.at/druck-copy-zentrum-tulln-tulln-an-der-donau-bahnhofstraße","Website")</f>
        <v>Website</v>
      </c>
      <c r="C3337" t="str">
        <f>HYPERLINK("http://www.druckundcopy.at/","Website")</f>
        <v>Website</v>
      </c>
      <c r="D3337" t="str">
        <f>HYPERLINK("http://www.google.com/maps/place/48.33072,16.0535","Location")</f>
        <v>Location</v>
      </c>
      <c r="E3337" t="s">
        <v>29090</v>
      </c>
      <c r="F3337" t="s">
        <v>29091</v>
      </c>
      <c r="G3337" t="s">
        <v>9499</v>
      </c>
      <c r="H3337" t="s">
        <v>9500</v>
      </c>
      <c r="I3337" t="s">
        <v>177</v>
      </c>
      <c r="J3337" t="s">
        <v>22</v>
      </c>
      <c r="K3337" t="s">
        <v>4581</v>
      </c>
      <c r="L3337" t="s">
        <v>29092</v>
      </c>
      <c r="M3337" t="s">
        <v>25</v>
      </c>
      <c r="N3337" t="s">
        <v>29093</v>
      </c>
      <c r="O3337" t="s">
        <v>25</v>
      </c>
      <c r="P3337" t="s">
        <v>29094</v>
      </c>
      <c r="Q3337" t="s">
        <v>29</v>
      </c>
      <c r="R3337" t="s">
        <v>29057</v>
      </c>
      <c r="S3337" t="s">
        <v>29058</v>
      </c>
    </row>
    <row r="3338" spans="1:19" x14ac:dyDescent="0.25">
      <c r="A3338" s="1">
        <v>3336</v>
      </c>
      <c r="B3338" t="str">
        <f>HYPERLINK("https://www.dasschnelle.at/malermeister-schneiber-michelhausen-ruster-straße","Website")</f>
        <v>Website</v>
      </c>
      <c r="C3338" t="str">
        <f>HYPERLINK("http://www.maler-schneiber.at","Website")</f>
        <v>Website</v>
      </c>
      <c r="D3338" t="str">
        <f>HYPERLINK("http://www.google.com/maps/place/48.29201,15.93428","Location")</f>
        <v>Location</v>
      </c>
      <c r="E3338" t="s">
        <v>29095</v>
      </c>
      <c r="F3338" t="s">
        <v>29096</v>
      </c>
      <c r="G3338" t="s">
        <v>27525</v>
      </c>
      <c r="H3338" t="s">
        <v>29098</v>
      </c>
      <c r="I3338" t="s">
        <v>177</v>
      </c>
      <c r="J3338" t="s">
        <v>22</v>
      </c>
      <c r="K3338" t="s">
        <v>29097</v>
      </c>
      <c r="L3338" t="s">
        <v>29101</v>
      </c>
      <c r="M3338" t="s">
        <v>25</v>
      </c>
      <c r="N3338" t="s">
        <v>29102</v>
      </c>
      <c r="O3338" t="s">
        <v>25</v>
      </c>
      <c r="P3338" t="s">
        <v>29103</v>
      </c>
      <c r="Q3338" t="s">
        <v>29</v>
      </c>
      <c r="R3338" t="s">
        <v>29099</v>
      </c>
      <c r="S3338" t="s">
        <v>29100</v>
      </c>
    </row>
    <row r="3339" spans="1:19" x14ac:dyDescent="0.25">
      <c r="A3339" s="1">
        <v>3337</v>
      </c>
      <c r="B3339" t="str">
        <f>HYPERLINK("https://www.dasschnelle.at/ranzenberger-wolfgang-dr-med-wels-pollheimerstraße","Website")</f>
        <v>Website</v>
      </c>
      <c r="C3339" t="str">
        <f>HYPERLINK("http://www.ranzenberger.info","Website")</f>
        <v>Website</v>
      </c>
      <c r="D3339" t="str">
        <f>HYPERLINK("http://www.google.com/maps/place/48.15665,14.02189","Location")</f>
        <v>Location</v>
      </c>
      <c r="E3339" t="s">
        <v>29104</v>
      </c>
      <c r="F3339" t="s">
        <v>29105</v>
      </c>
      <c r="G3339" t="s">
        <v>4725</v>
      </c>
      <c r="H3339" t="s">
        <v>4754</v>
      </c>
      <c r="I3339" t="s">
        <v>85</v>
      </c>
      <c r="J3339" t="s">
        <v>22</v>
      </c>
      <c r="K3339" t="s">
        <v>29106</v>
      </c>
      <c r="L3339" t="s">
        <v>29109</v>
      </c>
      <c r="M3339" t="s">
        <v>25</v>
      </c>
      <c r="N3339" t="s">
        <v>25</v>
      </c>
      <c r="O3339" t="s">
        <v>25</v>
      </c>
      <c r="P3339" t="s">
        <v>29110</v>
      </c>
      <c r="Q3339" t="s">
        <v>29</v>
      </c>
      <c r="R3339" t="s">
        <v>29107</v>
      </c>
      <c r="S3339" t="s">
        <v>29108</v>
      </c>
    </row>
    <row r="3340" spans="1:19" x14ac:dyDescent="0.25">
      <c r="A3340" s="1">
        <v>3338</v>
      </c>
      <c r="B3340" t="str">
        <f>HYPERLINK("https://www.dasschnelle.at/dtp-dentaltechnik-praxl-kg-wels-kreuzpointstraße","Website")</f>
        <v>Website</v>
      </c>
      <c r="C3340" t="str">
        <f>HYPERLINK("https://www.dasschnelle.at/dtp-dentaltechnik-praxl-kg-wels-kreuzpointstra%C3%9Fe","Website")</f>
        <v>Website</v>
      </c>
      <c r="D3340" t="str">
        <f>HYPERLINK("http://www.google.com/maps/place/48.1703,14.02667","Location")</f>
        <v>Location</v>
      </c>
      <c r="E3340" t="s">
        <v>29111</v>
      </c>
      <c r="F3340" t="s">
        <v>29112</v>
      </c>
      <c r="G3340" t="s">
        <v>4725</v>
      </c>
      <c r="H3340" t="s">
        <v>4754</v>
      </c>
      <c r="I3340" t="s">
        <v>85</v>
      </c>
      <c r="J3340" t="s">
        <v>22</v>
      </c>
      <c r="K3340" t="s">
        <v>29113</v>
      </c>
      <c r="L3340" t="s">
        <v>29116</v>
      </c>
      <c r="M3340" t="s">
        <v>25</v>
      </c>
      <c r="N3340" t="s">
        <v>29117</v>
      </c>
      <c r="O3340" t="s">
        <v>25</v>
      </c>
      <c r="P3340" t="s">
        <v>29118</v>
      </c>
      <c r="Q3340" t="s">
        <v>29</v>
      </c>
      <c r="R3340" t="s">
        <v>29114</v>
      </c>
      <c r="S3340" t="s">
        <v>29115</v>
      </c>
    </row>
    <row r="3341" spans="1:19" x14ac:dyDescent="0.25">
      <c r="A3341" s="1">
        <v>3339</v>
      </c>
      <c r="B3341" t="str">
        <f>HYPERLINK("https://www.dasschnelle.at/hiertz-helmut-dr-wels-salzburger-straße","Website")</f>
        <v>Website</v>
      </c>
      <c r="C3341" t="str">
        <f>HYPERLINK("http://www.hiertz.at","Website")</f>
        <v>Website</v>
      </c>
      <c r="D3341" t="str">
        <f>HYPERLINK("http://www.google.com/maps/place/48.15675,14.00594","Location")</f>
        <v>Location</v>
      </c>
      <c r="E3341" t="s">
        <v>29119</v>
      </c>
      <c r="F3341" t="s">
        <v>29120</v>
      </c>
      <c r="G3341" t="s">
        <v>4725</v>
      </c>
      <c r="H3341" t="s">
        <v>4754</v>
      </c>
      <c r="I3341" t="s">
        <v>85</v>
      </c>
      <c r="J3341" t="s">
        <v>22</v>
      </c>
      <c r="K3341" t="s">
        <v>29121</v>
      </c>
      <c r="L3341" t="s">
        <v>29123</v>
      </c>
      <c r="M3341" t="s">
        <v>25</v>
      </c>
      <c r="N3341" t="s">
        <v>29124</v>
      </c>
      <c r="O3341" t="s">
        <v>25</v>
      </c>
      <c r="P3341" t="s">
        <v>29125</v>
      </c>
      <c r="Q3341" t="s">
        <v>29</v>
      </c>
      <c r="R3341" t="s">
        <v>4886</v>
      </c>
      <c r="S3341" t="s">
        <v>29122</v>
      </c>
    </row>
    <row r="3342" spans="1:19" x14ac:dyDescent="0.25">
      <c r="A3342" s="1">
        <v>3340</v>
      </c>
      <c r="B3342" t="str">
        <f>HYPERLINK("https://www.dasschnelle.at/imobilien-bewegen-moser-e-u-rohrbach-an-der-gölsen-hauptplatz","Website")</f>
        <v>Website</v>
      </c>
      <c r="C3342" t="str">
        <f>HYPERLINK("http://www.immobilienbewegen.at","Website")</f>
        <v>Website</v>
      </c>
      <c r="D3342" t="str">
        <f>HYPERLINK("http://www.google.com/maps/place/48.04726,15.74152","Location")</f>
        <v>Location</v>
      </c>
      <c r="E3342" t="s">
        <v>29126</v>
      </c>
      <c r="F3342" t="s">
        <v>29127</v>
      </c>
      <c r="G3342" t="s">
        <v>29129</v>
      </c>
      <c r="H3342" t="s">
        <v>29130</v>
      </c>
      <c r="I3342" t="s">
        <v>177</v>
      </c>
      <c r="J3342" t="s">
        <v>22</v>
      </c>
      <c r="K3342" t="s">
        <v>29128</v>
      </c>
      <c r="L3342" t="s">
        <v>29133</v>
      </c>
      <c r="M3342" t="s">
        <v>25</v>
      </c>
      <c r="N3342" t="s">
        <v>29134</v>
      </c>
      <c r="O3342" t="s">
        <v>25</v>
      </c>
      <c r="P3342" t="s">
        <v>29135</v>
      </c>
      <c r="Q3342" t="s">
        <v>29</v>
      </c>
      <c r="R3342" t="s">
        <v>29131</v>
      </c>
      <c r="S3342" t="s">
        <v>29132</v>
      </c>
    </row>
    <row r="3343" spans="1:19" x14ac:dyDescent="0.25">
      <c r="A3343" s="1">
        <v>3341</v>
      </c>
      <c r="B3343" t="str">
        <f>HYPERLINK("https://www.dasschnelle.at/sprengnagl-franz-elsbach-rechte-bachgasse","Website")</f>
        <v>Website</v>
      </c>
      <c r="C3343" t="str">
        <f>HYPERLINK("http://www.tischlerei-sprengnagl.at","Website")</f>
        <v>Website</v>
      </c>
      <c r="D3343" t="str">
        <f>HYPERLINK("http://www.google.com/maps/place/48.25017,16.04936","Location")</f>
        <v>Location</v>
      </c>
      <c r="E3343" t="s">
        <v>29136</v>
      </c>
      <c r="F3343" t="s">
        <v>29137</v>
      </c>
      <c r="G3343" t="s">
        <v>9534</v>
      </c>
      <c r="H3343" t="s">
        <v>29139</v>
      </c>
      <c r="I3343" t="s">
        <v>177</v>
      </c>
      <c r="J3343" t="s">
        <v>22</v>
      </c>
      <c r="K3343" t="s">
        <v>29138</v>
      </c>
      <c r="L3343" t="s">
        <v>29142</v>
      </c>
      <c r="M3343" t="s">
        <v>25</v>
      </c>
      <c r="N3343" t="s">
        <v>29143</v>
      </c>
      <c r="O3343" t="s">
        <v>25</v>
      </c>
      <c r="P3343" t="s">
        <v>29144</v>
      </c>
      <c r="Q3343" t="s">
        <v>29</v>
      </c>
      <c r="R3343" t="s">
        <v>29140</v>
      </c>
      <c r="S3343" t="s">
        <v>29141</v>
      </c>
    </row>
    <row r="3344" spans="1:19" x14ac:dyDescent="0.25">
      <c r="A3344" s="1">
        <v>3342</v>
      </c>
      <c r="B3344" t="str">
        <f>HYPERLINK("https://www.dasschnelle.at/autohaus-loitz-gmbh-gallneukirchen-linzer-straße","Website")</f>
        <v>Website</v>
      </c>
      <c r="C3344" t="str">
        <f>HYPERLINK("http://www.autohaus-loitz.at","Website")</f>
        <v>Website</v>
      </c>
      <c r="D3344" t="str">
        <f>HYPERLINK("http://www.google.com/maps/place/48.35091,14.41311","Location")</f>
        <v>Location</v>
      </c>
      <c r="E3344" t="s">
        <v>29145</v>
      </c>
      <c r="F3344" t="s">
        <v>29146</v>
      </c>
      <c r="G3344" t="s">
        <v>4075</v>
      </c>
      <c r="H3344" t="s">
        <v>4076</v>
      </c>
      <c r="I3344" t="s">
        <v>85</v>
      </c>
      <c r="J3344" t="s">
        <v>22</v>
      </c>
      <c r="K3344" t="s">
        <v>7154</v>
      </c>
      <c r="L3344" t="s">
        <v>29149</v>
      </c>
      <c r="M3344" t="s">
        <v>25</v>
      </c>
      <c r="N3344" t="s">
        <v>29150</v>
      </c>
      <c r="O3344" t="s">
        <v>25</v>
      </c>
      <c r="P3344" t="s">
        <v>29151</v>
      </c>
      <c r="Q3344" t="s">
        <v>29</v>
      </c>
      <c r="R3344" t="s">
        <v>29147</v>
      </c>
      <c r="S3344" t="s">
        <v>29148</v>
      </c>
    </row>
    <row r="3345" spans="1:19" x14ac:dyDescent="0.25">
      <c r="A3345" s="1">
        <v>3343</v>
      </c>
      <c r="B3345" t="str">
        <f>HYPERLINK("https://www.dasschnelle.at/seiringer-andreas-nußdorf-am-attersee-seestraße","Website")</f>
        <v>Website</v>
      </c>
      <c r="C3345" t="str">
        <f>HYPERLINK("http://www.zimmerei-seiringer.at","Website")</f>
        <v>Website</v>
      </c>
      <c r="D3345" t="str">
        <f>HYPERLINK("http://www.google.com/maps/place/47.8837217,13.5212020","Location")</f>
        <v>Location</v>
      </c>
      <c r="E3345" t="s">
        <v>29152</v>
      </c>
      <c r="F3345" t="s">
        <v>29153</v>
      </c>
      <c r="G3345" t="s">
        <v>3934</v>
      </c>
      <c r="H3345" t="s">
        <v>29155</v>
      </c>
      <c r="I3345" t="s">
        <v>85</v>
      </c>
      <c r="J3345" t="s">
        <v>22</v>
      </c>
      <c r="K3345" t="s">
        <v>29154</v>
      </c>
      <c r="L3345" t="s">
        <v>29158</v>
      </c>
      <c r="M3345" t="s">
        <v>25</v>
      </c>
      <c r="N3345" t="s">
        <v>29159</v>
      </c>
      <c r="O3345" t="s">
        <v>25</v>
      </c>
      <c r="P3345" t="s">
        <v>29160</v>
      </c>
      <c r="Q3345" t="s">
        <v>29</v>
      </c>
      <c r="R3345" t="s">
        <v>29156</v>
      </c>
      <c r="S3345" t="s">
        <v>29157</v>
      </c>
    </row>
    <row r="3346" spans="1:19" x14ac:dyDescent="0.25">
      <c r="A3346" s="1">
        <v>3344</v>
      </c>
      <c r="B3346" t="str">
        <f>HYPERLINK("https://www.dasschnelle.at/lang-gerold-dr-wels-maria-theresia-straße","Website")</f>
        <v>Website</v>
      </c>
      <c r="C3346" t="str">
        <f>HYPERLINK("http://www.notar-lang.at","Website")</f>
        <v>Website</v>
      </c>
      <c r="D3346" t="str">
        <f>HYPERLINK("http://www.google.com/maps/place/48.15588,14.02047","Location")</f>
        <v>Location</v>
      </c>
      <c r="E3346" t="s">
        <v>29161</v>
      </c>
      <c r="F3346" t="s">
        <v>29162</v>
      </c>
      <c r="G3346" t="s">
        <v>4725</v>
      </c>
      <c r="H3346" t="s">
        <v>4754</v>
      </c>
      <c r="I3346" t="s">
        <v>85</v>
      </c>
      <c r="J3346" t="s">
        <v>22</v>
      </c>
      <c r="K3346" t="s">
        <v>29163</v>
      </c>
      <c r="L3346" t="s">
        <v>29166</v>
      </c>
      <c r="M3346" t="s">
        <v>29167</v>
      </c>
      <c r="N3346" t="s">
        <v>29168</v>
      </c>
      <c r="O3346" t="s">
        <v>29169</v>
      </c>
      <c r="P3346" t="s">
        <v>29170</v>
      </c>
      <c r="Q3346" t="s">
        <v>29</v>
      </c>
      <c r="R3346" t="s">
        <v>29164</v>
      </c>
      <c r="S3346" t="s">
        <v>29165</v>
      </c>
    </row>
    <row r="3347" spans="1:19" x14ac:dyDescent="0.25">
      <c r="A3347" s="1">
        <v>3345</v>
      </c>
      <c r="B3347" t="str">
        <f>HYPERLINK("https://www.dasschnelle.at/göttel-harald-dr-marchtrenk-linzer-straße","Website")</f>
        <v>Website</v>
      </c>
      <c r="C3347" t="str">
        <f>HYPERLINK("http://www.ortho-goettel.at","Website")</f>
        <v>Website</v>
      </c>
      <c r="D3347" t="str">
        <f>HYPERLINK("http://www.google.com/maps/place/48.1905,14.11283","Location")</f>
        <v>Location</v>
      </c>
      <c r="E3347" t="s">
        <v>29171</v>
      </c>
      <c r="F3347" t="s">
        <v>29172</v>
      </c>
      <c r="G3347" t="s">
        <v>4902</v>
      </c>
      <c r="H3347" t="s">
        <v>7155</v>
      </c>
      <c r="I3347" t="s">
        <v>85</v>
      </c>
      <c r="J3347" t="s">
        <v>22</v>
      </c>
      <c r="K3347" t="s">
        <v>12717</v>
      </c>
      <c r="L3347" t="s">
        <v>29173</v>
      </c>
      <c r="M3347" t="s">
        <v>25</v>
      </c>
      <c r="N3347" t="s">
        <v>29174</v>
      </c>
      <c r="O3347" t="s">
        <v>25</v>
      </c>
      <c r="P3347" t="s">
        <v>29175</v>
      </c>
      <c r="Q3347" t="s">
        <v>29</v>
      </c>
      <c r="R3347" t="s">
        <v>12718</v>
      </c>
      <c r="S3347" t="s">
        <v>12719</v>
      </c>
    </row>
    <row r="3348" spans="1:19" x14ac:dyDescent="0.25">
      <c r="A3348" s="1">
        <v>3346</v>
      </c>
      <c r="B3348" t="str">
        <f>HYPERLINK("https://www.dasschnelle.at/felleitner-daniel-vöcklabruck-stadtplatz","Website")</f>
        <v>Website</v>
      </c>
      <c r="C3348" t="str">
        <f>HYPERLINK("https://www.dasschnelle.at/felleitner-daniel-v%C3%B6cklabruck-stadtplatz","Website")</f>
        <v>Website</v>
      </c>
      <c r="D3348" t="str">
        <f>HYPERLINK("http://www.google.com/maps/place/48.00734,13.6532","Location")</f>
        <v>Location</v>
      </c>
      <c r="E3348" t="s">
        <v>29176</v>
      </c>
      <c r="F3348" t="s">
        <v>29177</v>
      </c>
      <c r="G3348" t="s">
        <v>3749</v>
      </c>
      <c r="H3348" t="s">
        <v>3750</v>
      </c>
      <c r="I3348" t="s">
        <v>85</v>
      </c>
      <c r="J3348" t="s">
        <v>22</v>
      </c>
      <c r="K3348" t="s">
        <v>18890</v>
      </c>
      <c r="L3348" t="s">
        <v>29179</v>
      </c>
      <c r="M3348" t="s">
        <v>25</v>
      </c>
      <c r="N3348" t="s">
        <v>29180</v>
      </c>
      <c r="O3348" t="s">
        <v>25</v>
      </c>
      <c r="P3348" t="s">
        <v>29181</v>
      </c>
      <c r="Q3348" t="s">
        <v>29</v>
      </c>
      <c r="R3348" t="s">
        <v>25556</v>
      </c>
      <c r="S3348" t="s">
        <v>29178</v>
      </c>
    </row>
    <row r="3349" spans="1:19" x14ac:dyDescent="0.25">
      <c r="A3349" s="1">
        <v>3347</v>
      </c>
      <c r="B3349" t="str">
        <f>HYPERLINK("https://www.dasschnelle.at/hr-reifen-e-u-ottnang-stollenweg","Website")</f>
        <v>Website</v>
      </c>
      <c r="C3349" t="str">
        <f>HYPERLINK("http://www.hausruckreifen.at","Website")</f>
        <v>Website</v>
      </c>
      <c r="D3349" t="str">
        <f>HYPERLINK("http://www.google.com/maps/place/48.07991,13.61721","Location")</f>
        <v>Location</v>
      </c>
      <c r="E3349" t="s">
        <v>29182</v>
      </c>
      <c r="F3349" t="s">
        <v>29183</v>
      </c>
      <c r="G3349" t="s">
        <v>3952</v>
      </c>
      <c r="H3349" t="s">
        <v>3953</v>
      </c>
      <c r="I3349" t="s">
        <v>85</v>
      </c>
      <c r="J3349" t="s">
        <v>22</v>
      </c>
      <c r="K3349" t="s">
        <v>29184</v>
      </c>
      <c r="L3349" t="s">
        <v>29187</v>
      </c>
      <c r="M3349" t="s">
        <v>25</v>
      </c>
      <c r="N3349" t="s">
        <v>29188</v>
      </c>
      <c r="O3349" t="s">
        <v>25</v>
      </c>
      <c r="P3349" t="s">
        <v>29189</v>
      </c>
      <c r="Q3349" t="s">
        <v>29</v>
      </c>
      <c r="R3349" t="s">
        <v>29185</v>
      </c>
      <c r="S3349" t="s">
        <v>29186</v>
      </c>
    </row>
    <row r="3350" spans="1:19" x14ac:dyDescent="0.25">
      <c r="A3350" s="1">
        <v>3348</v>
      </c>
      <c r="B3350" t="str">
        <f>HYPERLINK("https://www.dasschnelle.at/demmerer-gerhard-mariazell-bundesstraße","Website")</f>
        <v>Website</v>
      </c>
      <c r="C3350" t="str">
        <f>HYPERLINK("http://www.demmerer.at","Website")</f>
        <v>Website</v>
      </c>
      <c r="D3350" t="str">
        <f>HYPERLINK("http://www.google.com/maps/place/47.78961,15.30219","Location")</f>
        <v>Location</v>
      </c>
      <c r="E3350" t="s">
        <v>29190</v>
      </c>
      <c r="F3350" t="s">
        <v>29191</v>
      </c>
      <c r="G3350" t="s">
        <v>12529</v>
      </c>
      <c r="H3350" t="s">
        <v>24696</v>
      </c>
      <c r="I3350" t="s">
        <v>451</v>
      </c>
      <c r="J3350" t="s">
        <v>22</v>
      </c>
      <c r="K3350" t="s">
        <v>29192</v>
      </c>
      <c r="L3350" t="s">
        <v>29195</v>
      </c>
      <c r="M3350" t="s">
        <v>25</v>
      </c>
      <c r="N3350" t="s">
        <v>29196</v>
      </c>
      <c r="O3350" t="s">
        <v>25</v>
      </c>
      <c r="P3350" t="s">
        <v>29197</v>
      </c>
      <c r="Q3350" t="s">
        <v>29</v>
      </c>
      <c r="R3350" t="s">
        <v>29193</v>
      </c>
      <c r="S3350" t="s">
        <v>29194</v>
      </c>
    </row>
    <row r="3351" spans="1:19" x14ac:dyDescent="0.25">
      <c r="A3351" s="1">
        <v>3349</v>
      </c>
      <c r="B3351" t="str">
        <f>HYPERLINK("https://www.dasschnelle.at/greifensteiner-manfred-gußwerk-salzatal","Website")</f>
        <v>Website</v>
      </c>
      <c r="C3351" t="str">
        <f>HYPERLINK("http://www.erdbau-greifensteiner.at","Website")</f>
        <v>Website</v>
      </c>
      <c r="D3351" t="str">
        <f>HYPERLINK("http://www.google.com/maps/place/47.71922,15.25112","Location")</f>
        <v>Location</v>
      </c>
      <c r="E3351" t="s">
        <v>29198</v>
      </c>
      <c r="F3351" t="s">
        <v>29199</v>
      </c>
      <c r="G3351" t="s">
        <v>12472</v>
      </c>
      <c r="H3351" t="s">
        <v>12510</v>
      </c>
      <c r="I3351" t="s">
        <v>451</v>
      </c>
      <c r="J3351" t="s">
        <v>22</v>
      </c>
      <c r="K3351" t="s">
        <v>29200</v>
      </c>
      <c r="L3351" t="s">
        <v>29203</v>
      </c>
      <c r="M3351" t="s">
        <v>25</v>
      </c>
      <c r="N3351" t="s">
        <v>29204</v>
      </c>
      <c r="O3351" t="s">
        <v>25</v>
      </c>
      <c r="P3351" t="s">
        <v>29205</v>
      </c>
      <c r="Q3351" t="s">
        <v>29</v>
      </c>
      <c r="R3351" t="s">
        <v>29201</v>
      </c>
      <c r="S3351" t="s">
        <v>29202</v>
      </c>
    </row>
    <row r="3352" spans="1:19" x14ac:dyDescent="0.25">
      <c r="A3352" s="1">
        <v>3350</v>
      </c>
      <c r="B3352" t="str">
        <f>HYPERLINK("https://www.dasschnelle.at/orthopädie-kurt-mayr-gmbh-vöcklabruck-graben","Website")</f>
        <v>Website</v>
      </c>
      <c r="C3352" t="str">
        <f>HYPERLINK("http://www.orthopu00e4die-mayr.at","Website")</f>
        <v>Website</v>
      </c>
      <c r="D3352" t="str">
        <f>HYPERLINK("http://www.google.com/maps/place/48.00684,13.65419","Location")</f>
        <v>Location</v>
      </c>
      <c r="E3352" t="s">
        <v>29206</v>
      </c>
      <c r="F3352" t="s">
        <v>29207</v>
      </c>
      <c r="G3352" t="s">
        <v>3749</v>
      </c>
      <c r="H3352" t="s">
        <v>3750</v>
      </c>
      <c r="I3352" t="s">
        <v>85</v>
      </c>
      <c r="J3352" t="s">
        <v>22</v>
      </c>
      <c r="K3352" t="s">
        <v>26984</v>
      </c>
      <c r="L3352" t="s">
        <v>29208</v>
      </c>
      <c r="M3352" t="s">
        <v>25</v>
      </c>
      <c r="N3352" t="s">
        <v>29209</v>
      </c>
      <c r="O3352" t="s">
        <v>25</v>
      </c>
      <c r="P3352" t="s">
        <v>29210</v>
      </c>
      <c r="Q3352" t="s">
        <v>29</v>
      </c>
      <c r="R3352" t="s">
        <v>26985</v>
      </c>
      <c r="S3352" t="s">
        <v>26986</v>
      </c>
    </row>
    <row r="3353" spans="1:19" x14ac:dyDescent="0.25">
      <c r="A3353" s="1">
        <v>3351</v>
      </c>
      <c r="B3353" t="str">
        <f>HYPERLINK("https://www.dasschnelle.at/zillner-fertigputz-gmbh-andorf-hauptstraße","Website")</f>
        <v>Website</v>
      </c>
      <c r="C3353" t="str">
        <f>HYPERLINK("http://www.zillner-fertigputz.com","Website")</f>
        <v>Website</v>
      </c>
      <c r="D3353" t="str">
        <f>HYPERLINK("http://www.google.com/maps/place/48.36775,13.5672","Location")</f>
        <v>Location</v>
      </c>
      <c r="E3353" t="s">
        <v>29211</v>
      </c>
      <c r="F3353" t="s">
        <v>29212</v>
      </c>
      <c r="G3353" t="s">
        <v>26299</v>
      </c>
      <c r="H3353" t="s">
        <v>26300</v>
      </c>
      <c r="I3353" t="s">
        <v>85</v>
      </c>
      <c r="J3353" t="s">
        <v>22</v>
      </c>
      <c r="K3353" t="s">
        <v>29213</v>
      </c>
      <c r="L3353" t="s">
        <v>29216</v>
      </c>
      <c r="M3353" t="s">
        <v>29217</v>
      </c>
      <c r="N3353" t="s">
        <v>29218</v>
      </c>
      <c r="O3353" t="s">
        <v>25</v>
      </c>
      <c r="P3353" t="s">
        <v>29219</v>
      </c>
      <c r="Q3353" t="s">
        <v>29</v>
      </c>
      <c r="R3353" t="s">
        <v>29214</v>
      </c>
      <c r="S3353" t="s">
        <v>29215</v>
      </c>
    </row>
    <row r="3354" spans="1:19" x14ac:dyDescent="0.25">
      <c r="A3354" s="1">
        <v>3352</v>
      </c>
      <c r="B3354" t="str">
        <f>HYPERLINK("https://www.dasschnelle.at/künzel-painsipp-michaela-mag-painsipp-kurt-mag-feldbach-bürgergasse","Website")</f>
        <v>Website</v>
      </c>
      <c r="C3354" t="str">
        <f>HYPERLINK("http://www.kuenzel.at","Website")</f>
        <v>Website</v>
      </c>
      <c r="D3354" t="str">
        <f>HYPERLINK("http://www.google.com/maps/place/46.95422,15.88951","Location")</f>
        <v>Location</v>
      </c>
      <c r="E3354" t="s">
        <v>29220</v>
      </c>
      <c r="F3354" t="s">
        <v>29221</v>
      </c>
      <c r="G3354" t="s">
        <v>470</v>
      </c>
      <c r="H3354" t="s">
        <v>471</v>
      </c>
      <c r="I3354" t="s">
        <v>451</v>
      </c>
      <c r="J3354" t="s">
        <v>22</v>
      </c>
      <c r="K3354" t="s">
        <v>29222</v>
      </c>
      <c r="L3354" t="s">
        <v>29225</v>
      </c>
      <c r="M3354" t="s">
        <v>25</v>
      </c>
      <c r="N3354" t="s">
        <v>29226</v>
      </c>
      <c r="O3354" t="s">
        <v>25</v>
      </c>
      <c r="P3354" t="s">
        <v>29227</v>
      </c>
      <c r="Q3354" t="s">
        <v>29</v>
      </c>
      <c r="R3354" t="s">
        <v>29223</v>
      </c>
      <c r="S3354" t="s">
        <v>29224</v>
      </c>
    </row>
    <row r="3355" spans="1:19" x14ac:dyDescent="0.25">
      <c r="A3355" s="1">
        <v>3353</v>
      </c>
      <c r="B3355" t="str">
        <f>HYPERLINK("https://www.dasschnelle.at/rauter-gas-wasser-heizung-gmbh-feldkirchen-in-kärnten-gurktaler-straße","Website")</f>
        <v>Website</v>
      </c>
      <c r="C3355" t="str">
        <f>HYPERLINK("http://www.rauter-installationen.at","Website")</f>
        <v>Website</v>
      </c>
      <c r="D3355" t="str">
        <f>HYPERLINK("http://www.google.com/maps/place/46.7228283,14.0980203","Location")</f>
        <v>Location</v>
      </c>
      <c r="E3355" t="s">
        <v>29228</v>
      </c>
      <c r="F3355" t="s">
        <v>29229</v>
      </c>
      <c r="G3355" t="s">
        <v>8498</v>
      </c>
      <c r="H3355" t="s">
        <v>8499</v>
      </c>
      <c r="I3355" t="s">
        <v>4130</v>
      </c>
      <c r="J3355" t="s">
        <v>22</v>
      </c>
      <c r="K3355" t="s">
        <v>29230</v>
      </c>
      <c r="L3355" t="s">
        <v>29233</v>
      </c>
      <c r="M3355" t="s">
        <v>25</v>
      </c>
      <c r="N3355" t="s">
        <v>29234</v>
      </c>
      <c r="O3355" t="s">
        <v>29235</v>
      </c>
      <c r="P3355" t="s">
        <v>29236</v>
      </c>
      <c r="Q3355" t="s">
        <v>29</v>
      </c>
      <c r="R3355" t="s">
        <v>29231</v>
      </c>
      <c r="S3355" t="s">
        <v>29232</v>
      </c>
    </row>
    <row r="3356" spans="1:19" x14ac:dyDescent="0.25">
      <c r="A3356" s="1">
        <v>3354</v>
      </c>
      <c r="B3356" t="str">
        <f>HYPERLINK("https://www.dasschnelle.at/goritschnig-dachdecker-feldkirchen-in-kärnten-waldstraße","Website")</f>
        <v>Website</v>
      </c>
      <c r="C3356" t="str">
        <f>HYPERLINK("https://www.dasschnelle.at/goritschnig-dachdecker-feldkirchen-in-k%C3%A4rnten-waldstra%C3%9Fe","Website")</f>
        <v>Website</v>
      </c>
      <c r="D3356" t="str">
        <f>HYPERLINK("http://www.google.com/maps/place/46.70288,14.15249","Location")</f>
        <v>Location</v>
      </c>
      <c r="E3356" t="s">
        <v>29237</v>
      </c>
      <c r="F3356" t="s">
        <v>29238</v>
      </c>
      <c r="G3356" t="s">
        <v>8498</v>
      </c>
      <c r="H3356" t="s">
        <v>8499</v>
      </c>
      <c r="I3356" t="s">
        <v>4130</v>
      </c>
      <c r="J3356" t="s">
        <v>22</v>
      </c>
      <c r="K3356" t="s">
        <v>29239</v>
      </c>
      <c r="L3356" t="s">
        <v>29242</v>
      </c>
      <c r="M3356" t="s">
        <v>25</v>
      </c>
      <c r="N3356" t="s">
        <v>29243</v>
      </c>
      <c r="O3356" t="s">
        <v>25</v>
      </c>
      <c r="P3356" t="s">
        <v>29244</v>
      </c>
      <c r="Q3356" t="s">
        <v>29</v>
      </c>
      <c r="R3356" t="s">
        <v>29240</v>
      </c>
      <c r="S3356" t="s">
        <v>29241</v>
      </c>
    </row>
    <row r="3357" spans="1:19" x14ac:dyDescent="0.25">
      <c r="A3357" s="1">
        <v>3355</v>
      </c>
      <c r="B3357" t="str">
        <f>HYPERLINK("https://www.dasschnelle.at/röttl-alfred-ing-gmbh-maltschach-maltschach","Website")</f>
        <v>Website</v>
      </c>
      <c r="C3357" t="str">
        <f>HYPERLINK("http://www.roettl.at","Website")</f>
        <v>Website</v>
      </c>
      <c r="D3357" t="str">
        <f>HYPERLINK("http://www.google.com/maps/place/46.7057242,14.1398749","Location")</f>
        <v>Location</v>
      </c>
      <c r="E3357" t="s">
        <v>29245</v>
      </c>
      <c r="F3357" t="s">
        <v>29246</v>
      </c>
      <c r="G3357" t="s">
        <v>8498</v>
      </c>
      <c r="H3357" t="s">
        <v>29248</v>
      </c>
      <c r="I3357" t="s">
        <v>4130</v>
      </c>
      <c r="J3357" t="s">
        <v>22</v>
      </c>
      <c r="K3357" t="s">
        <v>29247</v>
      </c>
      <c r="L3357" t="s">
        <v>29251</v>
      </c>
      <c r="M3357" t="s">
        <v>25</v>
      </c>
      <c r="N3357" t="s">
        <v>29252</v>
      </c>
      <c r="O3357" t="s">
        <v>25</v>
      </c>
      <c r="P3357" t="s">
        <v>29253</v>
      </c>
      <c r="Q3357" t="s">
        <v>29</v>
      </c>
      <c r="R3357" t="s">
        <v>29249</v>
      </c>
      <c r="S3357" t="s">
        <v>29250</v>
      </c>
    </row>
    <row r="3358" spans="1:19" x14ac:dyDescent="0.25">
      <c r="A3358" s="1">
        <v>3356</v>
      </c>
      <c r="B3358" t="str">
        <f>HYPERLINK("https://www.dasschnelle.at/kirschner-benjamin-ladis-obladis","Website")</f>
        <v>Website</v>
      </c>
      <c r="C3358" t="str">
        <f>HYPERLINK("https://www.dasschnelle.at/kirschner-benjamin-ladis-obladis","Website")</f>
        <v>Website</v>
      </c>
      <c r="D3358" t="str">
        <f>HYPERLINK("http://www.google.com/maps/place/47.0719084,10.6470234","Location")</f>
        <v>Location</v>
      </c>
      <c r="E3358" t="s">
        <v>29254</v>
      </c>
      <c r="F3358" t="s">
        <v>29255</v>
      </c>
      <c r="G3358" t="s">
        <v>29257</v>
      </c>
      <c r="H3358" t="s">
        <v>29258</v>
      </c>
      <c r="I3358" t="s">
        <v>21</v>
      </c>
      <c r="J3358" t="s">
        <v>22</v>
      </c>
      <c r="K3358" t="s">
        <v>29256</v>
      </c>
      <c r="L3358" t="s">
        <v>29261</v>
      </c>
      <c r="M3358" t="s">
        <v>25</v>
      </c>
      <c r="N3358" t="s">
        <v>29262</v>
      </c>
      <c r="O3358" t="s">
        <v>25</v>
      </c>
      <c r="P3358" t="s">
        <v>29263</v>
      </c>
      <c r="Q3358" t="s">
        <v>29</v>
      </c>
      <c r="R3358" t="s">
        <v>29259</v>
      </c>
      <c r="S3358" t="s">
        <v>29260</v>
      </c>
    </row>
    <row r="3359" spans="1:19" x14ac:dyDescent="0.25">
      <c r="A3359" s="1">
        <v>3357</v>
      </c>
      <c r="B3359" t="str">
        <f>HYPERLINK("https://www.dasschnelle.at/gabl-bau-fließ-dorf","Website")</f>
        <v>Website</v>
      </c>
      <c r="C3359" t="str">
        <f>HYPERLINK("http://www.gabl-bau.at","Website")</f>
        <v>Website</v>
      </c>
      <c r="D3359" t="str">
        <f>HYPERLINK("http://www.google.com/maps/place/47.12004,10.63437","Location")</f>
        <v>Location</v>
      </c>
      <c r="E3359" t="s">
        <v>29264</v>
      </c>
      <c r="F3359" t="s">
        <v>29265</v>
      </c>
      <c r="G3359" t="s">
        <v>29267</v>
      </c>
      <c r="H3359" t="s">
        <v>29268</v>
      </c>
      <c r="I3359" t="s">
        <v>21</v>
      </c>
      <c r="J3359" t="s">
        <v>22</v>
      </c>
      <c r="K3359" t="s">
        <v>29266</v>
      </c>
      <c r="L3359" t="s">
        <v>29271</v>
      </c>
      <c r="M3359" t="s">
        <v>25</v>
      </c>
      <c r="N3359" t="s">
        <v>29272</v>
      </c>
      <c r="O3359" t="s">
        <v>25</v>
      </c>
      <c r="P3359" t="s">
        <v>29273</v>
      </c>
      <c r="Q3359" t="s">
        <v>29</v>
      </c>
      <c r="R3359" t="s">
        <v>29269</v>
      </c>
      <c r="S3359" t="s">
        <v>29270</v>
      </c>
    </row>
    <row r="3360" spans="1:19" x14ac:dyDescent="0.25">
      <c r="A3360" s="1">
        <v>3358</v>
      </c>
      <c r="B3360" t="str">
        <f>HYPERLINK("https://www.dasschnelle.at/müllner-tulln-an-der-donau-albrechtsgasse","Website")</f>
        <v>Website</v>
      </c>
      <c r="C3360" t="str">
        <f>HYPERLINK("http://www.fusspflegetulln.at","Website")</f>
        <v>Website</v>
      </c>
      <c r="D3360" t="str">
        <f>HYPERLINK("http://www.google.com/maps/place/48.33188,16.05078","Location")</f>
        <v>Location</v>
      </c>
      <c r="E3360" t="s">
        <v>29274</v>
      </c>
      <c r="F3360" t="s">
        <v>29275</v>
      </c>
      <c r="G3360" t="s">
        <v>9499</v>
      </c>
      <c r="H3360" t="s">
        <v>9500</v>
      </c>
      <c r="I3360" t="s">
        <v>177</v>
      </c>
      <c r="J3360" t="s">
        <v>22</v>
      </c>
      <c r="K3360" t="s">
        <v>29276</v>
      </c>
      <c r="L3360" t="s">
        <v>29279</v>
      </c>
      <c r="M3360" t="s">
        <v>25</v>
      </c>
      <c r="N3360" t="s">
        <v>29280</v>
      </c>
      <c r="O3360" t="s">
        <v>25</v>
      </c>
      <c r="P3360" t="s">
        <v>29281</v>
      </c>
      <c r="Q3360" t="s">
        <v>29</v>
      </c>
      <c r="R3360" t="s">
        <v>29277</v>
      </c>
      <c r="S3360" t="s">
        <v>29278</v>
      </c>
    </row>
    <row r="3361" spans="1:19" x14ac:dyDescent="0.25">
      <c r="A3361" s="1">
        <v>3359</v>
      </c>
      <c r="B3361" t="str">
        <f>HYPERLINK("https://www.dasschnelle.at/angelika-gor-wördern-blütenweg","Website")</f>
        <v>Website</v>
      </c>
      <c r="C3361" t="str">
        <f>HYPERLINK("http://www.wundmanagement-pflege.at","Website")</f>
        <v>Website</v>
      </c>
      <c r="D3361" t="str">
        <f>HYPERLINK("http://www.google.com/maps/place/48.3314100,16.2081600","Location")</f>
        <v>Location</v>
      </c>
      <c r="E3361" t="s">
        <v>29282</v>
      </c>
      <c r="F3361" t="s">
        <v>29283</v>
      </c>
      <c r="G3361" t="s">
        <v>27899</v>
      </c>
      <c r="H3361" t="s">
        <v>29285</v>
      </c>
      <c r="I3361" t="s">
        <v>177</v>
      </c>
      <c r="J3361" t="s">
        <v>22</v>
      </c>
      <c r="K3361" t="s">
        <v>29284</v>
      </c>
      <c r="L3361" t="s">
        <v>29288</v>
      </c>
      <c r="M3361" t="s">
        <v>25</v>
      </c>
      <c r="N3361" t="s">
        <v>29289</v>
      </c>
      <c r="O3361" t="s">
        <v>25</v>
      </c>
      <c r="P3361" t="s">
        <v>29290</v>
      </c>
      <c r="Q3361" t="s">
        <v>29</v>
      </c>
      <c r="R3361" t="s">
        <v>29286</v>
      </c>
      <c r="S3361" t="s">
        <v>29287</v>
      </c>
    </row>
    <row r="3362" spans="1:19" x14ac:dyDescent="0.25">
      <c r="A3362" s="1">
        <v>3360</v>
      </c>
      <c r="B3362" t="str">
        <f>HYPERLINK("https://www.dasschnelle.at/gasthaus-zum-fidelen-bauern-oberwang-grossenschwandt","Website")</f>
        <v>Website</v>
      </c>
      <c r="C3362" t="str">
        <f>HYPERLINK("http://www.fideler-bauer.at","Website")</f>
        <v>Website</v>
      </c>
      <c r="D3362" t="str">
        <f>HYPERLINK("http://www.google.com/maps/place/47.8717402,13.4202450","Location")</f>
        <v>Location</v>
      </c>
      <c r="E3362" t="s">
        <v>29291</v>
      </c>
      <c r="F3362" t="s">
        <v>29292</v>
      </c>
      <c r="G3362" t="s">
        <v>6553</v>
      </c>
      <c r="H3362" t="s">
        <v>6554</v>
      </c>
      <c r="I3362" t="s">
        <v>85</v>
      </c>
      <c r="J3362" t="s">
        <v>22</v>
      </c>
      <c r="K3362" t="s">
        <v>29293</v>
      </c>
      <c r="L3362" t="s">
        <v>29296</v>
      </c>
      <c r="M3362" t="s">
        <v>25</v>
      </c>
      <c r="N3362" t="s">
        <v>29297</v>
      </c>
      <c r="O3362" t="s">
        <v>25</v>
      </c>
      <c r="P3362" t="s">
        <v>29298</v>
      </c>
      <c r="Q3362" t="s">
        <v>29</v>
      </c>
      <c r="R3362" t="s">
        <v>29294</v>
      </c>
      <c r="S3362" t="s">
        <v>29295</v>
      </c>
    </row>
    <row r="3363" spans="1:19" x14ac:dyDescent="0.25">
      <c r="A3363" s="1">
        <v>3361</v>
      </c>
      <c r="B3363" t="str">
        <f>HYPERLINK("https://www.dasschnelle.at/eh-pfisterer-sanktr-johann-im-pongau-katzlmoosweg","Website")</f>
        <v>Website</v>
      </c>
      <c r="C3363" t="str">
        <f>HYPERLINK("https://www.dasschnelle.at/eh-pfisterer-sanktr-johann-im-pongau-katzlmoosweg","Website")</f>
        <v>Website</v>
      </c>
      <c r="D3363" t="str">
        <f>HYPERLINK("http://www.google.com/maps/place/47.35975,13.16992","Location")</f>
        <v>Location</v>
      </c>
      <c r="E3363" t="s">
        <v>29299</v>
      </c>
      <c r="F3363" t="s">
        <v>29300</v>
      </c>
      <c r="G3363" t="s">
        <v>24837</v>
      </c>
      <c r="H3363" t="s">
        <v>29302</v>
      </c>
      <c r="I3363" t="s">
        <v>2239</v>
      </c>
      <c r="J3363" t="s">
        <v>22</v>
      </c>
      <c r="K3363" t="s">
        <v>29301</v>
      </c>
      <c r="L3363" t="s">
        <v>29305</v>
      </c>
      <c r="M3363" t="s">
        <v>25</v>
      </c>
      <c r="N3363" t="s">
        <v>29306</v>
      </c>
      <c r="O3363" t="s">
        <v>25</v>
      </c>
      <c r="P3363" t="s">
        <v>29307</v>
      </c>
      <c r="Q3363" t="s">
        <v>29</v>
      </c>
      <c r="R3363" t="s">
        <v>29303</v>
      </c>
      <c r="S3363" t="s">
        <v>29304</v>
      </c>
    </row>
    <row r="3364" spans="1:19" x14ac:dyDescent="0.25">
      <c r="A3364" s="1">
        <v>3362</v>
      </c>
      <c r="B3364" t="str">
        <f>HYPERLINK("https://www.dasschnelle.at/schneider-manfred-michelhausen-korngasse","Website")</f>
        <v>Website</v>
      </c>
      <c r="C3364" t="str">
        <f>HYPERLINK("http://www.schneider-dach.at","Website")</f>
        <v>Website</v>
      </c>
      <c r="D3364" t="str">
        <f>HYPERLINK("http://www.google.com/maps/place/48.28484,15.93359","Location")</f>
        <v>Location</v>
      </c>
      <c r="E3364" t="s">
        <v>29308</v>
      </c>
      <c r="F3364" t="s">
        <v>29309</v>
      </c>
      <c r="G3364" t="s">
        <v>27525</v>
      </c>
      <c r="H3364" t="s">
        <v>29098</v>
      </c>
      <c r="I3364" t="s">
        <v>177</v>
      </c>
      <c r="J3364" t="s">
        <v>22</v>
      </c>
      <c r="K3364" t="s">
        <v>29310</v>
      </c>
      <c r="L3364" t="s">
        <v>29313</v>
      </c>
      <c r="M3364" t="s">
        <v>25</v>
      </c>
      <c r="N3364" t="s">
        <v>29314</v>
      </c>
      <c r="O3364" t="s">
        <v>25</v>
      </c>
      <c r="P3364" t="s">
        <v>29315</v>
      </c>
      <c r="Q3364" t="s">
        <v>29</v>
      </c>
      <c r="R3364" t="s">
        <v>29311</v>
      </c>
      <c r="S3364" t="s">
        <v>29312</v>
      </c>
    </row>
    <row r="3365" spans="1:19" x14ac:dyDescent="0.25">
      <c r="A3365" s="1">
        <v>3363</v>
      </c>
      <c r="B3365" t="str">
        <f>HYPERLINK("https://www.dasschnelle.at/brandstätter-gottfried-fuschl-am-see-perfalleckstraße","Website")</f>
        <v>Website</v>
      </c>
      <c r="C3365" t="str">
        <f>HYPERLINK("http://www.brandstaetter-erdbewegung.at","Website")</f>
        <v>Website</v>
      </c>
      <c r="D3365" t="str">
        <f>HYPERLINK("http://www.google.com/maps/place/47.78462,13.2964","Location")</f>
        <v>Location</v>
      </c>
      <c r="E3365" t="s">
        <v>29316</v>
      </c>
      <c r="F3365" t="s">
        <v>29317</v>
      </c>
      <c r="G3365" t="s">
        <v>29319</v>
      </c>
      <c r="H3365" t="s">
        <v>29320</v>
      </c>
      <c r="I3365" t="s">
        <v>2239</v>
      </c>
      <c r="J3365" t="s">
        <v>22</v>
      </c>
      <c r="K3365" t="s">
        <v>29318</v>
      </c>
      <c r="L3365" t="s">
        <v>29323</v>
      </c>
      <c r="M3365" t="s">
        <v>25</v>
      </c>
      <c r="N3365" t="s">
        <v>29324</v>
      </c>
      <c r="O3365" t="s">
        <v>25</v>
      </c>
      <c r="P3365" t="s">
        <v>29325</v>
      </c>
      <c r="Q3365" t="s">
        <v>29</v>
      </c>
      <c r="R3365" t="s">
        <v>29321</v>
      </c>
      <c r="S3365" t="s">
        <v>29322</v>
      </c>
    </row>
    <row r="3366" spans="1:19" x14ac:dyDescent="0.25">
      <c r="A3366" s="1">
        <v>3364</v>
      </c>
      <c r="B3366" t="str">
        <f>HYPERLINK("https://www.dasschnelle.at/neuner-peter-univ-doz-dr-klosterneuburg-kierlinger-straße","Website")</f>
        <v>Website</v>
      </c>
      <c r="C3366" t="str">
        <f>HYPERLINK("https://www.dasschnelle.at/neuner-peter-univ-doz-dr-klosterneuburg-kierlinger-stra%C3%9Fe","Website")</f>
        <v>Website</v>
      </c>
      <c r="D3366" t="str">
        <f>HYPERLINK("http://www.google.com/maps/place/48.30676,16.31861","Location")</f>
        <v>Location</v>
      </c>
      <c r="E3366" t="s">
        <v>29326</v>
      </c>
      <c r="F3366" t="s">
        <v>29327</v>
      </c>
      <c r="G3366" t="s">
        <v>10308</v>
      </c>
      <c r="H3366" t="s">
        <v>10317</v>
      </c>
      <c r="I3366" t="s">
        <v>177</v>
      </c>
      <c r="J3366" t="s">
        <v>22</v>
      </c>
      <c r="K3366" t="s">
        <v>10332</v>
      </c>
      <c r="L3366" t="s">
        <v>29330</v>
      </c>
      <c r="M3366" t="s">
        <v>25</v>
      </c>
      <c r="N3366" t="s">
        <v>29331</v>
      </c>
      <c r="O3366" t="s">
        <v>25</v>
      </c>
      <c r="P3366" t="s">
        <v>29332</v>
      </c>
      <c r="Q3366" t="s">
        <v>29</v>
      </c>
      <c r="R3366" t="s">
        <v>29328</v>
      </c>
      <c r="S3366" t="s">
        <v>29329</v>
      </c>
    </row>
    <row r="3367" spans="1:19" x14ac:dyDescent="0.25">
      <c r="A3367" s="1">
        <v>3365</v>
      </c>
      <c r="B3367" t="str">
        <f>HYPERLINK("https://www.dasschnelle.at/stuhlberger-putz-gmbh-st-willibald-wamprechtsham","Website")</f>
        <v>Website</v>
      </c>
      <c r="C3367" t="str">
        <f>HYPERLINK("http://www.stuhlberger-putz.at","Website")</f>
        <v>Website</v>
      </c>
      <c r="D3367" t="str">
        <f>HYPERLINK("http://www.google.com/maps/place/48.3630082,13.6736920","Location")</f>
        <v>Location</v>
      </c>
      <c r="E3367" t="s">
        <v>29333</v>
      </c>
      <c r="F3367" t="s">
        <v>29334</v>
      </c>
      <c r="G3367" t="s">
        <v>28283</v>
      </c>
      <c r="H3367" t="s">
        <v>28284</v>
      </c>
      <c r="I3367" t="s">
        <v>85</v>
      </c>
      <c r="J3367" t="s">
        <v>22</v>
      </c>
      <c r="K3367" t="s">
        <v>29335</v>
      </c>
      <c r="L3367" t="s">
        <v>29338</v>
      </c>
      <c r="M3367" t="s">
        <v>25</v>
      </c>
      <c r="N3367" t="s">
        <v>29339</v>
      </c>
      <c r="O3367" t="s">
        <v>25</v>
      </c>
      <c r="P3367" t="s">
        <v>29340</v>
      </c>
      <c r="Q3367" t="s">
        <v>29</v>
      </c>
      <c r="R3367" t="s">
        <v>29336</v>
      </c>
      <c r="S3367" t="s">
        <v>29337</v>
      </c>
    </row>
    <row r="3368" spans="1:19" x14ac:dyDescent="0.25">
      <c r="A3368" s="1">
        <v>3366</v>
      </c>
      <c r="B3368" t="str">
        <f>HYPERLINK("https://www.dasschnelle.at/südsteirische-steuerberatung-gmbh-und-co-kg-leibnitz-hauptplatz","Website")</f>
        <v>Website</v>
      </c>
      <c r="C3368" t="str">
        <f>HYPERLINK("http://www.joku.at","Website")</f>
        <v>Website</v>
      </c>
      <c r="D3368" t="str">
        <f>HYPERLINK("http://www.google.com/maps/place/46.78186,15.54008","Location")</f>
        <v>Location</v>
      </c>
      <c r="E3368" t="s">
        <v>29341</v>
      </c>
      <c r="F3368" t="s">
        <v>29342</v>
      </c>
      <c r="G3368" t="s">
        <v>1013</v>
      </c>
      <c r="H3368" t="s">
        <v>1023</v>
      </c>
      <c r="I3368" t="s">
        <v>451</v>
      </c>
      <c r="J3368" t="s">
        <v>22</v>
      </c>
      <c r="K3368" t="s">
        <v>3621</v>
      </c>
      <c r="L3368" t="s">
        <v>29345</v>
      </c>
      <c r="M3368" t="s">
        <v>25</v>
      </c>
      <c r="N3368" t="s">
        <v>29346</v>
      </c>
      <c r="O3368" t="s">
        <v>25</v>
      </c>
      <c r="P3368" t="s">
        <v>29347</v>
      </c>
      <c r="Q3368" t="s">
        <v>29</v>
      </c>
      <c r="R3368" t="s">
        <v>29343</v>
      </c>
      <c r="S3368" t="s">
        <v>29344</v>
      </c>
    </row>
    <row r="3369" spans="1:19" x14ac:dyDescent="0.25">
      <c r="A3369" s="1">
        <v>3367</v>
      </c>
      <c r="B3369" t="str">
        <f>HYPERLINK("https://www.dasschnelle.at/langthaler-eva-mag-thalheim-bei-wels-salzburger-str","Website")</f>
        <v>Website</v>
      </c>
      <c r="C3369" t="str">
        <f>HYPERLINK("http://www.psychologie-evalangthaler.at","Website")</f>
        <v>Website</v>
      </c>
      <c r="D3369" t="str">
        <f>HYPERLINK("http://www.google.com/maps/place/48.1540865,14.0355742","Location")</f>
        <v>Location</v>
      </c>
      <c r="E3369" t="s">
        <v>29348</v>
      </c>
      <c r="F3369" t="s">
        <v>29349</v>
      </c>
      <c r="G3369" t="s">
        <v>4725</v>
      </c>
      <c r="H3369" t="s">
        <v>4736</v>
      </c>
      <c r="I3369" t="s">
        <v>85</v>
      </c>
      <c r="J3369" t="s">
        <v>22</v>
      </c>
      <c r="K3369" t="s">
        <v>29350</v>
      </c>
      <c r="L3369" t="s">
        <v>29353</v>
      </c>
      <c r="M3369" t="s">
        <v>25</v>
      </c>
      <c r="N3369" t="s">
        <v>29354</v>
      </c>
      <c r="O3369" t="s">
        <v>25</v>
      </c>
      <c r="P3369" t="s">
        <v>29355</v>
      </c>
      <c r="Q3369" t="s">
        <v>29</v>
      </c>
      <c r="R3369" t="s">
        <v>29351</v>
      </c>
      <c r="S3369" t="s">
        <v>29352</v>
      </c>
    </row>
    <row r="3370" spans="1:19" x14ac:dyDescent="0.25">
      <c r="A3370" s="1">
        <v>3368</v>
      </c>
      <c r="B3370" t="str">
        <f>HYPERLINK("https://www.dasschnelle.at/mag-kristin-gusenleitner-wels-spöttlstraße","Website")</f>
        <v>Website</v>
      </c>
      <c r="C3370" t="str">
        <f>HYPERLINK("http://www.psyonline.at/gusenleitner","Website")</f>
        <v>Website</v>
      </c>
      <c r="D3370" t="str">
        <f>HYPERLINK("http://www.google.com/maps/place/48.16504,14.0012","Location")</f>
        <v>Location</v>
      </c>
      <c r="E3370" t="s">
        <v>29356</v>
      </c>
      <c r="F3370" t="s">
        <v>29357</v>
      </c>
      <c r="G3370" t="s">
        <v>4725</v>
      </c>
      <c r="H3370" t="s">
        <v>4754</v>
      </c>
      <c r="I3370" t="s">
        <v>85</v>
      </c>
      <c r="J3370" t="s">
        <v>22</v>
      </c>
      <c r="K3370" t="s">
        <v>29358</v>
      </c>
      <c r="L3370" t="s">
        <v>29361</v>
      </c>
      <c r="M3370" t="s">
        <v>25</v>
      </c>
      <c r="N3370" t="s">
        <v>29362</v>
      </c>
      <c r="O3370" t="s">
        <v>25</v>
      </c>
      <c r="P3370" t="s">
        <v>697</v>
      </c>
      <c r="Q3370" t="s">
        <v>29</v>
      </c>
      <c r="R3370" t="s">
        <v>29359</v>
      </c>
      <c r="S3370" t="s">
        <v>29360</v>
      </c>
    </row>
    <row r="3371" spans="1:19" x14ac:dyDescent="0.25">
      <c r="A3371" s="1">
        <v>3369</v>
      </c>
      <c r="B3371" t="str">
        <f>HYPERLINK("https://www.dasschnelle.at/zauner-bauer-barbara-buchkirchen-hartbergerstraße","Website")</f>
        <v>Website</v>
      </c>
      <c r="C3371" t="str">
        <f>HYPERLINK("http://www.tierarztpraxis-zauner.at","Website")</f>
        <v>Website</v>
      </c>
      <c r="D3371" t="str">
        <f>HYPERLINK("http://www.google.com/maps/place/48.2239700,14.0192300","Location")</f>
        <v>Location</v>
      </c>
      <c r="E3371" t="s">
        <v>29363</v>
      </c>
      <c r="F3371" t="s">
        <v>29364</v>
      </c>
      <c r="G3371" t="s">
        <v>4922</v>
      </c>
      <c r="H3371" t="s">
        <v>4923</v>
      </c>
      <c r="I3371" t="s">
        <v>85</v>
      </c>
      <c r="J3371" t="s">
        <v>22</v>
      </c>
      <c r="K3371" t="s">
        <v>29365</v>
      </c>
      <c r="L3371" t="s">
        <v>29368</v>
      </c>
      <c r="M3371" t="s">
        <v>25</v>
      </c>
      <c r="N3371" t="s">
        <v>29369</v>
      </c>
      <c r="O3371" t="s">
        <v>25</v>
      </c>
      <c r="P3371" t="s">
        <v>29370</v>
      </c>
      <c r="Q3371" t="s">
        <v>29</v>
      </c>
      <c r="R3371" t="s">
        <v>29366</v>
      </c>
      <c r="S3371" t="s">
        <v>29367</v>
      </c>
    </row>
    <row r="3372" spans="1:19" x14ac:dyDescent="0.25">
      <c r="A3372" s="1">
        <v>3370</v>
      </c>
      <c r="B3372" t="str">
        <f>HYPERLINK("https://www.dasschnelle.at/christian-ebenhofer-wels-neinergutstraße","Website")</f>
        <v>Website</v>
      </c>
      <c r="C3372" t="str">
        <f>HYPERLINK("http://www.ebenhofer.co.at","Website")</f>
        <v>Website</v>
      </c>
      <c r="D3372" t="str">
        <f>HYPERLINK("http://www.google.com/maps/place/48.16401,13.98581","Location")</f>
        <v>Location</v>
      </c>
      <c r="E3372" t="s">
        <v>29371</v>
      </c>
      <c r="F3372" t="s">
        <v>29372</v>
      </c>
      <c r="G3372" t="s">
        <v>4725</v>
      </c>
      <c r="H3372" t="s">
        <v>4754</v>
      </c>
      <c r="I3372" t="s">
        <v>85</v>
      </c>
      <c r="J3372" t="s">
        <v>22</v>
      </c>
      <c r="K3372" t="s">
        <v>29373</v>
      </c>
      <c r="L3372" t="s">
        <v>29376</v>
      </c>
      <c r="M3372" t="s">
        <v>25</v>
      </c>
      <c r="N3372" t="s">
        <v>29377</v>
      </c>
      <c r="O3372" t="s">
        <v>25</v>
      </c>
      <c r="P3372" t="s">
        <v>29378</v>
      </c>
      <c r="Q3372" t="s">
        <v>29</v>
      </c>
      <c r="R3372" t="s">
        <v>29374</v>
      </c>
      <c r="S3372" t="s">
        <v>29375</v>
      </c>
    </row>
    <row r="3373" spans="1:19" x14ac:dyDescent="0.25">
      <c r="A3373" s="1">
        <v>3371</v>
      </c>
      <c r="B3373" t="str">
        <f>HYPERLINK("https://www.dasschnelle.at/mareiler-josef-kappl-perpat","Website")</f>
        <v>Website</v>
      </c>
      <c r="C3373" t="str">
        <f>HYPERLINK("http://www.malerei-josef-mareiler.at","Website")</f>
        <v>Website</v>
      </c>
      <c r="D3373" t="str">
        <f>HYPERLINK("http://www.google.com/maps/place/47.07358,10.40589","Location")</f>
        <v>Location</v>
      </c>
      <c r="E3373" t="s">
        <v>29379</v>
      </c>
      <c r="F3373" t="s">
        <v>29380</v>
      </c>
      <c r="G3373" t="s">
        <v>26537</v>
      </c>
      <c r="H3373" t="s">
        <v>26538</v>
      </c>
      <c r="I3373" t="s">
        <v>21</v>
      </c>
      <c r="J3373" t="s">
        <v>22</v>
      </c>
      <c r="K3373" t="s">
        <v>29381</v>
      </c>
      <c r="L3373" t="s">
        <v>29384</v>
      </c>
      <c r="M3373" t="s">
        <v>25</v>
      </c>
      <c r="N3373" t="s">
        <v>29385</v>
      </c>
      <c r="O3373" t="s">
        <v>25</v>
      </c>
      <c r="P3373" t="s">
        <v>29386</v>
      </c>
      <c r="Q3373" t="s">
        <v>29</v>
      </c>
      <c r="R3373" t="s">
        <v>29382</v>
      </c>
      <c r="S3373" t="s">
        <v>29383</v>
      </c>
    </row>
    <row r="3374" spans="1:19" x14ac:dyDescent="0.25">
      <c r="A3374" s="1">
        <v>3372</v>
      </c>
      <c r="B3374" t="str">
        <f>HYPERLINK("https://www.dasschnelle.at/weiß-petra-wels-mühlstraße","Website")</f>
        <v>Website</v>
      </c>
      <c r="C3374" t="str">
        <f>HYPERLINK("http://www.kleintierordination-wels.at","Website")</f>
        <v>Website</v>
      </c>
      <c r="D3374" t="str">
        <f>HYPERLINK("http://www.google.com/maps/place/48.17513,14.06123","Location")</f>
        <v>Location</v>
      </c>
      <c r="E3374" t="s">
        <v>29387</v>
      </c>
      <c r="F3374" t="s">
        <v>29388</v>
      </c>
      <c r="G3374" t="s">
        <v>4725</v>
      </c>
      <c r="H3374" t="s">
        <v>4754</v>
      </c>
      <c r="I3374" t="s">
        <v>85</v>
      </c>
      <c r="J3374" t="s">
        <v>22</v>
      </c>
      <c r="K3374" t="s">
        <v>29389</v>
      </c>
      <c r="L3374" t="s">
        <v>29392</v>
      </c>
      <c r="M3374" t="s">
        <v>25</v>
      </c>
      <c r="N3374" t="s">
        <v>29393</v>
      </c>
      <c r="O3374" t="s">
        <v>25</v>
      </c>
      <c r="P3374" t="s">
        <v>29394</v>
      </c>
      <c r="Q3374" t="s">
        <v>29</v>
      </c>
      <c r="R3374" t="s">
        <v>29390</v>
      </c>
      <c r="S3374" t="s">
        <v>29391</v>
      </c>
    </row>
    <row r="3375" spans="1:19" x14ac:dyDescent="0.25">
      <c r="A3375" s="1">
        <v>3373</v>
      </c>
      <c r="B3375" t="str">
        <f>HYPERLINK("https://www.dasschnelle.at/raml-andreas-dr-pregarten-stadtplatz","Website")</f>
        <v>Website</v>
      </c>
      <c r="C3375" t="str">
        <f>HYPERLINK("http://www.dr-raml.at","Website")</f>
        <v>Website</v>
      </c>
      <c r="D3375" t="str">
        <f>HYPERLINK("http://www.google.com/maps/place/48.3555579,14.5308173","Location")</f>
        <v>Location</v>
      </c>
      <c r="E3375" t="s">
        <v>29395</v>
      </c>
      <c r="F3375" t="s">
        <v>29396</v>
      </c>
      <c r="G3375" t="s">
        <v>25297</v>
      </c>
      <c r="H3375" t="s">
        <v>25298</v>
      </c>
      <c r="I3375" t="s">
        <v>85</v>
      </c>
      <c r="J3375" t="s">
        <v>22</v>
      </c>
      <c r="K3375" t="s">
        <v>29397</v>
      </c>
      <c r="L3375" t="s">
        <v>29400</v>
      </c>
      <c r="M3375" t="s">
        <v>29401</v>
      </c>
      <c r="N3375" t="s">
        <v>29402</v>
      </c>
      <c r="O3375" t="s">
        <v>25</v>
      </c>
      <c r="P3375" t="s">
        <v>29403</v>
      </c>
      <c r="Q3375" t="s">
        <v>29</v>
      </c>
      <c r="R3375" t="s">
        <v>29398</v>
      </c>
      <c r="S3375" t="s">
        <v>29399</v>
      </c>
    </row>
    <row r="3376" spans="1:19" x14ac:dyDescent="0.25">
      <c r="A3376" s="1">
        <v>3374</v>
      </c>
      <c r="B3376" t="str">
        <f>HYPERLINK("https://www.dasschnelle.at/aistleitner-marianne-lasberg-siegelsdorf","Website")</f>
        <v>Website</v>
      </c>
      <c r="C3376" t="str">
        <f>HYPERLINK("http://www.massage-aistleitner.at","Website")</f>
        <v>Website</v>
      </c>
      <c r="D3376" t="str">
        <f>HYPERLINK("http://www.google.com/maps/place/48.4578000,14.5314300","Location")</f>
        <v>Location</v>
      </c>
      <c r="E3376" t="s">
        <v>29404</v>
      </c>
      <c r="F3376" t="s">
        <v>29405</v>
      </c>
      <c r="G3376" t="s">
        <v>29407</v>
      </c>
      <c r="H3376" t="s">
        <v>29408</v>
      </c>
      <c r="I3376" t="s">
        <v>85</v>
      </c>
      <c r="J3376" t="s">
        <v>22</v>
      </c>
      <c r="K3376" t="s">
        <v>29406</v>
      </c>
      <c r="L3376" t="s">
        <v>29411</v>
      </c>
      <c r="M3376" t="s">
        <v>25</v>
      </c>
      <c r="N3376" t="s">
        <v>29412</v>
      </c>
      <c r="O3376" t="s">
        <v>25</v>
      </c>
      <c r="P3376" t="s">
        <v>29413</v>
      </c>
      <c r="Q3376" t="s">
        <v>29</v>
      </c>
      <c r="R3376" t="s">
        <v>29409</v>
      </c>
      <c r="S3376" t="s">
        <v>29410</v>
      </c>
    </row>
    <row r="3377" spans="1:19" x14ac:dyDescent="0.25">
      <c r="A3377" s="1">
        <v>3375</v>
      </c>
      <c r="B3377" t="str">
        <f>HYPERLINK("https://www.dasschnelle.at/lisa-kosmetik-und-fusspflege-vöcklabruck-e-werkstrasse","Website")</f>
        <v>Website</v>
      </c>
      <c r="C3377" t="str">
        <f>HYPERLINK("http://www.lisa-kosmetik.at","Website")</f>
        <v>Website</v>
      </c>
      <c r="D3377" t="str">
        <f>HYPERLINK("http://www.google.com/maps/place/47.9963000,13.6465200","Location")</f>
        <v>Location</v>
      </c>
      <c r="E3377" t="s">
        <v>29414</v>
      </c>
      <c r="F3377" t="s">
        <v>29415</v>
      </c>
      <c r="G3377" t="s">
        <v>3749</v>
      </c>
      <c r="H3377" t="s">
        <v>3750</v>
      </c>
      <c r="I3377" t="s">
        <v>85</v>
      </c>
      <c r="J3377" t="s">
        <v>22</v>
      </c>
      <c r="K3377" t="s">
        <v>29416</v>
      </c>
      <c r="L3377" t="s">
        <v>29419</v>
      </c>
      <c r="M3377" t="s">
        <v>25</v>
      </c>
      <c r="N3377" t="s">
        <v>29420</v>
      </c>
      <c r="O3377" t="s">
        <v>29421</v>
      </c>
      <c r="P3377" t="s">
        <v>29422</v>
      </c>
      <c r="Q3377" t="s">
        <v>29</v>
      </c>
      <c r="R3377" t="s">
        <v>29417</v>
      </c>
      <c r="S3377" t="s">
        <v>29418</v>
      </c>
    </row>
    <row r="3378" spans="1:19" x14ac:dyDescent="0.25">
      <c r="A3378" s="1">
        <v>3376</v>
      </c>
      <c r="B3378" t="str">
        <f>HYPERLINK("https://www.dasschnelle.at/könig-gmbh-ottensheim-sternstraße","Website")</f>
        <v>Website</v>
      </c>
      <c r="C3378" t="str">
        <f>HYPERLINK("http://www.koenig-ot.at","Website")</f>
        <v>Website</v>
      </c>
      <c r="D3378" t="str">
        <f>HYPERLINK("http://www.google.com/maps/place/48.33656,14.16921","Location")</f>
        <v>Location</v>
      </c>
      <c r="E3378" t="s">
        <v>29423</v>
      </c>
      <c r="F3378" t="s">
        <v>29424</v>
      </c>
      <c r="G3378" t="s">
        <v>28603</v>
      </c>
      <c r="H3378" t="s">
        <v>28604</v>
      </c>
      <c r="I3378" t="s">
        <v>85</v>
      </c>
      <c r="J3378" t="s">
        <v>22</v>
      </c>
      <c r="K3378" t="s">
        <v>29425</v>
      </c>
      <c r="L3378" t="s">
        <v>29428</v>
      </c>
      <c r="M3378" t="s">
        <v>25</v>
      </c>
      <c r="N3378" t="s">
        <v>29429</v>
      </c>
      <c r="O3378" t="s">
        <v>29430</v>
      </c>
      <c r="P3378" t="s">
        <v>29431</v>
      </c>
      <c r="Q3378" t="s">
        <v>29</v>
      </c>
      <c r="R3378" t="s">
        <v>29426</v>
      </c>
      <c r="S3378" t="s">
        <v>29427</v>
      </c>
    </row>
    <row r="3379" spans="1:19" x14ac:dyDescent="0.25">
      <c r="A3379" s="1">
        <v>3377</v>
      </c>
      <c r="B3379" t="str">
        <f>HYPERLINK("https://www.dasschnelle.at/mag-halmetschlager-thomas-gmünd-bahnhofstrasse","Website")</f>
        <v>Website</v>
      </c>
      <c r="C3379" t="str">
        <f>HYPERLINK("http://www.praxis-halmetschlager.at","Website")</f>
        <v>Website</v>
      </c>
      <c r="D3379" t="str">
        <f>HYPERLINK("http://www.google.com/maps/place/48.7671800,14.9858500","Location")</f>
        <v>Location</v>
      </c>
      <c r="E3379" t="s">
        <v>29432</v>
      </c>
      <c r="F3379" t="s">
        <v>29433</v>
      </c>
      <c r="G3379" t="s">
        <v>13116</v>
      </c>
      <c r="H3379" t="s">
        <v>13117</v>
      </c>
      <c r="I3379" t="s">
        <v>177</v>
      </c>
      <c r="J3379" t="s">
        <v>22</v>
      </c>
      <c r="K3379" t="s">
        <v>29434</v>
      </c>
      <c r="L3379" t="s">
        <v>29437</v>
      </c>
      <c r="M3379" t="s">
        <v>25</v>
      </c>
      <c r="N3379" t="s">
        <v>29438</v>
      </c>
      <c r="O3379" t="s">
        <v>25</v>
      </c>
      <c r="P3379" t="s">
        <v>29439</v>
      </c>
      <c r="Q3379" t="s">
        <v>29</v>
      </c>
      <c r="R3379" t="s">
        <v>29435</v>
      </c>
      <c r="S3379" t="s">
        <v>29436</v>
      </c>
    </row>
    <row r="3380" spans="1:19" x14ac:dyDescent="0.25">
      <c r="A3380" s="1">
        <v>3378</v>
      </c>
      <c r="B3380" t="str">
        <f>HYPERLINK("https://www.dasschnelle.at/lampl-bettina-hohenberg-untere-hauptstraße","Website")</f>
        <v>Website</v>
      </c>
      <c r="C3380" t="str">
        <f>HYPERLINK("https://www.dasschnelle.at/lampl-bettina-hohenberg-untere-hauptstra%C3%9Fe","Website")</f>
        <v>Website</v>
      </c>
      <c r="D3380" t="str">
        <f>HYPERLINK("http://www.google.com/maps/place/47.91342,15.61803","Location")</f>
        <v>Location</v>
      </c>
      <c r="E3380" t="s">
        <v>29440</v>
      </c>
      <c r="F3380" t="s">
        <v>29441</v>
      </c>
      <c r="G3380" t="s">
        <v>12462</v>
      </c>
      <c r="H3380" t="s">
        <v>12463</v>
      </c>
      <c r="I3380" t="s">
        <v>177</v>
      </c>
      <c r="J3380" t="s">
        <v>22</v>
      </c>
      <c r="K3380" t="s">
        <v>29442</v>
      </c>
      <c r="L3380" t="s">
        <v>29445</v>
      </c>
      <c r="M3380" t="s">
        <v>25</v>
      </c>
      <c r="N3380" t="s">
        <v>25</v>
      </c>
      <c r="O3380" t="s">
        <v>25</v>
      </c>
      <c r="P3380" t="s">
        <v>29446</v>
      </c>
      <c r="Q3380" t="s">
        <v>29</v>
      </c>
      <c r="R3380" t="s">
        <v>29443</v>
      </c>
      <c r="S3380" t="s">
        <v>29444</v>
      </c>
    </row>
    <row r="3381" spans="1:19" x14ac:dyDescent="0.25">
      <c r="A3381" s="1">
        <v>3379</v>
      </c>
      <c r="B3381" t="str">
        <f>HYPERLINK("https://www.dasschnelle.at/stefan-mosbacher-st-aegyd-am-neuwalde-mitterbach","Website")</f>
        <v>Website</v>
      </c>
      <c r="C3381" t="str">
        <f>HYPERLINK("http://www.erdbau-mosbacher.at","Website")</f>
        <v>Website</v>
      </c>
      <c r="D3381" t="str">
        <f>HYPERLINK("http://www.google.com/maps/place/47.8622069,15.6116328","Location")</f>
        <v>Location</v>
      </c>
      <c r="E3381" t="s">
        <v>29447</v>
      </c>
      <c r="F3381" t="s">
        <v>29448</v>
      </c>
      <c r="G3381" t="s">
        <v>29450</v>
      </c>
      <c r="H3381" t="s">
        <v>29451</v>
      </c>
      <c r="I3381" t="s">
        <v>177</v>
      </c>
      <c r="J3381" t="s">
        <v>22</v>
      </c>
      <c r="K3381" t="s">
        <v>29449</v>
      </c>
      <c r="L3381" t="s">
        <v>29454</v>
      </c>
      <c r="M3381" t="s">
        <v>25</v>
      </c>
      <c r="N3381" t="s">
        <v>29455</v>
      </c>
      <c r="O3381" t="s">
        <v>25</v>
      </c>
      <c r="P3381" t="s">
        <v>29456</v>
      </c>
      <c r="Q3381" t="s">
        <v>29</v>
      </c>
      <c r="R3381" t="s">
        <v>29452</v>
      </c>
      <c r="S3381" t="s">
        <v>29453</v>
      </c>
    </row>
    <row r="3382" spans="1:19" x14ac:dyDescent="0.25">
      <c r="A3382" s="1">
        <v>3380</v>
      </c>
      <c r="B3382" t="str">
        <f>HYPERLINK("https://www.dasschnelle.at/zimmermeister-andreas-kadi-e-u-rohrbach-an-der-gölsen-rohrwiesenstraße","Website")</f>
        <v>Website</v>
      </c>
      <c r="C3382" t="str">
        <f>HYPERLINK("http://www.kadi.at","Website")</f>
        <v>Website</v>
      </c>
      <c r="D3382" t="str">
        <f>HYPERLINK("http://www.google.com/maps/place/48.04868,15.73783","Location")</f>
        <v>Location</v>
      </c>
      <c r="E3382" t="s">
        <v>29457</v>
      </c>
      <c r="F3382" t="s">
        <v>29458</v>
      </c>
      <c r="G3382" t="s">
        <v>29129</v>
      </c>
      <c r="H3382" t="s">
        <v>29130</v>
      </c>
      <c r="I3382" t="s">
        <v>177</v>
      </c>
      <c r="J3382" t="s">
        <v>22</v>
      </c>
      <c r="K3382" t="s">
        <v>29459</v>
      </c>
      <c r="L3382" t="s">
        <v>29462</v>
      </c>
      <c r="M3382" t="s">
        <v>25</v>
      </c>
      <c r="N3382" t="s">
        <v>29463</v>
      </c>
      <c r="O3382" t="s">
        <v>25</v>
      </c>
      <c r="P3382" t="s">
        <v>29464</v>
      </c>
      <c r="Q3382" t="s">
        <v>29</v>
      </c>
      <c r="R3382" t="s">
        <v>29460</v>
      </c>
      <c r="S3382" t="s">
        <v>29461</v>
      </c>
    </row>
    <row r="3383" spans="1:19" x14ac:dyDescent="0.25">
      <c r="A3383" s="1">
        <v>3381</v>
      </c>
      <c r="B3383" t="str">
        <f>HYPERLINK("https://www.dasschnelle.at/sommer-spiegl-dachdeckerei-spenglerei-gesmbh-tulln-an-der-donau-tullnerfeldstraße","Website")</f>
        <v>Website</v>
      </c>
      <c r="C3383" t="str">
        <f>HYPERLINK("http://www.sommer-spiegl.at","Website")</f>
        <v>Website</v>
      </c>
      <c r="D3383" t="str">
        <f>HYPERLINK("http://www.google.com/maps/place/48.30064,16.06001","Location")</f>
        <v>Location</v>
      </c>
      <c r="E3383" t="s">
        <v>29465</v>
      </c>
      <c r="F3383" t="s">
        <v>29466</v>
      </c>
      <c r="G3383" t="s">
        <v>9499</v>
      </c>
      <c r="H3383" t="s">
        <v>9500</v>
      </c>
      <c r="I3383" t="s">
        <v>177</v>
      </c>
      <c r="J3383" t="s">
        <v>22</v>
      </c>
      <c r="K3383" t="s">
        <v>29467</v>
      </c>
      <c r="L3383" t="s">
        <v>29470</v>
      </c>
      <c r="M3383" t="s">
        <v>25</v>
      </c>
      <c r="N3383" t="s">
        <v>29471</v>
      </c>
      <c r="O3383" t="s">
        <v>29472</v>
      </c>
      <c r="P3383" t="s">
        <v>29473</v>
      </c>
      <c r="Q3383" t="s">
        <v>29</v>
      </c>
      <c r="R3383" t="s">
        <v>29468</v>
      </c>
      <c r="S3383" t="s">
        <v>29469</v>
      </c>
    </row>
    <row r="3384" spans="1:19" x14ac:dyDescent="0.25">
      <c r="A3384" s="1">
        <v>3382</v>
      </c>
      <c r="B3384" t="str">
        <f>HYPERLINK("https://www.dasschnelle.at/institut-f-physikotherapie-dr-wind-u-partner-og-gratwein-bahnhofstraße","Website")</f>
        <v>Website</v>
      </c>
      <c r="C3384" t="str">
        <f>HYPERLINK("http://www.physiko-gratwein.at","Website")</f>
        <v>Website</v>
      </c>
      <c r="D3384" t="str">
        <f>HYPERLINK("http://www.google.com/maps/place/47.1291751,15.3194724","Location")</f>
        <v>Location</v>
      </c>
      <c r="E3384" t="s">
        <v>29474</v>
      </c>
      <c r="F3384" t="s">
        <v>29475</v>
      </c>
      <c r="G3384" t="s">
        <v>7864</v>
      </c>
      <c r="H3384" t="s">
        <v>7865</v>
      </c>
      <c r="I3384" t="s">
        <v>451</v>
      </c>
      <c r="J3384" t="s">
        <v>22</v>
      </c>
      <c r="K3384" t="s">
        <v>10655</v>
      </c>
      <c r="L3384" t="s">
        <v>29478</v>
      </c>
      <c r="M3384" t="s">
        <v>25</v>
      </c>
      <c r="N3384" t="s">
        <v>29479</v>
      </c>
      <c r="O3384" t="s">
        <v>25</v>
      </c>
      <c r="P3384" t="s">
        <v>29480</v>
      </c>
      <c r="Q3384" t="s">
        <v>29</v>
      </c>
      <c r="R3384" t="s">
        <v>29476</v>
      </c>
      <c r="S3384" t="s">
        <v>29477</v>
      </c>
    </row>
    <row r="3385" spans="1:19" x14ac:dyDescent="0.25">
      <c r="A3385" s="1">
        <v>3383</v>
      </c>
      <c r="B3385" t="str">
        <f>HYPERLINK("https://www.dasschnelle.at/chaos-hairconcept-sankt-johann-im-pongau-untere-hauptstraße","Website")</f>
        <v>Website</v>
      </c>
      <c r="C3385" t="str">
        <f>HYPERLINK("http://www.chaos.at","Website")</f>
        <v>Website</v>
      </c>
      <c r="D3385" t="str">
        <f>HYPERLINK("http://www.google.com/maps/place/47.34619,13.19679","Location")</f>
        <v>Location</v>
      </c>
      <c r="E3385" t="s">
        <v>29481</v>
      </c>
      <c r="F3385" t="s">
        <v>29482</v>
      </c>
      <c r="G3385" t="s">
        <v>24837</v>
      </c>
      <c r="H3385" t="s">
        <v>24838</v>
      </c>
      <c r="I3385" t="s">
        <v>2239</v>
      </c>
      <c r="J3385" t="s">
        <v>22</v>
      </c>
      <c r="K3385" t="s">
        <v>29483</v>
      </c>
      <c r="L3385" t="s">
        <v>29486</v>
      </c>
      <c r="M3385" t="s">
        <v>25</v>
      </c>
      <c r="N3385" t="s">
        <v>29487</v>
      </c>
      <c r="O3385" t="s">
        <v>25</v>
      </c>
      <c r="P3385" t="s">
        <v>29488</v>
      </c>
      <c r="Q3385" t="s">
        <v>29</v>
      </c>
      <c r="R3385" t="s">
        <v>29484</v>
      </c>
      <c r="S3385" t="s">
        <v>29485</v>
      </c>
    </row>
    <row r="3386" spans="1:19" x14ac:dyDescent="0.25">
      <c r="A3386" s="1">
        <v>3384</v>
      </c>
      <c r="B3386" t="str">
        <f>HYPERLINK("https://www.dasschnelle.at/judar-bernhard-e-u-dachdeckermeister-st-aegyd-am-neuwalde-badweg","Website")</f>
        <v>Website</v>
      </c>
      <c r="C3386" t="str">
        <f>HYPERLINK("http://www.judar.at","Website")</f>
        <v>Website</v>
      </c>
      <c r="D3386" t="str">
        <f>HYPERLINK("http://www.google.com/maps/place/47.8562800,15.5735500","Location")</f>
        <v>Location</v>
      </c>
      <c r="E3386" t="s">
        <v>29489</v>
      </c>
      <c r="F3386" t="s">
        <v>29490</v>
      </c>
      <c r="G3386" t="s">
        <v>29450</v>
      </c>
      <c r="H3386" t="s">
        <v>29451</v>
      </c>
      <c r="I3386" t="s">
        <v>177</v>
      </c>
      <c r="J3386" t="s">
        <v>22</v>
      </c>
      <c r="K3386" t="s">
        <v>29491</v>
      </c>
      <c r="L3386" t="s">
        <v>29494</v>
      </c>
      <c r="M3386" t="s">
        <v>25</v>
      </c>
      <c r="N3386" t="s">
        <v>29495</v>
      </c>
      <c r="O3386" t="s">
        <v>29496</v>
      </c>
      <c r="P3386" t="s">
        <v>29497</v>
      </c>
      <c r="Q3386" t="s">
        <v>29</v>
      </c>
      <c r="R3386" t="s">
        <v>29492</v>
      </c>
      <c r="S3386" t="s">
        <v>29493</v>
      </c>
    </row>
    <row r="3387" spans="1:19" x14ac:dyDescent="0.25">
      <c r="A3387" s="1">
        <v>3385</v>
      </c>
      <c r="B3387" t="str">
        <f>HYPERLINK("https://www.dasschnelle.at/auer-f-gesmbh-maierhöfen-gölsentalstraße","Website")</f>
        <v>Website</v>
      </c>
      <c r="C3387" t="str">
        <f>HYPERLINK("https://www.dasschnelle.at/auer-f-gesmbh-maierh%C3%B6fen-g%C3%B6lsentalstra%C3%9Fe","Website")</f>
        <v>Website</v>
      </c>
      <c r="D3387" t="str">
        <f>HYPERLINK("http://www.google.com/maps/place/48.05094,15.63552","Location")</f>
        <v>Location</v>
      </c>
      <c r="E3387" t="s">
        <v>29498</v>
      </c>
      <c r="F3387" t="s">
        <v>29499</v>
      </c>
      <c r="G3387" t="s">
        <v>29501</v>
      </c>
      <c r="H3387" t="s">
        <v>29502</v>
      </c>
      <c r="I3387" t="s">
        <v>177</v>
      </c>
      <c r="J3387" t="s">
        <v>22</v>
      </c>
      <c r="K3387" t="s">
        <v>29500</v>
      </c>
      <c r="L3387" t="s">
        <v>29505</v>
      </c>
      <c r="M3387" t="s">
        <v>25</v>
      </c>
      <c r="N3387" t="s">
        <v>29506</v>
      </c>
      <c r="O3387" t="s">
        <v>25</v>
      </c>
      <c r="P3387" t="s">
        <v>29507</v>
      </c>
      <c r="Q3387" t="s">
        <v>29</v>
      </c>
      <c r="R3387" t="s">
        <v>29503</v>
      </c>
      <c r="S3387" t="s">
        <v>29504</v>
      </c>
    </row>
    <row r="3388" spans="1:19" x14ac:dyDescent="0.25">
      <c r="A3388" s="1">
        <v>3386</v>
      </c>
      <c r="B3388" t="str">
        <f>HYPERLINK("https://www.dasschnelle.at/pflegeheim-zerlach-dörfla","Website")</f>
        <v>Website</v>
      </c>
      <c r="C3388" t="str">
        <f>HYPERLINK("http://www.pflegeheim-zerlach.at","Website")</f>
        <v>Website</v>
      </c>
      <c r="D3388" t="str">
        <f>HYPERLINK("http://www.google.com/maps/place/46.9368675,15.6731044","Location")</f>
        <v>Location</v>
      </c>
      <c r="E3388" t="s">
        <v>29508</v>
      </c>
      <c r="F3388" t="s">
        <v>29509</v>
      </c>
      <c r="G3388" t="s">
        <v>27800</v>
      </c>
      <c r="H3388" t="s">
        <v>29510</v>
      </c>
      <c r="I3388" t="s">
        <v>451</v>
      </c>
      <c r="J3388" t="s">
        <v>22</v>
      </c>
      <c r="K3388" t="s">
        <v>25</v>
      </c>
      <c r="L3388" t="s">
        <v>29513</v>
      </c>
      <c r="M3388" t="s">
        <v>25</v>
      </c>
      <c r="N3388" t="s">
        <v>29514</v>
      </c>
      <c r="O3388" t="s">
        <v>29515</v>
      </c>
      <c r="P3388" t="s">
        <v>29516</v>
      </c>
      <c r="Q3388" t="s">
        <v>29</v>
      </c>
      <c r="R3388" t="s">
        <v>29511</v>
      </c>
      <c r="S3388" t="s">
        <v>29512</v>
      </c>
    </row>
    <row r="3389" spans="1:19" x14ac:dyDescent="0.25">
      <c r="A3389" s="1">
        <v>3387</v>
      </c>
      <c r="B3389" t="str">
        <f>HYPERLINK("https://www.dasschnelle.at/wohnwerkstatt-hundsberger-ottensheim-linzer-straße","Website")</f>
        <v>Website</v>
      </c>
      <c r="C3389" t="str">
        <f>HYPERLINK("http://www.hundsberger-raum.at","Website")</f>
        <v>Website</v>
      </c>
      <c r="D3389" t="str">
        <f>HYPERLINK("http://www.google.com/maps/place/48.33358,14.17969","Location")</f>
        <v>Location</v>
      </c>
      <c r="E3389" t="s">
        <v>29517</v>
      </c>
      <c r="F3389" t="s">
        <v>29518</v>
      </c>
      <c r="G3389" t="s">
        <v>28603</v>
      </c>
      <c r="H3389" t="s">
        <v>28604</v>
      </c>
      <c r="I3389" t="s">
        <v>85</v>
      </c>
      <c r="J3389" t="s">
        <v>22</v>
      </c>
      <c r="K3389" t="s">
        <v>29519</v>
      </c>
      <c r="L3389" t="s">
        <v>29522</v>
      </c>
      <c r="M3389" t="s">
        <v>25</v>
      </c>
      <c r="N3389" t="s">
        <v>29523</v>
      </c>
      <c r="O3389" t="s">
        <v>25</v>
      </c>
      <c r="P3389" t="s">
        <v>29524</v>
      </c>
      <c r="Q3389" t="s">
        <v>29</v>
      </c>
      <c r="R3389" t="s">
        <v>29520</v>
      </c>
      <c r="S3389" t="s">
        <v>29521</v>
      </c>
    </row>
    <row r="3390" spans="1:19" x14ac:dyDescent="0.25">
      <c r="A3390" s="1">
        <v>3388</v>
      </c>
      <c r="B3390" t="str">
        <f>HYPERLINK("https://www.dasschnelle.at/hemetsberger-johann-frankenburg-am-hausruck-lessigen","Website")</f>
        <v>Website</v>
      </c>
      <c r="C3390" t="str">
        <f>HYPERLINK("https://www.dasschnelle.at/hemetsberger-johann-frankenburg-am-hausruck-lessigen","Website")</f>
        <v>Website</v>
      </c>
      <c r="D3390" t="str">
        <f>HYPERLINK("http://www.google.com/maps/place/48.0511180,13.4838787","Location")</f>
        <v>Location</v>
      </c>
      <c r="E3390" t="s">
        <v>29525</v>
      </c>
      <c r="F3390" t="s">
        <v>29526</v>
      </c>
      <c r="G3390" t="s">
        <v>3795</v>
      </c>
      <c r="H3390" t="s">
        <v>3796</v>
      </c>
      <c r="I3390" t="s">
        <v>85</v>
      </c>
      <c r="J3390" t="s">
        <v>22</v>
      </c>
      <c r="K3390" t="s">
        <v>29527</v>
      </c>
      <c r="L3390" t="s">
        <v>29530</v>
      </c>
      <c r="M3390" t="s">
        <v>25</v>
      </c>
      <c r="N3390" t="s">
        <v>29531</v>
      </c>
      <c r="O3390" t="s">
        <v>25</v>
      </c>
      <c r="P3390" t="s">
        <v>29532</v>
      </c>
      <c r="Q3390" t="s">
        <v>29</v>
      </c>
      <c r="R3390" t="s">
        <v>29528</v>
      </c>
      <c r="S3390" t="s">
        <v>29529</v>
      </c>
    </row>
    <row r="3391" spans="1:19" x14ac:dyDescent="0.25">
      <c r="A3391" s="1">
        <v>3389</v>
      </c>
      <c r="B3391" t="str">
        <f>HYPERLINK("https://www.dasschnelle.at/holzbau-dallago-und-zefferer-gmbh-mariazell-halltal","Website")</f>
        <v>Website</v>
      </c>
      <c r="C3391" t="str">
        <f>HYPERLINK("http://www.dallago-zefferer.at","Website")</f>
        <v>Website</v>
      </c>
      <c r="D3391" t="str">
        <f>HYPERLINK("http://www.google.com/maps/place/47.7724243,15.3535806","Location")</f>
        <v>Location</v>
      </c>
      <c r="E3391" t="s">
        <v>29533</v>
      </c>
      <c r="F3391" t="s">
        <v>29534</v>
      </c>
      <c r="G3391" t="s">
        <v>12529</v>
      </c>
      <c r="H3391" t="s">
        <v>24696</v>
      </c>
      <c r="I3391" t="s">
        <v>451</v>
      </c>
      <c r="J3391" t="s">
        <v>22</v>
      </c>
      <c r="K3391" t="s">
        <v>29535</v>
      </c>
      <c r="L3391" t="s">
        <v>29538</v>
      </c>
      <c r="M3391" t="s">
        <v>25</v>
      </c>
      <c r="N3391" t="s">
        <v>29539</v>
      </c>
      <c r="O3391" t="s">
        <v>25</v>
      </c>
      <c r="P3391" t="s">
        <v>29540</v>
      </c>
      <c r="Q3391" t="s">
        <v>29</v>
      </c>
      <c r="R3391" t="s">
        <v>29536</v>
      </c>
      <c r="S3391" t="s">
        <v>29537</v>
      </c>
    </row>
    <row r="3392" spans="1:19" x14ac:dyDescent="0.25">
      <c r="A3392" s="1">
        <v>3390</v>
      </c>
      <c r="B3392" t="str">
        <f>HYPERLINK("https://www.dasschnelle.at/dr-bernhard-hartenthaler-kammer-hauptstraße","Website")</f>
        <v>Website</v>
      </c>
      <c r="C3392" t="str">
        <f>HYPERLINK("http://www.herzzentrum-attersee.at","Website")</f>
        <v>Website</v>
      </c>
      <c r="D3392" t="str">
        <f>HYPERLINK("http://www.google.com/maps/place/47.9459535,13.5947038","Location")</f>
        <v>Location</v>
      </c>
      <c r="E3392" t="s">
        <v>29541</v>
      </c>
      <c r="F3392" t="s">
        <v>29542</v>
      </c>
      <c r="G3392" t="s">
        <v>3851</v>
      </c>
      <c r="H3392" t="s">
        <v>26358</v>
      </c>
      <c r="I3392" t="s">
        <v>85</v>
      </c>
      <c r="J3392" t="s">
        <v>22</v>
      </c>
      <c r="K3392" t="s">
        <v>26357</v>
      </c>
      <c r="L3392" t="s">
        <v>29543</v>
      </c>
      <c r="M3392" t="s">
        <v>25</v>
      </c>
      <c r="N3392" t="s">
        <v>29544</v>
      </c>
      <c r="O3392" t="s">
        <v>25</v>
      </c>
      <c r="P3392" t="s">
        <v>29545</v>
      </c>
      <c r="Q3392" t="s">
        <v>29</v>
      </c>
      <c r="R3392" t="s">
        <v>3853</v>
      </c>
      <c r="S3392" t="s">
        <v>3854</v>
      </c>
    </row>
    <row r="3393" spans="1:19" x14ac:dyDescent="0.25">
      <c r="A3393" s="1">
        <v>3391</v>
      </c>
      <c r="B3393" t="str">
        <f>HYPERLINK("https://www.dasschnelle.at/sps-schlüsseldienst-gmbh-gmunden-druckereistraße","Website")</f>
        <v>Website</v>
      </c>
      <c r="C3393" t="str">
        <f>HYPERLINK("http://www.sps-schluesseldienst.at","Website")</f>
        <v>Website</v>
      </c>
      <c r="D3393" t="str">
        <f>HYPERLINK("http://www.google.com/maps/place/47.92519,13.78812","Location")</f>
        <v>Location</v>
      </c>
      <c r="E3393" t="s">
        <v>29546</v>
      </c>
      <c r="F3393" t="s">
        <v>29547</v>
      </c>
      <c r="G3393" t="s">
        <v>6951</v>
      </c>
      <c r="H3393" t="s">
        <v>6952</v>
      </c>
      <c r="I3393" t="s">
        <v>85</v>
      </c>
      <c r="J3393" t="s">
        <v>22</v>
      </c>
      <c r="K3393" t="s">
        <v>29548</v>
      </c>
      <c r="L3393" t="s">
        <v>29549</v>
      </c>
      <c r="M3393" t="s">
        <v>25</v>
      </c>
      <c r="N3393" t="s">
        <v>29550</v>
      </c>
      <c r="O3393" t="s">
        <v>25</v>
      </c>
      <c r="P3393" t="s">
        <v>29551</v>
      </c>
      <c r="Q3393" t="s">
        <v>29</v>
      </c>
      <c r="R3393" t="s">
        <v>23709</v>
      </c>
      <c r="S3393" t="s">
        <v>23710</v>
      </c>
    </row>
    <row r="3394" spans="1:19" x14ac:dyDescent="0.25">
      <c r="A3394" s="1">
        <v>3392</v>
      </c>
      <c r="B3394" t="str">
        <f>HYPERLINK("https://www.dasschnelle.at/krejcza-gmbh-gußwerk-johannesplatz","Website")</f>
        <v>Website</v>
      </c>
      <c r="C3394" t="str">
        <f>HYPERLINK("http://www.krejcza.at","Website")</f>
        <v>Website</v>
      </c>
      <c r="D3394" t="str">
        <f>HYPERLINK("http://www.google.com/maps/place/47.74275,15.30571","Location")</f>
        <v>Location</v>
      </c>
      <c r="E3394" t="s">
        <v>29552</v>
      </c>
      <c r="F3394" t="s">
        <v>29553</v>
      </c>
      <c r="G3394" t="s">
        <v>12472</v>
      </c>
      <c r="H3394" t="s">
        <v>12510</v>
      </c>
      <c r="I3394" t="s">
        <v>451</v>
      </c>
      <c r="J3394" t="s">
        <v>22</v>
      </c>
      <c r="K3394" t="s">
        <v>29554</v>
      </c>
      <c r="L3394" t="s">
        <v>29557</v>
      </c>
      <c r="M3394" t="s">
        <v>29558</v>
      </c>
      <c r="N3394" t="s">
        <v>29559</v>
      </c>
      <c r="O3394" t="s">
        <v>29560</v>
      </c>
      <c r="P3394" t="s">
        <v>29561</v>
      </c>
      <c r="Q3394" t="s">
        <v>29</v>
      </c>
      <c r="R3394" t="s">
        <v>29555</v>
      </c>
      <c r="S3394" t="s">
        <v>29556</v>
      </c>
    </row>
    <row r="3395" spans="1:19" x14ac:dyDescent="0.25">
      <c r="A3395" s="1">
        <v>3393</v>
      </c>
      <c r="B3395" t="str">
        <f>HYPERLINK("https://www.dasschnelle.at/tairi-zijadin-attnang-puchheim-johann-strauß-gasse","Website")</f>
        <v>Website</v>
      </c>
      <c r="C3395" t="str">
        <f>HYPERLINK("http://www.zijadinpflasterungen-attnangpuchheim.at","Website")</f>
        <v>Website</v>
      </c>
      <c r="D3395" t="str">
        <f>HYPERLINK("http://www.google.com/maps/place/48.01336,13.72921","Location")</f>
        <v>Location</v>
      </c>
      <c r="E3395" t="s">
        <v>29562</v>
      </c>
      <c r="F3395" t="s">
        <v>29563</v>
      </c>
      <c r="G3395" t="s">
        <v>3728</v>
      </c>
      <c r="H3395" t="s">
        <v>3729</v>
      </c>
      <c r="I3395" t="s">
        <v>85</v>
      </c>
      <c r="J3395" t="s">
        <v>22</v>
      </c>
      <c r="K3395" t="s">
        <v>29564</v>
      </c>
      <c r="L3395" t="s">
        <v>29567</v>
      </c>
      <c r="M3395" t="s">
        <v>25</v>
      </c>
      <c r="N3395" t="s">
        <v>29568</v>
      </c>
      <c r="O3395" t="s">
        <v>29569</v>
      </c>
      <c r="P3395" t="s">
        <v>29570</v>
      </c>
      <c r="Q3395" t="s">
        <v>29</v>
      </c>
      <c r="R3395" t="s">
        <v>29565</v>
      </c>
      <c r="S3395" t="s">
        <v>29566</v>
      </c>
    </row>
    <row r="3396" spans="1:19" x14ac:dyDescent="0.25">
      <c r="A3396" s="1">
        <v>3394</v>
      </c>
      <c r="B3396" t="str">
        <f>HYPERLINK("https://www.dasschnelle.at/katterl-autohaus-kg-gampern-witzling","Website")</f>
        <v>Website</v>
      </c>
      <c r="C3396" t="str">
        <f>HYPERLINK("http://www.katterl.at","Website")</f>
        <v>Website</v>
      </c>
      <c r="D3396" t="str">
        <f>HYPERLINK("http://www.google.com/maps/place/47.9953125,13.5463012","Location")</f>
        <v>Location</v>
      </c>
      <c r="E3396" t="s">
        <v>29571</v>
      </c>
      <c r="F3396" t="s">
        <v>29572</v>
      </c>
      <c r="G3396" t="s">
        <v>26771</v>
      </c>
      <c r="H3396" t="s">
        <v>26772</v>
      </c>
      <c r="I3396" t="s">
        <v>85</v>
      </c>
      <c r="J3396" t="s">
        <v>22</v>
      </c>
      <c r="K3396" t="s">
        <v>29573</v>
      </c>
      <c r="L3396" t="s">
        <v>29576</v>
      </c>
      <c r="M3396" t="s">
        <v>29577</v>
      </c>
      <c r="N3396" t="s">
        <v>29578</v>
      </c>
      <c r="O3396" t="s">
        <v>25</v>
      </c>
      <c r="P3396" t="s">
        <v>29579</v>
      </c>
      <c r="Q3396" t="s">
        <v>29</v>
      </c>
      <c r="R3396" t="s">
        <v>29574</v>
      </c>
      <c r="S3396" t="s">
        <v>29575</v>
      </c>
    </row>
    <row r="3397" spans="1:19" x14ac:dyDescent="0.25">
      <c r="A3397" s="1">
        <v>3395</v>
      </c>
      <c r="B3397" t="str">
        <f>HYPERLINK("https://www.dasschnelle.at/wurzinger-paula-tulln-ottokargasse","Website")</f>
        <v>Website</v>
      </c>
      <c r="C3397" t="str">
        <f>HYPERLINK("http://www.wundundpflege.at/","Website")</f>
        <v>Website</v>
      </c>
      <c r="D3397" t="str">
        <f>HYPERLINK("http://www.google.com/maps/place/48.3263023,16.0713265","Location")</f>
        <v>Location</v>
      </c>
      <c r="E3397" t="s">
        <v>29580</v>
      </c>
      <c r="F3397" t="s">
        <v>29581</v>
      </c>
      <c r="G3397" t="s">
        <v>9499</v>
      </c>
      <c r="H3397" t="s">
        <v>29583</v>
      </c>
      <c r="I3397" t="s">
        <v>177</v>
      </c>
      <c r="J3397" t="s">
        <v>22</v>
      </c>
      <c r="K3397" t="s">
        <v>29582</v>
      </c>
      <c r="L3397" t="s">
        <v>29586</v>
      </c>
      <c r="M3397" t="s">
        <v>25</v>
      </c>
      <c r="N3397" t="s">
        <v>29587</v>
      </c>
      <c r="O3397" t="s">
        <v>25</v>
      </c>
      <c r="P3397" t="s">
        <v>697</v>
      </c>
      <c r="Q3397" t="s">
        <v>29</v>
      </c>
      <c r="R3397" t="s">
        <v>29584</v>
      </c>
      <c r="S3397" t="s">
        <v>29585</v>
      </c>
    </row>
    <row r="3398" spans="1:19" x14ac:dyDescent="0.25">
      <c r="A3398" s="1">
        <v>3396</v>
      </c>
      <c r="B3398" t="str">
        <f>HYPERLINK("https://www.dasschnelle.at/gassner-ronald-ing-haag-steyrer-straße","Website")</f>
        <v>Website</v>
      </c>
      <c r="C3398" t="str">
        <f>HYPERLINK("http://www.naturstein-gassner.at","Website")</f>
        <v>Website</v>
      </c>
      <c r="D3398" t="str">
        <f>HYPERLINK("http://www.google.com/maps/place/48.09565,14.5358","Location")</f>
        <v>Location</v>
      </c>
      <c r="E3398" t="s">
        <v>29588</v>
      </c>
      <c r="F3398" t="s">
        <v>29589</v>
      </c>
      <c r="G3398" t="s">
        <v>1542</v>
      </c>
      <c r="H3398" t="s">
        <v>620</v>
      </c>
      <c r="I3398" t="s">
        <v>177</v>
      </c>
      <c r="J3398" t="s">
        <v>22</v>
      </c>
      <c r="K3398" t="s">
        <v>29590</v>
      </c>
      <c r="L3398" t="s">
        <v>29593</v>
      </c>
      <c r="M3398" t="s">
        <v>25</v>
      </c>
      <c r="N3398" t="s">
        <v>29594</v>
      </c>
      <c r="O3398" t="s">
        <v>25</v>
      </c>
      <c r="P3398" t="s">
        <v>29595</v>
      </c>
      <c r="Q3398" t="s">
        <v>29</v>
      </c>
      <c r="R3398" t="s">
        <v>29591</v>
      </c>
      <c r="S3398" t="s">
        <v>29592</v>
      </c>
    </row>
    <row r="3399" spans="1:19" x14ac:dyDescent="0.25">
      <c r="A3399" s="1">
        <v>3397</v>
      </c>
      <c r="B3399" t="str">
        <f>HYPERLINK("https://www.dasschnelle.at/fohrenburg-s-fäscht-gmbh-pettneu-schnann","Website")</f>
        <v>Website</v>
      </c>
      <c r="C3399" t="str">
        <f>HYPERLINK("http://www.sfaescht.com","Website")</f>
        <v>Website</v>
      </c>
      <c r="D3399" t="str">
        <f>HYPERLINK("http://www.google.com/maps/place/47.35814,9.6182","Location")</f>
        <v>Location</v>
      </c>
      <c r="E3399" t="s">
        <v>29596</v>
      </c>
      <c r="F3399" t="s">
        <v>29597</v>
      </c>
      <c r="G3399" t="s">
        <v>11911</v>
      </c>
      <c r="H3399" t="s">
        <v>29599</v>
      </c>
      <c r="I3399" t="s">
        <v>13450</v>
      </c>
      <c r="J3399" t="s">
        <v>22</v>
      </c>
      <c r="K3399" t="s">
        <v>29598</v>
      </c>
      <c r="L3399" t="s">
        <v>29602</v>
      </c>
      <c r="M3399" t="s">
        <v>25</v>
      </c>
      <c r="N3399" t="s">
        <v>29603</v>
      </c>
      <c r="O3399" t="s">
        <v>25</v>
      </c>
      <c r="P3399" t="s">
        <v>29604</v>
      </c>
      <c r="Q3399" t="s">
        <v>29</v>
      </c>
      <c r="R3399" t="s">
        <v>29600</v>
      </c>
      <c r="S3399" t="s">
        <v>29601</v>
      </c>
    </row>
    <row r="3400" spans="1:19" x14ac:dyDescent="0.25">
      <c r="A3400" s="1">
        <v>3398</v>
      </c>
      <c r="B3400" t="str">
        <f>HYPERLINK("https://www.dasschnelle.at/tobias-tumfahrt-traberg-unterwaldschlag","Website")</f>
        <v>Website</v>
      </c>
      <c r="C3400" t="str">
        <f>HYPERLINK("http://www.gardenwool.at","Website")</f>
        <v>Website</v>
      </c>
      <c r="D3400" t="str">
        <f>HYPERLINK("http://www.google.com/maps/place/48.4953500,14.2253600","Location")</f>
        <v>Location</v>
      </c>
      <c r="E3400" t="s">
        <v>29605</v>
      </c>
      <c r="F3400" t="s">
        <v>29606</v>
      </c>
      <c r="G3400" t="s">
        <v>29608</v>
      </c>
      <c r="H3400" t="s">
        <v>29609</v>
      </c>
      <c r="I3400" t="s">
        <v>85</v>
      </c>
      <c r="J3400" t="s">
        <v>22</v>
      </c>
      <c r="K3400" t="s">
        <v>29607</v>
      </c>
      <c r="L3400" t="s">
        <v>29612</v>
      </c>
      <c r="M3400" t="s">
        <v>25</v>
      </c>
      <c r="N3400" t="s">
        <v>29613</v>
      </c>
      <c r="O3400" t="s">
        <v>25</v>
      </c>
      <c r="P3400" t="s">
        <v>29614</v>
      </c>
      <c r="Q3400" t="s">
        <v>29</v>
      </c>
      <c r="R3400" t="s">
        <v>29610</v>
      </c>
      <c r="S3400" t="s">
        <v>29611</v>
      </c>
    </row>
    <row r="3401" spans="1:19" x14ac:dyDescent="0.25">
      <c r="A3401" s="1">
        <v>3399</v>
      </c>
      <c r="B3401" t="str">
        <f>HYPERLINK("https://www.dasschnelle.at/steffl-gerhard-bad-leonfelden-dietrichschlag","Website")</f>
        <v>Website</v>
      </c>
      <c r="C3401" t="str">
        <f>HYPERLINK("https://www.dasschnelle.at/steffl-gerhard-bad-leonfelden-dietrichschlag","Website")</f>
        <v>Website</v>
      </c>
      <c r="D3401" t="str">
        <f>HYPERLINK("http://www.google.com/maps/place/48.4964316,14.2823283","Location")</f>
        <v>Location</v>
      </c>
      <c r="E3401" t="s">
        <v>29615</v>
      </c>
      <c r="F3401" t="s">
        <v>29616</v>
      </c>
      <c r="G3401" t="s">
        <v>4093</v>
      </c>
      <c r="H3401" t="s">
        <v>4094</v>
      </c>
      <c r="I3401" t="s">
        <v>85</v>
      </c>
      <c r="J3401" t="s">
        <v>22</v>
      </c>
      <c r="K3401" t="s">
        <v>29617</v>
      </c>
      <c r="L3401" t="s">
        <v>29620</v>
      </c>
      <c r="M3401" t="s">
        <v>25</v>
      </c>
      <c r="N3401" t="s">
        <v>29621</v>
      </c>
      <c r="O3401" t="s">
        <v>25</v>
      </c>
      <c r="P3401" t="s">
        <v>29622</v>
      </c>
      <c r="Q3401" t="s">
        <v>29</v>
      </c>
      <c r="R3401" t="s">
        <v>29618</v>
      </c>
      <c r="S3401" t="s">
        <v>29619</v>
      </c>
    </row>
    <row r="3402" spans="1:19" x14ac:dyDescent="0.25">
      <c r="A3402" s="1">
        <v>3400</v>
      </c>
      <c r="B3402" t="str">
        <f>HYPERLINK("https://www.dasschnelle.at/kollar-gmbh-dörfl-utzgasse","Website")</f>
        <v>Website</v>
      </c>
      <c r="C3402" t="str">
        <f>HYPERLINK("http://www.kollar.at","Website")</f>
        <v>Website</v>
      </c>
      <c r="D3402" t="str">
        <f>HYPERLINK("http://www.google.com/maps/place/48.01726,15.59781","Location")</f>
        <v>Location</v>
      </c>
      <c r="E3402" t="s">
        <v>29623</v>
      </c>
      <c r="F3402" t="s">
        <v>29624</v>
      </c>
      <c r="G3402" t="s">
        <v>11860</v>
      </c>
      <c r="H3402" t="s">
        <v>26396</v>
      </c>
      <c r="I3402" t="s">
        <v>177</v>
      </c>
      <c r="J3402" t="s">
        <v>22</v>
      </c>
      <c r="K3402" t="s">
        <v>29625</v>
      </c>
      <c r="L3402" t="s">
        <v>29628</v>
      </c>
      <c r="M3402" t="s">
        <v>25</v>
      </c>
      <c r="N3402" t="s">
        <v>29629</v>
      </c>
      <c r="O3402" t="s">
        <v>25</v>
      </c>
      <c r="P3402" t="s">
        <v>29630</v>
      </c>
      <c r="Q3402" t="s">
        <v>29</v>
      </c>
      <c r="R3402" t="s">
        <v>29626</v>
      </c>
      <c r="S3402" t="s">
        <v>29627</v>
      </c>
    </row>
    <row r="3403" spans="1:19" x14ac:dyDescent="0.25">
      <c r="A3403" s="1">
        <v>3401</v>
      </c>
      <c r="B3403" t="str">
        <f>HYPERLINK("https://www.dasschnelle.at/türkoglu-und-toprakci-og-hainfeld-traisner-straße","Website")</f>
        <v>Website</v>
      </c>
      <c r="C3403" t="str">
        <f>HYPERLINK("http://www.malermeister-hainfeld.sta.io","Website")</f>
        <v>Website</v>
      </c>
      <c r="D3403" t="str">
        <f>HYPERLINK("http://www.google.com/maps/place/48.0408600,15.7490500","Location")</f>
        <v>Location</v>
      </c>
      <c r="E3403" t="s">
        <v>29631</v>
      </c>
      <c r="F3403" t="s">
        <v>29632</v>
      </c>
      <c r="G3403" t="s">
        <v>13419</v>
      </c>
      <c r="H3403" t="s">
        <v>13420</v>
      </c>
      <c r="I3403" t="s">
        <v>177</v>
      </c>
      <c r="J3403" t="s">
        <v>22</v>
      </c>
      <c r="K3403" t="s">
        <v>29633</v>
      </c>
      <c r="L3403" t="s">
        <v>29636</v>
      </c>
      <c r="M3403" t="s">
        <v>25</v>
      </c>
      <c r="N3403" t="s">
        <v>29637</v>
      </c>
      <c r="O3403" t="s">
        <v>25</v>
      </c>
      <c r="P3403" t="s">
        <v>29638</v>
      </c>
      <c r="Q3403" t="s">
        <v>29</v>
      </c>
      <c r="R3403" t="s">
        <v>29634</v>
      </c>
      <c r="S3403" t="s">
        <v>29635</v>
      </c>
    </row>
    <row r="3404" spans="1:19" x14ac:dyDescent="0.25">
      <c r="A3404" s="1">
        <v>3402</v>
      </c>
      <c r="B3404" t="str">
        <f>HYPERLINK("https://www.dasschnelle.at/ke-we-bau-bauunternehmung-gmbh-unterdorf-salzburger-straße","Website")</f>
        <v>Website</v>
      </c>
      <c r="C3404" t="str">
        <f>HYPERLINK("http://www.ke-we-bau.at","Website")</f>
        <v>Website</v>
      </c>
      <c r="D3404" t="str">
        <f>HYPERLINK("http://www.google.com/maps/place/47.84734,13.22382","Location")</f>
        <v>Location</v>
      </c>
      <c r="E3404" t="s">
        <v>29639</v>
      </c>
      <c r="F3404" t="s">
        <v>29640</v>
      </c>
      <c r="G3404" t="s">
        <v>26904</v>
      </c>
      <c r="H3404" t="s">
        <v>29642</v>
      </c>
      <c r="I3404" t="s">
        <v>2239</v>
      </c>
      <c r="J3404" t="s">
        <v>22</v>
      </c>
      <c r="K3404" t="s">
        <v>29641</v>
      </c>
      <c r="L3404" t="s">
        <v>29645</v>
      </c>
      <c r="M3404" t="s">
        <v>25</v>
      </c>
      <c r="N3404" t="s">
        <v>29646</v>
      </c>
      <c r="O3404" t="s">
        <v>25</v>
      </c>
      <c r="P3404" t="s">
        <v>29647</v>
      </c>
      <c r="Q3404" t="s">
        <v>29</v>
      </c>
      <c r="R3404" t="s">
        <v>29643</v>
      </c>
      <c r="S3404" t="s">
        <v>29644</v>
      </c>
    </row>
    <row r="3405" spans="1:19" x14ac:dyDescent="0.25">
      <c r="A3405" s="1">
        <v>3403</v>
      </c>
      <c r="B3405" t="str">
        <f>HYPERLINK("https://www.dasschnelle.at/sieber-johann-türnitz-traisenbachstraße","Website")</f>
        <v>Website</v>
      </c>
      <c r="C3405" t="str">
        <f>HYPERLINK("https://www.dasschnelle.at/sieber-johann-t%C3%BCrnitz-traisenbachstra%C3%9Fe","Website")</f>
        <v>Website</v>
      </c>
      <c r="D3405" t="str">
        <f>HYPERLINK("http://www.google.com/maps/place/47.91471,15.47993","Location")</f>
        <v>Location</v>
      </c>
      <c r="E3405" t="s">
        <v>29648</v>
      </c>
      <c r="F3405" t="s">
        <v>29649</v>
      </c>
      <c r="G3405" t="s">
        <v>28630</v>
      </c>
      <c r="H3405" t="s">
        <v>12500</v>
      </c>
      <c r="I3405" t="s">
        <v>177</v>
      </c>
      <c r="J3405" t="s">
        <v>22</v>
      </c>
      <c r="K3405" t="s">
        <v>29650</v>
      </c>
      <c r="L3405" t="s">
        <v>29653</v>
      </c>
      <c r="M3405" t="s">
        <v>25</v>
      </c>
      <c r="N3405" t="s">
        <v>25</v>
      </c>
      <c r="O3405" t="s">
        <v>25</v>
      </c>
      <c r="P3405" t="s">
        <v>29654</v>
      </c>
      <c r="Q3405" t="s">
        <v>29</v>
      </c>
      <c r="R3405" t="s">
        <v>29651</v>
      </c>
      <c r="S3405" t="s">
        <v>29652</v>
      </c>
    </row>
    <row r="3406" spans="1:19" x14ac:dyDescent="0.25">
      <c r="A3406" s="1">
        <v>3404</v>
      </c>
      <c r="B3406" t="str">
        <f>HYPERLINK("https://www.dasschnelle.at/expert-thaller-gmbh-attnang-rathausplatz","Website")</f>
        <v>Website</v>
      </c>
      <c r="C3406" t="str">
        <f>HYPERLINK("http://www.expert-thaller.at","Website")</f>
        <v>Website</v>
      </c>
      <c r="D3406" t="str">
        <f>HYPERLINK("http://www.google.com/maps/place/48.01082,13.72105","Location")</f>
        <v>Location</v>
      </c>
      <c r="E3406" t="s">
        <v>29655</v>
      </c>
      <c r="F3406" t="s">
        <v>29656</v>
      </c>
      <c r="G3406" t="s">
        <v>3728</v>
      </c>
      <c r="H3406" t="s">
        <v>29658</v>
      </c>
      <c r="I3406" t="s">
        <v>85</v>
      </c>
      <c r="J3406" t="s">
        <v>22</v>
      </c>
      <c r="K3406" t="s">
        <v>29657</v>
      </c>
      <c r="L3406" t="s">
        <v>29661</v>
      </c>
      <c r="M3406" t="s">
        <v>25</v>
      </c>
      <c r="N3406" t="s">
        <v>29662</v>
      </c>
      <c r="O3406" t="s">
        <v>25</v>
      </c>
      <c r="P3406" t="s">
        <v>29663</v>
      </c>
      <c r="Q3406" t="s">
        <v>29</v>
      </c>
      <c r="R3406" t="s">
        <v>29659</v>
      </c>
      <c r="S3406" t="s">
        <v>29660</v>
      </c>
    </row>
    <row r="3407" spans="1:19" x14ac:dyDescent="0.25">
      <c r="A3407" s="1">
        <v>3405</v>
      </c>
      <c r="B3407" t="str">
        <f>HYPERLINK("https://www.dasschnelle.at/gimbel-harald-ampflwang-ort","Website")</f>
        <v>Website</v>
      </c>
      <c r="C3407" t="str">
        <f>HYPERLINK("https://www.dasschnelle.at/gimbel-harald-ampflwang-ort","Website")</f>
        <v>Website</v>
      </c>
      <c r="D3407" t="str">
        <f>HYPERLINK("http://www.google.com/maps/place/48.0805612,13.5667501","Location")</f>
        <v>Location</v>
      </c>
      <c r="E3407" t="s">
        <v>29664</v>
      </c>
      <c r="F3407" t="s">
        <v>29665</v>
      </c>
      <c r="G3407" t="s">
        <v>3805</v>
      </c>
      <c r="H3407" t="s">
        <v>3806</v>
      </c>
      <c r="I3407" t="s">
        <v>85</v>
      </c>
      <c r="J3407" t="s">
        <v>22</v>
      </c>
      <c r="K3407" t="s">
        <v>29666</v>
      </c>
      <c r="L3407" t="s">
        <v>29669</v>
      </c>
      <c r="M3407" t="s">
        <v>25</v>
      </c>
      <c r="N3407" t="s">
        <v>29670</v>
      </c>
      <c r="O3407" t="s">
        <v>29671</v>
      </c>
      <c r="P3407" t="s">
        <v>29672</v>
      </c>
      <c r="Q3407" t="s">
        <v>29</v>
      </c>
      <c r="R3407" t="s">
        <v>29667</v>
      </c>
      <c r="S3407" t="s">
        <v>29668</v>
      </c>
    </row>
    <row r="3408" spans="1:19" x14ac:dyDescent="0.25">
      <c r="A3408" s="1">
        <v>3406</v>
      </c>
      <c r="B3408" t="str">
        <f>HYPERLINK("https://www.dasschnelle.at/austaller-brennstoffe-gmbh-gaßl-goldregenstraße","Website")</f>
        <v>Website</v>
      </c>
      <c r="C3408" t="str">
        <f>HYPERLINK("http://www.austaller-brennstoffe.at","Website")</f>
        <v>Website</v>
      </c>
      <c r="D3408" t="str">
        <f>HYPERLINK("http://www.google.com/maps/place/48.1498,13.97724","Location")</f>
        <v>Location</v>
      </c>
      <c r="E3408" t="s">
        <v>29673</v>
      </c>
      <c r="F3408" t="s">
        <v>29674</v>
      </c>
      <c r="G3408" t="s">
        <v>4725</v>
      </c>
      <c r="H3408" t="s">
        <v>29676</v>
      </c>
      <c r="I3408" t="s">
        <v>85</v>
      </c>
      <c r="J3408" t="s">
        <v>22</v>
      </c>
      <c r="K3408" t="s">
        <v>29675</v>
      </c>
      <c r="L3408" t="s">
        <v>29679</v>
      </c>
      <c r="M3408" t="s">
        <v>25</v>
      </c>
      <c r="N3408" t="s">
        <v>29680</v>
      </c>
      <c r="O3408" t="s">
        <v>25</v>
      </c>
      <c r="P3408" t="s">
        <v>29681</v>
      </c>
      <c r="Q3408" t="s">
        <v>29</v>
      </c>
      <c r="R3408" t="s">
        <v>29677</v>
      </c>
      <c r="S3408" t="s">
        <v>29678</v>
      </c>
    </row>
    <row r="3409" spans="1:19" x14ac:dyDescent="0.25">
      <c r="A3409" s="1">
        <v>3407</v>
      </c>
      <c r="B3409" t="str">
        <f>HYPERLINK("https://www.dasschnelle.at/polarbär-gmbh-wolfsberg-redinger-straße","Website")</f>
        <v>Website</v>
      </c>
      <c r="C3409" t="str">
        <f>HYPERLINK("http://www.polarbaer.at","Website")</f>
        <v>Website</v>
      </c>
      <c r="D3409" t="str">
        <f>HYPERLINK("http://www.google.com/maps/place/46.82009,14.84213","Location")</f>
        <v>Location</v>
      </c>
      <c r="E3409" t="s">
        <v>29682</v>
      </c>
      <c r="F3409" t="s">
        <v>29683</v>
      </c>
      <c r="G3409" t="s">
        <v>11363</v>
      </c>
      <c r="H3409" t="s">
        <v>11391</v>
      </c>
      <c r="I3409" t="s">
        <v>4130</v>
      </c>
      <c r="J3409" t="s">
        <v>22</v>
      </c>
      <c r="K3409" t="s">
        <v>29684</v>
      </c>
      <c r="L3409" t="s">
        <v>29687</v>
      </c>
      <c r="M3409" t="s">
        <v>25</v>
      </c>
      <c r="N3409" t="s">
        <v>29688</v>
      </c>
      <c r="O3409" t="s">
        <v>29689</v>
      </c>
      <c r="P3409" t="s">
        <v>29690</v>
      </c>
      <c r="Q3409" t="s">
        <v>29</v>
      </c>
      <c r="R3409" t="s">
        <v>29685</v>
      </c>
      <c r="S3409" t="s">
        <v>29686</v>
      </c>
    </row>
    <row r="3410" spans="1:19" x14ac:dyDescent="0.25">
      <c r="A3410" s="1">
        <v>3408</v>
      </c>
      <c r="B3410" t="str">
        <f>HYPERLINK("https://www.dasschnelle.at/cafe-restaurant-badido-bad-st-leonhard-im-lavanttal-klagenfurterstraße","Website")</f>
        <v>Website</v>
      </c>
      <c r="C3410" t="str">
        <f>HYPERLINK("http://www.badido.at","Website")</f>
        <v>Website</v>
      </c>
      <c r="D3410" t="str">
        <f>HYPERLINK("http://www.google.com/maps/place/46.9617309,14.7954615","Location")</f>
        <v>Location</v>
      </c>
      <c r="E3410" t="s">
        <v>29691</v>
      </c>
      <c r="F3410" t="s">
        <v>29692</v>
      </c>
      <c r="G3410" t="s">
        <v>29694</v>
      </c>
      <c r="H3410" t="s">
        <v>29695</v>
      </c>
      <c r="I3410" t="s">
        <v>4130</v>
      </c>
      <c r="J3410" t="s">
        <v>22</v>
      </c>
      <c r="K3410" t="s">
        <v>29693</v>
      </c>
      <c r="L3410" t="s">
        <v>29698</v>
      </c>
      <c r="M3410" t="s">
        <v>25</v>
      </c>
      <c r="N3410" t="s">
        <v>29699</v>
      </c>
      <c r="O3410" t="s">
        <v>25</v>
      </c>
      <c r="P3410" t="s">
        <v>29700</v>
      </c>
      <c r="Q3410" t="s">
        <v>29</v>
      </c>
      <c r="R3410" t="s">
        <v>29696</v>
      </c>
      <c r="S3410" t="s">
        <v>29697</v>
      </c>
    </row>
    <row r="3411" spans="1:19" x14ac:dyDescent="0.25">
      <c r="A3411" s="1">
        <v>3409</v>
      </c>
      <c r="B3411" t="str">
        <f>HYPERLINK("https://www.dasschnelle.at/kreuz-uwe-bergerndorf-am-thalbach","Website")</f>
        <v>Website</v>
      </c>
      <c r="C3411" t="str">
        <f>HYPERLINK("http://www.malerkreuz.at","Website")</f>
        <v>Website</v>
      </c>
      <c r="D3411" t="str">
        <f>HYPERLINK("http://www.google.com/maps/place/48.13945,14.04517","Location")</f>
        <v>Location</v>
      </c>
      <c r="E3411" t="s">
        <v>29701</v>
      </c>
      <c r="F3411" t="s">
        <v>29702</v>
      </c>
      <c r="G3411" t="s">
        <v>4725</v>
      </c>
      <c r="H3411" t="s">
        <v>29704</v>
      </c>
      <c r="I3411" t="s">
        <v>85</v>
      </c>
      <c r="J3411" t="s">
        <v>22</v>
      </c>
      <c r="K3411" t="s">
        <v>29703</v>
      </c>
      <c r="L3411" t="s">
        <v>29707</v>
      </c>
      <c r="M3411" t="s">
        <v>25</v>
      </c>
      <c r="N3411" t="s">
        <v>29708</v>
      </c>
      <c r="O3411" t="s">
        <v>25</v>
      </c>
      <c r="P3411" t="s">
        <v>29709</v>
      </c>
      <c r="Q3411" t="s">
        <v>29</v>
      </c>
      <c r="R3411" t="s">
        <v>29705</v>
      </c>
      <c r="S3411" t="s">
        <v>29706</v>
      </c>
    </row>
    <row r="3412" spans="1:19" x14ac:dyDescent="0.25">
      <c r="A3412" s="1">
        <v>3410</v>
      </c>
      <c r="B3412" t="str">
        <f>HYPERLINK("https://www.dasschnelle.at/keuschnigg-jürgen-alois-st-stefan-südweg","Website")</f>
        <v>Website</v>
      </c>
      <c r="C3412" t="str">
        <f>HYPERLINK("http://www.feuerwerke-keuschnigg.at","Website")</f>
        <v>Website</v>
      </c>
      <c r="D3412" t="str">
        <f>HYPERLINK("http://www.google.com/maps/place/46.80477,14.84701","Location")</f>
        <v>Location</v>
      </c>
      <c r="E3412" t="s">
        <v>29710</v>
      </c>
      <c r="F3412" t="s">
        <v>29711</v>
      </c>
      <c r="G3412" t="s">
        <v>11372</v>
      </c>
      <c r="H3412" t="s">
        <v>11373</v>
      </c>
      <c r="I3412" t="s">
        <v>4130</v>
      </c>
      <c r="J3412" t="s">
        <v>22</v>
      </c>
      <c r="K3412" t="s">
        <v>29712</v>
      </c>
      <c r="L3412" t="s">
        <v>29715</v>
      </c>
      <c r="M3412" t="s">
        <v>25</v>
      </c>
      <c r="N3412" t="s">
        <v>29716</v>
      </c>
      <c r="O3412" t="s">
        <v>25</v>
      </c>
      <c r="P3412" t="s">
        <v>29717</v>
      </c>
      <c r="Q3412" t="s">
        <v>29</v>
      </c>
      <c r="R3412" t="s">
        <v>29713</v>
      </c>
      <c r="S3412" t="s">
        <v>29714</v>
      </c>
    </row>
    <row r="3413" spans="1:19" x14ac:dyDescent="0.25">
      <c r="A3413" s="1">
        <v>3411</v>
      </c>
      <c r="B3413" t="str">
        <f>HYPERLINK("https://www.dasschnelle.at/gudrun-s-blumenecke-bad-st-leonhard-im-lavanttal-klagenfurterstraße","Website")</f>
        <v>Website</v>
      </c>
      <c r="C3413" t="str">
        <f>HYPERLINK("https://www.dasschnelle.at/gudrun-s-blumenecke-bad-st-leonhard-im-lavanttal-klagenfurterstra%C3%9Fe","Website")</f>
        <v>Website</v>
      </c>
      <c r="D3413" t="str">
        <f>HYPERLINK("http://www.google.com/maps/place/46.9617309,14.7954615","Location")</f>
        <v>Location</v>
      </c>
      <c r="E3413" t="s">
        <v>29718</v>
      </c>
      <c r="F3413" t="s">
        <v>29719</v>
      </c>
      <c r="G3413" t="s">
        <v>29694</v>
      </c>
      <c r="H3413" t="s">
        <v>29695</v>
      </c>
      <c r="I3413" t="s">
        <v>4130</v>
      </c>
      <c r="J3413" t="s">
        <v>22</v>
      </c>
      <c r="K3413" t="s">
        <v>29693</v>
      </c>
      <c r="L3413" t="s">
        <v>29720</v>
      </c>
      <c r="M3413" t="s">
        <v>25</v>
      </c>
      <c r="N3413" t="s">
        <v>25</v>
      </c>
      <c r="O3413" t="s">
        <v>25</v>
      </c>
      <c r="P3413" t="s">
        <v>29721</v>
      </c>
      <c r="Q3413" t="s">
        <v>29</v>
      </c>
      <c r="R3413" t="s">
        <v>29696</v>
      </c>
      <c r="S3413" t="s">
        <v>29697</v>
      </c>
    </row>
    <row r="3414" spans="1:19" x14ac:dyDescent="0.25">
      <c r="A3414" s="1">
        <v>3412</v>
      </c>
      <c r="B3414" t="str">
        <f>HYPERLINK("https://www.dasschnelle.at/puschmann-gebrüder-gesmbh-und-co-kg-wels-kaiser-josef-platz","Website")</f>
        <v>Website</v>
      </c>
      <c r="C3414" t="str">
        <f>HYPERLINK("http://www.puschmann.at","Website")</f>
        <v>Website</v>
      </c>
      <c r="D3414" t="str">
        <f>HYPERLINK("http://www.google.com/maps/place/48.15944,14.0227","Location")</f>
        <v>Location</v>
      </c>
      <c r="E3414" t="s">
        <v>29722</v>
      </c>
      <c r="F3414" t="s">
        <v>29723</v>
      </c>
      <c r="G3414" t="s">
        <v>4725</v>
      </c>
      <c r="H3414" t="s">
        <v>4754</v>
      </c>
      <c r="I3414" t="s">
        <v>85</v>
      </c>
      <c r="J3414" t="s">
        <v>22</v>
      </c>
      <c r="K3414" t="s">
        <v>29724</v>
      </c>
      <c r="L3414" t="s">
        <v>29727</v>
      </c>
      <c r="M3414" t="s">
        <v>29728</v>
      </c>
      <c r="N3414" t="s">
        <v>29729</v>
      </c>
      <c r="O3414" t="s">
        <v>29730</v>
      </c>
      <c r="P3414" t="s">
        <v>29731</v>
      </c>
      <c r="Q3414" t="s">
        <v>29</v>
      </c>
      <c r="R3414" t="s">
        <v>29725</v>
      </c>
      <c r="S3414" t="s">
        <v>29726</v>
      </c>
    </row>
    <row r="3415" spans="1:19" x14ac:dyDescent="0.25">
      <c r="A3415" s="1">
        <v>3413</v>
      </c>
      <c r="B3415" t="str">
        <f>HYPERLINK("https://www.dasschnelle.at/maier-streicher-sonja-bad-st-leonhard-im-lavanttal-klagenfurterstraße","Website")</f>
        <v>Website</v>
      </c>
      <c r="C3415" t="str">
        <f>HYPERLINK("http://www.nageldesign-sonja.at","Website")</f>
        <v>Website</v>
      </c>
      <c r="D3415" t="str">
        <f>HYPERLINK("http://www.google.com/maps/place/46.9617309,14.7954615","Location")</f>
        <v>Location</v>
      </c>
      <c r="E3415" t="s">
        <v>29732</v>
      </c>
      <c r="F3415" t="s">
        <v>29733</v>
      </c>
      <c r="G3415" t="s">
        <v>29694</v>
      </c>
      <c r="H3415" t="s">
        <v>29695</v>
      </c>
      <c r="I3415" t="s">
        <v>4130</v>
      </c>
      <c r="J3415" t="s">
        <v>22</v>
      </c>
      <c r="K3415" t="s">
        <v>29693</v>
      </c>
      <c r="L3415" t="s">
        <v>29734</v>
      </c>
      <c r="M3415" t="s">
        <v>25</v>
      </c>
      <c r="N3415" t="s">
        <v>29735</v>
      </c>
      <c r="O3415" t="s">
        <v>25</v>
      </c>
      <c r="P3415" t="s">
        <v>29736</v>
      </c>
      <c r="Q3415" t="s">
        <v>29</v>
      </c>
      <c r="R3415" t="s">
        <v>29696</v>
      </c>
      <c r="S3415" t="s">
        <v>29697</v>
      </c>
    </row>
    <row r="3416" spans="1:19" x14ac:dyDescent="0.25">
      <c r="A3416" s="1">
        <v>3414</v>
      </c>
      <c r="B3416" t="str">
        <f>HYPERLINK("https://www.dasschnelle.at/joham-installationen-gmbh-wolfsberg-paracelsusweg","Website")</f>
        <v>Website</v>
      </c>
      <c r="C3416" t="str">
        <f>HYPERLINK("http://www.installationen-joham.at","Website")</f>
        <v>Website</v>
      </c>
      <c r="D3416" t="str">
        <f>HYPERLINK("http://www.google.com/maps/place/46.83135,14.84844","Location")</f>
        <v>Location</v>
      </c>
      <c r="E3416" t="s">
        <v>29737</v>
      </c>
      <c r="F3416" t="s">
        <v>29738</v>
      </c>
      <c r="G3416" t="s">
        <v>11363</v>
      </c>
      <c r="H3416" t="s">
        <v>11391</v>
      </c>
      <c r="I3416" t="s">
        <v>4130</v>
      </c>
      <c r="J3416" t="s">
        <v>22</v>
      </c>
      <c r="K3416" t="s">
        <v>29739</v>
      </c>
      <c r="L3416" t="s">
        <v>29742</v>
      </c>
      <c r="M3416" t="s">
        <v>25</v>
      </c>
      <c r="N3416" t="s">
        <v>29743</v>
      </c>
      <c r="O3416" t="s">
        <v>25</v>
      </c>
      <c r="P3416" t="s">
        <v>29744</v>
      </c>
      <c r="Q3416" t="s">
        <v>29</v>
      </c>
      <c r="R3416" t="s">
        <v>29740</v>
      </c>
      <c r="S3416" t="s">
        <v>29741</v>
      </c>
    </row>
    <row r="3417" spans="1:19" x14ac:dyDescent="0.25">
      <c r="A3417" s="1">
        <v>3415</v>
      </c>
      <c r="B3417" t="str">
        <f>HYPERLINK("https://www.dasschnelle.at/autohaus-pirker-gmbh-wolfsberg-ziegeleistraße","Website")</f>
        <v>Website</v>
      </c>
      <c r="C3417" t="str">
        <f>HYPERLINK("http://www.autohaus-pirker.at","Website")</f>
        <v>Website</v>
      </c>
      <c r="D3417" t="str">
        <f>HYPERLINK("http://www.google.com/maps/place/46.819,14.83863","Location")</f>
        <v>Location</v>
      </c>
      <c r="E3417" t="s">
        <v>29745</v>
      </c>
      <c r="F3417" t="s">
        <v>29746</v>
      </c>
      <c r="G3417" t="s">
        <v>11363</v>
      </c>
      <c r="H3417" t="s">
        <v>11391</v>
      </c>
      <c r="I3417" t="s">
        <v>4130</v>
      </c>
      <c r="J3417" t="s">
        <v>22</v>
      </c>
      <c r="K3417" t="s">
        <v>29747</v>
      </c>
      <c r="L3417" t="s">
        <v>29750</v>
      </c>
      <c r="M3417" t="s">
        <v>25</v>
      </c>
      <c r="N3417" t="s">
        <v>29751</v>
      </c>
      <c r="O3417" t="s">
        <v>29752</v>
      </c>
      <c r="P3417" t="s">
        <v>29753</v>
      </c>
      <c r="Q3417" t="s">
        <v>29</v>
      </c>
      <c r="R3417" t="s">
        <v>29748</v>
      </c>
      <c r="S3417" t="s">
        <v>29749</v>
      </c>
    </row>
    <row r="3418" spans="1:19" x14ac:dyDescent="0.25">
      <c r="A3418" s="1">
        <v>3416</v>
      </c>
      <c r="B3418" t="str">
        <f>HYPERLINK("https://www.dasschnelle.at/nagler-holz-gmbh-und-co-kg-alberndorf-riedegg","Website")</f>
        <v>Website</v>
      </c>
      <c r="C3418" t="str">
        <f>HYPERLINK("http://www.nagler-holz.at","Website")</f>
        <v>Website</v>
      </c>
      <c r="D3418" t="str">
        <f>HYPERLINK("http://www.google.com/maps/place/48.3714069,14.4027991","Location")</f>
        <v>Location</v>
      </c>
      <c r="E3418" t="s">
        <v>29754</v>
      </c>
      <c r="F3418" t="s">
        <v>29755</v>
      </c>
      <c r="G3418" t="s">
        <v>29757</v>
      </c>
      <c r="H3418" t="s">
        <v>29758</v>
      </c>
      <c r="I3418" t="s">
        <v>85</v>
      </c>
      <c r="J3418" t="s">
        <v>22</v>
      </c>
      <c r="K3418" t="s">
        <v>29756</v>
      </c>
      <c r="L3418" t="s">
        <v>29761</v>
      </c>
      <c r="M3418" t="s">
        <v>29762</v>
      </c>
      <c r="N3418" t="s">
        <v>29763</v>
      </c>
      <c r="O3418" t="s">
        <v>29764</v>
      </c>
      <c r="P3418" t="s">
        <v>29765</v>
      </c>
      <c r="Q3418" t="s">
        <v>29</v>
      </c>
      <c r="R3418" t="s">
        <v>29759</v>
      </c>
      <c r="S3418" t="s">
        <v>29760</v>
      </c>
    </row>
    <row r="3419" spans="1:19" x14ac:dyDescent="0.25">
      <c r="A3419" s="1">
        <v>3417</v>
      </c>
      <c r="B3419" t="str">
        <f>HYPERLINK("https://www.dasschnelle.at/gasthof-franzbauer-gußwerk-salzatal","Website")</f>
        <v>Website</v>
      </c>
      <c r="C3419" t="str">
        <f>HYPERLINK("https://www.dasschnelle.at/gasthof-franzbauer-gu%C3%9Fwerk-salzatal","Website")</f>
        <v>Website</v>
      </c>
      <c r="D3419" t="str">
        <f>HYPERLINK("http://www.google.com/maps/place/47.71866,15.25114","Location")</f>
        <v>Location</v>
      </c>
      <c r="E3419" t="s">
        <v>29766</v>
      </c>
      <c r="F3419" t="s">
        <v>29767</v>
      </c>
      <c r="G3419" t="s">
        <v>12472</v>
      </c>
      <c r="H3419" t="s">
        <v>12510</v>
      </c>
      <c r="I3419" t="s">
        <v>451</v>
      </c>
      <c r="J3419" t="s">
        <v>22</v>
      </c>
      <c r="K3419" t="s">
        <v>29768</v>
      </c>
      <c r="L3419" t="s">
        <v>29771</v>
      </c>
      <c r="M3419" t="s">
        <v>25</v>
      </c>
      <c r="N3419" t="s">
        <v>29772</v>
      </c>
      <c r="O3419" t="s">
        <v>25</v>
      </c>
      <c r="P3419" t="s">
        <v>29773</v>
      </c>
      <c r="Q3419" t="s">
        <v>29</v>
      </c>
      <c r="R3419" t="s">
        <v>29769</v>
      </c>
      <c r="S3419" t="s">
        <v>29770</v>
      </c>
    </row>
    <row r="3420" spans="1:19" x14ac:dyDescent="0.25">
      <c r="A3420" s="1">
        <v>3418</v>
      </c>
      <c r="B3420" t="str">
        <f>HYPERLINK("https://www.dasschnelle.at/steiner-günther-sankt-sebastian-bundesstraße","Website")</f>
        <v>Website</v>
      </c>
      <c r="C3420" t="str">
        <f>HYPERLINK("http://www.sparmarkt.at","Website")</f>
        <v>Website</v>
      </c>
      <c r="D3420" t="str">
        <f>HYPERLINK("http://www.google.com/maps/place/47.7741627,15.3152423","Location")</f>
        <v>Location</v>
      </c>
      <c r="E3420" t="s">
        <v>29774</v>
      </c>
      <c r="F3420" t="s">
        <v>29775</v>
      </c>
      <c r="G3420" t="s">
        <v>12529</v>
      </c>
      <c r="H3420" t="s">
        <v>29777</v>
      </c>
      <c r="I3420" t="s">
        <v>451</v>
      </c>
      <c r="J3420" t="s">
        <v>22</v>
      </c>
      <c r="K3420" t="s">
        <v>29776</v>
      </c>
      <c r="L3420" t="s">
        <v>29780</v>
      </c>
      <c r="M3420" t="s">
        <v>25</v>
      </c>
      <c r="N3420" t="s">
        <v>29781</v>
      </c>
      <c r="O3420" t="s">
        <v>25</v>
      </c>
      <c r="P3420" t="s">
        <v>29782</v>
      </c>
      <c r="Q3420" t="s">
        <v>29</v>
      </c>
      <c r="R3420" t="s">
        <v>29778</v>
      </c>
      <c r="S3420" t="s">
        <v>29779</v>
      </c>
    </row>
    <row r="3421" spans="1:19" x14ac:dyDescent="0.25">
      <c r="A3421" s="1">
        <v>3419</v>
      </c>
      <c r="B3421" t="str">
        <f>HYPERLINK("https://www.dasschnelle.at/holzbau-zimmerei-daxelberger-bau-gmbh-hohenberg-wegetal","Website")</f>
        <v>Website</v>
      </c>
      <c r="C3421" t="str">
        <f>HYPERLINK("http://www.daxelberger.at","Website")</f>
        <v>Website</v>
      </c>
      <c r="D3421" t="str">
        <f>HYPERLINK("http://www.google.com/maps/place/47.88809,15.6","Location")</f>
        <v>Location</v>
      </c>
      <c r="E3421" t="s">
        <v>29783</v>
      </c>
      <c r="F3421" t="s">
        <v>29784</v>
      </c>
      <c r="G3421" t="s">
        <v>12462</v>
      </c>
      <c r="H3421" t="s">
        <v>12463</v>
      </c>
      <c r="I3421" t="s">
        <v>177</v>
      </c>
      <c r="J3421" t="s">
        <v>22</v>
      </c>
      <c r="K3421" t="s">
        <v>29785</v>
      </c>
      <c r="L3421" t="s">
        <v>29788</v>
      </c>
      <c r="M3421" t="s">
        <v>29789</v>
      </c>
      <c r="N3421" t="s">
        <v>29790</v>
      </c>
      <c r="O3421" t="s">
        <v>25</v>
      </c>
      <c r="P3421" t="s">
        <v>29791</v>
      </c>
      <c r="Q3421" t="s">
        <v>29</v>
      </c>
      <c r="R3421" t="s">
        <v>29786</v>
      </c>
      <c r="S3421" t="s">
        <v>29787</v>
      </c>
    </row>
    <row r="3422" spans="1:19" x14ac:dyDescent="0.25">
      <c r="A3422" s="1">
        <v>3420</v>
      </c>
      <c r="B3422" t="str">
        <f>HYPERLINK("https://www.dasschnelle.at/traunmüller-johannes-e-u-altenberg-bei-linz-schmiedgasse","Website")</f>
        <v>Website</v>
      </c>
      <c r="C3422" t="str">
        <f>HYPERLINK("http://www.traunmueller.cc","Website")</f>
        <v>Website</v>
      </c>
      <c r="D3422" t="str">
        <f>HYPERLINK("http://www.google.com/maps/place/48.3734800,14.3493800","Location")</f>
        <v>Location</v>
      </c>
      <c r="E3422" t="s">
        <v>29792</v>
      </c>
      <c r="F3422" t="s">
        <v>29793</v>
      </c>
      <c r="G3422" t="s">
        <v>4110</v>
      </c>
      <c r="H3422" t="s">
        <v>4111</v>
      </c>
      <c r="I3422" t="s">
        <v>85</v>
      </c>
      <c r="J3422" t="s">
        <v>22</v>
      </c>
      <c r="K3422" t="s">
        <v>29794</v>
      </c>
      <c r="L3422" t="s">
        <v>29797</v>
      </c>
      <c r="M3422" t="s">
        <v>25</v>
      </c>
      <c r="N3422" t="s">
        <v>29798</v>
      </c>
      <c r="O3422" t="s">
        <v>25</v>
      </c>
      <c r="P3422" t="s">
        <v>29799</v>
      </c>
      <c r="Q3422" t="s">
        <v>29</v>
      </c>
      <c r="R3422" t="s">
        <v>29795</v>
      </c>
      <c r="S3422" t="s">
        <v>29796</v>
      </c>
    </row>
    <row r="3423" spans="1:19" x14ac:dyDescent="0.25">
      <c r="A3423" s="1">
        <v>3421</v>
      </c>
      <c r="B3423" t="str">
        <f>HYPERLINK("https://www.dasschnelle.at/auto-dohr-c-u-b-g-m-b-h-wolfsberg-allgäu","Website")</f>
        <v>Website</v>
      </c>
      <c r="C3423" t="str">
        <f>HYPERLINK("http://www.dohr.at","Website")</f>
        <v>Website</v>
      </c>
      <c r="D3423" t="str">
        <f>HYPERLINK("http://www.google.com/maps/place/46.84474,14.84432","Location")</f>
        <v>Location</v>
      </c>
      <c r="E3423" t="s">
        <v>29800</v>
      </c>
      <c r="F3423" t="s">
        <v>29801</v>
      </c>
      <c r="G3423" t="s">
        <v>11363</v>
      </c>
      <c r="H3423" t="s">
        <v>11391</v>
      </c>
      <c r="I3423" t="s">
        <v>4130</v>
      </c>
      <c r="J3423" t="s">
        <v>22</v>
      </c>
      <c r="K3423" t="s">
        <v>29802</v>
      </c>
      <c r="L3423" t="s">
        <v>29805</v>
      </c>
      <c r="M3423" t="s">
        <v>25</v>
      </c>
      <c r="N3423" t="s">
        <v>29806</v>
      </c>
      <c r="O3423" t="s">
        <v>25</v>
      </c>
      <c r="P3423" t="s">
        <v>29807</v>
      </c>
      <c r="Q3423" t="s">
        <v>29</v>
      </c>
      <c r="R3423" t="s">
        <v>29803</v>
      </c>
      <c r="S3423" t="s">
        <v>29804</v>
      </c>
    </row>
    <row r="3424" spans="1:19" x14ac:dyDescent="0.25">
      <c r="A3424" s="1">
        <v>3422</v>
      </c>
      <c r="B3424" t="str">
        <f>HYPERLINK("https://www.dasschnelle.at/ruthardt-sabrina-wolfsberg-st-thomaser-straße","Website")</f>
        <v>Website</v>
      </c>
      <c r="C3424" t="str">
        <f>HYPERLINK("http://www.ruthardt.biz","Website")</f>
        <v>Website</v>
      </c>
      <c r="D3424" t="str">
        <f>HYPERLINK("http://www.google.com/maps/place/46.83256,14.83724","Location")</f>
        <v>Location</v>
      </c>
      <c r="E3424" t="s">
        <v>29808</v>
      </c>
      <c r="F3424" t="s">
        <v>29809</v>
      </c>
      <c r="G3424" t="s">
        <v>11363</v>
      </c>
      <c r="H3424" t="s">
        <v>11391</v>
      </c>
      <c r="I3424" t="s">
        <v>4130</v>
      </c>
      <c r="J3424" t="s">
        <v>22</v>
      </c>
      <c r="K3424" t="s">
        <v>29810</v>
      </c>
      <c r="L3424" t="s">
        <v>29813</v>
      </c>
      <c r="M3424" t="s">
        <v>25</v>
      </c>
      <c r="N3424" t="s">
        <v>29814</v>
      </c>
      <c r="O3424" t="s">
        <v>25</v>
      </c>
      <c r="P3424" t="s">
        <v>29815</v>
      </c>
      <c r="Q3424" t="s">
        <v>29</v>
      </c>
      <c r="R3424" t="s">
        <v>29811</v>
      </c>
      <c r="S3424" t="s">
        <v>29812</v>
      </c>
    </row>
    <row r="3425" spans="1:19" x14ac:dyDescent="0.25">
      <c r="A3425" s="1">
        <v>3423</v>
      </c>
      <c r="B3425" t="str">
        <f>HYPERLINK("https://www.dasschnelle.at/edinger-regina-arbesbach-kamp","Website")</f>
        <v>Website</v>
      </c>
      <c r="C3425" t="str">
        <f>HYPERLINK("https://www.dasschnelle.at/edinger-regina-arbesbach-kamp","Website")</f>
        <v>Website</v>
      </c>
      <c r="D3425" t="str">
        <f>HYPERLINK("http://www.google.com/maps/place/48.5020719,14.9598463","Location")</f>
        <v>Location</v>
      </c>
      <c r="E3425" t="s">
        <v>29816</v>
      </c>
      <c r="F3425" t="s">
        <v>29817</v>
      </c>
      <c r="G3425" t="s">
        <v>25525</v>
      </c>
      <c r="H3425" t="s">
        <v>25526</v>
      </c>
      <c r="I3425" t="s">
        <v>177</v>
      </c>
      <c r="J3425" t="s">
        <v>22</v>
      </c>
      <c r="K3425" t="s">
        <v>29818</v>
      </c>
      <c r="L3425" t="s">
        <v>29821</v>
      </c>
      <c r="M3425" t="s">
        <v>25</v>
      </c>
      <c r="N3425" t="s">
        <v>29822</v>
      </c>
      <c r="O3425" t="s">
        <v>29823</v>
      </c>
      <c r="P3425" t="s">
        <v>29824</v>
      </c>
      <c r="Q3425" t="s">
        <v>29</v>
      </c>
      <c r="R3425" t="s">
        <v>29819</v>
      </c>
      <c r="S3425" t="s">
        <v>29820</v>
      </c>
    </row>
    <row r="3426" spans="1:19" x14ac:dyDescent="0.25">
      <c r="A3426" s="1">
        <v>3424</v>
      </c>
      <c r="B3426" t="str">
        <f>HYPERLINK("https://www.dasschnelle.at/f1-fahrscool-landeck-malserstraße","Website")</f>
        <v>Website</v>
      </c>
      <c r="C3426" t="str">
        <f>HYPERLINK("http://www.ff1.at","Website")</f>
        <v>Website</v>
      </c>
      <c r="D3426" t="str">
        <f>HYPERLINK("http://www.google.com/maps/place/47.14132,10.56727","Location")</f>
        <v>Location</v>
      </c>
      <c r="E3426" t="s">
        <v>29825</v>
      </c>
      <c r="F3426" t="s">
        <v>29826</v>
      </c>
      <c r="G3426" t="s">
        <v>1279</v>
      </c>
      <c r="H3426" t="s">
        <v>1280</v>
      </c>
      <c r="I3426" t="s">
        <v>21</v>
      </c>
      <c r="J3426" t="s">
        <v>22</v>
      </c>
      <c r="K3426" t="s">
        <v>29827</v>
      </c>
      <c r="L3426" t="s">
        <v>29830</v>
      </c>
      <c r="M3426" t="s">
        <v>25</v>
      </c>
      <c r="N3426" t="s">
        <v>29831</v>
      </c>
      <c r="O3426" t="s">
        <v>25</v>
      </c>
      <c r="P3426" t="s">
        <v>29832</v>
      </c>
      <c r="Q3426" t="s">
        <v>29</v>
      </c>
      <c r="R3426" t="s">
        <v>29828</v>
      </c>
      <c r="S3426" t="s">
        <v>29829</v>
      </c>
    </row>
    <row r="3427" spans="1:19" x14ac:dyDescent="0.25">
      <c r="A3427" s="1">
        <v>3425</v>
      </c>
      <c r="B3427" t="str">
        <f>HYPERLINK("https://www.dasschnelle.at/winkler-reinhard-steinmetzmeister-gmbh-wels-anzengruberstraße","Website")</f>
        <v>Website</v>
      </c>
      <c r="C3427" t="str">
        <f>HYPERLINK("http://www.winkler-stein.at","Website")</f>
        <v>Website</v>
      </c>
      <c r="D3427" t="str">
        <f>HYPERLINK("http://www.google.com/maps/place/48.16321,14.02308","Location")</f>
        <v>Location</v>
      </c>
      <c r="E3427" t="s">
        <v>29833</v>
      </c>
      <c r="F3427" t="s">
        <v>29834</v>
      </c>
      <c r="G3427" t="s">
        <v>4725</v>
      </c>
      <c r="H3427" t="s">
        <v>4754</v>
      </c>
      <c r="I3427" t="s">
        <v>85</v>
      </c>
      <c r="J3427" t="s">
        <v>22</v>
      </c>
      <c r="K3427" t="s">
        <v>29835</v>
      </c>
      <c r="L3427" t="s">
        <v>29838</v>
      </c>
      <c r="M3427" t="s">
        <v>25</v>
      </c>
      <c r="N3427" t="s">
        <v>29839</v>
      </c>
      <c r="O3427" t="s">
        <v>25</v>
      </c>
      <c r="P3427" t="s">
        <v>29840</v>
      </c>
      <c r="Q3427" t="s">
        <v>29</v>
      </c>
      <c r="R3427" t="s">
        <v>29836</v>
      </c>
      <c r="S3427" t="s">
        <v>29837</v>
      </c>
    </row>
    <row r="3428" spans="1:19" x14ac:dyDescent="0.25">
      <c r="A3428" s="1">
        <v>3426</v>
      </c>
      <c r="B3428" t="str">
        <f>HYPERLINK("https://www.dasschnelle.at/funktaxi-234-gmbh-wels-eisenhowerstraße","Website")</f>
        <v>Website</v>
      </c>
      <c r="C3428" t="str">
        <f>HYPERLINK("https://www.dasschnelle.at/funktaxi-234-gmbh-wels-eisenhowerstra%C3%9Fe","Website")</f>
        <v>Website</v>
      </c>
      <c r="D3428" t="str">
        <f>HYPERLINK("http://www.google.com/maps/place/48.16137,14.02068","Location")</f>
        <v>Location</v>
      </c>
      <c r="E3428" t="s">
        <v>29841</v>
      </c>
      <c r="F3428" t="s">
        <v>29842</v>
      </c>
      <c r="G3428" t="s">
        <v>4725</v>
      </c>
      <c r="H3428" t="s">
        <v>4754</v>
      </c>
      <c r="I3428" t="s">
        <v>85</v>
      </c>
      <c r="J3428" t="s">
        <v>22</v>
      </c>
      <c r="K3428" t="s">
        <v>29843</v>
      </c>
      <c r="L3428" t="s">
        <v>29846</v>
      </c>
      <c r="M3428" t="s">
        <v>25</v>
      </c>
      <c r="N3428" t="s">
        <v>19660</v>
      </c>
      <c r="O3428" t="s">
        <v>25</v>
      </c>
      <c r="P3428" t="s">
        <v>29847</v>
      </c>
      <c r="Q3428" t="s">
        <v>29</v>
      </c>
      <c r="R3428" t="s">
        <v>29844</v>
      </c>
      <c r="S3428" t="s">
        <v>29845</v>
      </c>
    </row>
    <row r="3429" spans="1:19" x14ac:dyDescent="0.25">
      <c r="A3429" s="1">
        <v>3427</v>
      </c>
      <c r="B3429" t="str">
        <f>HYPERLINK("https://www.dasschnelle.at/heiß-walter-gmbh-prutz-eileweg","Website")</f>
        <v>Website</v>
      </c>
      <c r="C3429" t="str">
        <f>HYPERLINK("http://www.walterheiss.at","Website")</f>
        <v>Website</v>
      </c>
      <c r="D3429" t="str">
        <f>HYPERLINK("http://www.google.com/maps/place/47.07911,10.66294","Location")</f>
        <v>Location</v>
      </c>
      <c r="E3429" t="s">
        <v>29848</v>
      </c>
      <c r="F3429" t="s">
        <v>29849</v>
      </c>
      <c r="G3429" t="s">
        <v>27742</v>
      </c>
      <c r="H3429" t="s">
        <v>27743</v>
      </c>
      <c r="I3429" t="s">
        <v>21</v>
      </c>
      <c r="J3429" t="s">
        <v>22</v>
      </c>
      <c r="K3429" t="s">
        <v>29850</v>
      </c>
      <c r="L3429" t="s">
        <v>29853</v>
      </c>
      <c r="M3429" t="s">
        <v>25</v>
      </c>
      <c r="N3429" t="s">
        <v>29854</v>
      </c>
      <c r="O3429" t="s">
        <v>25</v>
      </c>
      <c r="P3429" t="s">
        <v>29855</v>
      </c>
      <c r="Q3429" t="s">
        <v>29</v>
      </c>
      <c r="R3429" t="s">
        <v>29851</v>
      </c>
      <c r="S3429" t="s">
        <v>29852</v>
      </c>
    </row>
    <row r="3430" spans="1:19" x14ac:dyDescent="0.25">
      <c r="A3430" s="1">
        <v>3428</v>
      </c>
      <c r="B3430" t="str">
        <f>HYPERLINK("https://www.dasschnelle.at/kreuzer-rebecca-elisabeth-friesach-hauptplatz","Website")</f>
        <v>Website</v>
      </c>
      <c r="C3430" t="str">
        <f>HYPERLINK("https://www.dasschnelle.at/kreuzer-rebecca-elisabeth-friesach-hauptplatz","Website")</f>
        <v>Website</v>
      </c>
      <c r="D3430" t="str">
        <f>HYPERLINK("http://www.google.com/maps/place/46.8476176,14.1936543","Location")</f>
        <v>Location</v>
      </c>
      <c r="E3430" t="s">
        <v>29856</v>
      </c>
      <c r="F3430" t="s">
        <v>29857</v>
      </c>
      <c r="G3430" t="s">
        <v>26556</v>
      </c>
      <c r="H3430" t="s">
        <v>26557</v>
      </c>
      <c r="I3430" t="s">
        <v>4130</v>
      </c>
      <c r="J3430" t="s">
        <v>22</v>
      </c>
      <c r="K3430" t="s">
        <v>1778</v>
      </c>
      <c r="L3430" t="s">
        <v>29860</v>
      </c>
      <c r="M3430" t="s">
        <v>25</v>
      </c>
      <c r="N3430" t="s">
        <v>29861</v>
      </c>
      <c r="O3430" t="s">
        <v>25</v>
      </c>
      <c r="P3430" t="s">
        <v>29862</v>
      </c>
      <c r="Q3430" t="s">
        <v>29</v>
      </c>
      <c r="R3430" t="s">
        <v>29858</v>
      </c>
      <c r="S3430" t="s">
        <v>29859</v>
      </c>
    </row>
    <row r="3431" spans="1:19" x14ac:dyDescent="0.25">
      <c r="A3431" s="1">
        <v>3429</v>
      </c>
      <c r="B3431" t="str">
        <f>HYPERLINK("https://www.dasschnelle.at/eco-haus-pflegeheim-mettersdorf","Website")</f>
        <v>Website</v>
      </c>
      <c r="C3431" t="str">
        <f>HYPERLINK("http://www.eco-pflegehaus.at","Website")</f>
        <v>Website</v>
      </c>
      <c r="D3431" t="str">
        <f>HYPERLINK("http://www.google.com/maps/place/46.8061884,15.7111534","Location")</f>
        <v>Location</v>
      </c>
      <c r="E3431" t="s">
        <v>29863</v>
      </c>
      <c r="F3431" t="s">
        <v>29864</v>
      </c>
      <c r="G3431" t="s">
        <v>29865</v>
      </c>
      <c r="H3431" t="s">
        <v>20642</v>
      </c>
      <c r="I3431" t="s">
        <v>451</v>
      </c>
      <c r="J3431" t="s">
        <v>22</v>
      </c>
      <c r="K3431" t="s">
        <v>25</v>
      </c>
      <c r="L3431" t="s">
        <v>29868</v>
      </c>
      <c r="M3431" t="s">
        <v>25</v>
      </c>
      <c r="N3431" t="s">
        <v>29869</v>
      </c>
      <c r="O3431" t="s">
        <v>25</v>
      </c>
      <c r="P3431" t="s">
        <v>29870</v>
      </c>
      <c r="Q3431" t="s">
        <v>29</v>
      </c>
      <c r="R3431" t="s">
        <v>29866</v>
      </c>
      <c r="S3431" t="s">
        <v>29867</v>
      </c>
    </row>
    <row r="3432" spans="1:19" x14ac:dyDescent="0.25">
      <c r="A3432" s="1">
        <v>3430</v>
      </c>
      <c r="B3432" t="str">
        <f>HYPERLINK("https://www.dasschnelle.at/oö-maschinenring-service-ren-gen-m-b-h-est-461-wels-wels-neinergutstraße","Website")</f>
        <v>Website</v>
      </c>
      <c r="C3432" t="str">
        <f>HYPERLINK("http://www.maschinenring.at","Website")</f>
        <v>Website</v>
      </c>
      <c r="D3432" t="str">
        <f>HYPERLINK("http://www.google.com/maps/place/48.17161,13.99364","Location")</f>
        <v>Location</v>
      </c>
      <c r="E3432" t="s">
        <v>29871</v>
      </c>
      <c r="F3432" t="s">
        <v>29872</v>
      </c>
      <c r="G3432" t="s">
        <v>4725</v>
      </c>
      <c r="H3432" t="s">
        <v>4754</v>
      </c>
      <c r="I3432" t="s">
        <v>85</v>
      </c>
      <c r="J3432" t="s">
        <v>22</v>
      </c>
      <c r="K3432" t="s">
        <v>29873</v>
      </c>
      <c r="L3432" t="s">
        <v>29875</v>
      </c>
      <c r="M3432" t="s">
        <v>25</v>
      </c>
      <c r="N3432" t="s">
        <v>25</v>
      </c>
      <c r="O3432" t="s">
        <v>29876</v>
      </c>
      <c r="P3432" t="s">
        <v>29877</v>
      </c>
      <c r="Q3432" t="s">
        <v>29</v>
      </c>
      <c r="R3432" t="s">
        <v>4755</v>
      </c>
      <c r="S3432" t="s">
        <v>29874</v>
      </c>
    </row>
    <row r="3433" spans="1:19" x14ac:dyDescent="0.25">
      <c r="A3433" s="1">
        <v>3431</v>
      </c>
      <c r="B3433" t="str">
        <f>HYPERLINK("https://www.dasschnelle.at/pizzeria-venedig-lilienfeld-liese-prokop-strassse","Website")</f>
        <v>Website</v>
      </c>
      <c r="C3433" t="str">
        <f>HYPERLINK("https://www.dasschnelle.at/pizzeria-venedig-lilienfeld-liese-prokop-strassse","Website")</f>
        <v>Website</v>
      </c>
      <c r="D3433" t="str">
        <f>HYPERLINK("http://www.google.com/maps/place/48.0146700,15.5991700","Location")</f>
        <v>Location</v>
      </c>
      <c r="E3433" t="s">
        <v>29878</v>
      </c>
      <c r="F3433" t="s">
        <v>29879</v>
      </c>
      <c r="G3433" t="s">
        <v>11860</v>
      </c>
      <c r="H3433" t="s">
        <v>11861</v>
      </c>
      <c r="I3433" t="s">
        <v>177</v>
      </c>
      <c r="J3433" t="s">
        <v>22</v>
      </c>
      <c r="K3433" t="s">
        <v>29880</v>
      </c>
      <c r="L3433" t="s">
        <v>29883</v>
      </c>
      <c r="M3433" t="s">
        <v>25</v>
      </c>
      <c r="N3433" t="s">
        <v>29884</v>
      </c>
      <c r="O3433" t="s">
        <v>25</v>
      </c>
      <c r="P3433" t="s">
        <v>29885</v>
      </c>
      <c r="Q3433" t="s">
        <v>29</v>
      </c>
      <c r="R3433" t="s">
        <v>29881</v>
      </c>
      <c r="S3433" t="s">
        <v>29882</v>
      </c>
    </row>
    <row r="3434" spans="1:19" x14ac:dyDescent="0.25">
      <c r="A3434" s="1">
        <v>3432</v>
      </c>
      <c r="B3434" t="str">
        <f>HYPERLINK("https://www.dasschnelle.at/walzl-johann-wolfsberg-industriestraße","Website")</f>
        <v>Website</v>
      </c>
      <c r="C3434" t="str">
        <f>HYPERLINK("http://www.walzl-sanitaer-heizung.at","Website")</f>
        <v>Website</v>
      </c>
      <c r="D3434" t="str">
        <f>HYPERLINK("http://www.google.com/maps/place/46.82151,14.84027","Location")</f>
        <v>Location</v>
      </c>
      <c r="E3434" t="s">
        <v>29886</v>
      </c>
      <c r="F3434" t="s">
        <v>29887</v>
      </c>
      <c r="G3434" t="s">
        <v>11363</v>
      </c>
      <c r="H3434" t="s">
        <v>11391</v>
      </c>
      <c r="I3434" t="s">
        <v>4130</v>
      </c>
      <c r="J3434" t="s">
        <v>22</v>
      </c>
      <c r="K3434" t="s">
        <v>29888</v>
      </c>
      <c r="L3434" t="s">
        <v>29891</v>
      </c>
      <c r="M3434" t="s">
        <v>25</v>
      </c>
      <c r="N3434" t="s">
        <v>29892</v>
      </c>
      <c r="O3434" t="s">
        <v>25</v>
      </c>
      <c r="P3434" t="s">
        <v>29893</v>
      </c>
      <c r="Q3434" t="s">
        <v>29</v>
      </c>
      <c r="R3434" t="s">
        <v>29889</v>
      </c>
      <c r="S3434" t="s">
        <v>29890</v>
      </c>
    </row>
    <row r="3435" spans="1:19" x14ac:dyDescent="0.25">
      <c r="A3435" s="1">
        <v>3433</v>
      </c>
      <c r="B3435" t="str">
        <f>HYPERLINK("https://www.dasschnelle.at/schick-karl-gesmbh-thalheim-gewerbestraße","Website")</f>
        <v>Website</v>
      </c>
      <c r="C3435" t="str">
        <f>HYPERLINK("http://www.karl-schick.at","Website")</f>
        <v>Website</v>
      </c>
      <c r="D3435" t="str">
        <f>HYPERLINK("http://www.google.com/maps/place/48.1555784,14.0508431","Location")</f>
        <v>Location</v>
      </c>
      <c r="E3435" t="s">
        <v>29894</v>
      </c>
      <c r="F3435" t="s">
        <v>29895</v>
      </c>
      <c r="G3435" t="s">
        <v>4725</v>
      </c>
      <c r="H3435" t="s">
        <v>28030</v>
      </c>
      <c r="I3435" t="s">
        <v>85</v>
      </c>
      <c r="J3435" t="s">
        <v>22</v>
      </c>
      <c r="K3435" t="s">
        <v>29896</v>
      </c>
      <c r="L3435" t="s">
        <v>29899</v>
      </c>
      <c r="M3435" t="s">
        <v>25</v>
      </c>
      <c r="N3435" t="s">
        <v>29900</v>
      </c>
      <c r="O3435" t="s">
        <v>29901</v>
      </c>
      <c r="P3435" t="s">
        <v>29902</v>
      </c>
      <c r="Q3435" t="s">
        <v>29</v>
      </c>
      <c r="R3435" t="s">
        <v>29897</v>
      </c>
      <c r="S3435" t="s">
        <v>29898</v>
      </c>
    </row>
    <row r="3436" spans="1:19" x14ac:dyDescent="0.25">
      <c r="A3436" s="1">
        <v>3434</v>
      </c>
      <c r="B3436" t="str">
        <f>HYPERLINK("https://www.dasschnelle.at/somma-gmbh-steinmetz-meisterbetrieb-ritzing-raiffeisenstraße","Website")</f>
        <v>Website</v>
      </c>
      <c r="C3436" t="str">
        <f>HYPERLINK("http://www.stein-somma.at","Website")</f>
        <v>Website</v>
      </c>
      <c r="D3436" t="str">
        <f>HYPERLINK("http://www.google.com/maps/place/46.8448400,14.8400500","Location")</f>
        <v>Location</v>
      </c>
      <c r="E3436" t="s">
        <v>29903</v>
      </c>
      <c r="F3436" t="s">
        <v>29904</v>
      </c>
      <c r="G3436" t="s">
        <v>11363</v>
      </c>
      <c r="H3436" t="s">
        <v>29906</v>
      </c>
      <c r="I3436" t="s">
        <v>4130</v>
      </c>
      <c r="J3436" t="s">
        <v>22</v>
      </c>
      <c r="K3436" t="s">
        <v>29905</v>
      </c>
      <c r="L3436" t="s">
        <v>29909</v>
      </c>
      <c r="M3436" t="s">
        <v>29910</v>
      </c>
      <c r="N3436" t="s">
        <v>29911</v>
      </c>
      <c r="O3436" t="s">
        <v>29912</v>
      </c>
      <c r="P3436" t="s">
        <v>29913</v>
      </c>
      <c r="Q3436" t="s">
        <v>29</v>
      </c>
      <c r="R3436" t="s">
        <v>29907</v>
      </c>
      <c r="S3436" t="s">
        <v>29908</v>
      </c>
    </row>
    <row r="3437" spans="1:19" x14ac:dyDescent="0.25">
      <c r="A3437" s="1">
        <v>3435</v>
      </c>
      <c r="B3437" t="str">
        <f>HYPERLINK("https://www.dasschnelle.at/penn-gerhard-altenberg-bei-linz-parzerweg","Website")</f>
        <v>Website</v>
      </c>
      <c r="C3437" t="str">
        <f>HYPERLINK("http://www.garten-penn.at","Website")</f>
        <v>Website</v>
      </c>
      <c r="D3437" t="str">
        <f>HYPERLINK("http://www.google.com/maps/place/48.36769,14.34034","Location")</f>
        <v>Location</v>
      </c>
      <c r="E3437" t="s">
        <v>29914</v>
      </c>
      <c r="F3437" t="s">
        <v>29915</v>
      </c>
      <c r="G3437" t="s">
        <v>4110</v>
      </c>
      <c r="H3437" t="s">
        <v>4111</v>
      </c>
      <c r="I3437" t="s">
        <v>85</v>
      </c>
      <c r="J3437" t="s">
        <v>22</v>
      </c>
      <c r="K3437" t="s">
        <v>29916</v>
      </c>
      <c r="L3437" t="s">
        <v>29919</v>
      </c>
      <c r="M3437" t="s">
        <v>25</v>
      </c>
      <c r="N3437" t="s">
        <v>29920</v>
      </c>
      <c r="O3437" t="s">
        <v>25</v>
      </c>
      <c r="P3437" t="s">
        <v>29921</v>
      </c>
      <c r="Q3437" t="s">
        <v>29</v>
      </c>
      <c r="R3437" t="s">
        <v>29917</v>
      </c>
      <c r="S3437" t="s">
        <v>29918</v>
      </c>
    </row>
    <row r="3438" spans="1:19" x14ac:dyDescent="0.25">
      <c r="A3438" s="1">
        <v>3436</v>
      </c>
      <c r="B3438" t="str">
        <f>HYPERLINK("https://www.dasschnelle.at/resch-wolfgang-wolfsberg-auenfischerstraße","Website")</f>
        <v>Website</v>
      </c>
      <c r="C3438" t="str">
        <f>HYPERLINK("http://www.werbetechnik-resch.at","Website")</f>
        <v>Website</v>
      </c>
      <c r="D3438" t="str">
        <f>HYPERLINK("http://www.google.com/maps/place/46.81528,14.84548","Location")</f>
        <v>Location</v>
      </c>
      <c r="E3438" t="s">
        <v>29922</v>
      </c>
      <c r="F3438" t="s">
        <v>29923</v>
      </c>
      <c r="G3438" t="s">
        <v>11363</v>
      </c>
      <c r="H3438" t="s">
        <v>11391</v>
      </c>
      <c r="I3438" t="s">
        <v>4130</v>
      </c>
      <c r="J3438" t="s">
        <v>22</v>
      </c>
      <c r="K3438" t="s">
        <v>29924</v>
      </c>
      <c r="L3438" t="s">
        <v>29927</v>
      </c>
      <c r="M3438" t="s">
        <v>25</v>
      </c>
      <c r="N3438" t="s">
        <v>29928</v>
      </c>
      <c r="O3438" t="s">
        <v>25</v>
      </c>
      <c r="P3438" t="s">
        <v>29929</v>
      </c>
      <c r="Q3438" t="s">
        <v>29</v>
      </c>
      <c r="R3438" t="s">
        <v>29925</v>
      </c>
      <c r="S3438" t="s">
        <v>29926</v>
      </c>
    </row>
    <row r="3439" spans="1:19" x14ac:dyDescent="0.25">
      <c r="A3439" s="1">
        <v>3437</v>
      </c>
      <c r="B3439" t="str">
        <f>HYPERLINK("https://www.dasschnelle.at/dr-hannesschläger-und-dr-al-kattib-fachärzte-für-radiologie-og-freistadt-etrichstraße","Website")</f>
        <v>Website</v>
      </c>
      <c r="C3439" t="str">
        <f>HYPERLINK("http://www.radiologie-freistadt.at","Website")</f>
        <v>Website</v>
      </c>
      <c r="D3439" t="str">
        <f>HYPERLINK("http://www.google.com/maps/place/48.4915778,14.5035995","Location")</f>
        <v>Location</v>
      </c>
      <c r="E3439" t="s">
        <v>29930</v>
      </c>
      <c r="F3439" t="s">
        <v>29931</v>
      </c>
      <c r="G3439" t="s">
        <v>6891</v>
      </c>
      <c r="H3439" t="s">
        <v>6892</v>
      </c>
      <c r="I3439" t="s">
        <v>85</v>
      </c>
      <c r="J3439" t="s">
        <v>22</v>
      </c>
      <c r="K3439" t="s">
        <v>27836</v>
      </c>
      <c r="L3439" t="s">
        <v>29932</v>
      </c>
      <c r="M3439" t="s">
        <v>25</v>
      </c>
      <c r="N3439" t="s">
        <v>29933</v>
      </c>
      <c r="O3439" t="s">
        <v>29934</v>
      </c>
      <c r="P3439" t="s">
        <v>29935</v>
      </c>
      <c r="Q3439" t="s">
        <v>29</v>
      </c>
      <c r="R3439" t="s">
        <v>27837</v>
      </c>
      <c r="S3439" t="s">
        <v>27838</v>
      </c>
    </row>
    <row r="3440" spans="1:19" x14ac:dyDescent="0.25">
      <c r="A3440" s="1">
        <v>3438</v>
      </c>
      <c r="B3440" t="str">
        <f>HYPERLINK("https://www.dasschnelle.at/moden-neugebauer-gesmbh-wels-pfarrgasse","Website")</f>
        <v>Website</v>
      </c>
      <c r="C3440" t="str">
        <f>HYPERLINK("http://www.neugebauer.at","Website")</f>
        <v>Website</v>
      </c>
      <c r="D3440" t="str">
        <f>HYPERLINK("http://www.google.com/maps/place/48.15858,14.02628","Location")</f>
        <v>Location</v>
      </c>
      <c r="E3440" t="s">
        <v>29936</v>
      </c>
      <c r="F3440" t="s">
        <v>29937</v>
      </c>
      <c r="G3440" t="s">
        <v>4725</v>
      </c>
      <c r="H3440" t="s">
        <v>4754</v>
      </c>
      <c r="I3440" t="s">
        <v>85</v>
      </c>
      <c r="J3440" t="s">
        <v>22</v>
      </c>
      <c r="K3440" t="s">
        <v>29938</v>
      </c>
      <c r="L3440" t="s">
        <v>29941</v>
      </c>
      <c r="M3440" t="s">
        <v>25</v>
      </c>
      <c r="N3440" t="s">
        <v>25</v>
      </c>
      <c r="O3440" t="s">
        <v>25</v>
      </c>
      <c r="P3440" t="s">
        <v>29942</v>
      </c>
      <c r="Q3440" t="s">
        <v>29</v>
      </c>
      <c r="R3440" t="s">
        <v>29939</v>
      </c>
      <c r="S3440" t="s">
        <v>29940</v>
      </c>
    </row>
    <row r="3441" spans="1:19" x14ac:dyDescent="0.25">
      <c r="A3441" s="1">
        <v>3439</v>
      </c>
      <c r="B3441" t="str">
        <f>HYPERLINK("https://www.dasschnelle.at/wimmer-realitäten-gmbh-wels-pfarrgasse","Website")</f>
        <v>Website</v>
      </c>
      <c r="C3441" t="str">
        <f>HYPERLINK("http://www.wimmer-real.at","Website")</f>
        <v>Website</v>
      </c>
      <c r="D3441" t="str">
        <f>HYPERLINK("http://www.google.com/maps/place/48.15834,14.02639","Location")</f>
        <v>Location</v>
      </c>
      <c r="E3441" t="s">
        <v>29943</v>
      </c>
      <c r="F3441" t="s">
        <v>29944</v>
      </c>
      <c r="G3441" t="s">
        <v>4725</v>
      </c>
      <c r="H3441" t="s">
        <v>4754</v>
      </c>
      <c r="I3441" t="s">
        <v>85</v>
      </c>
      <c r="J3441" t="s">
        <v>22</v>
      </c>
      <c r="K3441" t="s">
        <v>29945</v>
      </c>
      <c r="L3441" t="s">
        <v>29948</v>
      </c>
      <c r="M3441" t="s">
        <v>25</v>
      </c>
      <c r="N3441" t="s">
        <v>29949</v>
      </c>
      <c r="O3441" t="s">
        <v>29950</v>
      </c>
      <c r="P3441" t="s">
        <v>29951</v>
      </c>
      <c r="Q3441" t="s">
        <v>29</v>
      </c>
      <c r="R3441" t="s">
        <v>29946</v>
      </c>
      <c r="S3441" t="s">
        <v>29947</v>
      </c>
    </row>
    <row r="3442" spans="1:19" x14ac:dyDescent="0.25">
      <c r="A3442" s="1">
        <v>3440</v>
      </c>
      <c r="B3442" t="str">
        <f>HYPERLINK("https://www.dasschnelle.at/pirklbauer-michael-dr-pregarten-stadtplatz","Website")</f>
        <v>Website</v>
      </c>
      <c r="C3442" t="str">
        <f>HYPERLINK("https://www.dasschnelle.at/pirklbauer-michael-dr-pregarten-stadtplatz","Website")</f>
        <v>Website</v>
      </c>
      <c r="D3442" t="str">
        <f>HYPERLINK("http://www.google.com/maps/place/48.35536,14.53106","Location")</f>
        <v>Location</v>
      </c>
      <c r="E3442" t="s">
        <v>29952</v>
      </c>
      <c r="F3442" t="s">
        <v>29953</v>
      </c>
      <c r="G3442" t="s">
        <v>25297</v>
      </c>
      <c r="H3442" t="s">
        <v>25298</v>
      </c>
      <c r="I3442" t="s">
        <v>85</v>
      </c>
      <c r="J3442" t="s">
        <v>22</v>
      </c>
      <c r="K3442" t="s">
        <v>8633</v>
      </c>
      <c r="L3442" t="s">
        <v>29956</v>
      </c>
      <c r="M3442" t="s">
        <v>25</v>
      </c>
      <c r="N3442" t="s">
        <v>29957</v>
      </c>
      <c r="O3442" t="s">
        <v>25</v>
      </c>
      <c r="P3442" t="s">
        <v>29958</v>
      </c>
      <c r="Q3442" t="s">
        <v>29</v>
      </c>
      <c r="R3442" t="s">
        <v>29954</v>
      </c>
      <c r="S3442" t="s">
        <v>29955</v>
      </c>
    </row>
    <row r="3443" spans="1:19" x14ac:dyDescent="0.25">
      <c r="A3443" s="1">
        <v>3441</v>
      </c>
      <c r="B3443" t="str">
        <f>HYPERLINK("https://www.dasschnelle.at/drack-karl-wels-salzburger-straße","Website")</f>
        <v>Website</v>
      </c>
      <c r="C3443" t="str">
        <f>HYPERLINK("http://www.drack.cc","Website")</f>
        <v>Website</v>
      </c>
      <c r="D3443" t="str">
        <f>HYPERLINK("http://www.google.com/maps/place/48.15606,13.9976","Location")</f>
        <v>Location</v>
      </c>
      <c r="E3443" t="s">
        <v>29959</v>
      </c>
      <c r="F3443" t="s">
        <v>29960</v>
      </c>
      <c r="G3443" t="s">
        <v>4725</v>
      </c>
      <c r="H3443" t="s">
        <v>4754</v>
      </c>
      <c r="I3443" t="s">
        <v>85</v>
      </c>
      <c r="J3443" t="s">
        <v>22</v>
      </c>
      <c r="K3443" t="s">
        <v>29961</v>
      </c>
      <c r="L3443" t="s">
        <v>29964</v>
      </c>
      <c r="M3443" t="s">
        <v>25</v>
      </c>
      <c r="N3443" t="s">
        <v>29965</v>
      </c>
      <c r="O3443" t="s">
        <v>25</v>
      </c>
      <c r="P3443" t="s">
        <v>29966</v>
      </c>
      <c r="Q3443" t="s">
        <v>29</v>
      </c>
      <c r="R3443" t="s">
        <v>29962</v>
      </c>
      <c r="S3443" t="s">
        <v>29963</v>
      </c>
    </row>
    <row r="3444" spans="1:19" x14ac:dyDescent="0.25">
      <c r="A3444" s="1">
        <v>3442</v>
      </c>
      <c r="B3444" t="str">
        <f>HYPERLINK("https://www.dasschnelle.at/mallezek-gas-wasser-heizung-gmbh-marchtrenk-linzer-straße","Website")</f>
        <v>Website</v>
      </c>
      <c r="C3444" t="str">
        <f>HYPERLINK("http://www.mallezek.at","Website")</f>
        <v>Website</v>
      </c>
      <c r="D3444" t="str">
        <f>HYPERLINK("http://www.google.com/maps/place/48.19066,14.1149","Location")</f>
        <v>Location</v>
      </c>
      <c r="E3444" t="s">
        <v>29967</v>
      </c>
      <c r="F3444" t="s">
        <v>29968</v>
      </c>
      <c r="G3444" t="s">
        <v>4902</v>
      </c>
      <c r="H3444" t="s">
        <v>7155</v>
      </c>
      <c r="I3444" t="s">
        <v>85</v>
      </c>
      <c r="J3444" t="s">
        <v>22</v>
      </c>
      <c r="K3444" t="s">
        <v>29969</v>
      </c>
      <c r="L3444" t="s">
        <v>29972</v>
      </c>
      <c r="M3444" t="s">
        <v>29973</v>
      </c>
      <c r="N3444" t="s">
        <v>29974</v>
      </c>
      <c r="O3444" t="s">
        <v>25</v>
      </c>
      <c r="P3444" t="s">
        <v>29975</v>
      </c>
      <c r="Q3444" t="s">
        <v>29</v>
      </c>
      <c r="R3444" t="s">
        <v>29970</v>
      </c>
      <c r="S3444" t="s">
        <v>29971</v>
      </c>
    </row>
    <row r="3445" spans="1:19" x14ac:dyDescent="0.25">
      <c r="A3445" s="1">
        <v>3443</v>
      </c>
      <c r="B3445" t="str">
        <f>HYPERLINK("https://www.dasschnelle.at/kuttner-hubert-freistadt-bockaustraße","Website")</f>
        <v>Website</v>
      </c>
      <c r="C3445" t="str">
        <f>HYPERLINK("https://www.dasschnelle.at/kuttner-hubert-freistadt-bockaustra%C3%9Fe","Website")</f>
        <v>Website</v>
      </c>
      <c r="D3445" t="str">
        <f>HYPERLINK("http://www.google.com/maps/place/48.51824,14.49661","Location")</f>
        <v>Location</v>
      </c>
      <c r="E3445" t="s">
        <v>29976</v>
      </c>
      <c r="F3445" t="s">
        <v>29977</v>
      </c>
      <c r="G3445" t="s">
        <v>6891</v>
      </c>
      <c r="H3445" t="s">
        <v>6892</v>
      </c>
      <c r="I3445" t="s">
        <v>85</v>
      </c>
      <c r="J3445" t="s">
        <v>22</v>
      </c>
      <c r="K3445" t="s">
        <v>29978</v>
      </c>
      <c r="L3445" t="s">
        <v>29981</v>
      </c>
      <c r="M3445" t="s">
        <v>25</v>
      </c>
      <c r="N3445" t="s">
        <v>29982</v>
      </c>
      <c r="O3445" t="s">
        <v>25</v>
      </c>
      <c r="P3445" t="s">
        <v>697</v>
      </c>
      <c r="Q3445" t="s">
        <v>29</v>
      </c>
      <c r="R3445" t="s">
        <v>29979</v>
      </c>
      <c r="S3445" t="s">
        <v>29980</v>
      </c>
    </row>
    <row r="3446" spans="1:19" x14ac:dyDescent="0.25">
      <c r="A3446" s="1">
        <v>3444</v>
      </c>
      <c r="B3446" t="str">
        <f>HYPERLINK("https://www.dasschnelle.at/floristik-helmhart-schärding-max-hirschenauer-straße","Website")</f>
        <v>Website</v>
      </c>
      <c r="C3446" t="str">
        <f>HYPERLINK("http://www.helmhart.at","Website")</f>
        <v>Website</v>
      </c>
      <c r="D3446" t="str">
        <f>HYPERLINK("http://www.google.com/maps/place/48.45466,13.43997","Location")</f>
        <v>Location</v>
      </c>
      <c r="E3446" t="s">
        <v>29983</v>
      </c>
      <c r="F3446" t="s">
        <v>29984</v>
      </c>
      <c r="G3446" t="s">
        <v>8850</v>
      </c>
      <c r="H3446" t="s">
        <v>8851</v>
      </c>
      <c r="I3446" t="s">
        <v>85</v>
      </c>
      <c r="J3446" t="s">
        <v>22</v>
      </c>
      <c r="K3446" t="s">
        <v>29985</v>
      </c>
      <c r="L3446" t="s">
        <v>29988</v>
      </c>
      <c r="M3446" t="s">
        <v>25</v>
      </c>
      <c r="N3446" t="s">
        <v>29989</v>
      </c>
      <c r="O3446" t="s">
        <v>25</v>
      </c>
      <c r="P3446" t="s">
        <v>29990</v>
      </c>
      <c r="Q3446" t="s">
        <v>29</v>
      </c>
      <c r="R3446" t="s">
        <v>29986</v>
      </c>
      <c r="S3446" t="s">
        <v>29987</v>
      </c>
    </row>
    <row r="3447" spans="1:19" x14ac:dyDescent="0.25">
      <c r="A3447" s="1">
        <v>3445</v>
      </c>
      <c r="B3447" t="str">
        <f>HYPERLINK("https://www.dasschnelle.at/koller-christoph-klagenfurt-klagenfurterstraße","Website")</f>
        <v>Website</v>
      </c>
      <c r="C3447" t="str">
        <f>HYPERLINK("http://www.koller-baddesign.at","Website")</f>
        <v>Website</v>
      </c>
      <c r="D3447" t="str">
        <f>HYPERLINK("http://www.google.com/maps/place/46.82791,14.83976","Location")</f>
        <v>Location</v>
      </c>
      <c r="E3447" t="s">
        <v>29991</v>
      </c>
      <c r="F3447" t="s">
        <v>29992</v>
      </c>
      <c r="G3447" t="s">
        <v>11363</v>
      </c>
      <c r="H3447" t="s">
        <v>16511</v>
      </c>
      <c r="I3447" t="s">
        <v>4130</v>
      </c>
      <c r="J3447" t="s">
        <v>22</v>
      </c>
      <c r="K3447" t="s">
        <v>29993</v>
      </c>
      <c r="L3447" t="s">
        <v>29996</v>
      </c>
      <c r="M3447" t="s">
        <v>25</v>
      </c>
      <c r="N3447" t="s">
        <v>29997</v>
      </c>
      <c r="O3447" t="s">
        <v>29998</v>
      </c>
      <c r="P3447" t="s">
        <v>29999</v>
      </c>
      <c r="Q3447" t="s">
        <v>29</v>
      </c>
      <c r="R3447" t="s">
        <v>29994</v>
      </c>
      <c r="S3447" t="s">
        <v>29995</v>
      </c>
    </row>
    <row r="3448" spans="1:19" x14ac:dyDescent="0.25">
      <c r="A3448" s="1">
        <v>3446</v>
      </c>
      <c r="B3448" t="str">
        <f>HYPERLINK("https://www.dasschnelle.at/wischer-andreas-st-michael-hattendorf","Website")</f>
        <v>Website</v>
      </c>
      <c r="C3448" t="str">
        <f>HYPERLINK("http://www.elektrotechnik-wischer.at","Website")</f>
        <v>Website</v>
      </c>
      <c r="D3448" t="str">
        <f>HYPERLINK("http://www.google.com/maps/place/46.8410000,14.8056800","Location")</f>
        <v>Location</v>
      </c>
      <c r="E3448" t="s">
        <v>30000</v>
      </c>
      <c r="F3448" t="s">
        <v>30001</v>
      </c>
      <c r="G3448" t="s">
        <v>30003</v>
      </c>
      <c r="H3448" t="s">
        <v>30004</v>
      </c>
      <c r="I3448" t="s">
        <v>4130</v>
      </c>
      <c r="J3448" t="s">
        <v>22</v>
      </c>
      <c r="K3448" t="s">
        <v>30002</v>
      </c>
      <c r="L3448" t="s">
        <v>30007</v>
      </c>
      <c r="M3448" t="s">
        <v>25</v>
      </c>
      <c r="N3448" t="s">
        <v>30008</v>
      </c>
      <c r="O3448" t="s">
        <v>25</v>
      </c>
      <c r="P3448" t="s">
        <v>30009</v>
      </c>
      <c r="Q3448" t="s">
        <v>29</v>
      </c>
      <c r="R3448" t="s">
        <v>30005</v>
      </c>
      <c r="S3448" t="s">
        <v>30006</v>
      </c>
    </row>
    <row r="3449" spans="1:19" x14ac:dyDescent="0.25">
      <c r="A3449" s="1">
        <v>3447</v>
      </c>
      <c r="B3449" t="str">
        <f>HYPERLINK("https://www.dasschnelle.at/baumi-kfz-technik-gmbh-wolfsberg-lagerstraße","Website")</f>
        <v>Website</v>
      </c>
      <c r="C3449" t="str">
        <f>HYPERLINK("http://www.boschwolfsberg.at","Website")</f>
        <v>Website</v>
      </c>
      <c r="D3449" t="str">
        <f>HYPERLINK("http://www.google.com/maps/place/46.82825,14.83869","Location")</f>
        <v>Location</v>
      </c>
      <c r="E3449" t="s">
        <v>30010</v>
      </c>
      <c r="F3449" t="s">
        <v>30011</v>
      </c>
      <c r="G3449" t="s">
        <v>11363</v>
      </c>
      <c r="H3449" t="s">
        <v>11391</v>
      </c>
      <c r="I3449" t="s">
        <v>4130</v>
      </c>
      <c r="J3449" t="s">
        <v>22</v>
      </c>
      <c r="K3449" t="s">
        <v>30012</v>
      </c>
      <c r="L3449" t="s">
        <v>30015</v>
      </c>
      <c r="M3449" t="s">
        <v>25</v>
      </c>
      <c r="N3449" t="s">
        <v>30016</v>
      </c>
      <c r="O3449" t="s">
        <v>25</v>
      </c>
      <c r="P3449" t="s">
        <v>30017</v>
      </c>
      <c r="Q3449" t="s">
        <v>29</v>
      </c>
      <c r="R3449" t="s">
        <v>30013</v>
      </c>
      <c r="S3449" t="s">
        <v>30014</v>
      </c>
    </row>
    <row r="3450" spans="1:19" x14ac:dyDescent="0.25">
      <c r="A3450" s="1">
        <v>3448</v>
      </c>
      <c r="B3450" t="str">
        <f>HYPERLINK("https://www.dasschnelle.at/thamerl-gerhard-st-michael-hattendorf","Website")</f>
        <v>Website</v>
      </c>
      <c r="C3450" t="str">
        <f>HYPERLINK("http://www.sonnenschutz-thamerl.at","Website")</f>
        <v>Website</v>
      </c>
      <c r="D3450" t="str">
        <f>HYPERLINK("http://www.google.com/maps/place/46.8383386,14.8044815","Location")</f>
        <v>Location</v>
      </c>
      <c r="E3450" t="s">
        <v>30018</v>
      </c>
      <c r="F3450" t="s">
        <v>30019</v>
      </c>
      <c r="G3450" t="s">
        <v>30003</v>
      </c>
      <c r="H3450" t="s">
        <v>30004</v>
      </c>
      <c r="I3450" t="s">
        <v>4130</v>
      </c>
      <c r="J3450" t="s">
        <v>22</v>
      </c>
      <c r="K3450" t="s">
        <v>30020</v>
      </c>
      <c r="L3450" t="s">
        <v>30023</v>
      </c>
      <c r="M3450" t="s">
        <v>25</v>
      </c>
      <c r="N3450" t="s">
        <v>30024</v>
      </c>
      <c r="O3450" t="s">
        <v>25</v>
      </c>
      <c r="P3450" t="s">
        <v>30025</v>
      </c>
      <c r="Q3450" t="s">
        <v>29</v>
      </c>
      <c r="R3450" t="s">
        <v>30021</v>
      </c>
      <c r="S3450" t="s">
        <v>30022</v>
      </c>
    </row>
    <row r="3451" spans="1:19" x14ac:dyDescent="0.25">
      <c r="A3451" s="1">
        <v>3449</v>
      </c>
      <c r="B3451" t="str">
        <f>HYPERLINK("https://www.dasschnelle.at/fliesen-stückler-kg-schleifen-volksbadstraße","Website")</f>
        <v>Website</v>
      </c>
      <c r="C3451" t="str">
        <f>HYPERLINK("http://www.fliesen-stueckler.at","Website")</f>
        <v>Website</v>
      </c>
      <c r="D3451" t="str">
        <f>HYPERLINK("http://www.google.com/maps/place/46.83963,14.83882","Location")</f>
        <v>Location</v>
      </c>
      <c r="E3451" t="s">
        <v>30026</v>
      </c>
      <c r="F3451" t="s">
        <v>30027</v>
      </c>
      <c r="G3451" t="s">
        <v>11363</v>
      </c>
      <c r="H3451" t="s">
        <v>30029</v>
      </c>
      <c r="I3451" t="s">
        <v>4130</v>
      </c>
      <c r="J3451" t="s">
        <v>22</v>
      </c>
      <c r="K3451" t="s">
        <v>30028</v>
      </c>
      <c r="L3451" t="s">
        <v>30032</v>
      </c>
      <c r="M3451" t="s">
        <v>30033</v>
      </c>
      <c r="N3451" t="s">
        <v>30034</v>
      </c>
      <c r="O3451" t="s">
        <v>30035</v>
      </c>
      <c r="P3451" t="s">
        <v>30036</v>
      </c>
      <c r="Q3451" t="s">
        <v>29</v>
      </c>
      <c r="R3451" t="s">
        <v>30030</v>
      </c>
      <c r="S3451" t="s">
        <v>30031</v>
      </c>
    </row>
    <row r="3452" spans="1:19" x14ac:dyDescent="0.25">
      <c r="A3452" s="1">
        <v>3450</v>
      </c>
      <c r="B3452" t="str">
        <f>HYPERLINK("https://www.dasschnelle.at/winzely-johannes-wolfsberg-johann-offner-straße","Website")</f>
        <v>Website</v>
      </c>
      <c r="C3452" t="str">
        <f>HYPERLINK("http://www.hausverstand.at/Firmen/Wolfsberg/30","Website")</f>
        <v>Website</v>
      </c>
      <c r="D3452" t="str">
        <f>HYPERLINK("http://www.google.com/maps/place/46.83806,14.84572","Location")</f>
        <v>Location</v>
      </c>
      <c r="E3452" t="s">
        <v>30037</v>
      </c>
      <c r="F3452" t="s">
        <v>30038</v>
      </c>
      <c r="G3452" t="s">
        <v>11363</v>
      </c>
      <c r="H3452" t="s">
        <v>11391</v>
      </c>
      <c r="I3452" t="s">
        <v>4130</v>
      </c>
      <c r="J3452" t="s">
        <v>22</v>
      </c>
      <c r="K3452" t="s">
        <v>30039</v>
      </c>
      <c r="L3452" t="s">
        <v>30042</v>
      </c>
      <c r="M3452" t="s">
        <v>25</v>
      </c>
      <c r="N3452" t="s">
        <v>30043</v>
      </c>
      <c r="O3452" t="s">
        <v>25</v>
      </c>
      <c r="P3452" t="s">
        <v>30044</v>
      </c>
      <c r="Q3452" t="s">
        <v>29</v>
      </c>
      <c r="R3452" t="s">
        <v>30040</v>
      </c>
      <c r="S3452" t="s">
        <v>30041</v>
      </c>
    </row>
    <row r="3453" spans="1:19" x14ac:dyDescent="0.25">
      <c r="A3453" s="1">
        <v>3451</v>
      </c>
      <c r="B3453" t="str">
        <f>HYPERLINK("https://www.dasschnelle.at/autohaus-penz-e-u-wolfsberg-industriestraße","Website")</f>
        <v>Website</v>
      </c>
      <c r="C3453" t="str">
        <f>HYPERLINK("http://www.autohaus-penz.at","Website")</f>
        <v>Website</v>
      </c>
      <c r="D3453" t="str">
        <f>HYPERLINK("http://www.google.com/maps/place/46.81925,14.84172","Location")</f>
        <v>Location</v>
      </c>
      <c r="E3453" t="s">
        <v>30045</v>
      </c>
      <c r="F3453" t="s">
        <v>30046</v>
      </c>
      <c r="G3453" t="s">
        <v>11363</v>
      </c>
      <c r="H3453" t="s">
        <v>11391</v>
      </c>
      <c r="I3453" t="s">
        <v>4130</v>
      </c>
      <c r="J3453" t="s">
        <v>22</v>
      </c>
      <c r="K3453" t="s">
        <v>30047</v>
      </c>
      <c r="L3453" t="s">
        <v>30050</v>
      </c>
      <c r="M3453" t="s">
        <v>25</v>
      </c>
      <c r="N3453" t="s">
        <v>30051</v>
      </c>
      <c r="O3453" t="s">
        <v>25</v>
      </c>
      <c r="P3453" t="s">
        <v>30052</v>
      </c>
      <c r="Q3453" t="s">
        <v>29</v>
      </c>
      <c r="R3453" t="s">
        <v>30048</v>
      </c>
      <c r="S3453" t="s">
        <v>30049</v>
      </c>
    </row>
    <row r="3454" spans="1:19" x14ac:dyDescent="0.25">
      <c r="A3454" s="1">
        <v>3452</v>
      </c>
      <c r="B3454" t="str">
        <f>HYPERLINK("https://www.dasschnelle.at/stadlmair-sabine-esternberg-riedlbacher-straße","Website")</f>
        <v>Website</v>
      </c>
      <c r="C3454" t="str">
        <f>HYPERLINK("http://www.floristik-sabine.at","Website")</f>
        <v>Website</v>
      </c>
      <c r="D3454" t="str">
        <f>HYPERLINK("http://www.google.com/maps/place/48.54299,13.57566","Location")</f>
        <v>Location</v>
      </c>
      <c r="E3454" t="s">
        <v>30053</v>
      </c>
      <c r="F3454" t="s">
        <v>30054</v>
      </c>
      <c r="G3454" t="s">
        <v>8830</v>
      </c>
      <c r="H3454" t="s">
        <v>8831</v>
      </c>
      <c r="I3454" t="s">
        <v>85</v>
      </c>
      <c r="J3454" t="s">
        <v>22</v>
      </c>
      <c r="K3454" t="s">
        <v>30055</v>
      </c>
      <c r="L3454" t="s">
        <v>30058</v>
      </c>
      <c r="M3454" t="s">
        <v>25</v>
      </c>
      <c r="N3454" t="s">
        <v>30059</v>
      </c>
      <c r="O3454" t="s">
        <v>25</v>
      </c>
      <c r="P3454" t="s">
        <v>30060</v>
      </c>
      <c r="Q3454" t="s">
        <v>29</v>
      </c>
      <c r="R3454" t="s">
        <v>30056</v>
      </c>
      <c r="S3454" t="s">
        <v>30057</v>
      </c>
    </row>
    <row r="3455" spans="1:19" x14ac:dyDescent="0.25">
      <c r="A3455" s="1">
        <v>3453</v>
      </c>
      <c r="B3455" t="str">
        <f>HYPERLINK("https://www.dasschnelle.at/dipl-ing-gerhard-lubowski-zt-gmbh-haag-höllriglstraße","Website")</f>
        <v>Website</v>
      </c>
      <c r="C3455" t="str">
        <f>HYPERLINK("http://www.lubowski.at","Website")</f>
        <v>Website</v>
      </c>
      <c r="D3455" t="str">
        <f>HYPERLINK("http://www.google.com/maps/place/48.11226,14.56778","Location")</f>
        <v>Location</v>
      </c>
      <c r="E3455" t="s">
        <v>30061</v>
      </c>
      <c r="F3455" t="s">
        <v>30062</v>
      </c>
      <c r="G3455" t="s">
        <v>1542</v>
      </c>
      <c r="H3455" t="s">
        <v>620</v>
      </c>
      <c r="I3455" t="s">
        <v>177</v>
      </c>
      <c r="J3455" t="s">
        <v>22</v>
      </c>
      <c r="K3455" t="s">
        <v>30063</v>
      </c>
      <c r="L3455" t="s">
        <v>30066</v>
      </c>
      <c r="M3455" t="s">
        <v>25</v>
      </c>
      <c r="N3455" t="s">
        <v>30067</v>
      </c>
      <c r="O3455" t="s">
        <v>25</v>
      </c>
      <c r="P3455" t="s">
        <v>30068</v>
      </c>
      <c r="Q3455" t="s">
        <v>29</v>
      </c>
      <c r="R3455" t="s">
        <v>30064</v>
      </c>
      <c r="S3455" t="s">
        <v>30065</v>
      </c>
    </row>
    <row r="3456" spans="1:19" x14ac:dyDescent="0.25">
      <c r="A3456" s="1">
        <v>3454</v>
      </c>
      <c r="B3456" t="str">
        <f>HYPERLINK("https://www.dasschnelle.at/elektro-wolfgang-planberger-sankt-gilgen-lueger-waldweg","Website")</f>
        <v>Website</v>
      </c>
      <c r="C3456" t="str">
        <f>HYPERLINK("http://www.planberger.at","Website")</f>
        <v>Website</v>
      </c>
      <c r="D3456" t="str">
        <f>HYPERLINK("http://www.google.com/maps/place/47.76194,13.36481","Location")</f>
        <v>Location</v>
      </c>
      <c r="E3456" t="s">
        <v>30069</v>
      </c>
      <c r="F3456" t="s">
        <v>30070</v>
      </c>
      <c r="G3456" t="s">
        <v>2326</v>
      </c>
      <c r="H3456" t="s">
        <v>2327</v>
      </c>
      <c r="I3456" t="s">
        <v>2239</v>
      </c>
      <c r="J3456" t="s">
        <v>22</v>
      </c>
      <c r="K3456" t="s">
        <v>30071</v>
      </c>
      <c r="L3456" t="s">
        <v>30074</v>
      </c>
      <c r="M3456" t="s">
        <v>25</v>
      </c>
      <c r="N3456" t="s">
        <v>30075</v>
      </c>
      <c r="O3456" t="s">
        <v>25</v>
      </c>
      <c r="P3456" t="s">
        <v>30076</v>
      </c>
      <c r="Q3456" t="s">
        <v>29</v>
      </c>
      <c r="R3456" t="s">
        <v>30072</v>
      </c>
      <c r="S3456" t="s">
        <v>30073</v>
      </c>
    </row>
    <row r="3457" spans="1:19" x14ac:dyDescent="0.25">
      <c r="A3457" s="1">
        <v>3455</v>
      </c>
      <c r="B3457" t="str">
        <f>HYPERLINK("https://www.dasschnelle.at/billinger-günter-wels-sommerfeldstraße","Website")</f>
        <v>Website</v>
      </c>
      <c r="C3457" t="str">
        <f>HYPERLINK("http://www.billinger.at","Website")</f>
        <v>Website</v>
      </c>
      <c r="D3457" t="str">
        <f>HYPERLINK("http://www.google.com/maps/place/48.14116,14.0034","Location")</f>
        <v>Location</v>
      </c>
      <c r="E3457" t="s">
        <v>30077</v>
      </c>
      <c r="F3457" t="s">
        <v>30078</v>
      </c>
      <c r="G3457" t="s">
        <v>4725</v>
      </c>
      <c r="H3457" t="s">
        <v>4754</v>
      </c>
      <c r="I3457" t="s">
        <v>85</v>
      </c>
      <c r="J3457" t="s">
        <v>22</v>
      </c>
      <c r="K3457" t="s">
        <v>30079</v>
      </c>
      <c r="L3457" t="s">
        <v>30082</v>
      </c>
      <c r="M3457" t="s">
        <v>25</v>
      </c>
      <c r="N3457" t="s">
        <v>30083</v>
      </c>
      <c r="O3457" t="s">
        <v>30084</v>
      </c>
      <c r="P3457" t="s">
        <v>30085</v>
      </c>
      <c r="Q3457" t="s">
        <v>29</v>
      </c>
      <c r="R3457" t="s">
        <v>30080</v>
      </c>
      <c r="S3457" t="s">
        <v>30081</v>
      </c>
    </row>
    <row r="3458" spans="1:19" x14ac:dyDescent="0.25">
      <c r="A3458" s="1">
        <v>3456</v>
      </c>
      <c r="B3458" t="str">
        <f>HYPERLINK("https://www.dasschnelle.at/attersee-zahnärzte-dr-claudiu-pop-lenzing-atterseestraße","Website")</f>
        <v>Website</v>
      </c>
      <c r="C3458" t="str">
        <f>HYPERLINK("http://www.zahnarztamsee.eu","Website")</f>
        <v>Website</v>
      </c>
      <c r="D3458" t="str">
        <f>HYPERLINK("http://www.google.com/maps/place/47.97586,13.60947","Location")</f>
        <v>Location</v>
      </c>
      <c r="E3458" t="s">
        <v>30086</v>
      </c>
      <c r="F3458" t="s">
        <v>30087</v>
      </c>
      <c r="G3458" t="s">
        <v>6591</v>
      </c>
      <c r="H3458" t="s">
        <v>6592</v>
      </c>
      <c r="I3458" t="s">
        <v>85</v>
      </c>
      <c r="J3458" t="s">
        <v>22</v>
      </c>
      <c r="K3458" t="s">
        <v>30088</v>
      </c>
      <c r="L3458" t="s">
        <v>30091</v>
      </c>
      <c r="M3458" t="s">
        <v>25</v>
      </c>
      <c r="N3458" t="s">
        <v>30092</v>
      </c>
      <c r="O3458" t="s">
        <v>25</v>
      </c>
      <c r="P3458" t="s">
        <v>30093</v>
      </c>
      <c r="Q3458" t="s">
        <v>29</v>
      </c>
      <c r="R3458" t="s">
        <v>30089</v>
      </c>
      <c r="S3458" t="s">
        <v>30090</v>
      </c>
    </row>
    <row r="3459" spans="1:19" x14ac:dyDescent="0.25">
      <c r="A3459" s="1">
        <v>3457</v>
      </c>
      <c r="B3459" t="str">
        <f>HYPERLINK("https://www.dasschnelle.at/bogensport-weixlbaumer-eidenberg-pointnerstraße","Website")</f>
        <v>Website</v>
      </c>
      <c r="C3459" t="str">
        <f>HYPERLINK("https://www.dasschnelle.at/bogensport-weixlbaumer-eidenberg-pointnerstra%C3%9Fe","Website")</f>
        <v>Website</v>
      </c>
      <c r="D3459" t="str">
        <f>HYPERLINK("http://www.google.com/maps/place/48.40182,14.23564","Location")</f>
        <v>Location</v>
      </c>
      <c r="E3459" t="s">
        <v>30094</v>
      </c>
      <c r="F3459" t="s">
        <v>30095</v>
      </c>
      <c r="G3459" t="s">
        <v>27341</v>
      </c>
      <c r="H3459" t="s">
        <v>28080</v>
      </c>
      <c r="I3459" t="s">
        <v>85</v>
      </c>
      <c r="J3459" t="s">
        <v>22</v>
      </c>
      <c r="K3459" t="s">
        <v>30096</v>
      </c>
      <c r="L3459" t="s">
        <v>30099</v>
      </c>
      <c r="M3459" t="s">
        <v>25</v>
      </c>
      <c r="N3459" t="s">
        <v>30100</v>
      </c>
      <c r="O3459" t="s">
        <v>25</v>
      </c>
      <c r="P3459" t="s">
        <v>30101</v>
      </c>
      <c r="Q3459" t="s">
        <v>29</v>
      </c>
      <c r="R3459" t="s">
        <v>30097</v>
      </c>
      <c r="S3459" t="s">
        <v>30098</v>
      </c>
    </row>
    <row r="3460" spans="1:19" x14ac:dyDescent="0.25">
      <c r="A3460" s="1">
        <v>3458</v>
      </c>
      <c r="B3460" t="str">
        <f>HYPERLINK("https://www.dasschnelle.at/ybbstal-apotheke-mag-pharm-adelheid-tazreiter-kg-waidhofen-an-der-ybbs-hammerschmiedstraße","Website")</f>
        <v>Website</v>
      </c>
      <c r="C3460" t="str">
        <f>HYPERLINK("http://www.ybbstal-apotheke.at","Website")</f>
        <v>Website</v>
      </c>
      <c r="D3460" t="str">
        <f>HYPERLINK("http://www.google.com/maps/place/47.9494886,14.7899090","Location")</f>
        <v>Location</v>
      </c>
      <c r="E3460" t="s">
        <v>30102</v>
      </c>
      <c r="F3460" t="s">
        <v>30103</v>
      </c>
      <c r="G3460" t="s">
        <v>1504</v>
      </c>
      <c r="H3460" t="s">
        <v>1586</v>
      </c>
      <c r="I3460" t="s">
        <v>177</v>
      </c>
      <c r="J3460" t="s">
        <v>22</v>
      </c>
      <c r="K3460" t="s">
        <v>30104</v>
      </c>
      <c r="L3460" t="s">
        <v>30107</v>
      </c>
      <c r="M3460" t="s">
        <v>25</v>
      </c>
      <c r="N3460" t="s">
        <v>30108</v>
      </c>
      <c r="O3460" t="s">
        <v>25</v>
      </c>
      <c r="P3460" t="s">
        <v>30109</v>
      </c>
      <c r="Q3460" t="s">
        <v>29</v>
      </c>
      <c r="R3460" t="s">
        <v>30105</v>
      </c>
      <c r="S3460" t="s">
        <v>30106</v>
      </c>
    </row>
    <row r="3461" spans="1:19" x14ac:dyDescent="0.25">
      <c r="A3461" s="1">
        <v>3459</v>
      </c>
      <c r="B3461" t="str">
        <f>HYPERLINK("https://www.dasschnelle.at/eichhorn-peter-dr-amstetten-krankenhausstraße","Website")</f>
        <v>Website</v>
      </c>
      <c r="C3461" t="str">
        <f>HYPERLINK("https://www.dasschnelle.at/eichhorn-peter-dr-amstetten-krankenhausstra%C3%9Fe","Website")</f>
        <v>Website</v>
      </c>
      <c r="D3461" t="str">
        <f>HYPERLINK("http://www.google.com/maps/place/48.03539,14.93035","Location")</f>
        <v>Location</v>
      </c>
      <c r="E3461" t="s">
        <v>30110</v>
      </c>
      <c r="F3461" t="s">
        <v>30111</v>
      </c>
      <c r="G3461" t="s">
        <v>1474</v>
      </c>
      <c r="H3461" t="s">
        <v>1475</v>
      </c>
      <c r="I3461" t="s">
        <v>177</v>
      </c>
      <c r="J3461" t="s">
        <v>22</v>
      </c>
      <c r="K3461" t="s">
        <v>30112</v>
      </c>
      <c r="L3461" t="s">
        <v>30115</v>
      </c>
      <c r="M3461" t="s">
        <v>25</v>
      </c>
      <c r="N3461" t="s">
        <v>30116</v>
      </c>
      <c r="O3461" t="s">
        <v>25</v>
      </c>
      <c r="P3461" t="s">
        <v>30117</v>
      </c>
      <c r="Q3461" t="s">
        <v>29</v>
      </c>
      <c r="R3461" t="s">
        <v>30113</v>
      </c>
      <c r="S3461" t="s">
        <v>30114</v>
      </c>
    </row>
    <row r="3462" spans="1:19" x14ac:dyDescent="0.25">
      <c r="A3462" s="1">
        <v>3460</v>
      </c>
      <c r="B3462" t="str">
        <f>HYPERLINK("https://www.dasschnelle.at/jäger-markus-fließ-dorf","Website")</f>
        <v>Website</v>
      </c>
      <c r="C3462" t="str">
        <f>HYPERLINK("http://www.jaegermarkus.at","Website")</f>
        <v>Website</v>
      </c>
      <c r="D3462" t="str">
        <f>HYPERLINK("http://www.google.com/maps/place/47.11837,10.63113","Location")</f>
        <v>Location</v>
      </c>
      <c r="E3462" t="s">
        <v>30118</v>
      </c>
      <c r="F3462" t="s">
        <v>30119</v>
      </c>
      <c r="G3462" t="s">
        <v>29267</v>
      </c>
      <c r="H3462" t="s">
        <v>29268</v>
      </c>
      <c r="I3462" t="s">
        <v>21</v>
      </c>
      <c r="J3462" t="s">
        <v>22</v>
      </c>
      <c r="K3462" t="s">
        <v>30120</v>
      </c>
      <c r="L3462" t="s">
        <v>30123</v>
      </c>
      <c r="M3462" t="s">
        <v>25</v>
      </c>
      <c r="N3462" t="s">
        <v>30124</v>
      </c>
      <c r="O3462" t="s">
        <v>25</v>
      </c>
      <c r="P3462" t="s">
        <v>30125</v>
      </c>
      <c r="Q3462" t="s">
        <v>29</v>
      </c>
      <c r="R3462" t="s">
        <v>30121</v>
      </c>
      <c r="S3462" t="s">
        <v>30122</v>
      </c>
    </row>
    <row r="3463" spans="1:19" x14ac:dyDescent="0.25">
      <c r="A3463" s="1">
        <v>3461</v>
      </c>
      <c r="B3463" t="str">
        <f>HYPERLINK("https://www.dasschnelle.at/schafelner-gerhard-dr-st-valentin-hauptplatz","Website")</f>
        <v>Website</v>
      </c>
      <c r="C3463" t="str">
        <f>HYPERLINK("http://www.schafelner.com","Website")</f>
        <v>Website</v>
      </c>
      <c r="D3463" t="str">
        <f>HYPERLINK("http://www.google.com/maps/place/48.17536,14.53265","Location")</f>
        <v>Location</v>
      </c>
      <c r="E3463" t="s">
        <v>30126</v>
      </c>
      <c r="F3463" t="s">
        <v>30127</v>
      </c>
      <c r="G3463" t="s">
        <v>1484</v>
      </c>
      <c r="H3463" t="s">
        <v>1485</v>
      </c>
      <c r="I3463" t="s">
        <v>177</v>
      </c>
      <c r="J3463" t="s">
        <v>22</v>
      </c>
      <c r="K3463" t="s">
        <v>11223</v>
      </c>
      <c r="L3463" t="s">
        <v>30130</v>
      </c>
      <c r="M3463" t="s">
        <v>25</v>
      </c>
      <c r="N3463" t="s">
        <v>30131</v>
      </c>
      <c r="O3463" t="s">
        <v>25</v>
      </c>
      <c r="P3463" t="s">
        <v>30132</v>
      </c>
      <c r="Q3463" t="s">
        <v>29</v>
      </c>
      <c r="R3463" t="s">
        <v>30128</v>
      </c>
      <c r="S3463" t="s">
        <v>30129</v>
      </c>
    </row>
    <row r="3464" spans="1:19" x14ac:dyDescent="0.25">
      <c r="A3464" s="1">
        <v>3462</v>
      </c>
      <c r="B3464" t="str">
        <f>HYPERLINK("https://www.dasschnelle.at/lanzerstorfer-gmbh-red-zac-ottensheim-hostauerstraße","Website")</f>
        <v>Website</v>
      </c>
      <c r="C3464" t="str">
        <f>HYPERLINK("http://www.lanzerstorfergmbh.at","Website")</f>
        <v>Website</v>
      </c>
      <c r="D3464" t="str">
        <f>HYPERLINK("http://www.google.com/maps/place/48.33383,14.17212","Location")</f>
        <v>Location</v>
      </c>
      <c r="E3464" t="s">
        <v>30133</v>
      </c>
      <c r="F3464" t="s">
        <v>30134</v>
      </c>
      <c r="G3464" t="s">
        <v>28603</v>
      </c>
      <c r="H3464" t="s">
        <v>28604</v>
      </c>
      <c r="I3464" t="s">
        <v>85</v>
      </c>
      <c r="J3464" t="s">
        <v>22</v>
      </c>
      <c r="K3464" t="s">
        <v>30135</v>
      </c>
      <c r="L3464" t="s">
        <v>30138</v>
      </c>
      <c r="M3464" t="s">
        <v>25</v>
      </c>
      <c r="N3464" t="s">
        <v>30139</v>
      </c>
      <c r="O3464" t="s">
        <v>25</v>
      </c>
      <c r="P3464" t="s">
        <v>30140</v>
      </c>
      <c r="Q3464" t="s">
        <v>29</v>
      </c>
      <c r="R3464" t="s">
        <v>30136</v>
      </c>
      <c r="S3464" t="s">
        <v>30137</v>
      </c>
    </row>
    <row r="3465" spans="1:19" x14ac:dyDescent="0.25">
      <c r="A3465" s="1">
        <v>3463</v>
      </c>
      <c r="B3465" t="str">
        <f>HYPERLINK("https://www.dasschnelle.at/strasser-karl-mag-amstetten-hauptplatz","Website")</f>
        <v>Website</v>
      </c>
      <c r="C3465" t="str">
        <f>HYPERLINK("http://www.notariat-amstetten1.at","Website")</f>
        <v>Website</v>
      </c>
      <c r="D3465" t="str">
        <f>HYPERLINK("http://www.google.com/maps/place/48.12321,14.8711","Location")</f>
        <v>Location</v>
      </c>
      <c r="E3465" t="s">
        <v>30141</v>
      </c>
      <c r="F3465" t="s">
        <v>30142</v>
      </c>
      <c r="G3465" t="s">
        <v>1474</v>
      </c>
      <c r="H3465" t="s">
        <v>1475</v>
      </c>
      <c r="I3465" t="s">
        <v>177</v>
      </c>
      <c r="J3465" t="s">
        <v>22</v>
      </c>
      <c r="K3465" t="s">
        <v>30143</v>
      </c>
      <c r="L3465" t="s">
        <v>30146</v>
      </c>
      <c r="M3465" t="s">
        <v>25</v>
      </c>
      <c r="N3465" t="s">
        <v>30147</v>
      </c>
      <c r="O3465" t="s">
        <v>25</v>
      </c>
      <c r="P3465" t="s">
        <v>30148</v>
      </c>
      <c r="Q3465" t="s">
        <v>29</v>
      </c>
      <c r="R3465" t="s">
        <v>30144</v>
      </c>
      <c r="S3465" t="s">
        <v>30145</v>
      </c>
    </row>
    <row r="3466" spans="1:19" x14ac:dyDescent="0.25">
      <c r="A3466" s="1">
        <v>3464</v>
      </c>
      <c r="B3466" t="str">
        <f>HYPERLINK("https://www.dasschnelle.at/prömer-kandelhart-helvig-dipl-tierarzt-waidhofen-an-der-ybbs-unterzellerstraße","Website")</f>
        <v>Website</v>
      </c>
      <c r="C3466" t="str">
        <f>HYPERLINK("https://www.dasschnelle.at/pr%C3%B6mer-kandelhart-helvig-dipl-tierarzt-waidhofen-an-der-ybbs-unterzellerstra%C3%9Fe","Website")</f>
        <v>Website</v>
      </c>
      <c r="D3466" t="str">
        <f>HYPERLINK("http://www.google.com/maps/place/47.97177,14.76243","Location")</f>
        <v>Location</v>
      </c>
      <c r="E3466" t="s">
        <v>30149</v>
      </c>
      <c r="F3466" t="s">
        <v>30150</v>
      </c>
      <c r="G3466" t="s">
        <v>1504</v>
      </c>
      <c r="H3466" t="s">
        <v>1586</v>
      </c>
      <c r="I3466" t="s">
        <v>177</v>
      </c>
      <c r="J3466" t="s">
        <v>22</v>
      </c>
      <c r="K3466" t="s">
        <v>30151</v>
      </c>
      <c r="L3466" t="s">
        <v>30154</v>
      </c>
      <c r="M3466" t="s">
        <v>25</v>
      </c>
      <c r="N3466" t="s">
        <v>30155</v>
      </c>
      <c r="O3466" t="s">
        <v>25</v>
      </c>
      <c r="P3466" t="s">
        <v>30156</v>
      </c>
      <c r="Q3466" t="s">
        <v>29</v>
      </c>
      <c r="R3466" t="s">
        <v>30152</v>
      </c>
      <c r="S3466" t="s">
        <v>30153</v>
      </c>
    </row>
    <row r="3467" spans="1:19" x14ac:dyDescent="0.25">
      <c r="A3467" s="1">
        <v>3465</v>
      </c>
      <c r="B3467" t="str">
        <f>HYPERLINK("https://www.dasschnelle.at/bergmann-weidmann-birgit-dr-med-univ-frohnleiten-brunnhof","Website")</f>
        <v>Website</v>
      </c>
      <c r="C3467" t="str">
        <f>HYPERLINK("https://www.dasschnelle.at/bergmann-weidmann-birgit-dr-med-univ-frohnleiten-brunnhof","Website")</f>
        <v>Website</v>
      </c>
      <c r="D3467" t="str">
        <f>HYPERLINK("http://www.google.com/maps/place/47.2708935,15.3314728","Location")</f>
        <v>Location</v>
      </c>
      <c r="E3467" t="s">
        <v>30157</v>
      </c>
      <c r="F3467" t="s">
        <v>30158</v>
      </c>
      <c r="G3467" t="s">
        <v>7874</v>
      </c>
      <c r="H3467" t="s">
        <v>7875</v>
      </c>
      <c r="I3467" t="s">
        <v>451</v>
      </c>
      <c r="J3467" t="s">
        <v>22</v>
      </c>
      <c r="K3467" t="s">
        <v>30159</v>
      </c>
      <c r="L3467" t="s">
        <v>25</v>
      </c>
      <c r="M3467" t="s">
        <v>30162</v>
      </c>
      <c r="N3467" t="s">
        <v>30163</v>
      </c>
      <c r="O3467" t="s">
        <v>25</v>
      </c>
      <c r="P3467" t="s">
        <v>30164</v>
      </c>
      <c r="Q3467" t="s">
        <v>29</v>
      </c>
      <c r="R3467" t="s">
        <v>30160</v>
      </c>
      <c r="S3467" t="s">
        <v>30161</v>
      </c>
    </row>
    <row r="3468" spans="1:19" x14ac:dyDescent="0.25">
      <c r="A3468" s="1">
        <v>3466</v>
      </c>
      <c r="B3468" t="str">
        <f>HYPERLINK("https://www.dasschnelle.at/kuljuh-elma-dr-frohnleiten-brückenkopf","Website")</f>
        <v>Website</v>
      </c>
      <c r="C3468" t="str">
        <f>HYPERLINK("http://www.zahnspange-drkuljuh.at","Website")</f>
        <v>Website</v>
      </c>
      <c r="D3468" t="str">
        <f>HYPERLINK("http://www.google.com/maps/place/47.26948,15.32472","Location")</f>
        <v>Location</v>
      </c>
      <c r="E3468" t="s">
        <v>30165</v>
      </c>
      <c r="F3468" t="s">
        <v>30166</v>
      </c>
      <c r="G3468" t="s">
        <v>7874</v>
      </c>
      <c r="H3468" t="s">
        <v>7875</v>
      </c>
      <c r="I3468" t="s">
        <v>451</v>
      </c>
      <c r="J3468" t="s">
        <v>22</v>
      </c>
      <c r="K3468" t="s">
        <v>30167</v>
      </c>
      <c r="L3468" t="s">
        <v>30170</v>
      </c>
      <c r="M3468" t="s">
        <v>25</v>
      </c>
      <c r="N3468" t="s">
        <v>30171</v>
      </c>
      <c r="O3468" t="s">
        <v>25</v>
      </c>
      <c r="P3468" t="s">
        <v>30172</v>
      </c>
      <c r="Q3468" t="s">
        <v>29</v>
      </c>
      <c r="R3468" t="s">
        <v>30168</v>
      </c>
      <c r="S3468" t="s">
        <v>30169</v>
      </c>
    </row>
    <row r="3469" spans="1:19" x14ac:dyDescent="0.25">
      <c r="A3469" s="1">
        <v>3467</v>
      </c>
      <c r="B3469" t="str">
        <f>HYPERLINK("https://www.dasschnelle.at/pfeiffer-karl-langenrohr-tullner-straße","Website")</f>
        <v>Website</v>
      </c>
      <c r="C3469" t="str">
        <f>HYPERLINK("http://www.dach-pfeiffer.at","Website")</f>
        <v>Website</v>
      </c>
      <c r="D3469" t="str">
        <f>HYPERLINK("http://www.google.com/maps/place/48.3118,16.01355","Location")</f>
        <v>Location</v>
      </c>
      <c r="E3469" t="s">
        <v>30173</v>
      </c>
      <c r="F3469" t="s">
        <v>30174</v>
      </c>
      <c r="G3469" t="s">
        <v>29075</v>
      </c>
      <c r="H3469" t="s">
        <v>29076</v>
      </c>
      <c r="I3469" t="s">
        <v>177</v>
      </c>
      <c r="J3469" t="s">
        <v>22</v>
      </c>
      <c r="K3469" t="s">
        <v>30175</v>
      </c>
      <c r="L3469" t="s">
        <v>30178</v>
      </c>
      <c r="M3469" t="s">
        <v>25</v>
      </c>
      <c r="N3469" t="s">
        <v>30179</v>
      </c>
      <c r="O3469" t="s">
        <v>25</v>
      </c>
      <c r="P3469" t="s">
        <v>30180</v>
      </c>
      <c r="Q3469" t="s">
        <v>29</v>
      </c>
      <c r="R3469" t="s">
        <v>30176</v>
      </c>
      <c r="S3469" t="s">
        <v>30177</v>
      </c>
    </row>
    <row r="3470" spans="1:19" x14ac:dyDescent="0.25">
      <c r="A3470" s="1">
        <v>3468</v>
      </c>
      <c r="B3470" t="str">
        <f>HYPERLINK("https://www.dasschnelle.at/haschkovitz-herbert-dr-med-traisen-ebnerstraße","Website")</f>
        <v>Website</v>
      </c>
      <c r="C3470" t="str">
        <f>HYPERLINK("https://www.dasschnelle.at/haschkovitz-herbert-dr-med-traisen-ebnerstra%C3%9Fe","Website")</f>
        <v>Website</v>
      </c>
      <c r="D3470" t="str">
        <f>HYPERLINK("http://www.google.com/maps/place/48.04775,15.62686","Location")</f>
        <v>Location</v>
      </c>
      <c r="E3470" t="s">
        <v>30181</v>
      </c>
      <c r="F3470" t="s">
        <v>30182</v>
      </c>
      <c r="G3470" t="s">
        <v>12519</v>
      </c>
      <c r="H3470" t="s">
        <v>12520</v>
      </c>
      <c r="I3470" t="s">
        <v>177</v>
      </c>
      <c r="J3470" t="s">
        <v>22</v>
      </c>
      <c r="K3470" t="s">
        <v>30183</v>
      </c>
      <c r="L3470" t="s">
        <v>30186</v>
      </c>
      <c r="M3470" t="s">
        <v>25</v>
      </c>
      <c r="N3470" t="s">
        <v>30187</v>
      </c>
      <c r="O3470" t="s">
        <v>25</v>
      </c>
      <c r="P3470" t="s">
        <v>30188</v>
      </c>
      <c r="Q3470" t="s">
        <v>29</v>
      </c>
      <c r="R3470" t="s">
        <v>30184</v>
      </c>
      <c r="S3470" t="s">
        <v>30185</v>
      </c>
    </row>
    <row r="3471" spans="1:19" x14ac:dyDescent="0.25">
      <c r="A3471" s="1">
        <v>3469</v>
      </c>
      <c r="B3471" t="str">
        <f>HYPERLINK("https://www.dasschnelle.at/djemai-philippe-andre-hohenberg-lindnerweg","Website")</f>
        <v>Website</v>
      </c>
      <c r="C3471" t="str">
        <f>HYPERLINK("http://www.mfph.at","Website")</f>
        <v>Website</v>
      </c>
      <c r="D3471" t="str">
        <f>HYPERLINK("http://www.google.com/maps/place/47.9079748,15.6207404","Location")</f>
        <v>Location</v>
      </c>
      <c r="E3471" t="s">
        <v>30189</v>
      </c>
      <c r="F3471" t="s">
        <v>30190</v>
      </c>
      <c r="G3471" t="s">
        <v>12462</v>
      </c>
      <c r="H3471" t="s">
        <v>12463</v>
      </c>
      <c r="I3471" t="s">
        <v>177</v>
      </c>
      <c r="J3471" t="s">
        <v>22</v>
      </c>
      <c r="K3471" t="s">
        <v>30191</v>
      </c>
      <c r="L3471" t="s">
        <v>30194</v>
      </c>
      <c r="M3471" t="s">
        <v>25</v>
      </c>
      <c r="N3471" t="s">
        <v>30195</v>
      </c>
      <c r="O3471" t="s">
        <v>25</v>
      </c>
      <c r="P3471" t="s">
        <v>30196</v>
      </c>
      <c r="Q3471" t="s">
        <v>29</v>
      </c>
      <c r="R3471" t="s">
        <v>30192</v>
      </c>
      <c r="S3471" t="s">
        <v>30193</v>
      </c>
    </row>
    <row r="3472" spans="1:19" x14ac:dyDescent="0.25">
      <c r="A3472" s="1">
        <v>3470</v>
      </c>
      <c r="B3472" t="str">
        <f>HYPERLINK("https://www.dasschnelle.at/steinlechner-walter-sankt-veit-hauptplatz","Website")</f>
        <v>Website</v>
      </c>
      <c r="C3472" t="str">
        <f>HYPERLINK("http://www.sreal.at","Website")</f>
        <v>Website</v>
      </c>
      <c r="D3472" t="str">
        <f>HYPERLINK("http://www.google.com/maps/place/46.7677107,14.3582974","Location")</f>
        <v>Location</v>
      </c>
      <c r="E3472" t="s">
        <v>30197</v>
      </c>
      <c r="F3472" t="s">
        <v>30198</v>
      </c>
      <c r="G3472" t="s">
        <v>9689</v>
      </c>
      <c r="H3472" t="s">
        <v>25307</v>
      </c>
      <c r="I3472" t="s">
        <v>4130</v>
      </c>
      <c r="J3472" t="s">
        <v>22</v>
      </c>
      <c r="K3472" t="s">
        <v>1150</v>
      </c>
      <c r="L3472" t="s">
        <v>30201</v>
      </c>
      <c r="M3472" t="s">
        <v>25</v>
      </c>
      <c r="N3472" t="s">
        <v>30202</v>
      </c>
      <c r="O3472" t="s">
        <v>25</v>
      </c>
      <c r="P3472" t="s">
        <v>30203</v>
      </c>
      <c r="Q3472" t="s">
        <v>29</v>
      </c>
      <c r="R3472" t="s">
        <v>30199</v>
      </c>
      <c r="S3472" t="s">
        <v>30200</v>
      </c>
    </row>
    <row r="3473" spans="1:19" x14ac:dyDescent="0.25">
      <c r="A3473" s="1">
        <v>3471</v>
      </c>
      <c r="B3473" t="str">
        <f>HYPERLINK("https://www.dasschnelle.at/steuerberatungs-gesmbh-e-m-romberg-tulln-an-der-donau-karlsgasse","Website")</f>
        <v>Website</v>
      </c>
      <c r="C3473" t="str">
        <f>HYPERLINK("http://www.romberg.at","Website")</f>
        <v>Website</v>
      </c>
      <c r="D3473" t="str">
        <f>HYPERLINK("http://www.google.com/maps/place/48.32998,16.05296","Location")</f>
        <v>Location</v>
      </c>
      <c r="E3473" t="s">
        <v>30204</v>
      </c>
      <c r="F3473" t="s">
        <v>30205</v>
      </c>
      <c r="G3473" t="s">
        <v>9499</v>
      </c>
      <c r="H3473" t="s">
        <v>9500</v>
      </c>
      <c r="I3473" t="s">
        <v>177</v>
      </c>
      <c r="J3473" t="s">
        <v>22</v>
      </c>
      <c r="K3473" t="s">
        <v>30206</v>
      </c>
      <c r="L3473" t="s">
        <v>30209</v>
      </c>
      <c r="M3473" t="s">
        <v>25</v>
      </c>
      <c r="N3473" t="s">
        <v>30210</v>
      </c>
      <c r="O3473" t="s">
        <v>25</v>
      </c>
      <c r="P3473" t="s">
        <v>30211</v>
      </c>
      <c r="Q3473" t="s">
        <v>29</v>
      </c>
      <c r="R3473" t="s">
        <v>30207</v>
      </c>
      <c r="S3473" t="s">
        <v>30208</v>
      </c>
    </row>
    <row r="3474" spans="1:19" x14ac:dyDescent="0.25">
      <c r="A3474" s="1">
        <v>3472</v>
      </c>
      <c r="B3474" t="str">
        <f>HYPERLINK("https://www.dasschnelle.at/mezei-istvan-münzbach-hauptstraße","Website")</f>
        <v>Website</v>
      </c>
      <c r="C3474" t="str">
        <f>HYPERLINK("http://www.mezei.at","Website")</f>
        <v>Website</v>
      </c>
      <c r="D3474" t="str">
        <f>HYPERLINK("http://www.google.com/maps/place/48.26757,14.71073","Location")</f>
        <v>Location</v>
      </c>
      <c r="E3474" t="s">
        <v>30212</v>
      </c>
      <c r="F3474" t="s">
        <v>30213</v>
      </c>
      <c r="G3474" t="s">
        <v>6443</v>
      </c>
      <c r="H3474" t="s">
        <v>6444</v>
      </c>
      <c r="I3474" t="s">
        <v>85</v>
      </c>
      <c r="J3474" t="s">
        <v>22</v>
      </c>
      <c r="K3474" t="s">
        <v>22930</v>
      </c>
      <c r="L3474" t="s">
        <v>30216</v>
      </c>
      <c r="M3474" t="s">
        <v>25</v>
      </c>
      <c r="N3474" t="s">
        <v>30217</v>
      </c>
      <c r="O3474" t="s">
        <v>30218</v>
      </c>
      <c r="P3474" t="s">
        <v>30219</v>
      </c>
      <c r="Q3474" t="s">
        <v>29</v>
      </c>
      <c r="R3474" t="s">
        <v>30214</v>
      </c>
      <c r="S3474" t="s">
        <v>30215</v>
      </c>
    </row>
    <row r="3475" spans="1:19" x14ac:dyDescent="0.25">
      <c r="A3475" s="1">
        <v>3473</v>
      </c>
      <c r="B3475" t="str">
        <f>HYPERLINK("https://www.dasschnelle.at/c-o-r-d-a-geiger-gmbh-landeck-bruggfeldstraße","Website")</f>
        <v>Website</v>
      </c>
      <c r="C3475" t="str">
        <f>HYPERLINK("http://www.cordageiger.at","Website")</f>
        <v>Website</v>
      </c>
      <c r="D3475" t="str">
        <f>HYPERLINK("http://www.google.com/maps/place/47.14095,10.55706","Location")</f>
        <v>Location</v>
      </c>
      <c r="E3475" t="s">
        <v>30220</v>
      </c>
      <c r="F3475" t="s">
        <v>30221</v>
      </c>
      <c r="G3475" t="s">
        <v>1279</v>
      </c>
      <c r="H3475" t="s">
        <v>1280</v>
      </c>
      <c r="I3475" t="s">
        <v>21</v>
      </c>
      <c r="J3475" t="s">
        <v>22</v>
      </c>
      <c r="K3475" t="s">
        <v>30222</v>
      </c>
      <c r="L3475" t="s">
        <v>30225</v>
      </c>
      <c r="M3475" t="s">
        <v>25</v>
      </c>
      <c r="N3475" t="s">
        <v>30226</v>
      </c>
      <c r="O3475" t="s">
        <v>25</v>
      </c>
      <c r="P3475" t="s">
        <v>30227</v>
      </c>
      <c r="Q3475" t="s">
        <v>29</v>
      </c>
      <c r="R3475" t="s">
        <v>30223</v>
      </c>
      <c r="S3475" t="s">
        <v>30224</v>
      </c>
    </row>
    <row r="3476" spans="1:19" x14ac:dyDescent="0.25">
      <c r="A3476" s="1">
        <v>3474</v>
      </c>
      <c r="B3476" t="str">
        <f>HYPERLINK("https://www.dasschnelle.at/pilsbacher-ulrike-mag-dr-amstetten-preinsbacher-straße","Website")</f>
        <v>Website</v>
      </c>
      <c r="C3476" t="str">
        <f>HYPERLINK("http://www.pilsbacher.at","Website")</f>
        <v>Website</v>
      </c>
      <c r="D3476" t="str">
        <f>HYPERLINK("http://www.google.com/maps/place/48.12584,14.88163","Location")</f>
        <v>Location</v>
      </c>
      <c r="E3476" t="s">
        <v>30228</v>
      </c>
      <c r="F3476" t="s">
        <v>30229</v>
      </c>
      <c r="G3476" t="s">
        <v>1474</v>
      </c>
      <c r="H3476" t="s">
        <v>1475</v>
      </c>
      <c r="I3476" t="s">
        <v>177</v>
      </c>
      <c r="J3476" t="s">
        <v>22</v>
      </c>
      <c r="K3476" t="s">
        <v>30230</v>
      </c>
      <c r="L3476" t="s">
        <v>30233</v>
      </c>
      <c r="M3476" t="s">
        <v>25</v>
      </c>
      <c r="N3476" t="s">
        <v>30234</v>
      </c>
      <c r="O3476" t="s">
        <v>30235</v>
      </c>
      <c r="P3476" t="s">
        <v>30236</v>
      </c>
      <c r="Q3476" t="s">
        <v>29</v>
      </c>
      <c r="R3476" t="s">
        <v>30231</v>
      </c>
      <c r="S3476" t="s">
        <v>30232</v>
      </c>
    </row>
    <row r="3477" spans="1:19" x14ac:dyDescent="0.25">
      <c r="A3477" s="1">
        <v>3475</v>
      </c>
      <c r="B3477" t="str">
        <f>HYPERLINK("https://www.dasschnelle.at/günther-handle-gmbh-ried-im-oberinntal-hauptstraße","Website")</f>
        <v>Website</v>
      </c>
      <c r="C3477" t="str">
        <f>HYPERLINK("http://www.handle.co.at","Website")</f>
        <v>Website</v>
      </c>
      <c r="D3477" t="str">
        <f>HYPERLINK("http://www.google.com/maps/place/47.0548767,10.6532278","Location")</f>
        <v>Location</v>
      </c>
      <c r="E3477" t="s">
        <v>30237</v>
      </c>
      <c r="F3477" t="s">
        <v>30238</v>
      </c>
      <c r="G3477" t="s">
        <v>27019</v>
      </c>
      <c r="H3477" t="s">
        <v>27020</v>
      </c>
      <c r="I3477" t="s">
        <v>21</v>
      </c>
      <c r="J3477" t="s">
        <v>22</v>
      </c>
      <c r="K3477" t="s">
        <v>2041</v>
      </c>
      <c r="L3477" t="s">
        <v>30241</v>
      </c>
      <c r="M3477" t="s">
        <v>25</v>
      </c>
      <c r="N3477" t="s">
        <v>30242</v>
      </c>
      <c r="O3477" t="s">
        <v>25</v>
      </c>
      <c r="P3477" t="s">
        <v>30243</v>
      </c>
      <c r="Q3477" t="s">
        <v>29</v>
      </c>
      <c r="R3477" t="s">
        <v>30239</v>
      </c>
      <c r="S3477" t="s">
        <v>30240</v>
      </c>
    </row>
    <row r="3478" spans="1:19" x14ac:dyDescent="0.25">
      <c r="A3478" s="1">
        <v>3476</v>
      </c>
      <c r="B3478" t="str">
        <f>HYPERLINK("https://www.dasschnelle.at/tierärztliche-gemeinschaftspraxis-deutschfeistritz-grazer-straße","Website")</f>
        <v>Website</v>
      </c>
      <c r="C3478" t="str">
        <f>HYPERLINK("https://www.dasschnelle.at/tier%C3%A4rztliche-gemeinschaftspraxis-deutschfeistritz-grazer-stra%C3%9Fe","Website")</f>
        <v>Website</v>
      </c>
      <c r="D3478" t="str">
        <f>HYPERLINK("http://www.google.com/maps/place/47.1980567,15.3363776","Location")</f>
        <v>Location</v>
      </c>
      <c r="E3478" t="s">
        <v>30244</v>
      </c>
      <c r="F3478" t="s">
        <v>30245</v>
      </c>
      <c r="G3478" t="s">
        <v>24423</v>
      </c>
      <c r="H3478" t="s">
        <v>24424</v>
      </c>
      <c r="I3478" t="s">
        <v>451</v>
      </c>
      <c r="J3478" t="s">
        <v>22</v>
      </c>
      <c r="K3478" t="s">
        <v>24422</v>
      </c>
      <c r="L3478" t="s">
        <v>24427</v>
      </c>
      <c r="M3478" t="s">
        <v>25</v>
      </c>
      <c r="N3478" t="s">
        <v>24428</v>
      </c>
      <c r="O3478" t="s">
        <v>25</v>
      </c>
      <c r="P3478" t="s">
        <v>30248</v>
      </c>
      <c r="Q3478" t="s">
        <v>29</v>
      </c>
      <c r="R3478" t="s">
        <v>30246</v>
      </c>
      <c r="S3478" t="s">
        <v>30247</v>
      </c>
    </row>
    <row r="3479" spans="1:19" x14ac:dyDescent="0.25">
      <c r="A3479" s="1">
        <v>3477</v>
      </c>
      <c r="B3479" t="str">
        <f>HYPERLINK("https://www.dasschnelle.at/stiftinger-bau-gmbh-bergen-schußweg","Website")</f>
        <v>Website</v>
      </c>
      <c r="C3479" t="str">
        <f>HYPERLINK("http://www.stiftingerbau.at","Website")</f>
        <v>Website</v>
      </c>
      <c r="D3479" t="str">
        <f>HYPERLINK("http://www.google.com/maps/place/48.37334,14.45742","Location")</f>
        <v>Location</v>
      </c>
      <c r="E3479" t="s">
        <v>30249</v>
      </c>
      <c r="F3479" t="s">
        <v>30250</v>
      </c>
      <c r="G3479" t="s">
        <v>30252</v>
      </c>
      <c r="H3479" t="s">
        <v>30253</v>
      </c>
      <c r="I3479" t="s">
        <v>85</v>
      </c>
      <c r="J3479" t="s">
        <v>22</v>
      </c>
      <c r="K3479" t="s">
        <v>30251</v>
      </c>
      <c r="L3479" t="s">
        <v>30256</v>
      </c>
      <c r="M3479" t="s">
        <v>30257</v>
      </c>
      <c r="N3479" t="s">
        <v>30258</v>
      </c>
      <c r="O3479" t="s">
        <v>25</v>
      </c>
      <c r="P3479" t="s">
        <v>30259</v>
      </c>
      <c r="Q3479" t="s">
        <v>29</v>
      </c>
      <c r="R3479" t="s">
        <v>30254</v>
      </c>
      <c r="S3479" t="s">
        <v>30255</v>
      </c>
    </row>
    <row r="3480" spans="1:19" x14ac:dyDescent="0.25">
      <c r="A3480" s="1">
        <v>3478</v>
      </c>
      <c r="B3480" t="str">
        <f>HYPERLINK("https://www.dasschnelle.at/steffen-jörg-dr-med-frohnleiten-hauptplatz","Website")</f>
        <v>Website</v>
      </c>
      <c r="C3480" t="str">
        <f>HYPERLINK("https://www.dasschnelle.at/steffen-j%C3%B6rg-dr-med-frohnleiten-hauptplatz","Website")</f>
        <v>Website</v>
      </c>
      <c r="D3480" t="str">
        <f>HYPERLINK("http://www.google.com/maps/place/47.27131,15.32731","Location")</f>
        <v>Location</v>
      </c>
      <c r="E3480" t="s">
        <v>30260</v>
      </c>
      <c r="F3480" t="s">
        <v>30261</v>
      </c>
      <c r="G3480" t="s">
        <v>7874</v>
      </c>
      <c r="H3480" t="s">
        <v>7875</v>
      </c>
      <c r="I3480" t="s">
        <v>451</v>
      </c>
      <c r="J3480" t="s">
        <v>22</v>
      </c>
      <c r="K3480" t="s">
        <v>30262</v>
      </c>
      <c r="L3480" t="s">
        <v>30265</v>
      </c>
      <c r="M3480" t="s">
        <v>30266</v>
      </c>
      <c r="N3480" t="s">
        <v>25</v>
      </c>
      <c r="O3480" t="s">
        <v>25</v>
      </c>
      <c r="P3480" t="s">
        <v>30267</v>
      </c>
      <c r="Q3480" t="s">
        <v>29</v>
      </c>
      <c r="R3480" t="s">
        <v>30263</v>
      </c>
      <c r="S3480" t="s">
        <v>30264</v>
      </c>
    </row>
    <row r="3481" spans="1:19" x14ac:dyDescent="0.25">
      <c r="A3481" s="1">
        <v>3479</v>
      </c>
      <c r="B3481" t="str">
        <f>HYPERLINK("https://www.dasschnelle.at/gosch-august-eschenau-rotheau","Website")</f>
        <v>Website</v>
      </c>
      <c r="C3481" t="str">
        <f>HYPERLINK("http://www.holzbau-gosch.at","Website")</f>
        <v>Website</v>
      </c>
      <c r="D3481" t="str">
        <f>HYPERLINK("http://www.google.com/maps/place/48.0671292,15.5966613","Location")</f>
        <v>Location</v>
      </c>
      <c r="E3481" t="s">
        <v>30268</v>
      </c>
      <c r="F3481" t="s">
        <v>30269</v>
      </c>
      <c r="G3481" t="s">
        <v>28932</v>
      </c>
      <c r="H3481" t="s">
        <v>28933</v>
      </c>
      <c r="I3481" t="s">
        <v>177</v>
      </c>
      <c r="J3481" t="s">
        <v>22</v>
      </c>
      <c r="K3481" t="s">
        <v>30270</v>
      </c>
      <c r="L3481" t="s">
        <v>30273</v>
      </c>
      <c r="M3481" t="s">
        <v>25</v>
      </c>
      <c r="N3481" t="s">
        <v>30274</v>
      </c>
      <c r="O3481" t="s">
        <v>25</v>
      </c>
      <c r="P3481" t="s">
        <v>30275</v>
      </c>
      <c r="Q3481" t="s">
        <v>29</v>
      </c>
      <c r="R3481" t="s">
        <v>30271</v>
      </c>
      <c r="S3481" t="s">
        <v>30272</v>
      </c>
    </row>
    <row r="3482" spans="1:19" x14ac:dyDescent="0.25">
      <c r="A3482" s="1">
        <v>3480</v>
      </c>
      <c r="B3482" t="str">
        <f>HYPERLINK("https://www.dasschnelle.at/ebner-harald-mariazell-ungarnstraße","Website")</f>
        <v>Website</v>
      </c>
      <c r="C3482" t="str">
        <f>HYPERLINK("https://www.dasschnelle.at/ebner-harald-mariazell-ungarnstra%C3%9Fe","Website")</f>
        <v>Website</v>
      </c>
      <c r="D3482" t="str">
        <f>HYPERLINK("http://www.google.com/maps/place/47.76493,15.33165","Location")</f>
        <v>Location</v>
      </c>
      <c r="E3482" t="s">
        <v>30276</v>
      </c>
      <c r="F3482" t="s">
        <v>30277</v>
      </c>
      <c r="G3482" t="s">
        <v>12529</v>
      </c>
      <c r="H3482" t="s">
        <v>24696</v>
      </c>
      <c r="I3482" t="s">
        <v>451</v>
      </c>
      <c r="J3482" t="s">
        <v>22</v>
      </c>
      <c r="K3482" t="s">
        <v>30278</v>
      </c>
      <c r="L3482" t="s">
        <v>30281</v>
      </c>
      <c r="M3482" t="s">
        <v>25</v>
      </c>
      <c r="N3482" t="s">
        <v>30282</v>
      </c>
      <c r="O3482" t="s">
        <v>25</v>
      </c>
      <c r="P3482" t="s">
        <v>30283</v>
      </c>
      <c r="Q3482" t="s">
        <v>29</v>
      </c>
      <c r="R3482" t="s">
        <v>30279</v>
      </c>
      <c r="S3482" t="s">
        <v>30280</v>
      </c>
    </row>
    <row r="3483" spans="1:19" x14ac:dyDescent="0.25">
      <c r="A3483" s="1">
        <v>3481</v>
      </c>
      <c r="B3483" t="str">
        <f>HYPERLINK("https://www.dasschnelle.at/la-ciccia-wilhelmsburg-mariazellerstrasse","Website")</f>
        <v>Website</v>
      </c>
      <c r="C3483" t="str">
        <f>HYPERLINK("http://www.laciccia.at","Website")</f>
        <v>Website</v>
      </c>
      <c r="D3483" t="str">
        <f>HYPERLINK("http://www.google.com/maps/place/48.0806253,15.5927992","Location")</f>
        <v>Location</v>
      </c>
      <c r="E3483" t="s">
        <v>30284</v>
      </c>
      <c r="F3483" t="s">
        <v>30285</v>
      </c>
      <c r="G3483" t="s">
        <v>28274</v>
      </c>
      <c r="H3483" t="s">
        <v>28275</v>
      </c>
      <c r="I3483" t="s">
        <v>177</v>
      </c>
      <c r="J3483" t="s">
        <v>22</v>
      </c>
      <c r="K3483" t="s">
        <v>30286</v>
      </c>
      <c r="L3483" t="s">
        <v>30289</v>
      </c>
      <c r="M3483" t="s">
        <v>25</v>
      </c>
      <c r="N3483" t="s">
        <v>25</v>
      </c>
      <c r="O3483" t="s">
        <v>25</v>
      </c>
      <c r="P3483" t="s">
        <v>30290</v>
      </c>
      <c r="Q3483" t="s">
        <v>29</v>
      </c>
      <c r="R3483" t="s">
        <v>30287</v>
      </c>
      <c r="S3483" t="s">
        <v>30288</v>
      </c>
    </row>
    <row r="3484" spans="1:19" x14ac:dyDescent="0.25">
      <c r="A3484" s="1">
        <v>3482</v>
      </c>
      <c r="B3484" t="str">
        <f>HYPERLINK("https://www.dasschnelle.at/penz-michael-st-stefan-auenfischerstraße","Website")</f>
        <v>Website</v>
      </c>
      <c r="C3484" t="str">
        <f>HYPERLINK("http://www.autopenz.at","Website")</f>
        <v>Website</v>
      </c>
      <c r="D3484" t="str">
        <f>HYPERLINK("http://www.google.com/maps/place/46.80708,14.8418","Location")</f>
        <v>Location</v>
      </c>
      <c r="E3484" t="s">
        <v>30291</v>
      </c>
      <c r="F3484" t="s">
        <v>30292</v>
      </c>
      <c r="G3484" t="s">
        <v>11372</v>
      </c>
      <c r="H3484" t="s">
        <v>11373</v>
      </c>
      <c r="I3484" t="s">
        <v>4130</v>
      </c>
      <c r="J3484" t="s">
        <v>22</v>
      </c>
      <c r="K3484" t="s">
        <v>30293</v>
      </c>
      <c r="L3484" t="s">
        <v>30296</v>
      </c>
      <c r="M3484" t="s">
        <v>25</v>
      </c>
      <c r="N3484" t="s">
        <v>30297</v>
      </c>
      <c r="O3484" t="s">
        <v>25</v>
      </c>
      <c r="P3484" t="s">
        <v>30298</v>
      </c>
      <c r="Q3484" t="s">
        <v>29</v>
      </c>
      <c r="R3484" t="s">
        <v>30294</v>
      </c>
      <c r="S3484" t="s">
        <v>30295</v>
      </c>
    </row>
    <row r="3485" spans="1:19" x14ac:dyDescent="0.25">
      <c r="A3485" s="1">
        <v>3483</v>
      </c>
      <c r="B3485" t="str">
        <f>HYPERLINK("https://www.dasschnelle.at/leopold-dietmar-st-stefan-rotkogelstraße","Website")</f>
        <v>Website</v>
      </c>
      <c r="C3485" t="str">
        <f>HYPERLINK("https://www.dasschnelle.at/leopold-dietmar-st-stefan-rotkogelstra%C3%9Fe","Website")</f>
        <v>Website</v>
      </c>
      <c r="D3485" t="str">
        <f>HYPERLINK("http://www.google.com/maps/place/46.81112,14.85039","Location")</f>
        <v>Location</v>
      </c>
      <c r="E3485" t="s">
        <v>30299</v>
      </c>
      <c r="F3485" t="s">
        <v>30300</v>
      </c>
      <c r="G3485" t="s">
        <v>11372</v>
      </c>
      <c r="H3485" t="s">
        <v>11373</v>
      </c>
      <c r="I3485" t="s">
        <v>4130</v>
      </c>
      <c r="J3485" t="s">
        <v>22</v>
      </c>
      <c r="K3485" t="s">
        <v>30301</v>
      </c>
      <c r="L3485" t="s">
        <v>30304</v>
      </c>
      <c r="M3485" t="s">
        <v>30305</v>
      </c>
      <c r="N3485" t="s">
        <v>30306</v>
      </c>
      <c r="O3485" t="s">
        <v>25</v>
      </c>
      <c r="P3485" t="s">
        <v>30307</v>
      </c>
      <c r="Q3485" t="s">
        <v>29</v>
      </c>
      <c r="R3485" t="s">
        <v>30302</v>
      </c>
      <c r="S3485" t="s">
        <v>30303</v>
      </c>
    </row>
    <row r="3486" spans="1:19" x14ac:dyDescent="0.25">
      <c r="A3486" s="1">
        <v>3484</v>
      </c>
      <c r="B3486" t="str">
        <f>HYPERLINK("https://www.dasschnelle.at/wohnkeramik-pichler-gmbh-st-paul-im-lavanttal-bahnhofstraße","Website")</f>
        <v>Website</v>
      </c>
      <c r="C3486" t="str">
        <f>HYPERLINK("http://www.wohnkeramik.com","Website")</f>
        <v>Website</v>
      </c>
      <c r="D3486" t="str">
        <f>HYPERLINK("http://www.google.com/maps/place/46.7063516,14.8667970","Location")</f>
        <v>Location</v>
      </c>
      <c r="E3486" t="s">
        <v>30308</v>
      </c>
      <c r="F3486" t="s">
        <v>30309</v>
      </c>
      <c r="G3486" t="s">
        <v>11352</v>
      </c>
      <c r="H3486" t="s">
        <v>11353</v>
      </c>
      <c r="I3486" t="s">
        <v>4130</v>
      </c>
      <c r="J3486" t="s">
        <v>22</v>
      </c>
      <c r="K3486" t="s">
        <v>12804</v>
      </c>
      <c r="L3486" t="s">
        <v>30312</v>
      </c>
      <c r="M3486" t="s">
        <v>30313</v>
      </c>
      <c r="N3486" t="s">
        <v>30314</v>
      </c>
      <c r="O3486" t="s">
        <v>30315</v>
      </c>
      <c r="P3486" t="s">
        <v>30316</v>
      </c>
      <c r="Q3486" t="s">
        <v>29</v>
      </c>
      <c r="R3486" t="s">
        <v>30310</v>
      </c>
      <c r="S3486" t="s">
        <v>30311</v>
      </c>
    </row>
    <row r="3487" spans="1:19" x14ac:dyDescent="0.25">
      <c r="A3487" s="1">
        <v>3485</v>
      </c>
      <c r="B3487" t="str">
        <f>HYPERLINK("https://www.dasschnelle.at/jöbstl-haustechnik-gmbh-st-stefan-hauptstraße","Website")</f>
        <v>Website</v>
      </c>
      <c r="C3487" t="str">
        <f>HYPERLINK("http://www.joebstl-gmbh.at","Website")</f>
        <v>Website</v>
      </c>
      <c r="D3487" t="str">
        <f>HYPERLINK("http://www.google.com/maps/place/46.8106,14.85055","Location")</f>
        <v>Location</v>
      </c>
      <c r="E3487" t="s">
        <v>30317</v>
      </c>
      <c r="F3487" t="s">
        <v>30318</v>
      </c>
      <c r="G3487" t="s">
        <v>11372</v>
      </c>
      <c r="H3487" t="s">
        <v>11373</v>
      </c>
      <c r="I3487" t="s">
        <v>4130</v>
      </c>
      <c r="J3487" t="s">
        <v>22</v>
      </c>
      <c r="K3487" t="s">
        <v>16336</v>
      </c>
      <c r="L3487" t="s">
        <v>30321</v>
      </c>
      <c r="M3487" t="s">
        <v>30322</v>
      </c>
      <c r="N3487" t="s">
        <v>30323</v>
      </c>
      <c r="O3487" t="s">
        <v>25</v>
      </c>
      <c r="P3487" t="s">
        <v>30324</v>
      </c>
      <c r="Q3487" t="s">
        <v>29</v>
      </c>
      <c r="R3487" t="s">
        <v>30319</v>
      </c>
      <c r="S3487" t="s">
        <v>30320</v>
      </c>
    </row>
    <row r="3488" spans="1:19" x14ac:dyDescent="0.25">
      <c r="A3488" s="1">
        <v>3486</v>
      </c>
      <c r="B3488" t="str">
        <f>HYPERLINK("https://www.dasschnelle.at/joham-günther-wolfsberg-grahofferstraße","Website")</f>
        <v>Website</v>
      </c>
      <c r="C3488" t="str">
        <f>HYPERLINK("http://www.betz-daecher.at","Website")</f>
        <v>Website</v>
      </c>
      <c r="D3488" t="str">
        <f>HYPERLINK("http://www.google.com/maps/place/46.8505533,14.8369024","Location")</f>
        <v>Location</v>
      </c>
      <c r="E3488" t="s">
        <v>30325</v>
      </c>
      <c r="F3488" t="s">
        <v>30326</v>
      </c>
      <c r="G3488" t="s">
        <v>11363</v>
      </c>
      <c r="H3488" t="s">
        <v>11391</v>
      </c>
      <c r="I3488" t="s">
        <v>4130</v>
      </c>
      <c r="J3488" t="s">
        <v>22</v>
      </c>
      <c r="K3488" t="s">
        <v>30327</v>
      </c>
      <c r="L3488" t="s">
        <v>30330</v>
      </c>
      <c r="M3488" t="s">
        <v>25</v>
      </c>
      <c r="N3488" t="s">
        <v>30331</v>
      </c>
      <c r="O3488" t="s">
        <v>25</v>
      </c>
      <c r="P3488" t="s">
        <v>30332</v>
      </c>
      <c r="Q3488" t="s">
        <v>29</v>
      </c>
      <c r="R3488" t="s">
        <v>30328</v>
      </c>
      <c r="S3488" t="s">
        <v>30329</v>
      </c>
    </row>
    <row r="3489" spans="1:19" x14ac:dyDescent="0.25">
      <c r="A3489" s="1">
        <v>3487</v>
      </c>
      <c r="B3489" t="str">
        <f>HYPERLINK("https://www.dasschnelle.at/grabner-thomas-kieswerk-u-recycling-gmbh-oberwang-grossenschwandt","Website")</f>
        <v>Website</v>
      </c>
      <c r="C3489" t="str">
        <f>HYPERLINK("https://www.dasschnelle.at/grabner-thomas-kieswerk-u-recycling-gmbh-oberwang-grossenschwandt","Website")</f>
        <v>Website</v>
      </c>
      <c r="D3489" t="str">
        <f>HYPERLINK("http://www.google.com/maps/place/47.8761377,13.4138884","Location")</f>
        <v>Location</v>
      </c>
      <c r="E3489" t="s">
        <v>30333</v>
      </c>
      <c r="F3489" t="s">
        <v>30334</v>
      </c>
      <c r="G3489" t="s">
        <v>6553</v>
      </c>
      <c r="H3489" t="s">
        <v>6554</v>
      </c>
      <c r="I3489" t="s">
        <v>85</v>
      </c>
      <c r="J3489" t="s">
        <v>22</v>
      </c>
      <c r="K3489" t="s">
        <v>30335</v>
      </c>
      <c r="L3489" t="s">
        <v>30338</v>
      </c>
      <c r="M3489" t="s">
        <v>25</v>
      </c>
      <c r="N3489" t="s">
        <v>30339</v>
      </c>
      <c r="O3489" t="s">
        <v>25</v>
      </c>
      <c r="P3489" t="s">
        <v>30340</v>
      </c>
      <c r="Q3489" t="s">
        <v>29</v>
      </c>
      <c r="R3489" t="s">
        <v>30336</v>
      </c>
      <c r="S3489" t="s">
        <v>30337</v>
      </c>
    </row>
    <row r="3490" spans="1:19" x14ac:dyDescent="0.25">
      <c r="A3490" s="1">
        <v>3488</v>
      </c>
      <c r="B3490" t="str">
        <f>HYPERLINK("https://www.dasschnelle.at/heise-regioconcept-gmbh-und-co-kg-wels-franz-fritsch-straße","Website")</f>
        <v>Website</v>
      </c>
      <c r="C3490" t="str">
        <f>HYPERLINK("https://heise-regioconcept.at","Website")</f>
        <v>Website</v>
      </c>
      <c r="D3490" t="str">
        <f>HYPERLINK("http://www.google.com/maps/place/48.15523,14.01052","Location")</f>
        <v>Location</v>
      </c>
      <c r="E3490" t="s">
        <v>30341</v>
      </c>
      <c r="F3490" t="s">
        <v>30342</v>
      </c>
      <c r="G3490" t="s">
        <v>4725</v>
      </c>
      <c r="H3490" t="s">
        <v>4754</v>
      </c>
      <c r="I3490" t="s">
        <v>85</v>
      </c>
      <c r="J3490" t="s">
        <v>22</v>
      </c>
      <c r="K3490" t="s">
        <v>4861</v>
      </c>
      <c r="L3490" t="s">
        <v>30343</v>
      </c>
      <c r="M3490" t="s">
        <v>30344</v>
      </c>
      <c r="N3490" t="s">
        <v>30345</v>
      </c>
      <c r="O3490" t="s">
        <v>30346</v>
      </c>
      <c r="P3490" t="s">
        <v>30347</v>
      </c>
      <c r="Q3490" t="s">
        <v>29</v>
      </c>
      <c r="R3490" t="s">
        <v>4862</v>
      </c>
      <c r="S3490" t="s">
        <v>4863</v>
      </c>
    </row>
    <row r="3491" spans="1:19" x14ac:dyDescent="0.25">
      <c r="A3491" s="1">
        <v>3489</v>
      </c>
      <c r="B3491" t="str">
        <f>HYPERLINK("https://www.dasschnelle.at/van-mierlo-romana-mag-hainfeld-ramsauer-straße","Website")</f>
        <v>Website</v>
      </c>
      <c r="C3491" t="str">
        <f>HYPERLINK("http://www.psychologenteam.at","Website")</f>
        <v>Website</v>
      </c>
      <c r="D3491" t="str">
        <f>HYPERLINK("http://www.google.com/maps/place/48.03209,15.77454","Location")</f>
        <v>Location</v>
      </c>
      <c r="E3491" t="s">
        <v>30348</v>
      </c>
      <c r="F3491" t="s">
        <v>30349</v>
      </c>
      <c r="G3491" t="s">
        <v>13419</v>
      </c>
      <c r="H3491" t="s">
        <v>13420</v>
      </c>
      <c r="I3491" t="s">
        <v>177</v>
      </c>
      <c r="J3491" t="s">
        <v>22</v>
      </c>
      <c r="K3491" t="s">
        <v>30350</v>
      </c>
      <c r="L3491" t="s">
        <v>30353</v>
      </c>
      <c r="M3491" t="s">
        <v>25</v>
      </c>
      <c r="N3491" t="s">
        <v>30354</v>
      </c>
      <c r="O3491" t="s">
        <v>30355</v>
      </c>
      <c r="P3491" t="s">
        <v>30356</v>
      </c>
      <c r="Q3491" t="s">
        <v>29</v>
      </c>
      <c r="R3491" t="s">
        <v>30351</v>
      </c>
      <c r="S3491" t="s">
        <v>30352</v>
      </c>
    </row>
    <row r="3492" spans="1:19" x14ac:dyDescent="0.25">
      <c r="A3492" s="1">
        <v>3490</v>
      </c>
      <c r="B3492" t="str">
        <f>HYPERLINK("https://www.dasschnelle.at/trummer-michaela-dr-deutschfeistritz-feldgasse","Website")</f>
        <v>Website</v>
      </c>
      <c r="C3492" t="str">
        <f>HYPERLINK("http://www.gesundehaut.at","Website")</f>
        <v>Website</v>
      </c>
      <c r="D3492" t="str">
        <f>HYPERLINK("http://www.google.com/maps/place/47.1991400,15.3377100","Location")</f>
        <v>Location</v>
      </c>
      <c r="E3492" t="s">
        <v>30357</v>
      </c>
      <c r="F3492" t="s">
        <v>30358</v>
      </c>
      <c r="G3492" t="s">
        <v>24423</v>
      </c>
      <c r="H3492" t="s">
        <v>24424</v>
      </c>
      <c r="I3492" t="s">
        <v>451</v>
      </c>
      <c r="J3492" t="s">
        <v>22</v>
      </c>
      <c r="K3492" t="s">
        <v>30359</v>
      </c>
      <c r="L3492" t="s">
        <v>30362</v>
      </c>
      <c r="M3492" t="s">
        <v>25</v>
      </c>
      <c r="N3492" t="s">
        <v>25</v>
      </c>
      <c r="O3492" t="s">
        <v>25</v>
      </c>
      <c r="P3492" t="s">
        <v>30363</v>
      </c>
      <c r="Q3492" t="s">
        <v>29</v>
      </c>
      <c r="R3492" t="s">
        <v>30360</v>
      </c>
      <c r="S3492" t="s">
        <v>30361</v>
      </c>
    </row>
    <row r="3493" spans="1:19" x14ac:dyDescent="0.25">
      <c r="A3493" s="1">
        <v>3491</v>
      </c>
      <c r="B3493" t="str">
        <f>HYPERLINK("https://www.dasschnelle.at/zwittnig-elisabeth-dr-med-straßengel-plankenwartherstraße","Website")</f>
        <v>Website</v>
      </c>
      <c r="C3493" t="str">
        <f>HYPERLINK("https://www.dasschnelle.at/zwittnig-elisabeth-dr-med-stra%C3%9Fengel-plankenwartherstra%C3%9Fe","Website")</f>
        <v>Website</v>
      </c>
      <c r="D3493" t="str">
        <f>HYPERLINK("http://www.google.com/maps/place/47.11206,15.33436","Location")</f>
        <v>Location</v>
      </c>
      <c r="E3493" t="s">
        <v>30364</v>
      </c>
      <c r="F3493" t="s">
        <v>30365</v>
      </c>
      <c r="G3493" t="s">
        <v>7854</v>
      </c>
      <c r="H3493" t="s">
        <v>24510</v>
      </c>
      <c r="I3493" t="s">
        <v>451</v>
      </c>
      <c r="J3493" t="s">
        <v>22</v>
      </c>
      <c r="K3493" t="s">
        <v>30366</v>
      </c>
      <c r="L3493" t="s">
        <v>30369</v>
      </c>
      <c r="M3493" t="s">
        <v>25</v>
      </c>
      <c r="N3493" t="s">
        <v>25</v>
      </c>
      <c r="O3493" t="s">
        <v>25</v>
      </c>
      <c r="P3493" t="s">
        <v>30370</v>
      </c>
      <c r="Q3493" t="s">
        <v>29</v>
      </c>
      <c r="R3493" t="s">
        <v>30367</v>
      </c>
      <c r="S3493" t="s">
        <v>30368</v>
      </c>
    </row>
    <row r="3494" spans="1:19" x14ac:dyDescent="0.25">
      <c r="A3494" s="1">
        <v>3492</v>
      </c>
      <c r="B3494" t="str">
        <f>HYPERLINK("https://www.dasschnelle.at/shiatsu-praxis-gratwein-stallhofstraße","Website")</f>
        <v>Website</v>
      </c>
      <c r="C3494" t="str">
        <f>HYPERLINK("http://www.shiatsu-christoefl.at","Website")</f>
        <v>Website</v>
      </c>
      <c r="D3494" t="str">
        <f>HYPERLINK("http://www.google.com/maps/place/47.12469,15.31848","Location")</f>
        <v>Location</v>
      </c>
      <c r="E3494" t="s">
        <v>30371</v>
      </c>
      <c r="F3494" t="s">
        <v>30372</v>
      </c>
      <c r="G3494" t="s">
        <v>7864</v>
      </c>
      <c r="H3494" t="s">
        <v>7865</v>
      </c>
      <c r="I3494" t="s">
        <v>451</v>
      </c>
      <c r="J3494" t="s">
        <v>22</v>
      </c>
      <c r="K3494" t="s">
        <v>30373</v>
      </c>
      <c r="L3494" t="s">
        <v>30376</v>
      </c>
      <c r="M3494" t="s">
        <v>25</v>
      </c>
      <c r="N3494" t="s">
        <v>30377</v>
      </c>
      <c r="O3494" t="s">
        <v>25</v>
      </c>
      <c r="P3494" t="s">
        <v>30378</v>
      </c>
      <c r="Q3494" t="s">
        <v>29</v>
      </c>
      <c r="R3494" t="s">
        <v>30374</v>
      </c>
      <c r="S3494" t="s">
        <v>30375</v>
      </c>
    </row>
    <row r="3495" spans="1:19" x14ac:dyDescent="0.25">
      <c r="A3495" s="1">
        <v>3493</v>
      </c>
      <c r="B3495" t="str">
        <f>HYPERLINK("https://www.dasschnelle.at/dr-david-dekovits-hollabrunn-birkenweg","Website")</f>
        <v>Website</v>
      </c>
      <c r="C3495" t="str">
        <f>HYPERLINK("http://www.dekovics.at","Website")</f>
        <v>Website</v>
      </c>
      <c r="D3495" t="str">
        <f>HYPERLINK("http://www.google.com/maps/place/48.55613,16.08839","Location")</f>
        <v>Location</v>
      </c>
      <c r="E3495" t="s">
        <v>30379</v>
      </c>
      <c r="F3495" t="s">
        <v>30380</v>
      </c>
      <c r="G3495" t="s">
        <v>8370</v>
      </c>
      <c r="H3495" t="s">
        <v>8371</v>
      </c>
      <c r="I3495" t="s">
        <v>177</v>
      </c>
      <c r="J3495" t="s">
        <v>22</v>
      </c>
      <c r="K3495" t="s">
        <v>30381</v>
      </c>
      <c r="L3495" t="s">
        <v>30384</v>
      </c>
      <c r="M3495" t="s">
        <v>25</v>
      </c>
      <c r="N3495" t="s">
        <v>30385</v>
      </c>
      <c r="O3495" t="s">
        <v>25</v>
      </c>
      <c r="P3495" t="s">
        <v>30386</v>
      </c>
      <c r="Q3495" t="s">
        <v>29</v>
      </c>
      <c r="R3495" t="s">
        <v>30382</v>
      </c>
      <c r="S3495" t="s">
        <v>30383</v>
      </c>
    </row>
    <row r="3496" spans="1:19" x14ac:dyDescent="0.25">
      <c r="A3496" s="1">
        <v>3494</v>
      </c>
      <c r="B3496" t="str">
        <f>HYPERLINK("https://www.dasschnelle.at/dr-beate-micek-dekovics-hollabrunn-birkenweg","Website")</f>
        <v>Website</v>
      </c>
      <c r="C3496" t="str">
        <f>HYPERLINK("http://www.micek-dekovics.at","Website")</f>
        <v>Website</v>
      </c>
      <c r="D3496" t="str">
        <f>HYPERLINK("http://www.google.com/maps/place/48.55613,16.08839","Location")</f>
        <v>Location</v>
      </c>
      <c r="E3496" t="s">
        <v>30387</v>
      </c>
      <c r="F3496" t="s">
        <v>30388</v>
      </c>
      <c r="G3496" t="s">
        <v>8370</v>
      </c>
      <c r="H3496" t="s">
        <v>8371</v>
      </c>
      <c r="I3496" t="s">
        <v>177</v>
      </c>
      <c r="J3496" t="s">
        <v>22</v>
      </c>
      <c r="K3496" t="s">
        <v>30381</v>
      </c>
      <c r="L3496" t="s">
        <v>30389</v>
      </c>
      <c r="M3496" t="s">
        <v>25</v>
      </c>
      <c r="N3496" t="s">
        <v>30385</v>
      </c>
      <c r="O3496" t="s">
        <v>25</v>
      </c>
      <c r="P3496" t="s">
        <v>30390</v>
      </c>
      <c r="Q3496" t="s">
        <v>29</v>
      </c>
      <c r="R3496" t="s">
        <v>30382</v>
      </c>
      <c r="S3496" t="s">
        <v>30383</v>
      </c>
    </row>
    <row r="3497" spans="1:19" x14ac:dyDescent="0.25">
      <c r="A3497" s="1">
        <v>3495</v>
      </c>
      <c r="B3497" t="str">
        <f>HYPERLINK("https://www.dasschnelle.at/gasthof-greif-landeck-marktplatz","Website")</f>
        <v>Website</v>
      </c>
      <c r="C3497" t="str">
        <f>HYPERLINK("http://www.gasthof-greif.at","Website")</f>
        <v>Website</v>
      </c>
      <c r="D3497" t="str">
        <f>HYPERLINK("http://www.google.com/maps/place/47.1389,10.567","Location")</f>
        <v>Location</v>
      </c>
      <c r="E3497" t="s">
        <v>30391</v>
      </c>
      <c r="F3497" t="s">
        <v>30392</v>
      </c>
      <c r="G3497" t="s">
        <v>1279</v>
      </c>
      <c r="H3497" t="s">
        <v>1280</v>
      </c>
      <c r="I3497" t="s">
        <v>21</v>
      </c>
      <c r="J3497" t="s">
        <v>22</v>
      </c>
      <c r="K3497" t="s">
        <v>23322</v>
      </c>
      <c r="L3497" t="s">
        <v>30395</v>
      </c>
      <c r="M3497" t="s">
        <v>25</v>
      </c>
      <c r="N3497" t="s">
        <v>30396</v>
      </c>
      <c r="O3497" t="s">
        <v>25</v>
      </c>
      <c r="P3497" t="s">
        <v>30397</v>
      </c>
      <c r="Q3497" t="s">
        <v>29</v>
      </c>
      <c r="R3497" t="s">
        <v>30393</v>
      </c>
      <c r="S3497" t="s">
        <v>30394</v>
      </c>
    </row>
    <row r="3498" spans="1:19" x14ac:dyDescent="0.25">
      <c r="A3498" s="1">
        <v>3496</v>
      </c>
      <c r="B3498" t="str">
        <f>HYPERLINK("https://www.dasschnelle.at/seibert-schwarz-dorit-mag-nappersdorf-nappersdorf","Website")</f>
        <v>Website</v>
      </c>
      <c r="C3498" t="str">
        <f>HYPERLINK("http://www.tierarzt-seibertschwarz.at","Website")</f>
        <v>Website</v>
      </c>
      <c r="D3498" t="str">
        <f>HYPERLINK("http://www.google.com/maps/place/48.6279874,16.1876128","Location")</f>
        <v>Location</v>
      </c>
      <c r="E3498" t="s">
        <v>30398</v>
      </c>
      <c r="F3498" t="s">
        <v>30399</v>
      </c>
      <c r="G3498" t="s">
        <v>30401</v>
      </c>
      <c r="H3498" t="s">
        <v>30402</v>
      </c>
      <c r="I3498" t="s">
        <v>177</v>
      </c>
      <c r="J3498" t="s">
        <v>22</v>
      </c>
      <c r="K3498" t="s">
        <v>30400</v>
      </c>
      <c r="L3498" t="s">
        <v>30405</v>
      </c>
      <c r="M3498" t="s">
        <v>25</v>
      </c>
      <c r="N3498" t="s">
        <v>30406</v>
      </c>
      <c r="O3498" t="s">
        <v>30407</v>
      </c>
      <c r="P3498" t="s">
        <v>30408</v>
      </c>
      <c r="Q3498" t="s">
        <v>29</v>
      </c>
      <c r="R3498" t="s">
        <v>30403</v>
      </c>
      <c r="S3498" t="s">
        <v>30404</v>
      </c>
    </row>
    <row r="3499" spans="1:19" x14ac:dyDescent="0.25">
      <c r="A3499" s="1">
        <v>3497</v>
      </c>
      <c r="B3499" t="str">
        <f>HYPERLINK("https://www.dasschnelle.at/wasicek-stefan-ing-ottensheim-am-hochgatter","Website")</f>
        <v>Website</v>
      </c>
      <c r="C3499" t="str">
        <f>HYPERLINK("https://www.dasschnelle.at/wasicek-stefan-ing-ottensheim-am-hochgatter","Website")</f>
        <v>Website</v>
      </c>
      <c r="D3499" t="str">
        <f>HYPERLINK("http://www.google.com/maps/place/48.33597,14.1687","Location")</f>
        <v>Location</v>
      </c>
      <c r="E3499" t="s">
        <v>30409</v>
      </c>
      <c r="F3499" t="s">
        <v>30410</v>
      </c>
      <c r="G3499" t="s">
        <v>28603</v>
      </c>
      <c r="H3499" t="s">
        <v>28604</v>
      </c>
      <c r="I3499" t="s">
        <v>85</v>
      </c>
      <c r="J3499" t="s">
        <v>22</v>
      </c>
      <c r="K3499" t="s">
        <v>30411</v>
      </c>
      <c r="L3499" t="s">
        <v>30414</v>
      </c>
      <c r="M3499" t="s">
        <v>25</v>
      </c>
      <c r="N3499" t="s">
        <v>30415</v>
      </c>
      <c r="O3499" t="s">
        <v>25</v>
      </c>
      <c r="P3499" t="s">
        <v>30416</v>
      </c>
      <c r="Q3499" t="s">
        <v>29</v>
      </c>
      <c r="R3499" t="s">
        <v>30412</v>
      </c>
      <c r="S3499" t="s">
        <v>30413</v>
      </c>
    </row>
    <row r="3500" spans="1:19" x14ac:dyDescent="0.25">
      <c r="A3500" s="1">
        <v>3498</v>
      </c>
      <c r="B3500" t="str">
        <f>HYPERLINK("https://www.dasschnelle.at/tischlerei-und-fenstertechnik-golger-st-andrä-framrach","Website")</f>
        <v>Website</v>
      </c>
      <c r="C3500" t="str">
        <f>HYPERLINK("http://www.golger.com","Website")</f>
        <v>Website</v>
      </c>
      <c r="D3500" t="str">
        <f>HYPERLINK("http://www.google.com/maps/place/46.7458540,14.8192833","Location")</f>
        <v>Location</v>
      </c>
      <c r="E3500" t="s">
        <v>30417</v>
      </c>
      <c r="F3500" t="s">
        <v>30418</v>
      </c>
      <c r="G3500" t="s">
        <v>11381</v>
      </c>
      <c r="H3500" t="s">
        <v>11382</v>
      </c>
      <c r="I3500" t="s">
        <v>4130</v>
      </c>
      <c r="J3500" t="s">
        <v>22</v>
      </c>
      <c r="K3500" t="s">
        <v>30419</v>
      </c>
      <c r="L3500" t="s">
        <v>30422</v>
      </c>
      <c r="M3500" t="s">
        <v>25</v>
      </c>
      <c r="N3500" t="s">
        <v>30423</v>
      </c>
      <c r="O3500" t="s">
        <v>30424</v>
      </c>
      <c r="P3500" t="s">
        <v>30425</v>
      </c>
      <c r="Q3500" t="s">
        <v>29</v>
      </c>
      <c r="R3500" t="s">
        <v>30420</v>
      </c>
      <c r="S3500" t="s">
        <v>30421</v>
      </c>
    </row>
    <row r="3501" spans="1:19" x14ac:dyDescent="0.25">
      <c r="A3501" s="1">
        <v>3499</v>
      </c>
      <c r="B3501" t="str">
        <f>HYPERLINK("https://www.dasschnelle.at/maier-jürgen-michael-wolfsberg-herrengasse","Website")</f>
        <v>Website</v>
      </c>
      <c r="C3501" t="str">
        <f>HYPERLINK("http://www.123-rauchfangkehrer.at","Website")</f>
        <v>Website</v>
      </c>
      <c r="D3501" t="str">
        <f>HYPERLINK("http://www.google.com/maps/place/46.83962,14.84219","Location")</f>
        <v>Location</v>
      </c>
      <c r="E3501" t="s">
        <v>30426</v>
      </c>
      <c r="F3501" t="s">
        <v>30427</v>
      </c>
      <c r="G3501" t="s">
        <v>11363</v>
      </c>
      <c r="H3501" t="s">
        <v>11391</v>
      </c>
      <c r="I3501" t="s">
        <v>4130</v>
      </c>
      <c r="J3501" t="s">
        <v>22</v>
      </c>
      <c r="K3501" t="s">
        <v>2602</v>
      </c>
      <c r="L3501" t="s">
        <v>30430</v>
      </c>
      <c r="M3501" t="s">
        <v>25</v>
      </c>
      <c r="N3501" t="s">
        <v>30431</v>
      </c>
      <c r="O3501" t="s">
        <v>25</v>
      </c>
      <c r="P3501" t="s">
        <v>30432</v>
      </c>
      <c r="Q3501" t="s">
        <v>29</v>
      </c>
      <c r="R3501" t="s">
        <v>30428</v>
      </c>
      <c r="S3501" t="s">
        <v>30429</v>
      </c>
    </row>
    <row r="3502" spans="1:19" x14ac:dyDescent="0.25">
      <c r="A3502" s="1">
        <v>3500</v>
      </c>
      <c r="B3502" t="str">
        <f>HYPERLINK("https://www.dasschnelle.at/ebner-erich-wolfsberg-vorderwölchstraße","Website")</f>
        <v>Website</v>
      </c>
      <c r="C3502" t="str">
        <f>HYPERLINK("https://www.dasschnelle.at/ebner-erich-wolfsberg-vorderw%C3%B6lchstra%C3%9Fe","Website")</f>
        <v>Website</v>
      </c>
      <c r="D3502" t="str">
        <f>HYPERLINK("http://www.google.com/maps/place/46.8579089,14.8408202","Location")</f>
        <v>Location</v>
      </c>
      <c r="E3502" t="s">
        <v>30433</v>
      </c>
      <c r="F3502" t="s">
        <v>30434</v>
      </c>
      <c r="G3502" t="s">
        <v>11363</v>
      </c>
      <c r="H3502" t="s">
        <v>11391</v>
      </c>
      <c r="I3502" t="s">
        <v>4130</v>
      </c>
      <c r="J3502" t="s">
        <v>22</v>
      </c>
      <c r="K3502" t="s">
        <v>30435</v>
      </c>
      <c r="L3502" t="s">
        <v>30438</v>
      </c>
      <c r="M3502" t="s">
        <v>25</v>
      </c>
      <c r="N3502" t="s">
        <v>30439</v>
      </c>
      <c r="O3502" t="s">
        <v>25</v>
      </c>
      <c r="P3502" t="s">
        <v>30440</v>
      </c>
      <c r="Q3502" t="s">
        <v>29</v>
      </c>
      <c r="R3502" t="s">
        <v>30436</v>
      </c>
      <c r="S3502" t="s">
        <v>30437</v>
      </c>
    </row>
    <row r="3503" spans="1:19" x14ac:dyDescent="0.25">
      <c r="A3503" s="1">
        <v>3501</v>
      </c>
      <c r="B3503" t="str">
        <f>HYPERLINK("https://www.dasschnelle.at/pizzeria-paolo-wolfsberg-bahnhofplatz","Website")</f>
        <v>Website</v>
      </c>
      <c r="C3503" t="str">
        <f>HYPERLINK("http://www.pizzeria-paolo.at","Website")</f>
        <v>Website</v>
      </c>
      <c r="D3503" t="str">
        <f>HYPERLINK("http://www.google.com/maps/place/46.84185,14.83858","Location")</f>
        <v>Location</v>
      </c>
      <c r="E3503" t="s">
        <v>30441</v>
      </c>
      <c r="F3503" t="s">
        <v>30442</v>
      </c>
      <c r="G3503" t="s">
        <v>11363</v>
      </c>
      <c r="H3503" t="s">
        <v>11391</v>
      </c>
      <c r="I3503" t="s">
        <v>4130</v>
      </c>
      <c r="J3503" t="s">
        <v>22</v>
      </c>
      <c r="K3503" t="s">
        <v>30443</v>
      </c>
      <c r="L3503" t="s">
        <v>30446</v>
      </c>
      <c r="M3503" t="s">
        <v>25</v>
      </c>
      <c r="N3503" t="s">
        <v>30447</v>
      </c>
      <c r="O3503" t="s">
        <v>30448</v>
      </c>
      <c r="P3503" t="s">
        <v>30449</v>
      </c>
      <c r="Q3503" t="s">
        <v>29</v>
      </c>
      <c r="R3503" t="s">
        <v>30444</v>
      </c>
      <c r="S3503" t="s">
        <v>30445</v>
      </c>
    </row>
    <row r="3504" spans="1:19" x14ac:dyDescent="0.25">
      <c r="A3504" s="1">
        <v>3502</v>
      </c>
      <c r="B3504" t="str">
        <f>HYPERLINK("https://www.dasschnelle.at/waxenegger-gerald-gußwerk-feldspitz","Website")</f>
        <v>Website</v>
      </c>
      <c r="C3504" t="str">
        <f>HYPERLINK("http://www.kachelofen123.at","Website")</f>
        <v>Website</v>
      </c>
      <c r="D3504" t="str">
        <f>HYPERLINK("http://www.google.com/maps/place/47.73423,15.29362","Location")</f>
        <v>Location</v>
      </c>
      <c r="E3504" t="s">
        <v>30450</v>
      </c>
      <c r="F3504" t="s">
        <v>30451</v>
      </c>
      <c r="G3504" t="s">
        <v>12472</v>
      </c>
      <c r="H3504" t="s">
        <v>12510</v>
      </c>
      <c r="I3504" t="s">
        <v>451</v>
      </c>
      <c r="J3504" t="s">
        <v>22</v>
      </c>
      <c r="K3504" t="s">
        <v>30452</v>
      </c>
      <c r="L3504" t="s">
        <v>30455</v>
      </c>
      <c r="M3504" t="s">
        <v>25</v>
      </c>
      <c r="N3504" t="s">
        <v>30456</v>
      </c>
      <c r="O3504" t="s">
        <v>25</v>
      </c>
      <c r="P3504" t="s">
        <v>30457</v>
      </c>
      <c r="Q3504" t="s">
        <v>29</v>
      </c>
      <c r="R3504" t="s">
        <v>30453</v>
      </c>
      <c r="S3504" t="s">
        <v>30454</v>
      </c>
    </row>
    <row r="3505" spans="1:19" x14ac:dyDescent="0.25">
      <c r="A3505" s="1">
        <v>3503</v>
      </c>
      <c r="B3505" t="str">
        <f>HYPERLINK("https://www.dasschnelle.at/bestattung-a-und-j-kos-gmbh-wolfsberg-krankenhausstraße","Website")</f>
        <v>Website</v>
      </c>
      <c r="C3505" t="str">
        <f>HYPERLINK("http://www.bestattung-kos.at","Website")</f>
        <v>Website</v>
      </c>
      <c r="D3505" t="str">
        <f>HYPERLINK("http://www.google.com/maps/place/46.83163,14.84428","Location")</f>
        <v>Location</v>
      </c>
      <c r="E3505" t="s">
        <v>30458</v>
      </c>
      <c r="F3505" t="s">
        <v>30459</v>
      </c>
      <c r="G3505" t="s">
        <v>11363</v>
      </c>
      <c r="H3505" t="s">
        <v>11391</v>
      </c>
      <c r="I3505" t="s">
        <v>4130</v>
      </c>
      <c r="J3505" t="s">
        <v>22</v>
      </c>
      <c r="K3505" t="s">
        <v>30460</v>
      </c>
      <c r="L3505" t="s">
        <v>30461</v>
      </c>
      <c r="M3505" t="s">
        <v>30462</v>
      </c>
      <c r="N3505" t="s">
        <v>30463</v>
      </c>
      <c r="O3505" t="s">
        <v>30464</v>
      </c>
      <c r="P3505" t="s">
        <v>30465</v>
      </c>
      <c r="Q3505" t="s">
        <v>29</v>
      </c>
      <c r="R3505" t="s">
        <v>14113</v>
      </c>
      <c r="S3505" t="s">
        <v>14114</v>
      </c>
    </row>
    <row r="3506" spans="1:19" x14ac:dyDescent="0.25">
      <c r="A3506" s="1">
        <v>3504</v>
      </c>
      <c r="B3506" t="str">
        <f>HYPERLINK("https://www.dasschnelle.at/obrietan-stefan-installationen-gmbh-wolfsberg-schwalbenweg","Website")</f>
        <v>Website</v>
      </c>
      <c r="C3506" t="str">
        <f>HYPERLINK("http://www.installation-obrietan.at","Website")</f>
        <v>Website</v>
      </c>
      <c r="D3506" t="str">
        <f>HYPERLINK("http://www.google.com/maps/place/46.82209,14.83589","Location")</f>
        <v>Location</v>
      </c>
      <c r="E3506" t="s">
        <v>30466</v>
      </c>
      <c r="F3506" t="s">
        <v>30467</v>
      </c>
      <c r="G3506" t="s">
        <v>11363</v>
      </c>
      <c r="H3506" t="s">
        <v>11391</v>
      </c>
      <c r="I3506" t="s">
        <v>4130</v>
      </c>
      <c r="J3506" t="s">
        <v>22</v>
      </c>
      <c r="K3506" t="s">
        <v>30468</v>
      </c>
      <c r="L3506" t="s">
        <v>30471</v>
      </c>
      <c r="M3506" t="s">
        <v>25</v>
      </c>
      <c r="N3506" t="s">
        <v>30472</v>
      </c>
      <c r="O3506" t="s">
        <v>30473</v>
      </c>
      <c r="P3506" t="s">
        <v>30474</v>
      </c>
      <c r="Q3506" t="s">
        <v>29</v>
      </c>
      <c r="R3506" t="s">
        <v>30469</v>
      </c>
      <c r="S3506" t="s">
        <v>30470</v>
      </c>
    </row>
    <row r="3507" spans="1:19" x14ac:dyDescent="0.25">
      <c r="A3507" s="1">
        <v>3505</v>
      </c>
      <c r="B3507" t="str">
        <f>HYPERLINK("https://www.dasschnelle.at/schifferl-martin-wolfsberg-10-oktober-straße","Website")</f>
        <v>Website</v>
      </c>
      <c r="C3507" t="str">
        <f>HYPERLINK("http://www.natursteine-schifferl.at","Website")</f>
        <v>Website</v>
      </c>
      <c r="D3507" t="str">
        <f>HYPERLINK("http://www.google.com/maps/place/46.83144,14.84279","Location")</f>
        <v>Location</v>
      </c>
      <c r="E3507" t="s">
        <v>30475</v>
      </c>
      <c r="F3507" t="s">
        <v>30476</v>
      </c>
      <c r="G3507" t="s">
        <v>11363</v>
      </c>
      <c r="H3507" t="s">
        <v>11391</v>
      </c>
      <c r="I3507" t="s">
        <v>4130</v>
      </c>
      <c r="J3507" t="s">
        <v>22</v>
      </c>
      <c r="K3507" t="s">
        <v>30477</v>
      </c>
      <c r="L3507" t="s">
        <v>30480</v>
      </c>
      <c r="M3507" t="s">
        <v>30481</v>
      </c>
      <c r="N3507" t="s">
        <v>30482</v>
      </c>
      <c r="O3507" t="s">
        <v>30483</v>
      </c>
      <c r="P3507" t="s">
        <v>30484</v>
      </c>
      <c r="Q3507" t="s">
        <v>29</v>
      </c>
      <c r="R3507" t="s">
        <v>30478</v>
      </c>
      <c r="S3507" t="s">
        <v>30479</v>
      </c>
    </row>
    <row r="3508" spans="1:19" x14ac:dyDescent="0.25">
      <c r="A3508" s="1">
        <v>3506</v>
      </c>
      <c r="B3508" t="str">
        <f>HYPERLINK("https://www.dasschnelle.at/pichler-agnes-wolfsberg-hügelweg","Website")</f>
        <v>Website</v>
      </c>
      <c r="C3508" t="str">
        <f>HYPERLINK("http://www.gaertnerei-pichler.at","Website")</f>
        <v>Website</v>
      </c>
      <c r="D3508" t="str">
        <f>HYPERLINK("http://www.google.com/maps/place/46.8293338,14.833325","Location")</f>
        <v>Location</v>
      </c>
      <c r="E3508" t="s">
        <v>30485</v>
      </c>
      <c r="F3508" t="s">
        <v>30486</v>
      </c>
      <c r="G3508" t="s">
        <v>11363</v>
      </c>
      <c r="H3508" t="s">
        <v>11391</v>
      </c>
      <c r="I3508" t="s">
        <v>4130</v>
      </c>
      <c r="J3508" t="s">
        <v>22</v>
      </c>
      <c r="K3508" t="s">
        <v>30487</v>
      </c>
      <c r="L3508" t="s">
        <v>30490</v>
      </c>
      <c r="M3508" t="s">
        <v>25</v>
      </c>
      <c r="N3508" t="s">
        <v>30491</v>
      </c>
      <c r="O3508" t="s">
        <v>25</v>
      </c>
      <c r="P3508" t="s">
        <v>30492</v>
      </c>
      <c r="Q3508" t="s">
        <v>29</v>
      </c>
      <c r="R3508" t="s">
        <v>30488</v>
      </c>
      <c r="S3508" t="s">
        <v>30489</v>
      </c>
    </row>
    <row r="3509" spans="1:19" x14ac:dyDescent="0.25">
      <c r="A3509" s="1">
        <v>3507</v>
      </c>
      <c r="B3509" t="str">
        <f>HYPERLINK("https://www.dasschnelle.at/brandner-stabauer-mondsee-schwarzindien","Website")</f>
        <v>Website</v>
      </c>
      <c r="C3509" t="str">
        <f>HYPERLINK("http://www.branner-stabauer.at","Website")</f>
        <v>Website</v>
      </c>
      <c r="D3509" t="str">
        <f>HYPERLINK("http://www.google.com/maps/place/47.8381,13.34863","Location")</f>
        <v>Location</v>
      </c>
      <c r="E3509" t="s">
        <v>30493</v>
      </c>
      <c r="F3509" t="s">
        <v>30494</v>
      </c>
      <c r="G3509" t="s">
        <v>6543</v>
      </c>
      <c r="H3509" t="s">
        <v>6544</v>
      </c>
      <c r="I3509" t="s">
        <v>85</v>
      </c>
      <c r="J3509" t="s">
        <v>22</v>
      </c>
      <c r="K3509" t="s">
        <v>30495</v>
      </c>
      <c r="L3509" t="s">
        <v>30498</v>
      </c>
      <c r="M3509" t="s">
        <v>25</v>
      </c>
      <c r="N3509" t="s">
        <v>30499</v>
      </c>
      <c r="O3509" t="s">
        <v>25</v>
      </c>
      <c r="P3509" t="s">
        <v>30500</v>
      </c>
      <c r="Q3509" t="s">
        <v>29</v>
      </c>
      <c r="R3509" t="s">
        <v>30496</v>
      </c>
      <c r="S3509" t="s">
        <v>30497</v>
      </c>
    </row>
    <row r="3510" spans="1:19" x14ac:dyDescent="0.25">
      <c r="A3510" s="1">
        <v>3508</v>
      </c>
      <c r="B3510" t="str">
        <f>HYPERLINK("https://www.dasschnelle.at/horvath-brigitte-dipl-tierarzt-michelhausen-tullnerstraße","Website")</f>
        <v>Website</v>
      </c>
      <c r="C3510" t="str">
        <f>HYPERLINK("http://www.tierarzt-horvath.at","Website")</f>
        <v>Website</v>
      </c>
      <c r="D3510" t="str">
        <f>HYPERLINK("http://www.google.com/maps/place/48.28983,15.94167","Location")</f>
        <v>Location</v>
      </c>
      <c r="E3510" t="s">
        <v>30501</v>
      </c>
      <c r="F3510" t="s">
        <v>30502</v>
      </c>
      <c r="G3510" t="s">
        <v>27525</v>
      </c>
      <c r="H3510" t="s">
        <v>29098</v>
      </c>
      <c r="I3510" t="s">
        <v>177</v>
      </c>
      <c r="J3510" t="s">
        <v>22</v>
      </c>
      <c r="K3510" t="s">
        <v>30503</v>
      </c>
      <c r="L3510" t="s">
        <v>30506</v>
      </c>
      <c r="M3510" t="s">
        <v>25</v>
      </c>
      <c r="N3510" t="s">
        <v>30507</v>
      </c>
      <c r="O3510" t="s">
        <v>25</v>
      </c>
      <c r="P3510" t="s">
        <v>30508</v>
      </c>
      <c r="Q3510" t="s">
        <v>29</v>
      </c>
      <c r="R3510" t="s">
        <v>30504</v>
      </c>
      <c r="S3510" t="s">
        <v>30505</v>
      </c>
    </row>
    <row r="3511" spans="1:19" x14ac:dyDescent="0.25">
      <c r="A3511" s="1">
        <v>3509</v>
      </c>
      <c r="B3511" t="str">
        <f>HYPERLINK("https://www.dasschnelle.at/steger-cornelia-mag-marktl-prefastraße","Website")</f>
        <v>Website</v>
      </c>
      <c r="C3511" t="str">
        <f>HYPERLINK("https://www.dasschnelle.at/steger-cornelia-mag-marktl-prefastra%C3%9Fe","Website")</f>
        <v>Website</v>
      </c>
      <c r="D3511" t="str">
        <f>HYPERLINK("http://www.google.com/maps/place/48.02354,15.60138","Location")</f>
        <v>Location</v>
      </c>
      <c r="E3511" t="s">
        <v>30509</v>
      </c>
      <c r="F3511" t="s">
        <v>30510</v>
      </c>
      <c r="G3511" t="s">
        <v>11860</v>
      </c>
      <c r="H3511" t="s">
        <v>30512</v>
      </c>
      <c r="I3511" t="s">
        <v>177</v>
      </c>
      <c r="J3511" t="s">
        <v>22</v>
      </c>
      <c r="K3511" t="s">
        <v>30511</v>
      </c>
      <c r="L3511" t="s">
        <v>30515</v>
      </c>
      <c r="M3511" t="s">
        <v>30516</v>
      </c>
      <c r="N3511" t="s">
        <v>30517</v>
      </c>
      <c r="O3511" t="s">
        <v>25</v>
      </c>
      <c r="P3511" t="s">
        <v>30518</v>
      </c>
      <c r="Q3511" t="s">
        <v>29</v>
      </c>
      <c r="R3511" t="s">
        <v>30513</v>
      </c>
      <c r="S3511" t="s">
        <v>30514</v>
      </c>
    </row>
    <row r="3512" spans="1:19" x14ac:dyDescent="0.25">
      <c r="A3512" s="1">
        <v>3510</v>
      </c>
      <c r="B3512" t="str">
        <f>HYPERLINK("https://www.dasschnelle.at/kreativ-keramik-peham-gmbh-saxen-saxen","Website")</f>
        <v>Website</v>
      </c>
      <c r="C3512" t="str">
        <f>HYPERLINK("http://www.kreativ-keramik.co.at","Website")</f>
        <v>Website</v>
      </c>
      <c r="D3512" t="str">
        <f>HYPERLINK("http://www.google.com/maps/place/48.2115868,14.7873844","Location")</f>
        <v>Location</v>
      </c>
      <c r="E3512" t="s">
        <v>30519</v>
      </c>
      <c r="F3512" t="s">
        <v>30520</v>
      </c>
      <c r="G3512" t="s">
        <v>30522</v>
      </c>
      <c r="H3512" t="s">
        <v>30523</v>
      </c>
      <c r="I3512" t="s">
        <v>85</v>
      </c>
      <c r="J3512" t="s">
        <v>22</v>
      </c>
      <c r="K3512" t="s">
        <v>30521</v>
      </c>
      <c r="L3512" t="s">
        <v>30526</v>
      </c>
      <c r="M3512" t="s">
        <v>25</v>
      </c>
      <c r="N3512" t="s">
        <v>30527</v>
      </c>
      <c r="O3512" t="s">
        <v>25</v>
      </c>
      <c r="P3512" t="s">
        <v>30528</v>
      </c>
      <c r="Q3512" t="s">
        <v>29</v>
      </c>
      <c r="R3512" t="s">
        <v>30524</v>
      </c>
      <c r="S3512" t="s">
        <v>30525</v>
      </c>
    </row>
    <row r="3513" spans="1:19" x14ac:dyDescent="0.25">
      <c r="A3513" s="1">
        <v>3511</v>
      </c>
      <c r="B3513" t="str">
        <f>HYPERLINK("https://www.dasschnelle.at/ruf-martina-dr-hollabrunn-sparkassegasse","Website")</f>
        <v>Website</v>
      </c>
      <c r="C3513" t="str">
        <f>HYPERLINK("http://www.ruf-neuro.at","Website")</f>
        <v>Website</v>
      </c>
      <c r="D3513" t="str">
        <f>HYPERLINK("http://www.google.com/maps/place/48.56586,16.07997","Location")</f>
        <v>Location</v>
      </c>
      <c r="E3513" t="s">
        <v>30529</v>
      </c>
      <c r="F3513" t="s">
        <v>30530</v>
      </c>
      <c r="G3513" t="s">
        <v>8370</v>
      </c>
      <c r="H3513" t="s">
        <v>8371</v>
      </c>
      <c r="I3513" t="s">
        <v>177</v>
      </c>
      <c r="J3513" t="s">
        <v>22</v>
      </c>
      <c r="K3513" t="s">
        <v>30531</v>
      </c>
      <c r="L3513" t="s">
        <v>30532</v>
      </c>
      <c r="M3513" t="s">
        <v>25</v>
      </c>
      <c r="N3513" t="s">
        <v>30533</v>
      </c>
      <c r="O3513" t="s">
        <v>25</v>
      </c>
      <c r="P3513" t="s">
        <v>30534</v>
      </c>
      <c r="Q3513" t="s">
        <v>29</v>
      </c>
      <c r="R3513" t="s">
        <v>8415</v>
      </c>
      <c r="S3513" t="s">
        <v>8416</v>
      </c>
    </row>
    <row r="3514" spans="1:19" x14ac:dyDescent="0.25">
      <c r="A3514" s="1">
        <v>3512</v>
      </c>
      <c r="B3514" t="str">
        <f>HYPERLINK("https://www.dasschnelle.at/greenservice-rosenfelder-wolfsberg-industriestraße","Website")</f>
        <v>Website</v>
      </c>
      <c r="C3514" t="str">
        <f>HYPERLINK("https://www.dasschnelle.at/greenservice-rosenfelder-wolfsberg-industriestra%C3%9Fe","Website")</f>
        <v>Website</v>
      </c>
      <c r="D3514" t="str">
        <f>HYPERLINK("http://www.google.com/maps/place/46.82151,14.84027","Location")</f>
        <v>Location</v>
      </c>
      <c r="E3514" t="s">
        <v>30535</v>
      </c>
      <c r="F3514" t="s">
        <v>30536</v>
      </c>
      <c r="G3514" t="s">
        <v>11363</v>
      </c>
      <c r="H3514" t="s">
        <v>11391</v>
      </c>
      <c r="I3514" t="s">
        <v>4130</v>
      </c>
      <c r="J3514" t="s">
        <v>22</v>
      </c>
      <c r="K3514" t="s">
        <v>29888</v>
      </c>
      <c r="L3514" t="s">
        <v>30537</v>
      </c>
      <c r="M3514" t="s">
        <v>25</v>
      </c>
      <c r="N3514" t="s">
        <v>30538</v>
      </c>
      <c r="O3514" t="s">
        <v>30539</v>
      </c>
      <c r="P3514" t="s">
        <v>30540</v>
      </c>
      <c r="Q3514" t="s">
        <v>29</v>
      </c>
      <c r="R3514" t="s">
        <v>29889</v>
      </c>
      <c r="S3514" t="s">
        <v>29890</v>
      </c>
    </row>
    <row r="3515" spans="1:19" x14ac:dyDescent="0.25">
      <c r="A3515" s="1">
        <v>3513</v>
      </c>
      <c r="B3515" t="str">
        <f>HYPERLINK("https://www.dasschnelle.at/fotografie-gutschi-wolfsberg-getreidemarkt","Website")</f>
        <v>Website</v>
      </c>
      <c r="C3515" t="str">
        <f>HYPERLINK("http://www.fotografie-gutschi.at","Website")</f>
        <v>Website</v>
      </c>
      <c r="D3515" t="str">
        <f>HYPERLINK("http://www.google.com/maps/place/46.8392,14.84603","Location")</f>
        <v>Location</v>
      </c>
      <c r="E3515" t="s">
        <v>30541</v>
      </c>
      <c r="F3515" t="s">
        <v>30542</v>
      </c>
      <c r="G3515" t="s">
        <v>11363</v>
      </c>
      <c r="H3515" t="s">
        <v>11391</v>
      </c>
      <c r="I3515" t="s">
        <v>4130</v>
      </c>
      <c r="J3515" t="s">
        <v>22</v>
      </c>
      <c r="K3515" t="s">
        <v>30543</v>
      </c>
      <c r="L3515" t="s">
        <v>30546</v>
      </c>
      <c r="M3515" t="s">
        <v>25</v>
      </c>
      <c r="N3515" t="s">
        <v>30547</v>
      </c>
      <c r="O3515" t="s">
        <v>25</v>
      </c>
      <c r="P3515" t="s">
        <v>30548</v>
      </c>
      <c r="Q3515" t="s">
        <v>29</v>
      </c>
      <c r="R3515" t="s">
        <v>30544</v>
      </c>
      <c r="S3515" t="s">
        <v>30545</v>
      </c>
    </row>
    <row r="3516" spans="1:19" x14ac:dyDescent="0.25">
      <c r="A3516" s="1">
        <v>3514</v>
      </c>
      <c r="B3516" t="str">
        <f>HYPERLINK("https://www.dasschnelle.at/die-immobilien-gmbh-klosterneuburg-wiener-straße","Website")</f>
        <v>Website</v>
      </c>
      <c r="C3516" t="str">
        <f>HYPERLINK("http://mcimmobilien.at","Website")</f>
        <v>Website</v>
      </c>
      <c r="D3516" t="str">
        <f>HYPERLINK("http://www.google.com/maps/place/48.29491,16.3357","Location")</f>
        <v>Location</v>
      </c>
      <c r="E3516" t="s">
        <v>30549</v>
      </c>
      <c r="F3516" t="s">
        <v>30550</v>
      </c>
      <c r="G3516" t="s">
        <v>10308</v>
      </c>
      <c r="H3516" t="s">
        <v>10317</v>
      </c>
      <c r="I3516" t="s">
        <v>177</v>
      </c>
      <c r="J3516" t="s">
        <v>22</v>
      </c>
      <c r="K3516" t="s">
        <v>30551</v>
      </c>
      <c r="L3516" t="s">
        <v>30554</v>
      </c>
      <c r="M3516" t="s">
        <v>25</v>
      </c>
      <c r="N3516" t="s">
        <v>30555</v>
      </c>
      <c r="O3516" t="s">
        <v>30556</v>
      </c>
      <c r="P3516" t="s">
        <v>30557</v>
      </c>
      <c r="Q3516" t="s">
        <v>29</v>
      </c>
      <c r="R3516" t="s">
        <v>30552</v>
      </c>
      <c r="S3516" t="s">
        <v>30553</v>
      </c>
    </row>
    <row r="3517" spans="1:19" x14ac:dyDescent="0.25">
      <c r="A3517" s="1">
        <v>3515</v>
      </c>
      <c r="B3517" t="str">
        <f>HYPERLINK("https://www.dasschnelle.at/pöttler-elisabeth-dr-altenmarkt-im-pongau-oberndorfer-straße","Website")</f>
        <v>Website</v>
      </c>
      <c r="C3517" t="str">
        <f>HYPERLINK("http://www.meine-zahnaerztin.info","Website")</f>
        <v>Website</v>
      </c>
      <c r="D3517" t="str">
        <f>HYPERLINK("http://www.google.com/maps/place/47.3864,13.41409","Location")</f>
        <v>Location</v>
      </c>
      <c r="E3517" t="s">
        <v>30558</v>
      </c>
      <c r="F3517" t="s">
        <v>30559</v>
      </c>
      <c r="G3517" t="s">
        <v>5876</v>
      </c>
      <c r="H3517" t="s">
        <v>5877</v>
      </c>
      <c r="I3517" t="s">
        <v>2239</v>
      </c>
      <c r="J3517" t="s">
        <v>22</v>
      </c>
      <c r="K3517" t="s">
        <v>30560</v>
      </c>
      <c r="L3517" t="s">
        <v>30563</v>
      </c>
      <c r="M3517" t="s">
        <v>25</v>
      </c>
      <c r="N3517" t="s">
        <v>30564</v>
      </c>
      <c r="O3517" t="s">
        <v>25</v>
      </c>
      <c r="P3517" t="s">
        <v>30565</v>
      </c>
      <c r="Q3517" t="s">
        <v>29</v>
      </c>
      <c r="R3517" t="s">
        <v>30561</v>
      </c>
      <c r="S3517" t="s">
        <v>30562</v>
      </c>
    </row>
    <row r="3518" spans="1:19" x14ac:dyDescent="0.25">
      <c r="A3518" s="1">
        <v>3516</v>
      </c>
      <c r="B3518" t="str">
        <f>HYPERLINK("https://www.dasschnelle.at/auto-stranig-gesmbh-stranig-ford-vertragswerkst-feldkirchen-in-kärnten-industriestraße","Website")</f>
        <v>Website</v>
      </c>
      <c r="C3518" t="str">
        <f>HYPERLINK("http://www.ford.at","Website")</f>
        <v>Website</v>
      </c>
      <c r="D3518" t="str">
        <f>HYPERLINK("http://www.google.com/maps/place/46.7194729,14.1003192","Location")</f>
        <v>Location</v>
      </c>
      <c r="E3518" t="s">
        <v>30566</v>
      </c>
      <c r="F3518" t="s">
        <v>30567</v>
      </c>
      <c r="G3518" t="s">
        <v>8498</v>
      </c>
      <c r="H3518" t="s">
        <v>8499</v>
      </c>
      <c r="I3518" t="s">
        <v>4130</v>
      </c>
      <c r="J3518" t="s">
        <v>22</v>
      </c>
      <c r="K3518" t="s">
        <v>30568</v>
      </c>
      <c r="L3518" t="s">
        <v>30571</v>
      </c>
      <c r="M3518" t="s">
        <v>30572</v>
      </c>
      <c r="N3518" t="s">
        <v>30573</v>
      </c>
      <c r="O3518" t="s">
        <v>30574</v>
      </c>
      <c r="P3518" t="s">
        <v>30575</v>
      </c>
      <c r="Q3518" t="s">
        <v>29</v>
      </c>
      <c r="R3518" t="s">
        <v>30569</v>
      </c>
      <c r="S3518" t="s">
        <v>30570</v>
      </c>
    </row>
    <row r="3519" spans="1:19" x14ac:dyDescent="0.25">
      <c r="A3519" s="1">
        <v>3517</v>
      </c>
      <c r="B3519" t="str">
        <f>HYPERLINK("https://www.dasschnelle.at/rauter-heinz-feldkirchen-kindergartenstraße","Website")</f>
        <v>Website</v>
      </c>
      <c r="C3519" t="str">
        <f>HYPERLINK("http://www.jagd-rauter.at","Website")</f>
        <v>Website</v>
      </c>
      <c r="D3519" t="str">
        <f>HYPERLINK("http://www.google.com/maps/place/46.7242735,14.0890604","Location")</f>
        <v>Location</v>
      </c>
      <c r="E3519" t="s">
        <v>30576</v>
      </c>
      <c r="F3519" t="s">
        <v>30577</v>
      </c>
      <c r="G3519" t="s">
        <v>8498</v>
      </c>
      <c r="H3519" t="s">
        <v>8530</v>
      </c>
      <c r="I3519" t="s">
        <v>4130</v>
      </c>
      <c r="J3519" t="s">
        <v>22</v>
      </c>
      <c r="K3519" t="s">
        <v>30578</v>
      </c>
      <c r="L3519" t="s">
        <v>30581</v>
      </c>
      <c r="M3519" t="s">
        <v>25</v>
      </c>
      <c r="N3519" t="s">
        <v>30582</v>
      </c>
      <c r="O3519" t="s">
        <v>25</v>
      </c>
      <c r="P3519" t="s">
        <v>30583</v>
      </c>
      <c r="Q3519" t="s">
        <v>29</v>
      </c>
      <c r="R3519" t="s">
        <v>30579</v>
      </c>
      <c r="S3519" t="s">
        <v>30580</v>
      </c>
    </row>
    <row r="3520" spans="1:19" x14ac:dyDescent="0.25">
      <c r="A3520" s="1">
        <v>3518</v>
      </c>
      <c r="B3520" t="str">
        <f>HYPERLINK("https://www.dasschnelle.at/juen-stefan-kappl-holdernacher-au","Website")</f>
        <v>Website</v>
      </c>
      <c r="C3520" t="str">
        <f>HYPERLINK("https://www.dasschnelle.at/juen-stefan-kappl-holdernacher-au","Website")</f>
        <v>Website</v>
      </c>
      <c r="D3520" t="str">
        <f>HYPERLINK("http://www.google.com/maps/place/47.07147,10.41585","Location")</f>
        <v>Location</v>
      </c>
      <c r="E3520" t="s">
        <v>30584</v>
      </c>
      <c r="F3520" t="s">
        <v>30585</v>
      </c>
      <c r="G3520" t="s">
        <v>26537</v>
      </c>
      <c r="H3520" t="s">
        <v>26538</v>
      </c>
      <c r="I3520" t="s">
        <v>21</v>
      </c>
      <c r="J3520" t="s">
        <v>22</v>
      </c>
      <c r="K3520" t="s">
        <v>30586</v>
      </c>
      <c r="L3520" t="s">
        <v>30589</v>
      </c>
      <c r="M3520" t="s">
        <v>25</v>
      </c>
      <c r="N3520" t="s">
        <v>30590</v>
      </c>
      <c r="O3520" t="s">
        <v>25</v>
      </c>
      <c r="P3520" t="s">
        <v>697</v>
      </c>
      <c r="Q3520" t="s">
        <v>29</v>
      </c>
      <c r="R3520" t="s">
        <v>30587</v>
      </c>
      <c r="S3520" t="s">
        <v>30588</v>
      </c>
    </row>
    <row r="3521" spans="1:19" x14ac:dyDescent="0.25">
      <c r="A3521" s="1">
        <v>3519</v>
      </c>
      <c r="B3521" t="str">
        <f>HYPERLINK("https://www.dasschnelle.at/reisinger-georg-esternberg-hauptstraße","Website")</f>
        <v>Website</v>
      </c>
      <c r="C3521" t="str">
        <f>HYPERLINK("http://www.tischlerei-reisinger-keg.at","Website")</f>
        <v>Website</v>
      </c>
      <c r="D3521" t="str">
        <f>HYPERLINK("http://www.google.com/maps/place/48.54282,13.59191","Location")</f>
        <v>Location</v>
      </c>
      <c r="E3521" t="s">
        <v>30591</v>
      </c>
      <c r="F3521" t="s">
        <v>30592</v>
      </c>
      <c r="G3521" t="s">
        <v>8830</v>
      </c>
      <c r="H3521" t="s">
        <v>8831</v>
      </c>
      <c r="I3521" t="s">
        <v>85</v>
      </c>
      <c r="J3521" t="s">
        <v>22</v>
      </c>
      <c r="K3521" t="s">
        <v>30593</v>
      </c>
      <c r="L3521" t="s">
        <v>30596</v>
      </c>
      <c r="M3521" t="s">
        <v>25</v>
      </c>
      <c r="N3521" t="s">
        <v>30597</v>
      </c>
      <c r="O3521" t="s">
        <v>25</v>
      </c>
      <c r="P3521" t="s">
        <v>30598</v>
      </c>
      <c r="Q3521" t="s">
        <v>29</v>
      </c>
      <c r="R3521" t="s">
        <v>30594</v>
      </c>
      <c r="S3521" t="s">
        <v>30595</v>
      </c>
    </row>
    <row r="3522" spans="1:19" x14ac:dyDescent="0.25">
      <c r="A3522" s="1">
        <v>3520</v>
      </c>
      <c r="B3522" t="str">
        <f>HYPERLINK("https://www.dasschnelle.at/dr-petra-krames-wels-oberfeldstraße","Website")</f>
        <v>Website</v>
      </c>
      <c r="C3522" t="str">
        <f>HYPERLINK("http://www.dr-krames.at","Website")</f>
        <v>Website</v>
      </c>
      <c r="D3522" t="str">
        <f>HYPERLINK("http://www.google.com/maps/place/48.17505,14.00366","Location")</f>
        <v>Location</v>
      </c>
      <c r="E3522" t="s">
        <v>30599</v>
      </c>
      <c r="F3522" t="s">
        <v>30600</v>
      </c>
      <c r="G3522" t="s">
        <v>4725</v>
      </c>
      <c r="H3522" t="s">
        <v>4754</v>
      </c>
      <c r="I3522" t="s">
        <v>85</v>
      </c>
      <c r="J3522" t="s">
        <v>22</v>
      </c>
      <c r="K3522" t="s">
        <v>30601</v>
      </c>
      <c r="L3522" t="s">
        <v>30604</v>
      </c>
      <c r="M3522" t="s">
        <v>25</v>
      </c>
      <c r="N3522" t="s">
        <v>25</v>
      </c>
      <c r="O3522" t="s">
        <v>25</v>
      </c>
      <c r="P3522" t="s">
        <v>30605</v>
      </c>
      <c r="Q3522" t="s">
        <v>29</v>
      </c>
      <c r="R3522" t="s">
        <v>30602</v>
      </c>
      <c r="S3522" t="s">
        <v>30603</v>
      </c>
    </row>
    <row r="3523" spans="1:19" x14ac:dyDescent="0.25">
      <c r="A3523" s="1">
        <v>3521</v>
      </c>
      <c r="B3523" t="str">
        <f>HYPERLINK("https://www.dasschnelle.at/ingrid-binder-horn-barbaraweg","Website")</f>
        <v>Website</v>
      </c>
      <c r="C3523" t="str">
        <f>HYPERLINK("https://www.dasschnelle.at/ingrid-binder-horn-barbaraweg","Website")</f>
        <v>Website</v>
      </c>
      <c r="D3523" t="str">
        <f>HYPERLINK("http://www.google.com/maps/place/48.69082,15.65224","Location")</f>
        <v>Location</v>
      </c>
      <c r="E3523" t="s">
        <v>30606</v>
      </c>
      <c r="F3523" t="s">
        <v>30607</v>
      </c>
      <c r="G3523" t="s">
        <v>12616</v>
      </c>
      <c r="H3523" t="s">
        <v>12625</v>
      </c>
      <c r="I3523" t="s">
        <v>177</v>
      </c>
      <c r="J3523" t="s">
        <v>22</v>
      </c>
      <c r="K3523" t="s">
        <v>30608</v>
      </c>
      <c r="L3523" t="s">
        <v>30611</v>
      </c>
      <c r="M3523" t="s">
        <v>25</v>
      </c>
      <c r="N3523" t="s">
        <v>25</v>
      </c>
      <c r="O3523" t="s">
        <v>25</v>
      </c>
      <c r="P3523" t="s">
        <v>30612</v>
      </c>
      <c r="Q3523" t="s">
        <v>29</v>
      </c>
      <c r="R3523" t="s">
        <v>30609</v>
      </c>
      <c r="S3523" t="s">
        <v>30610</v>
      </c>
    </row>
    <row r="3524" spans="1:19" x14ac:dyDescent="0.25">
      <c r="A3524" s="1">
        <v>3522</v>
      </c>
      <c r="B3524" t="str">
        <f>HYPERLINK("https://www.dasschnelle.at/s-ms-rechtsanwalt-og-wien-döblinger-hauptstraße","Website")</f>
        <v>Website</v>
      </c>
      <c r="C3524" t="str">
        <f>HYPERLINK("http://www.singer.or.at","Website")</f>
        <v>Website</v>
      </c>
      <c r="D3524" t="str">
        <f>HYPERLINK("http://www.google.com/maps/place/48.6009843,15.6598334","Location")</f>
        <v>Location</v>
      </c>
      <c r="E3524" t="s">
        <v>30613</v>
      </c>
      <c r="F3524" t="s">
        <v>30614</v>
      </c>
      <c r="G3524" t="s">
        <v>24238</v>
      </c>
      <c r="H3524" t="s">
        <v>6488</v>
      </c>
      <c r="I3524" t="s">
        <v>177</v>
      </c>
      <c r="J3524" t="s">
        <v>22</v>
      </c>
      <c r="K3524" t="s">
        <v>30615</v>
      </c>
      <c r="L3524" t="s">
        <v>30618</v>
      </c>
      <c r="M3524" t="s">
        <v>25</v>
      </c>
      <c r="N3524" t="s">
        <v>30619</v>
      </c>
      <c r="O3524" t="s">
        <v>25</v>
      </c>
      <c r="P3524" t="s">
        <v>30620</v>
      </c>
      <c r="Q3524" t="s">
        <v>29</v>
      </c>
      <c r="R3524" t="s">
        <v>30616</v>
      </c>
      <c r="S3524" t="s">
        <v>30617</v>
      </c>
    </row>
    <row r="3525" spans="1:19" x14ac:dyDescent="0.25">
      <c r="A3525" s="1">
        <v>3523</v>
      </c>
      <c r="B3525" t="str">
        <f>HYPERLINK("https://www.dasschnelle.at/weixlbaumer-christian-linz-salzburger-straße","Website")</f>
        <v>Website</v>
      </c>
      <c r="C3525" t="str">
        <f>HYPERLINK("https://www.dasschnelle.at/weixlbaumer-christian-linz-salzburger-stra%C3%9Fe","Website")</f>
        <v>Website</v>
      </c>
      <c r="D3525" t="str">
        <f>HYPERLINK("http://www.google.com/maps/place/48.2548,14.28512","Location")</f>
        <v>Location</v>
      </c>
      <c r="E3525" t="s">
        <v>30621</v>
      </c>
      <c r="F3525" t="s">
        <v>30622</v>
      </c>
      <c r="G3525" t="s">
        <v>6495</v>
      </c>
      <c r="H3525" t="s">
        <v>6496</v>
      </c>
      <c r="I3525" t="s">
        <v>85</v>
      </c>
      <c r="J3525" t="s">
        <v>22</v>
      </c>
      <c r="K3525" t="s">
        <v>30623</v>
      </c>
      <c r="L3525" t="s">
        <v>20771</v>
      </c>
      <c r="M3525" t="s">
        <v>25</v>
      </c>
      <c r="N3525" t="s">
        <v>20772</v>
      </c>
      <c r="O3525" t="s">
        <v>30624</v>
      </c>
      <c r="P3525" t="s">
        <v>30625</v>
      </c>
      <c r="Q3525" t="s">
        <v>29</v>
      </c>
      <c r="R3525" t="s">
        <v>20769</v>
      </c>
      <c r="S3525" t="s">
        <v>20770</v>
      </c>
    </row>
    <row r="3526" spans="1:19" x14ac:dyDescent="0.25">
      <c r="A3526" s="1">
        <v>3524</v>
      </c>
      <c r="B3526" t="str">
        <f>HYPERLINK("https://www.dasschnelle.at/wiborny-rudolf-dr-horn-ing-karl-proksch-gasse","Website")</f>
        <v>Website</v>
      </c>
      <c r="C3526" t="str">
        <f>HYPERLINK("http://www.gsundinhorn.at","Website")</f>
        <v>Website</v>
      </c>
      <c r="D3526" t="str">
        <f>HYPERLINK("http://www.google.com/maps/place/48.6609271,15.6568253","Location")</f>
        <v>Location</v>
      </c>
      <c r="E3526" t="s">
        <v>30626</v>
      </c>
      <c r="F3526" t="s">
        <v>30627</v>
      </c>
      <c r="G3526" t="s">
        <v>12616</v>
      </c>
      <c r="H3526" t="s">
        <v>12625</v>
      </c>
      <c r="I3526" t="s">
        <v>177</v>
      </c>
      <c r="J3526" t="s">
        <v>22</v>
      </c>
      <c r="K3526" t="s">
        <v>30628</v>
      </c>
      <c r="L3526" t="s">
        <v>30631</v>
      </c>
      <c r="M3526" t="s">
        <v>25</v>
      </c>
      <c r="N3526" t="s">
        <v>30632</v>
      </c>
      <c r="O3526" t="s">
        <v>30633</v>
      </c>
      <c r="P3526" t="s">
        <v>30634</v>
      </c>
      <c r="Q3526" t="s">
        <v>29</v>
      </c>
      <c r="R3526" t="s">
        <v>30629</v>
      </c>
      <c r="S3526" t="s">
        <v>30630</v>
      </c>
    </row>
    <row r="3527" spans="1:19" x14ac:dyDescent="0.25">
      <c r="A3527" s="1">
        <v>3525</v>
      </c>
      <c r="B3527" t="str">
        <f>HYPERLINK("https://www.dasschnelle.at/lausch-köpf-alexandra-dr-eggenburg-grätzl","Website")</f>
        <v>Website</v>
      </c>
      <c r="C3527" t="str">
        <f>HYPERLINK("https://www.dasschnelle.at/lausch-k%C3%B6pf-alexandra-dr-eggenburg-gr%C3%A4tzl","Website")</f>
        <v>Website</v>
      </c>
      <c r="D3527" t="str">
        <f>HYPERLINK("http://www.google.com/maps/place/48.64269,15.81688","Location")</f>
        <v>Location</v>
      </c>
      <c r="E3527" t="s">
        <v>30635</v>
      </c>
      <c r="F3527" t="s">
        <v>30636</v>
      </c>
      <c r="G3527" t="s">
        <v>12596</v>
      </c>
      <c r="H3527" t="s">
        <v>12597</v>
      </c>
      <c r="I3527" t="s">
        <v>177</v>
      </c>
      <c r="J3527" t="s">
        <v>22</v>
      </c>
      <c r="K3527" t="s">
        <v>30637</v>
      </c>
      <c r="L3527" t="s">
        <v>30638</v>
      </c>
      <c r="M3527" t="s">
        <v>25</v>
      </c>
      <c r="N3527" t="s">
        <v>30639</v>
      </c>
      <c r="O3527" t="s">
        <v>25</v>
      </c>
      <c r="P3527" t="s">
        <v>30640</v>
      </c>
      <c r="Q3527" t="s">
        <v>29</v>
      </c>
      <c r="R3527" t="s">
        <v>12678</v>
      </c>
      <c r="S3527" t="s">
        <v>12679</v>
      </c>
    </row>
    <row r="3528" spans="1:19" x14ac:dyDescent="0.25">
      <c r="A3528" s="1">
        <v>3526</v>
      </c>
      <c r="B3528" t="str">
        <f>HYPERLINK("https://www.dasschnelle.at/okcu-aslihan-dr-gratkorn-grazer-straße","Website")</f>
        <v>Website</v>
      </c>
      <c r="C3528" t="str">
        <f>HYPERLINK("https://www.dasschnelle.at/okcu-aslihan-dr-gratkorn-grazer-stra%C3%9Fe","Website")</f>
        <v>Website</v>
      </c>
      <c r="D3528" t="str">
        <f>HYPERLINK("http://www.google.com/maps/place/47.12699,15.34762","Location")</f>
        <v>Location</v>
      </c>
      <c r="E3528" t="s">
        <v>30641</v>
      </c>
      <c r="F3528" t="s">
        <v>30642</v>
      </c>
      <c r="G3528" t="s">
        <v>7958</v>
      </c>
      <c r="H3528" t="s">
        <v>7959</v>
      </c>
      <c r="I3528" t="s">
        <v>451</v>
      </c>
      <c r="J3528" t="s">
        <v>22</v>
      </c>
      <c r="K3528" t="s">
        <v>30643</v>
      </c>
      <c r="L3528" t="s">
        <v>30646</v>
      </c>
      <c r="M3528" t="s">
        <v>25</v>
      </c>
      <c r="N3528" t="s">
        <v>30647</v>
      </c>
      <c r="O3528" t="s">
        <v>25</v>
      </c>
      <c r="P3528" t="s">
        <v>30648</v>
      </c>
      <c r="Q3528" t="s">
        <v>29</v>
      </c>
      <c r="R3528" t="s">
        <v>30644</v>
      </c>
      <c r="S3528" t="s">
        <v>30645</v>
      </c>
    </row>
    <row r="3529" spans="1:19" x14ac:dyDescent="0.25">
      <c r="A3529" s="1">
        <v>3527</v>
      </c>
      <c r="B3529" t="str">
        <f>HYPERLINK("https://www.dasschnelle.at/köberl-michaela-frohnleiten-roseggerhöhe","Website")</f>
        <v>Website</v>
      </c>
      <c r="C3529" t="str">
        <f>HYPERLINK("http://www.shiatsu-frohnleiten.at","Website")</f>
        <v>Website</v>
      </c>
      <c r="D3529" t="str">
        <f>HYPERLINK("http://www.google.com/maps/place/47.27166,15.32263","Location")</f>
        <v>Location</v>
      </c>
      <c r="E3529" t="s">
        <v>30649</v>
      </c>
      <c r="F3529" t="s">
        <v>30650</v>
      </c>
      <c r="G3529" t="s">
        <v>7874</v>
      </c>
      <c r="H3529" t="s">
        <v>7875</v>
      </c>
      <c r="I3529" t="s">
        <v>451</v>
      </c>
      <c r="J3529" t="s">
        <v>22</v>
      </c>
      <c r="K3529" t="s">
        <v>30651</v>
      </c>
      <c r="L3529" t="s">
        <v>30654</v>
      </c>
      <c r="M3529" t="s">
        <v>25</v>
      </c>
      <c r="N3529" t="s">
        <v>30655</v>
      </c>
      <c r="O3529" t="s">
        <v>25</v>
      </c>
      <c r="P3529" t="s">
        <v>30656</v>
      </c>
      <c r="Q3529" t="s">
        <v>29</v>
      </c>
      <c r="R3529" t="s">
        <v>30652</v>
      </c>
      <c r="S3529" t="s">
        <v>30653</v>
      </c>
    </row>
    <row r="3530" spans="1:19" x14ac:dyDescent="0.25">
      <c r="A3530" s="1">
        <v>3528</v>
      </c>
      <c r="B3530" t="str">
        <f>HYPERLINK("https://www.dasschnelle.at/kampl-adolf-freistadt-kaplanstraße","Website")</f>
        <v>Website</v>
      </c>
      <c r="C3530" t="str">
        <f>HYPERLINK("http://www.massage-kampl.at","Website")</f>
        <v>Website</v>
      </c>
      <c r="D3530" t="str">
        <f>HYPERLINK("http://www.google.com/maps/place/48.49351,14.50353","Location")</f>
        <v>Location</v>
      </c>
      <c r="E3530" t="s">
        <v>30657</v>
      </c>
      <c r="F3530" t="s">
        <v>30658</v>
      </c>
      <c r="G3530" t="s">
        <v>6891</v>
      </c>
      <c r="H3530" t="s">
        <v>6892</v>
      </c>
      <c r="I3530" t="s">
        <v>85</v>
      </c>
      <c r="J3530" t="s">
        <v>22</v>
      </c>
      <c r="K3530" t="s">
        <v>30659</v>
      </c>
      <c r="L3530" t="s">
        <v>30662</v>
      </c>
      <c r="M3530" t="s">
        <v>25</v>
      </c>
      <c r="N3530" t="s">
        <v>30663</v>
      </c>
      <c r="O3530" t="s">
        <v>30664</v>
      </c>
      <c r="P3530" t="s">
        <v>30665</v>
      </c>
      <c r="Q3530" t="s">
        <v>29</v>
      </c>
      <c r="R3530" t="s">
        <v>30660</v>
      </c>
      <c r="S3530" t="s">
        <v>30661</v>
      </c>
    </row>
    <row r="3531" spans="1:19" x14ac:dyDescent="0.25">
      <c r="A3531" s="1">
        <v>3529</v>
      </c>
      <c r="B3531" t="str">
        <f>HYPERLINK("https://www.dasschnelle.at/evgenidis-angelika-ddr-kirchenviertel-brucker-straße","Website")</f>
        <v>Website</v>
      </c>
      <c r="C3531" t="str">
        <f>HYPERLINK("http://www.zahnateliergratkorn.at","Website")</f>
        <v>Website</v>
      </c>
      <c r="D3531" t="str">
        <f>HYPERLINK("http://www.google.com/maps/place/47.13702,15.32902","Location")</f>
        <v>Location</v>
      </c>
      <c r="E3531" t="s">
        <v>30666</v>
      </c>
      <c r="F3531" t="s">
        <v>30667</v>
      </c>
      <c r="G3531" t="s">
        <v>7958</v>
      </c>
      <c r="H3531" t="s">
        <v>30669</v>
      </c>
      <c r="I3531" t="s">
        <v>451</v>
      </c>
      <c r="J3531" t="s">
        <v>22</v>
      </c>
      <c r="K3531" t="s">
        <v>30668</v>
      </c>
      <c r="L3531" t="s">
        <v>30670</v>
      </c>
      <c r="M3531" t="s">
        <v>25</v>
      </c>
      <c r="N3531" t="s">
        <v>30671</v>
      </c>
      <c r="O3531" t="s">
        <v>25</v>
      </c>
      <c r="P3531" t="s">
        <v>30672</v>
      </c>
      <c r="Q3531" t="s">
        <v>29</v>
      </c>
      <c r="R3531" t="s">
        <v>24459</v>
      </c>
      <c r="S3531" t="s">
        <v>24460</v>
      </c>
    </row>
    <row r="3532" spans="1:19" x14ac:dyDescent="0.25">
      <c r="A3532" s="1">
        <v>3530</v>
      </c>
      <c r="B3532" t="str">
        <f>HYPERLINK("https://www.dasschnelle.at/sickinger-christoph-dipl-horn-lagerhausstraße","Website")</f>
        <v>Website</v>
      </c>
      <c r="C3532" t="str">
        <f>HYPERLINK("http://www.sickinger.com","Website")</f>
        <v>Website</v>
      </c>
      <c r="D3532" t="str">
        <f>HYPERLINK("http://www.google.com/maps/place/48.66669,15.66782","Location")</f>
        <v>Location</v>
      </c>
      <c r="E3532" t="s">
        <v>30673</v>
      </c>
      <c r="F3532" t="s">
        <v>30674</v>
      </c>
      <c r="G3532" t="s">
        <v>12616</v>
      </c>
      <c r="H3532" t="s">
        <v>12625</v>
      </c>
      <c r="I3532" t="s">
        <v>177</v>
      </c>
      <c r="J3532" t="s">
        <v>22</v>
      </c>
      <c r="K3532" t="s">
        <v>30675</v>
      </c>
      <c r="L3532" t="s">
        <v>30678</v>
      </c>
      <c r="M3532" t="s">
        <v>25</v>
      </c>
      <c r="N3532" t="s">
        <v>25</v>
      </c>
      <c r="O3532" t="s">
        <v>25</v>
      </c>
      <c r="P3532" t="s">
        <v>30679</v>
      </c>
      <c r="Q3532" t="s">
        <v>29</v>
      </c>
      <c r="R3532" t="s">
        <v>30676</v>
      </c>
      <c r="S3532" t="s">
        <v>30677</v>
      </c>
    </row>
    <row r="3533" spans="1:19" x14ac:dyDescent="0.25">
      <c r="A3533" s="1">
        <v>3531</v>
      </c>
      <c r="B3533" t="str">
        <f>HYPERLINK("https://www.dasschnelle.at/schönheitsladen-kathrein-sarah-landeck-urichstraße","Website")</f>
        <v>Website</v>
      </c>
      <c r="C3533" t="str">
        <f>HYPERLINK("http://www.schoenheitsladen-landeck.at","Website")</f>
        <v>Website</v>
      </c>
      <c r="D3533" t="str">
        <f>HYPERLINK("http://www.google.com/maps/place/47.14146,10.57093","Location")</f>
        <v>Location</v>
      </c>
      <c r="E3533" t="s">
        <v>30680</v>
      </c>
      <c r="F3533" t="s">
        <v>30681</v>
      </c>
      <c r="G3533" t="s">
        <v>1279</v>
      </c>
      <c r="H3533" t="s">
        <v>1280</v>
      </c>
      <c r="I3533" t="s">
        <v>21</v>
      </c>
      <c r="J3533" t="s">
        <v>22</v>
      </c>
      <c r="K3533" t="s">
        <v>30682</v>
      </c>
      <c r="L3533" t="s">
        <v>30685</v>
      </c>
      <c r="M3533" t="s">
        <v>25</v>
      </c>
      <c r="N3533" t="s">
        <v>30686</v>
      </c>
      <c r="O3533" t="s">
        <v>25</v>
      </c>
      <c r="P3533" t="s">
        <v>30687</v>
      </c>
      <c r="Q3533" t="s">
        <v>29</v>
      </c>
      <c r="R3533" t="s">
        <v>30683</v>
      </c>
      <c r="S3533" t="s">
        <v>30684</v>
      </c>
    </row>
    <row r="3534" spans="1:19" x14ac:dyDescent="0.25">
      <c r="A3534" s="1">
        <v>3532</v>
      </c>
      <c r="B3534" t="str">
        <f>HYPERLINK("https://www.dasschnelle.at/stanek-lemp-vera-horn-prager-straße","Website")</f>
        <v>Website</v>
      </c>
      <c r="C3534" t="str">
        <f>HYPERLINK("https://www.dasschnelle.at/stanek-lemp-vera-horn-prager-stra%C3%9Fe","Website")</f>
        <v>Website</v>
      </c>
      <c r="D3534" t="str">
        <f>HYPERLINK("http://www.google.com/maps/place/48.6627831,15.6557124","Location")</f>
        <v>Location</v>
      </c>
      <c r="E3534" t="s">
        <v>30688</v>
      </c>
      <c r="F3534" t="s">
        <v>30689</v>
      </c>
      <c r="G3534" t="s">
        <v>12616</v>
      </c>
      <c r="H3534" t="s">
        <v>12625</v>
      </c>
      <c r="I3534" t="s">
        <v>177</v>
      </c>
      <c r="J3534" t="s">
        <v>22</v>
      </c>
      <c r="K3534" t="s">
        <v>30690</v>
      </c>
      <c r="L3534" t="s">
        <v>30693</v>
      </c>
      <c r="M3534" t="s">
        <v>25</v>
      </c>
      <c r="N3534" t="s">
        <v>30694</v>
      </c>
      <c r="O3534" t="s">
        <v>25</v>
      </c>
      <c r="P3534" t="s">
        <v>30695</v>
      </c>
      <c r="Q3534" t="s">
        <v>29</v>
      </c>
      <c r="R3534" t="s">
        <v>30691</v>
      </c>
      <c r="S3534" t="s">
        <v>30692</v>
      </c>
    </row>
    <row r="3535" spans="1:19" x14ac:dyDescent="0.25">
      <c r="A3535" s="1">
        <v>3533</v>
      </c>
      <c r="B3535" t="str">
        <f>HYPERLINK("https://www.dasschnelle.at/perfect-car-ried-im-oberinntal-ried-im-oberinntal","Website")</f>
        <v>Website</v>
      </c>
      <c r="C3535" t="str">
        <f>HYPERLINK("https://www.dasschnelle.at/perfect-car-ried-im-oberinntal-ried-im-oberinntal","Website")</f>
        <v>Website</v>
      </c>
      <c r="D3535" t="str">
        <f>HYPERLINK("http://www.google.com/maps/place/47.0498306,10.6429777","Location")</f>
        <v>Location</v>
      </c>
      <c r="E3535" t="s">
        <v>30696</v>
      </c>
      <c r="F3535" t="s">
        <v>30697</v>
      </c>
      <c r="G3535" t="s">
        <v>27019</v>
      </c>
      <c r="H3535" t="s">
        <v>27020</v>
      </c>
      <c r="I3535" t="s">
        <v>21</v>
      </c>
      <c r="J3535" t="s">
        <v>22</v>
      </c>
      <c r="K3535" t="s">
        <v>30698</v>
      </c>
      <c r="L3535" t="s">
        <v>30701</v>
      </c>
      <c r="M3535" t="s">
        <v>25</v>
      </c>
      <c r="N3535" t="s">
        <v>30702</v>
      </c>
      <c r="O3535" t="s">
        <v>25</v>
      </c>
      <c r="P3535" t="s">
        <v>30703</v>
      </c>
      <c r="Q3535" t="s">
        <v>29</v>
      </c>
      <c r="R3535" t="s">
        <v>30699</v>
      </c>
      <c r="S3535" t="s">
        <v>30700</v>
      </c>
    </row>
    <row r="3536" spans="1:19" x14ac:dyDescent="0.25">
      <c r="A3536" s="1">
        <v>3534</v>
      </c>
      <c r="B3536" t="str">
        <f>HYPERLINK("https://www.dasschnelle.at/dr-eduard-gaisfuss-horn-prager-straße","Website")</f>
        <v>Website</v>
      </c>
      <c r="C3536" t="str">
        <f>HYPERLINK("http://www.gaisfuss.at","Website")</f>
        <v>Website</v>
      </c>
      <c r="D3536" t="str">
        <f>HYPERLINK("http://www.google.com/maps/place/48.6627388,15.6555877","Location")</f>
        <v>Location</v>
      </c>
      <c r="E3536" t="s">
        <v>30704</v>
      </c>
      <c r="F3536" t="s">
        <v>30705</v>
      </c>
      <c r="G3536" t="s">
        <v>12616</v>
      </c>
      <c r="H3536" t="s">
        <v>12625</v>
      </c>
      <c r="I3536" t="s">
        <v>177</v>
      </c>
      <c r="J3536" t="s">
        <v>22</v>
      </c>
      <c r="K3536" t="s">
        <v>30706</v>
      </c>
      <c r="L3536" t="s">
        <v>30709</v>
      </c>
      <c r="M3536" t="s">
        <v>25</v>
      </c>
      <c r="N3536" t="s">
        <v>30710</v>
      </c>
      <c r="O3536" t="s">
        <v>25</v>
      </c>
      <c r="P3536" t="s">
        <v>30711</v>
      </c>
      <c r="Q3536" t="s">
        <v>29</v>
      </c>
      <c r="R3536" t="s">
        <v>30707</v>
      </c>
      <c r="S3536" t="s">
        <v>30708</v>
      </c>
    </row>
    <row r="3537" spans="1:19" x14ac:dyDescent="0.25">
      <c r="A3537" s="1">
        <v>3535</v>
      </c>
      <c r="B3537" t="str">
        <f>HYPERLINK("https://www.dasschnelle.at/grundner-kirsten-dr-frohnleiten-hauptplatz","Website")</f>
        <v>Website</v>
      </c>
      <c r="C3537" t="str">
        <f>HYPERLINK("https://www.dasschnelle.at/grundner-kirsten-dr-frohnleiten-hauptplatz","Website")</f>
        <v>Website</v>
      </c>
      <c r="D3537" t="str">
        <f>HYPERLINK("http://www.google.com/maps/place/47.27014,15.32509","Location")</f>
        <v>Location</v>
      </c>
      <c r="E3537" t="s">
        <v>30712</v>
      </c>
      <c r="F3537" t="s">
        <v>30713</v>
      </c>
      <c r="G3537" t="s">
        <v>7874</v>
      </c>
      <c r="H3537" t="s">
        <v>7875</v>
      </c>
      <c r="I3537" t="s">
        <v>451</v>
      </c>
      <c r="J3537" t="s">
        <v>22</v>
      </c>
      <c r="K3537" t="s">
        <v>11964</v>
      </c>
      <c r="L3537" t="s">
        <v>30716</v>
      </c>
      <c r="M3537" t="s">
        <v>25</v>
      </c>
      <c r="N3537" t="s">
        <v>30717</v>
      </c>
      <c r="O3537" t="s">
        <v>25</v>
      </c>
      <c r="P3537" t="s">
        <v>30718</v>
      </c>
      <c r="Q3537" t="s">
        <v>29</v>
      </c>
      <c r="R3537" t="s">
        <v>30714</v>
      </c>
      <c r="S3537" t="s">
        <v>30715</v>
      </c>
    </row>
    <row r="3538" spans="1:19" x14ac:dyDescent="0.25">
      <c r="A3538" s="1">
        <v>3536</v>
      </c>
      <c r="B3538" t="str">
        <f>HYPERLINK("https://www.dasschnelle.at/holzmann-karl-dr-med-reichenthal-schlossstraße","Website")</f>
        <v>Website</v>
      </c>
      <c r="C3538" t="str">
        <f>HYPERLINK("https://www.dasschnelle.at/holzmann-karl-dr-med-reichenthal-schlossstra%C3%9Fe","Website")</f>
        <v>Website</v>
      </c>
      <c r="D3538" t="str">
        <f>HYPERLINK("http://www.google.com/maps/place/48.5412400,14.3853200","Location")</f>
        <v>Location</v>
      </c>
      <c r="E3538" t="s">
        <v>30719</v>
      </c>
      <c r="F3538" t="s">
        <v>30720</v>
      </c>
      <c r="G3538" t="s">
        <v>25161</v>
      </c>
      <c r="H3538" t="s">
        <v>25162</v>
      </c>
      <c r="I3538" t="s">
        <v>85</v>
      </c>
      <c r="J3538" t="s">
        <v>22</v>
      </c>
      <c r="K3538" t="s">
        <v>30721</v>
      </c>
      <c r="L3538" t="s">
        <v>30724</v>
      </c>
      <c r="M3538" t="s">
        <v>25</v>
      </c>
      <c r="N3538" t="s">
        <v>30725</v>
      </c>
      <c r="O3538" t="s">
        <v>25</v>
      </c>
      <c r="P3538" t="s">
        <v>30726</v>
      </c>
      <c r="Q3538" t="s">
        <v>29</v>
      </c>
      <c r="R3538" t="s">
        <v>30722</v>
      </c>
      <c r="S3538" t="s">
        <v>30723</v>
      </c>
    </row>
    <row r="3539" spans="1:19" x14ac:dyDescent="0.25">
      <c r="A3539" s="1">
        <v>3537</v>
      </c>
      <c r="B3539" t="str">
        <f>HYPERLINK("https://www.dasschnelle.at/ernst-günther-dr-bad-leonfelden-hauptplatz","Website")</f>
        <v>Website</v>
      </c>
      <c r="C3539" t="str">
        <f>HYPERLINK("http://www.dr-ernst.net","Website")</f>
        <v>Website</v>
      </c>
      <c r="D3539" t="str">
        <f>HYPERLINK("http://www.google.com/maps/place/48.52285,14.29394","Location")</f>
        <v>Location</v>
      </c>
      <c r="E3539" t="s">
        <v>30727</v>
      </c>
      <c r="F3539" t="s">
        <v>30728</v>
      </c>
      <c r="G3539" t="s">
        <v>4093</v>
      </c>
      <c r="H3539" t="s">
        <v>4094</v>
      </c>
      <c r="I3539" t="s">
        <v>85</v>
      </c>
      <c r="J3539" t="s">
        <v>22</v>
      </c>
      <c r="K3539" t="s">
        <v>1594</v>
      </c>
      <c r="L3539" t="s">
        <v>30729</v>
      </c>
      <c r="M3539" t="s">
        <v>30730</v>
      </c>
      <c r="N3539" t="s">
        <v>30731</v>
      </c>
      <c r="O3539" t="s">
        <v>25</v>
      </c>
      <c r="P3539" t="s">
        <v>30732</v>
      </c>
      <c r="Q3539" t="s">
        <v>29</v>
      </c>
      <c r="R3539" t="s">
        <v>4102</v>
      </c>
      <c r="S3539" t="s">
        <v>4103</v>
      </c>
    </row>
    <row r="3540" spans="1:19" x14ac:dyDescent="0.25">
      <c r="A3540" s="1">
        <v>3538</v>
      </c>
      <c r="B3540" t="str">
        <f>HYPERLINK("https://www.dasschnelle.at/markus-petter-gmbh-kappl-holdernach","Website")</f>
        <v>Website</v>
      </c>
      <c r="C3540" t="str">
        <f>HYPERLINK("https://www.dasschnelle.at/markus-petter-gmbh-kappl-holdernach","Website")</f>
        <v>Website</v>
      </c>
      <c r="D3540" t="str">
        <f>HYPERLINK("http://www.google.com/maps/place/47.0741414,10.4225435","Location")</f>
        <v>Location</v>
      </c>
      <c r="E3540" t="s">
        <v>30733</v>
      </c>
      <c r="F3540" t="s">
        <v>30734</v>
      </c>
      <c r="G3540" t="s">
        <v>26537</v>
      </c>
      <c r="H3540" t="s">
        <v>26538</v>
      </c>
      <c r="I3540" t="s">
        <v>21</v>
      </c>
      <c r="J3540" t="s">
        <v>22</v>
      </c>
      <c r="K3540" t="s">
        <v>30735</v>
      </c>
      <c r="L3540" t="s">
        <v>30738</v>
      </c>
      <c r="M3540" t="s">
        <v>25</v>
      </c>
      <c r="N3540" t="s">
        <v>30739</v>
      </c>
      <c r="O3540" t="s">
        <v>25</v>
      </c>
      <c r="P3540" t="s">
        <v>30740</v>
      </c>
      <c r="Q3540" t="s">
        <v>29</v>
      </c>
      <c r="R3540" t="s">
        <v>30736</v>
      </c>
      <c r="S3540" t="s">
        <v>30737</v>
      </c>
    </row>
    <row r="3541" spans="1:19" x14ac:dyDescent="0.25">
      <c r="A3541" s="1">
        <v>3539</v>
      </c>
      <c r="B3541" t="str">
        <f>HYPERLINK("https://www.dasschnelle.at/mags-werbetechnik-stanz-bei-landeck-stampfle","Website")</f>
        <v>Website</v>
      </c>
      <c r="C3541" t="str">
        <f>HYPERLINK("http://www.mags-beschriftigungen.at","Website")</f>
        <v>Website</v>
      </c>
      <c r="D3541" t="str">
        <f>HYPERLINK("http://www.google.com/maps/place/47.14146,10.54532","Location")</f>
        <v>Location</v>
      </c>
      <c r="E3541" t="s">
        <v>30741</v>
      </c>
      <c r="F3541" t="s">
        <v>30742</v>
      </c>
      <c r="G3541" t="s">
        <v>1279</v>
      </c>
      <c r="H3541" t="s">
        <v>30744</v>
      </c>
      <c r="I3541" t="s">
        <v>21</v>
      </c>
      <c r="J3541" t="s">
        <v>22</v>
      </c>
      <c r="K3541" t="s">
        <v>30743</v>
      </c>
      <c r="L3541" t="s">
        <v>30746</v>
      </c>
      <c r="M3541" t="s">
        <v>25</v>
      </c>
      <c r="N3541" t="s">
        <v>30747</v>
      </c>
      <c r="O3541" t="s">
        <v>25</v>
      </c>
      <c r="P3541" t="s">
        <v>30748</v>
      </c>
      <c r="Q3541" t="s">
        <v>29</v>
      </c>
      <c r="R3541" t="s">
        <v>30683</v>
      </c>
      <c r="S3541" t="s">
        <v>30745</v>
      </c>
    </row>
    <row r="3542" spans="1:19" x14ac:dyDescent="0.25">
      <c r="A3542" s="1">
        <v>3540</v>
      </c>
      <c r="B3542" t="str">
        <f>HYPERLINK("https://www.dasschnelle.at/bm-haus-gmbh-st-paul-im-lavanttal-abt-paulus-schneider-straße","Website")</f>
        <v>Website</v>
      </c>
      <c r="C3542" t="str">
        <f>HYPERLINK("http://www.bm-haus.at","Website")</f>
        <v>Website</v>
      </c>
      <c r="D3542" t="str">
        <f>HYPERLINK("http://www.google.com/maps/place/46.7084137,14.8659286","Location")</f>
        <v>Location</v>
      </c>
      <c r="E3542" t="s">
        <v>30749</v>
      </c>
      <c r="F3542" t="s">
        <v>30750</v>
      </c>
      <c r="G3542" t="s">
        <v>11352</v>
      </c>
      <c r="H3542" t="s">
        <v>11353</v>
      </c>
      <c r="I3542" t="s">
        <v>4130</v>
      </c>
      <c r="J3542" t="s">
        <v>22</v>
      </c>
      <c r="K3542" t="s">
        <v>30751</v>
      </c>
      <c r="L3542" t="s">
        <v>30754</v>
      </c>
      <c r="M3542" t="s">
        <v>25</v>
      </c>
      <c r="N3542" t="s">
        <v>30755</v>
      </c>
      <c r="O3542" t="s">
        <v>30756</v>
      </c>
      <c r="P3542" t="s">
        <v>30757</v>
      </c>
      <c r="Q3542" t="s">
        <v>29</v>
      </c>
      <c r="R3542" t="s">
        <v>30752</v>
      </c>
      <c r="S3542" t="s">
        <v>30753</v>
      </c>
    </row>
    <row r="3543" spans="1:19" x14ac:dyDescent="0.25">
      <c r="A3543" s="1">
        <v>3541</v>
      </c>
      <c r="B3543" t="str">
        <f>HYPERLINK("https://www.dasschnelle.at/jölli-benjamin-maria-rojach-aich","Website")</f>
        <v>Website</v>
      </c>
      <c r="C3543" t="str">
        <f>HYPERLINK("http://www.tischlermeister-ju00f6lli.at","Website")</f>
        <v>Website</v>
      </c>
      <c r="D3543" t="str">
        <f>HYPERLINK("http://www.google.com/maps/place/46.6998648,14.8231660","Location")</f>
        <v>Location</v>
      </c>
      <c r="E3543" t="s">
        <v>30758</v>
      </c>
      <c r="F3543" t="s">
        <v>30759</v>
      </c>
      <c r="G3543" t="s">
        <v>11341</v>
      </c>
      <c r="H3543" t="s">
        <v>11342</v>
      </c>
      <c r="I3543" t="s">
        <v>4130</v>
      </c>
      <c r="J3543" t="s">
        <v>22</v>
      </c>
      <c r="K3543" t="s">
        <v>30760</v>
      </c>
      <c r="L3543" t="s">
        <v>30763</v>
      </c>
      <c r="M3543" t="s">
        <v>25</v>
      </c>
      <c r="N3543" t="s">
        <v>30764</v>
      </c>
      <c r="O3543" t="s">
        <v>30765</v>
      </c>
      <c r="P3543" t="s">
        <v>30766</v>
      </c>
      <c r="Q3543" t="s">
        <v>29</v>
      </c>
      <c r="R3543" t="s">
        <v>30761</v>
      </c>
      <c r="S3543" t="s">
        <v>30762</v>
      </c>
    </row>
    <row r="3544" spans="1:19" x14ac:dyDescent="0.25">
      <c r="A3544" s="1">
        <v>3542</v>
      </c>
      <c r="B3544" t="str">
        <f>HYPERLINK("https://www.dasschnelle.at/internisten-bartholomä-sankt-oswald-bei-plankenwarth-sankt-bartholomä","Website")</f>
        <v>Website</v>
      </c>
      <c r="C3544" t="str">
        <f>HYPERLINK("http://www.internistenbartholomae.at","Website")</f>
        <v>Website</v>
      </c>
      <c r="D3544" t="str">
        <f>HYPERLINK("http://www.google.com/maps/place/47.0880135,15.2798736","Location")</f>
        <v>Location</v>
      </c>
      <c r="E3544" t="s">
        <v>30767</v>
      </c>
      <c r="F3544" t="s">
        <v>30768</v>
      </c>
      <c r="G3544" t="s">
        <v>7884</v>
      </c>
      <c r="H3544" t="s">
        <v>7885</v>
      </c>
      <c r="I3544" t="s">
        <v>451</v>
      </c>
      <c r="J3544" t="s">
        <v>22</v>
      </c>
      <c r="K3544" t="s">
        <v>30769</v>
      </c>
      <c r="L3544" t="s">
        <v>30772</v>
      </c>
      <c r="M3544" t="s">
        <v>25</v>
      </c>
      <c r="N3544" t="s">
        <v>30773</v>
      </c>
      <c r="O3544" t="s">
        <v>25</v>
      </c>
      <c r="P3544" t="s">
        <v>30774</v>
      </c>
      <c r="Q3544" t="s">
        <v>29</v>
      </c>
      <c r="R3544" t="s">
        <v>30770</v>
      </c>
      <c r="S3544" t="s">
        <v>30771</v>
      </c>
    </row>
    <row r="3545" spans="1:19" x14ac:dyDescent="0.25">
      <c r="A3545" s="1">
        <v>3543</v>
      </c>
      <c r="B3545" t="str">
        <f>HYPERLINK("https://www.dasschnelle.at/ludwig-mayer-englhartszell-oberranna","Website")</f>
        <v>Website</v>
      </c>
      <c r="C3545" t="str">
        <f>HYPERLINK("http://www.holzschlaegerungen-mayer.stadtausstellung.at","Website")</f>
        <v>Website</v>
      </c>
      <c r="D3545" t="str">
        <f>HYPERLINK("http://www.google.com/maps/place/48.4723880,13.7731174","Location")</f>
        <v>Location</v>
      </c>
      <c r="E3545" t="s">
        <v>30775</v>
      </c>
      <c r="F3545" t="s">
        <v>30776</v>
      </c>
      <c r="G3545" t="s">
        <v>29049</v>
      </c>
      <c r="H3545" t="s">
        <v>30778</v>
      </c>
      <c r="I3545" t="s">
        <v>85</v>
      </c>
      <c r="J3545" t="s">
        <v>22</v>
      </c>
      <c r="K3545" t="s">
        <v>30777</v>
      </c>
      <c r="L3545" t="s">
        <v>30781</v>
      </c>
      <c r="M3545" t="s">
        <v>25</v>
      </c>
      <c r="N3545" t="s">
        <v>30782</v>
      </c>
      <c r="O3545" t="s">
        <v>25</v>
      </c>
      <c r="P3545" t="s">
        <v>30783</v>
      </c>
      <c r="Q3545" t="s">
        <v>29</v>
      </c>
      <c r="R3545" t="s">
        <v>30779</v>
      </c>
      <c r="S3545" t="s">
        <v>30780</v>
      </c>
    </row>
    <row r="3546" spans="1:19" x14ac:dyDescent="0.25">
      <c r="A3546" s="1">
        <v>3544</v>
      </c>
      <c r="B3546" t="str">
        <f>HYPERLINK("https://www.dasschnelle.at/tschandl-farben-und-malerei-fürstenfeld-fehringer-straße","Website")</f>
        <v>Website</v>
      </c>
      <c r="C3546" t="str">
        <f>HYPERLINK("http://www.farben-tschandl.at","Website")</f>
        <v>Website</v>
      </c>
      <c r="D3546" t="str">
        <f>HYPERLINK("http://www.google.com/maps/place/47.03885,16.08341","Location")</f>
        <v>Location</v>
      </c>
      <c r="E3546" t="s">
        <v>30784</v>
      </c>
      <c r="F3546" t="s">
        <v>30785</v>
      </c>
      <c r="G3546" t="s">
        <v>24441</v>
      </c>
      <c r="H3546" t="s">
        <v>24442</v>
      </c>
      <c r="I3546" t="s">
        <v>451</v>
      </c>
      <c r="J3546" t="s">
        <v>22</v>
      </c>
      <c r="K3546" t="s">
        <v>30786</v>
      </c>
      <c r="L3546" t="s">
        <v>30789</v>
      </c>
      <c r="M3546" t="s">
        <v>25</v>
      </c>
      <c r="N3546" t="s">
        <v>30790</v>
      </c>
      <c r="O3546" t="s">
        <v>25</v>
      </c>
      <c r="P3546" t="s">
        <v>30791</v>
      </c>
      <c r="Q3546" t="s">
        <v>29</v>
      </c>
      <c r="R3546" t="s">
        <v>30787</v>
      </c>
      <c r="S3546" t="s">
        <v>30788</v>
      </c>
    </row>
    <row r="3547" spans="1:19" x14ac:dyDescent="0.25">
      <c r="A3547" s="1">
        <v>3545</v>
      </c>
      <c r="B3547" t="str">
        <f>HYPERLINK("https://www.dasschnelle.at/kneringer-alexander-pfunds-schönegg","Website")</f>
        <v>Website</v>
      </c>
      <c r="C3547" t="str">
        <f>HYPERLINK("http://www.alexkneringer.at","Website")</f>
        <v>Website</v>
      </c>
      <c r="D3547" t="str">
        <f>HYPERLINK("http://www.google.com/maps/place/47.0011,10.58679","Location")</f>
        <v>Location</v>
      </c>
      <c r="E3547" t="s">
        <v>30792</v>
      </c>
      <c r="F3547" t="s">
        <v>30793</v>
      </c>
      <c r="G3547" t="s">
        <v>27119</v>
      </c>
      <c r="H3547" t="s">
        <v>27120</v>
      </c>
      <c r="I3547" t="s">
        <v>21</v>
      </c>
      <c r="J3547" t="s">
        <v>22</v>
      </c>
      <c r="K3547" t="s">
        <v>30794</v>
      </c>
      <c r="L3547" t="s">
        <v>30797</v>
      </c>
      <c r="M3547" t="s">
        <v>25</v>
      </c>
      <c r="N3547" t="s">
        <v>30798</v>
      </c>
      <c r="O3547" t="s">
        <v>25</v>
      </c>
      <c r="P3547" t="s">
        <v>30799</v>
      </c>
      <c r="Q3547" t="s">
        <v>29</v>
      </c>
      <c r="R3547" t="s">
        <v>30795</v>
      </c>
      <c r="S3547" t="s">
        <v>30796</v>
      </c>
    </row>
    <row r="3548" spans="1:19" x14ac:dyDescent="0.25">
      <c r="A3548" s="1">
        <v>3546</v>
      </c>
      <c r="B3548" t="str">
        <f>HYPERLINK("https://www.dasschnelle.at/physikotherapeutisches-ambulatorium-gesmbh-feldbach-bismarckstraße","Website")</f>
        <v>Website</v>
      </c>
      <c r="C3548" t="str">
        <f>HYPERLINK("http://www.physiofeldbach.at","Website")</f>
        <v>Website</v>
      </c>
      <c r="D3548" t="str">
        <f>HYPERLINK("http://www.google.com/maps/place/46.9524,15.88769","Location")</f>
        <v>Location</v>
      </c>
      <c r="E3548" t="s">
        <v>30800</v>
      </c>
      <c r="F3548" t="s">
        <v>30801</v>
      </c>
      <c r="G3548" t="s">
        <v>470</v>
      </c>
      <c r="H3548" t="s">
        <v>471</v>
      </c>
      <c r="I3548" t="s">
        <v>451</v>
      </c>
      <c r="J3548" t="s">
        <v>22</v>
      </c>
      <c r="K3548" t="s">
        <v>30802</v>
      </c>
      <c r="L3548" t="s">
        <v>30805</v>
      </c>
      <c r="M3548" t="s">
        <v>25</v>
      </c>
      <c r="N3548" t="s">
        <v>30806</v>
      </c>
      <c r="O3548" t="s">
        <v>25</v>
      </c>
      <c r="P3548" t="s">
        <v>30807</v>
      </c>
      <c r="Q3548" t="s">
        <v>29</v>
      </c>
      <c r="R3548" t="s">
        <v>30803</v>
      </c>
      <c r="S3548" t="s">
        <v>30804</v>
      </c>
    </row>
    <row r="3549" spans="1:19" x14ac:dyDescent="0.25">
      <c r="A3549" s="1">
        <v>3547</v>
      </c>
      <c r="B3549" t="str">
        <f>HYPERLINK("https://www.dasschnelle.at/fidesser-franz-dr-eggenburg-grätzl","Website")</f>
        <v>Website</v>
      </c>
      <c r="C3549" t="str">
        <f>HYPERLINK("https://www.dasschnelle.at/fidesser-franz-dr-eggenburg-gr%C3%A4tzl","Website")</f>
        <v>Website</v>
      </c>
      <c r="D3549" t="str">
        <f>HYPERLINK("http://www.google.com/maps/place/48.64269,15.81688","Location")</f>
        <v>Location</v>
      </c>
      <c r="E3549" t="s">
        <v>30808</v>
      </c>
      <c r="F3549" t="s">
        <v>30809</v>
      </c>
      <c r="G3549" t="s">
        <v>12596</v>
      </c>
      <c r="H3549" t="s">
        <v>12597</v>
      </c>
      <c r="I3549" t="s">
        <v>177</v>
      </c>
      <c r="J3549" t="s">
        <v>22</v>
      </c>
      <c r="K3549" t="s">
        <v>30637</v>
      </c>
      <c r="L3549" t="s">
        <v>30638</v>
      </c>
      <c r="M3549" t="s">
        <v>25</v>
      </c>
      <c r="N3549" t="s">
        <v>25</v>
      </c>
      <c r="O3549" t="s">
        <v>25</v>
      </c>
      <c r="P3549" t="s">
        <v>30810</v>
      </c>
      <c r="Q3549" t="s">
        <v>29</v>
      </c>
      <c r="R3549" t="s">
        <v>12678</v>
      </c>
      <c r="S3549" t="s">
        <v>12679</v>
      </c>
    </row>
    <row r="3550" spans="1:19" x14ac:dyDescent="0.25">
      <c r="A3550" s="1">
        <v>3548</v>
      </c>
      <c r="B3550" t="str">
        <f>HYPERLINK("https://www.dasschnelle.at/catalin-esanu-dr-horn-ing-karl-proksch-gasse","Website")</f>
        <v>Website</v>
      </c>
      <c r="C3550" t="str">
        <f>HYPERLINK("http://www.gsundinhorn.at","Website")</f>
        <v>Website</v>
      </c>
      <c r="D3550" t="str">
        <f>HYPERLINK("http://www.google.com/maps/place/48.6609271,15.6568253","Location")</f>
        <v>Location</v>
      </c>
      <c r="E3550" t="s">
        <v>30811</v>
      </c>
      <c r="F3550" t="s">
        <v>30812</v>
      </c>
      <c r="G3550" t="s">
        <v>12616</v>
      </c>
      <c r="H3550" t="s">
        <v>12625</v>
      </c>
      <c r="I3550" t="s">
        <v>177</v>
      </c>
      <c r="J3550" t="s">
        <v>22</v>
      </c>
      <c r="K3550" t="s">
        <v>30628</v>
      </c>
      <c r="L3550" t="s">
        <v>30813</v>
      </c>
      <c r="M3550" t="s">
        <v>25</v>
      </c>
      <c r="N3550" t="s">
        <v>25</v>
      </c>
      <c r="O3550" t="s">
        <v>25</v>
      </c>
      <c r="P3550" t="s">
        <v>30814</v>
      </c>
      <c r="Q3550" t="s">
        <v>29</v>
      </c>
      <c r="R3550" t="s">
        <v>30629</v>
      </c>
      <c r="S3550" t="s">
        <v>30630</v>
      </c>
    </row>
    <row r="3551" spans="1:19" x14ac:dyDescent="0.25">
      <c r="A3551" s="1">
        <v>3549</v>
      </c>
      <c r="B3551" t="str">
        <f>HYPERLINK("https://www.dasschnelle.at/schindl-andreas-ddr-retz-hauptplatz","Website")</f>
        <v>Website</v>
      </c>
      <c r="C3551" t="str">
        <f>HYPERLINK("http://www.haut.co.at","Website")</f>
        <v>Website</v>
      </c>
      <c r="D3551" t="str">
        <f>HYPERLINK("http://www.google.com/maps/place/48.7574,15.9501","Location")</f>
        <v>Location</v>
      </c>
      <c r="E3551" t="s">
        <v>30815</v>
      </c>
      <c r="F3551" t="s">
        <v>30816</v>
      </c>
      <c r="G3551" t="s">
        <v>8396</v>
      </c>
      <c r="H3551" t="s">
        <v>8397</v>
      </c>
      <c r="I3551" t="s">
        <v>177</v>
      </c>
      <c r="J3551" t="s">
        <v>22</v>
      </c>
      <c r="K3551" t="s">
        <v>30817</v>
      </c>
      <c r="L3551" t="s">
        <v>30820</v>
      </c>
      <c r="M3551" t="s">
        <v>25</v>
      </c>
      <c r="N3551" t="s">
        <v>30821</v>
      </c>
      <c r="O3551" t="s">
        <v>25</v>
      </c>
      <c r="P3551" t="s">
        <v>30822</v>
      </c>
      <c r="Q3551" t="s">
        <v>29</v>
      </c>
      <c r="R3551" t="s">
        <v>30818</v>
      </c>
      <c r="S3551" t="s">
        <v>30819</v>
      </c>
    </row>
    <row r="3552" spans="1:19" x14ac:dyDescent="0.25">
      <c r="A3552" s="1">
        <v>3550</v>
      </c>
      <c r="B3552" t="str">
        <f>HYPERLINK("https://www.dasschnelle.at/andreas-dumfart-gmbh-ottensheim-mühlenweg","Website")</f>
        <v>Website</v>
      </c>
      <c r="C3552" t="str">
        <f>HYPERLINK("http://www.dumfart-installateur.com","Website")</f>
        <v>Website</v>
      </c>
      <c r="D3552" t="str">
        <f>HYPERLINK("http://www.google.com/maps/place/48.34016,14.18486","Location")</f>
        <v>Location</v>
      </c>
      <c r="E3552" t="s">
        <v>30823</v>
      </c>
      <c r="F3552" t="s">
        <v>30824</v>
      </c>
      <c r="G3552" t="s">
        <v>28603</v>
      </c>
      <c r="H3552" t="s">
        <v>28604</v>
      </c>
      <c r="I3552" t="s">
        <v>85</v>
      </c>
      <c r="J3552" t="s">
        <v>22</v>
      </c>
      <c r="K3552" t="s">
        <v>30825</v>
      </c>
      <c r="L3552" t="s">
        <v>30828</v>
      </c>
      <c r="M3552" t="s">
        <v>25</v>
      </c>
      <c r="N3552" t="s">
        <v>30829</v>
      </c>
      <c r="O3552" t="s">
        <v>25</v>
      </c>
      <c r="P3552" t="s">
        <v>30830</v>
      </c>
      <c r="Q3552" t="s">
        <v>29</v>
      </c>
      <c r="R3552" t="s">
        <v>30826</v>
      </c>
      <c r="S3552" t="s">
        <v>30827</v>
      </c>
    </row>
    <row r="3553" spans="1:19" x14ac:dyDescent="0.25">
      <c r="A3553" s="1">
        <v>3551</v>
      </c>
      <c r="B3553" t="str">
        <f>HYPERLINK("https://www.dasschnelle.at/hanner-ilse-dr-med-gallneukirchen-reichenauer-straße","Website")</f>
        <v>Website</v>
      </c>
      <c r="C3553" t="str">
        <f>HYPERLINK("http://zahnarzt-hanner.stadtausstellung.at","Website")</f>
        <v>Website</v>
      </c>
      <c r="D3553" t="str">
        <f>HYPERLINK("http://www.google.com/maps/place/48.35346,14.41629","Location")</f>
        <v>Location</v>
      </c>
      <c r="E3553" t="s">
        <v>30831</v>
      </c>
      <c r="F3553" t="s">
        <v>30832</v>
      </c>
      <c r="G3553" t="s">
        <v>4075</v>
      </c>
      <c r="H3553" t="s">
        <v>4076</v>
      </c>
      <c r="I3553" t="s">
        <v>85</v>
      </c>
      <c r="J3553" t="s">
        <v>22</v>
      </c>
      <c r="K3553" t="s">
        <v>30833</v>
      </c>
      <c r="L3553" t="s">
        <v>30836</v>
      </c>
      <c r="M3553" t="s">
        <v>25</v>
      </c>
      <c r="N3553" t="s">
        <v>30837</v>
      </c>
      <c r="O3553" t="s">
        <v>25</v>
      </c>
      <c r="P3553" t="s">
        <v>30838</v>
      </c>
      <c r="Q3553" t="s">
        <v>29</v>
      </c>
      <c r="R3553" t="s">
        <v>30834</v>
      </c>
      <c r="S3553" t="s">
        <v>30835</v>
      </c>
    </row>
    <row r="3554" spans="1:19" x14ac:dyDescent="0.25">
      <c r="A3554" s="1">
        <v>3552</v>
      </c>
      <c r="B3554" t="str">
        <f>HYPERLINK("https://www.dasschnelle.at/hutz-wilhelm-ing-gmbh-und-co-kg-wagrain-markt","Website")</f>
        <v>Website</v>
      </c>
      <c r="C3554" t="str">
        <f>HYPERLINK("http://www.hutz.at","Website")</f>
        <v>Website</v>
      </c>
      <c r="D3554" t="str">
        <f>HYPERLINK("http://www.google.com/maps/place/47.33037,13.29893","Location")</f>
        <v>Location</v>
      </c>
      <c r="E3554" t="s">
        <v>30839</v>
      </c>
      <c r="F3554" t="s">
        <v>30840</v>
      </c>
      <c r="G3554" t="s">
        <v>5866</v>
      </c>
      <c r="H3554" t="s">
        <v>5867</v>
      </c>
      <c r="I3554" t="s">
        <v>2239</v>
      </c>
      <c r="J3554" t="s">
        <v>22</v>
      </c>
      <c r="K3554" t="s">
        <v>30841</v>
      </c>
      <c r="L3554" t="s">
        <v>30844</v>
      </c>
      <c r="M3554" t="s">
        <v>25</v>
      </c>
      <c r="N3554" t="s">
        <v>30845</v>
      </c>
      <c r="O3554" t="s">
        <v>25</v>
      </c>
      <c r="P3554" t="s">
        <v>30846</v>
      </c>
      <c r="Q3554" t="s">
        <v>29</v>
      </c>
      <c r="R3554" t="s">
        <v>30842</v>
      </c>
      <c r="S3554" t="s">
        <v>30843</v>
      </c>
    </row>
    <row r="3555" spans="1:19" x14ac:dyDescent="0.25">
      <c r="A3555" s="1">
        <v>3553</v>
      </c>
      <c r="B3555" t="str">
        <f>HYPERLINK("https://www.dasschnelle.at/rieser-hans-peter-bad-hofgastein-wasserfallgasse","Website")</f>
        <v>Website</v>
      </c>
      <c r="C3555" t="str">
        <f>HYPERLINK("http://www.dach-gastein.at","Website")</f>
        <v>Website</v>
      </c>
      <c r="D3555" t="str">
        <f>HYPERLINK("http://www.google.com/maps/place/47.173085,13.1087711","Location")</f>
        <v>Location</v>
      </c>
      <c r="E3555" t="s">
        <v>30847</v>
      </c>
      <c r="F3555" t="s">
        <v>30848</v>
      </c>
      <c r="G3555" t="s">
        <v>25969</v>
      </c>
      <c r="H3555" t="s">
        <v>25970</v>
      </c>
      <c r="I3555" t="s">
        <v>2239</v>
      </c>
      <c r="J3555" t="s">
        <v>22</v>
      </c>
      <c r="K3555" t="s">
        <v>30849</v>
      </c>
      <c r="L3555" t="s">
        <v>30852</v>
      </c>
      <c r="M3555" t="s">
        <v>25</v>
      </c>
      <c r="N3555" t="s">
        <v>30853</v>
      </c>
      <c r="O3555" t="s">
        <v>25</v>
      </c>
      <c r="P3555" t="s">
        <v>30854</v>
      </c>
      <c r="Q3555" t="s">
        <v>29</v>
      </c>
      <c r="R3555" t="s">
        <v>30850</v>
      </c>
      <c r="S3555" t="s">
        <v>30851</v>
      </c>
    </row>
    <row r="3556" spans="1:19" x14ac:dyDescent="0.25">
      <c r="A3556" s="1">
        <v>3554</v>
      </c>
      <c r="B3556" t="str">
        <f>HYPERLINK("https://www.dasschnelle.at/kfz-technik-kienbichl-alexander-kernhof-kernhof","Website")</f>
        <v>Website</v>
      </c>
      <c r="C3556" t="str">
        <f>HYPERLINK("http://www.kfz-kienbichl.at","Website")</f>
        <v>Website</v>
      </c>
      <c r="D3556" t="str">
        <f>HYPERLINK("http://www.google.com/maps/place/47.8139571,15.5424792","Location")</f>
        <v>Location</v>
      </c>
      <c r="E3556" t="s">
        <v>30855</v>
      </c>
      <c r="F3556" t="s">
        <v>30856</v>
      </c>
      <c r="G3556" t="s">
        <v>30858</v>
      </c>
      <c r="H3556" t="s">
        <v>30859</v>
      </c>
      <c r="I3556" t="s">
        <v>177</v>
      </c>
      <c r="J3556" t="s">
        <v>22</v>
      </c>
      <c r="K3556" t="s">
        <v>30857</v>
      </c>
      <c r="L3556" t="s">
        <v>30862</v>
      </c>
      <c r="M3556" t="s">
        <v>25</v>
      </c>
      <c r="N3556" t="s">
        <v>30863</v>
      </c>
      <c r="O3556" t="s">
        <v>25</v>
      </c>
      <c r="P3556" t="s">
        <v>30864</v>
      </c>
      <c r="Q3556" t="s">
        <v>29</v>
      </c>
      <c r="R3556" t="s">
        <v>30860</v>
      </c>
      <c r="S3556" t="s">
        <v>30861</v>
      </c>
    </row>
    <row r="3557" spans="1:19" x14ac:dyDescent="0.25">
      <c r="A3557" s="1">
        <v>3555</v>
      </c>
      <c r="B3557" t="str">
        <f>HYPERLINK("https://www.dasschnelle.at/naar-ziebart-schroth-anita-dr-horn-robert-hamerling-straße","Website")</f>
        <v>Website</v>
      </c>
      <c r="C3557" t="str">
        <f>HYPERLINK("https://www.dasschnelle.at/naar-ziebart-schroth-anita-dr-horn-robert-hamerling-stra%C3%9Fe","Website")</f>
        <v>Website</v>
      </c>
      <c r="D3557" t="str">
        <f>HYPERLINK("http://www.google.com/maps/place/48.66596,15.66044","Location")</f>
        <v>Location</v>
      </c>
      <c r="E3557" t="s">
        <v>30865</v>
      </c>
      <c r="F3557" t="s">
        <v>30866</v>
      </c>
      <c r="G3557" t="s">
        <v>12616</v>
      </c>
      <c r="H3557" t="s">
        <v>12625</v>
      </c>
      <c r="I3557" t="s">
        <v>177</v>
      </c>
      <c r="J3557" t="s">
        <v>22</v>
      </c>
      <c r="K3557" t="s">
        <v>30867</v>
      </c>
      <c r="L3557" t="s">
        <v>30870</v>
      </c>
      <c r="M3557" t="s">
        <v>30871</v>
      </c>
      <c r="N3557" t="s">
        <v>25</v>
      </c>
      <c r="O3557" t="s">
        <v>25</v>
      </c>
      <c r="P3557" t="s">
        <v>30872</v>
      </c>
      <c r="Q3557" t="s">
        <v>29</v>
      </c>
      <c r="R3557" t="s">
        <v>30868</v>
      </c>
      <c r="S3557" t="s">
        <v>30869</v>
      </c>
    </row>
    <row r="3558" spans="1:19" x14ac:dyDescent="0.25">
      <c r="A3558" s="1">
        <v>3556</v>
      </c>
      <c r="B3558" t="str">
        <f>HYPERLINK("https://www.dasschnelle.at/polt-johannes-mag-horn-prager-straße","Website")</f>
        <v>Website</v>
      </c>
      <c r="C3558" t="str">
        <f>HYPERLINK("http://www.rechtsanwalt-horn.at","Website")</f>
        <v>Website</v>
      </c>
      <c r="D3558" t="str">
        <f>HYPERLINK("http://www.google.com/maps/place/48.6627757,15.6555377","Location")</f>
        <v>Location</v>
      </c>
      <c r="E3558" t="s">
        <v>30873</v>
      </c>
      <c r="F3558" t="s">
        <v>30874</v>
      </c>
      <c r="G3558" t="s">
        <v>12616</v>
      </c>
      <c r="H3558" t="s">
        <v>12625</v>
      </c>
      <c r="I3558" t="s">
        <v>177</v>
      </c>
      <c r="J3558" t="s">
        <v>22</v>
      </c>
      <c r="K3558" t="s">
        <v>30706</v>
      </c>
      <c r="L3558" t="s">
        <v>30877</v>
      </c>
      <c r="M3558" t="s">
        <v>30878</v>
      </c>
      <c r="N3558" t="s">
        <v>30879</v>
      </c>
      <c r="O3558" t="s">
        <v>25</v>
      </c>
      <c r="P3558" t="s">
        <v>30880</v>
      </c>
      <c r="Q3558" t="s">
        <v>29</v>
      </c>
      <c r="R3558" t="s">
        <v>30875</v>
      </c>
      <c r="S3558" t="s">
        <v>30876</v>
      </c>
    </row>
    <row r="3559" spans="1:19" x14ac:dyDescent="0.25">
      <c r="A3559" s="1">
        <v>3557</v>
      </c>
      <c r="B3559" t="str">
        <f>HYPERLINK("https://www.dasschnelle.at/schweda-patrick-maximilian-dr-haugsdorf-hauptplatz","Website")</f>
        <v>Website</v>
      </c>
      <c r="C3559" t="str">
        <f>HYPERLINK("http://www.notariat-schweda.at","Website")</f>
        <v>Website</v>
      </c>
      <c r="D3559" t="str">
        <f>HYPERLINK("http://www.google.com/maps/place/48.70815,16.07657","Location")</f>
        <v>Location</v>
      </c>
      <c r="E3559" t="s">
        <v>30881</v>
      </c>
      <c r="F3559" t="s">
        <v>30882</v>
      </c>
      <c r="G3559" t="s">
        <v>30883</v>
      </c>
      <c r="H3559" t="s">
        <v>30884</v>
      </c>
      <c r="I3559" t="s">
        <v>177</v>
      </c>
      <c r="J3559" t="s">
        <v>22</v>
      </c>
      <c r="K3559" t="s">
        <v>1778</v>
      </c>
      <c r="L3559" t="s">
        <v>30887</v>
      </c>
      <c r="M3559" t="s">
        <v>25</v>
      </c>
      <c r="N3559" t="s">
        <v>30888</v>
      </c>
      <c r="O3559" t="s">
        <v>25</v>
      </c>
      <c r="P3559" t="s">
        <v>30889</v>
      </c>
      <c r="Q3559" t="s">
        <v>29</v>
      </c>
      <c r="R3559" t="s">
        <v>30885</v>
      </c>
      <c r="S3559" t="s">
        <v>30886</v>
      </c>
    </row>
    <row r="3560" spans="1:19" x14ac:dyDescent="0.25">
      <c r="A3560" s="1">
        <v>3558</v>
      </c>
      <c r="B3560" t="str">
        <f>HYPERLINK("https://www.dasschnelle.at/pilz-installationen-e-u-engerwitzdorf-engerwitzdorfer-straße","Website")</f>
        <v>Website</v>
      </c>
      <c r="C3560" t="str">
        <f>HYPERLINK("https://www.dasschnelle.at/pilz-installationen-e-u-engerwitzdorf-engerwitzdorfer-stra%C3%9Fe","Website")</f>
        <v>Website</v>
      </c>
      <c r="D3560" t="str">
        <f>HYPERLINK("http://www.google.com/maps/place/48.34433,14.44048","Location")</f>
        <v>Location</v>
      </c>
      <c r="E3560" t="s">
        <v>30890</v>
      </c>
      <c r="F3560" t="s">
        <v>30891</v>
      </c>
      <c r="G3560" t="s">
        <v>30893</v>
      </c>
      <c r="H3560" t="s">
        <v>30894</v>
      </c>
      <c r="I3560" t="s">
        <v>85</v>
      </c>
      <c r="J3560" t="s">
        <v>22</v>
      </c>
      <c r="K3560" t="s">
        <v>30892</v>
      </c>
      <c r="L3560" t="s">
        <v>30897</v>
      </c>
      <c r="M3560" t="s">
        <v>25</v>
      </c>
      <c r="N3560" t="s">
        <v>30898</v>
      </c>
      <c r="O3560" t="s">
        <v>25</v>
      </c>
      <c r="P3560" t="s">
        <v>30899</v>
      </c>
      <c r="Q3560" t="s">
        <v>29</v>
      </c>
      <c r="R3560" t="s">
        <v>30895</v>
      </c>
      <c r="S3560" t="s">
        <v>30896</v>
      </c>
    </row>
    <row r="3561" spans="1:19" x14ac:dyDescent="0.25">
      <c r="A3561" s="1">
        <v>3559</v>
      </c>
      <c r="B3561" t="str">
        <f>HYPERLINK("https://www.dasschnelle.at/leeb-burkhard-doz-dr-hollabrunn-babogasse","Website")</f>
        <v>Website</v>
      </c>
      <c r="C3561" t="str">
        <f>HYPERLINK("http://www.leeb-rheuma.at","Website")</f>
        <v>Website</v>
      </c>
      <c r="D3561" t="str">
        <f>HYPERLINK("http://www.google.com/maps/place/48.56488,16.08205","Location")</f>
        <v>Location</v>
      </c>
      <c r="E3561" t="s">
        <v>30900</v>
      </c>
      <c r="F3561" t="s">
        <v>30901</v>
      </c>
      <c r="G3561" t="s">
        <v>8370</v>
      </c>
      <c r="H3561" t="s">
        <v>8371</v>
      </c>
      <c r="I3561" t="s">
        <v>177</v>
      </c>
      <c r="J3561" t="s">
        <v>22</v>
      </c>
      <c r="K3561" t="s">
        <v>30902</v>
      </c>
      <c r="L3561" t="s">
        <v>30905</v>
      </c>
      <c r="M3561" t="s">
        <v>25</v>
      </c>
      <c r="N3561" t="s">
        <v>30906</v>
      </c>
      <c r="O3561" t="s">
        <v>25</v>
      </c>
      <c r="P3561" t="s">
        <v>30907</v>
      </c>
      <c r="Q3561" t="s">
        <v>29</v>
      </c>
      <c r="R3561" t="s">
        <v>30903</v>
      </c>
      <c r="S3561" t="s">
        <v>30904</v>
      </c>
    </row>
    <row r="3562" spans="1:19" x14ac:dyDescent="0.25">
      <c r="A3562" s="1">
        <v>3560</v>
      </c>
      <c r="B3562" t="str">
        <f>HYPERLINK("https://www.dasschnelle.at/haidinger-cornelia-dipl-pt-wels-dr-salzmann-straße","Website")</f>
        <v>Website</v>
      </c>
      <c r="C3562" t="str">
        <f>HYPERLINK("https://www.physio-am-markt.at/","Website")</f>
        <v>Website</v>
      </c>
      <c r="D3562" t="str">
        <f>HYPERLINK("http://www.google.com/maps/place/48.1572800,14.0201600","Location")</f>
        <v>Location</v>
      </c>
      <c r="E3562" t="s">
        <v>30908</v>
      </c>
      <c r="F3562" t="s">
        <v>30909</v>
      </c>
      <c r="G3562" t="s">
        <v>4725</v>
      </c>
      <c r="H3562" t="s">
        <v>4754</v>
      </c>
      <c r="I3562" t="s">
        <v>85</v>
      </c>
      <c r="J3562" t="s">
        <v>22</v>
      </c>
      <c r="K3562" t="s">
        <v>30910</v>
      </c>
      <c r="L3562" t="s">
        <v>30913</v>
      </c>
      <c r="M3562" t="s">
        <v>25</v>
      </c>
      <c r="N3562" t="s">
        <v>30914</v>
      </c>
      <c r="O3562" t="s">
        <v>25</v>
      </c>
      <c r="P3562" t="s">
        <v>30915</v>
      </c>
      <c r="Q3562" t="s">
        <v>29</v>
      </c>
      <c r="R3562" t="s">
        <v>30911</v>
      </c>
      <c r="S3562" t="s">
        <v>30912</v>
      </c>
    </row>
    <row r="3563" spans="1:19" x14ac:dyDescent="0.25">
      <c r="A3563" s="1">
        <v>3561</v>
      </c>
      <c r="B3563" t="str">
        <f>HYPERLINK("https://www.dasschnelle.at/stadler-robert-mag-gallneukirchen-hauptstraße","Website")</f>
        <v>Website</v>
      </c>
      <c r="C3563" t="str">
        <f>HYPERLINK("http://www.robertstadler.at","Website")</f>
        <v>Website</v>
      </c>
      <c r="D3563" t="str">
        <f>HYPERLINK("http://www.google.com/maps/place/48.35512,14.41813","Location")</f>
        <v>Location</v>
      </c>
      <c r="E3563" t="s">
        <v>30916</v>
      </c>
      <c r="F3563" t="s">
        <v>30917</v>
      </c>
      <c r="G3563" t="s">
        <v>4075</v>
      </c>
      <c r="H3563" t="s">
        <v>4076</v>
      </c>
      <c r="I3563" t="s">
        <v>85</v>
      </c>
      <c r="J3563" t="s">
        <v>22</v>
      </c>
      <c r="K3563" t="s">
        <v>4119</v>
      </c>
      <c r="L3563" t="s">
        <v>30918</v>
      </c>
      <c r="M3563" t="s">
        <v>25</v>
      </c>
      <c r="N3563" t="s">
        <v>30919</v>
      </c>
      <c r="O3563" t="s">
        <v>25</v>
      </c>
      <c r="P3563" t="s">
        <v>30920</v>
      </c>
      <c r="Q3563" t="s">
        <v>29</v>
      </c>
      <c r="R3563" t="s">
        <v>4120</v>
      </c>
      <c r="S3563" t="s">
        <v>4121</v>
      </c>
    </row>
    <row r="3564" spans="1:19" x14ac:dyDescent="0.25">
      <c r="A3564" s="1">
        <v>3562</v>
      </c>
      <c r="B3564" t="str">
        <f>HYPERLINK("https://www.dasschnelle.at/nl-metalltechnik-og-mandling-filzmoosweg","Website")</f>
        <v>Website</v>
      </c>
      <c r="C3564" t="str">
        <f>HYPERLINK("http://www.nl-metalltechnik.at","Website")</f>
        <v>Website</v>
      </c>
      <c r="D3564" t="str">
        <f>HYPERLINK("http://www.google.com/maps/place/47.40458,13.57361","Location")</f>
        <v>Location</v>
      </c>
      <c r="E3564" t="s">
        <v>30921</v>
      </c>
      <c r="F3564" t="s">
        <v>30922</v>
      </c>
      <c r="G3564" t="s">
        <v>30924</v>
      </c>
      <c r="H3564" t="s">
        <v>30925</v>
      </c>
      <c r="I3564" t="s">
        <v>2239</v>
      </c>
      <c r="J3564" t="s">
        <v>22</v>
      </c>
      <c r="K3564" t="s">
        <v>30923</v>
      </c>
      <c r="L3564" t="s">
        <v>30928</v>
      </c>
      <c r="M3564" t="s">
        <v>25</v>
      </c>
      <c r="N3564" t="s">
        <v>30929</v>
      </c>
      <c r="O3564" t="s">
        <v>25</v>
      </c>
      <c r="P3564" t="s">
        <v>30930</v>
      </c>
      <c r="Q3564" t="s">
        <v>29</v>
      </c>
      <c r="R3564" t="s">
        <v>30926</v>
      </c>
      <c r="S3564" t="s">
        <v>30927</v>
      </c>
    </row>
    <row r="3565" spans="1:19" x14ac:dyDescent="0.25">
      <c r="A3565" s="1">
        <v>3563</v>
      </c>
      <c r="B3565" t="str">
        <f>HYPERLINK("https://www.dasschnelle.at/resl-carina-marchtrenk-linzer-straße","Website")</f>
        <v>Website</v>
      </c>
      <c r="C3565" t="str">
        <f>HYPERLINK("http://www.hautsache.jetzt","Website")</f>
        <v>Website</v>
      </c>
      <c r="D3565" t="str">
        <f>HYPERLINK("http://www.google.com/maps/place/48.1905,14.11283","Location")</f>
        <v>Location</v>
      </c>
      <c r="E3565" t="s">
        <v>30931</v>
      </c>
      <c r="F3565" t="s">
        <v>30932</v>
      </c>
      <c r="G3565" t="s">
        <v>4902</v>
      </c>
      <c r="H3565" t="s">
        <v>7155</v>
      </c>
      <c r="I3565" t="s">
        <v>85</v>
      </c>
      <c r="J3565" t="s">
        <v>22</v>
      </c>
      <c r="K3565" t="s">
        <v>12717</v>
      </c>
      <c r="L3565" t="s">
        <v>30933</v>
      </c>
      <c r="M3565" t="s">
        <v>25</v>
      </c>
      <c r="N3565" t="s">
        <v>30934</v>
      </c>
      <c r="O3565" t="s">
        <v>25</v>
      </c>
      <c r="P3565" t="s">
        <v>30935</v>
      </c>
      <c r="Q3565" t="s">
        <v>29</v>
      </c>
      <c r="R3565" t="s">
        <v>12718</v>
      </c>
      <c r="S3565" t="s">
        <v>12719</v>
      </c>
    </row>
    <row r="3566" spans="1:19" x14ac:dyDescent="0.25">
      <c r="A3566" s="1">
        <v>3564</v>
      </c>
      <c r="B3566" t="str">
        <f>HYPERLINK("https://www.dasschnelle.at/ordination-dr-richard-ehrentraut-höflein-an-der-donau-bahnstraße","Website")</f>
        <v>Website</v>
      </c>
      <c r="C3566" t="str">
        <f>HYPERLINK("http://ordination-dr-richard-ehrentraut.business.site","Website")</f>
        <v>Website</v>
      </c>
      <c r="D3566" t="str">
        <f>HYPERLINK("http://www.google.com/maps/place/48.3505373,16.2737649","Location")</f>
        <v>Location</v>
      </c>
      <c r="E3566" t="s">
        <v>30936</v>
      </c>
      <c r="F3566" t="s">
        <v>30937</v>
      </c>
      <c r="G3566" t="s">
        <v>30939</v>
      </c>
      <c r="H3566" t="s">
        <v>30940</v>
      </c>
      <c r="I3566" t="s">
        <v>177</v>
      </c>
      <c r="J3566" t="s">
        <v>22</v>
      </c>
      <c r="K3566" t="s">
        <v>30938</v>
      </c>
      <c r="L3566" t="s">
        <v>30943</v>
      </c>
      <c r="M3566" t="s">
        <v>25</v>
      </c>
      <c r="N3566" t="s">
        <v>30944</v>
      </c>
      <c r="O3566" t="s">
        <v>25</v>
      </c>
      <c r="P3566" t="s">
        <v>30945</v>
      </c>
      <c r="Q3566" t="s">
        <v>29</v>
      </c>
      <c r="R3566" t="s">
        <v>30941</v>
      </c>
      <c r="S3566" t="s">
        <v>30942</v>
      </c>
    </row>
    <row r="3567" spans="1:19" x14ac:dyDescent="0.25">
      <c r="A3567" s="1">
        <v>3565</v>
      </c>
      <c r="B3567" t="str">
        <f>HYPERLINK("https://www.dasschnelle.at/rudigier-klaus-grins-gmar","Website")</f>
        <v>Website</v>
      </c>
      <c r="C3567" t="str">
        <f>HYPERLINK("https://www.dasschnelle.at/rudigier-klaus-grins-gmar","Website")</f>
        <v>Website</v>
      </c>
      <c r="D3567" t="str">
        <f>HYPERLINK("http://www.google.com/maps/place/47.14103,10.50593","Location")</f>
        <v>Location</v>
      </c>
      <c r="E3567" t="s">
        <v>30946</v>
      </c>
      <c r="F3567" t="s">
        <v>30947</v>
      </c>
      <c r="G3567" t="s">
        <v>30949</v>
      </c>
      <c r="H3567" t="s">
        <v>27535</v>
      </c>
      <c r="I3567" t="s">
        <v>21</v>
      </c>
      <c r="J3567" t="s">
        <v>22</v>
      </c>
      <c r="K3567" t="s">
        <v>30948</v>
      </c>
      <c r="L3567" t="s">
        <v>30952</v>
      </c>
      <c r="M3567" t="s">
        <v>25</v>
      </c>
      <c r="N3567" t="s">
        <v>30953</v>
      </c>
      <c r="O3567" t="s">
        <v>25</v>
      </c>
      <c r="P3567" t="s">
        <v>30954</v>
      </c>
      <c r="Q3567" t="s">
        <v>29</v>
      </c>
      <c r="R3567" t="s">
        <v>30950</v>
      </c>
      <c r="S3567" t="s">
        <v>30951</v>
      </c>
    </row>
    <row r="3568" spans="1:19" x14ac:dyDescent="0.25">
      <c r="A3568" s="1">
        <v>3566</v>
      </c>
      <c r="B3568" t="str">
        <f>HYPERLINK("https://www.dasschnelle.at/kohlhofer-thomas-gußwerk-bahnhofstraße","Website")</f>
        <v>Website</v>
      </c>
      <c r="C3568" t="str">
        <f>HYPERLINK("http://www.gasthof-kohlhofer.at","Website")</f>
        <v>Website</v>
      </c>
      <c r="D3568" t="str">
        <f>HYPERLINK("http://www.google.com/maps/place/47.74201,15.30388","Location")</f>
        <v>Location</v>
      </c>
      <c r="E3568" t="s">
        <v>30955</v>
      </c>
      <c r="F3568" t="s">
        <v>30956</v>
      </c>
      <c r="G3568" t="s">
        <v>12472</v>
      </c>
      <c r="H3568" t="s">
        <v>12510</v>
      </c>
      <c r="I3568" t="s">
        <v>451</v>
      </c>
      <c r="J3568" t="s">
        <v>22</v>
      </c>
      <c r="K3568" t="s">
        <v>12804</v>
      </c>
      <c r="L3568" t="s">
        <v>30959</v>
      </c>
      <c r="M3568" t="s">
        <v>25</v>
      </c>
      <c r="N3568" t="s">
        <v>30960</v>
      </c>
      <c r="O3568" t="s">
        <v>25</v>
      </c>
      <c r="P3568" t="s">
        <v>30961</v>
      </c>
      <c r="Q3568" t="s">
        <v>29</v>
      </c>
      <c r="R3568" t="s">
        <v>30957</v>
      </c>
      <c r="S3568" t="s">
        <v>30958</v>
      </c>
    </row>
    <row r="3569" spans="1:19" x14ac:dyDescent="0.25">
      <c r="A3569" s="1">
        <v>3567</v>
      </c>
      <c r="B3569" t="str">
        <f>HYPERLINK("https://www.dasschnelle.at/weinberger-bernhard-ettendorf-unterholz","Website")</f>
        <v>Website</v>
      </c>
      <c r="C3569" t="str">
        <f>HYPERLINK("https://www.dasschnelle.at/weinberger-bernhard-ettendorf-unterholz","Website")</f>
        <v>Website</v>
      </c>
      <c r="D3569" t="str">
        <f>HYPERLINK("http://www.google.com/maps/place/46.6771059,14.9248524","Location")</f>
        <v>Location</v>
      </c>
      <c r="E3569" t="s">
        <v>30962</v>
      </c>
      <c r="F3569" t="s">
        <v>30963</v>
      </c>
      <c r="G3569" t="s">
        <v>30965</v>
      </c>
      <c r="H3569" t="s">
        <v>30966</v>
      </c>
      <c r="I3569" t="s">
        <v>4130</v>
      </c>
      <c r="J3569" t="s">
        <v>22</v>
      </c>
      <c r="K3569" t="s">
        <v>30964</v>
      </c>
      <c r="L3569" t="s">
        <v>30969</v>
      </c>
      <c r="M3569" t="s">
        <v>25</v>
      </c>
      <c r="N3569" t="s">
        <v>30970</v>
      </c>
      <c r="O3569" t="s">
        <v>25</v>
      </c>
      <c r="P3569" t="s">
        <v>697</v>
      </c>
      <c r="Q3569" t="s">
        <v>29</v>
      </c>
      <c r="R3569" t="s">
        <v>30967</v>
      </c>
      <c r="S3569" t="s">
        <v>30968</v>
      </c>
    </row>
    <row r="3570" spans="1:19" x14ac:dyDescent="0.25">
      <c r="A3570" s="1">
        <v>3568</v>
      </c>
      <c r="B3570" t="str">
        <f>HYPERLINK("https://www.dasschnelle.at/bbg-fassadengestaltung-gmbh-pollheim-pollheim-pollheim","Website")</f>
        <v>Website</v>
      </c>
      <c r="C3570" t="str">
        <f>HYPERLINK("http://www.bbg.co.at","Website")</f>
        <v>Website</v>
      </c>
      <c r="D3570" t="str">
        <f>HYPERLINK("http://www.google.com/maps/place/46.8400900,14.7896600","Location")</f>
        <v>Location</v>
      </c>
      <c r="E3570" t="s">
        <v>30971</v>
      </c>
      <c r="F3570" t="s">
        <v>30972</v>
      </c>
      <c r="G3570" t="s">
        <v>30003</v>
      </c>
      <c r="H3570" t="s">
        <v>30974</v>
      </c>
      <c r="I3570" t="s">
        <v>4130</v>
      </c>
      <c r="J3570" t="s">
        <v>22</v>
      </c>
      <c r="K3570" t="s">
        <v>30973</v>
      </c>
      <c r="L3570" t="s">
        <v>30977</v>
      </c>
      <c r="M3570" t="s">
        <v>25</v>
      </c>
      <c r="N3570" t="s">
        <v>30978</v>
      </c>
      <c r="O3570" t="s">
        <v>25</v>
      </c>
      <c r="P3570" t="s">
        <v>30979</v>
      </c>
      <c r="Q3570" t="s">
        <v>29</v>
      </c>
      <c r="R3570" t="s">
        <v>30975</v>
      </c>
      <c r="S3570" t="s">
        <v>30976</v>
      </c>
    </row>
    <row r="3571" spans="1:19" x14ac:dyDescent="0.25">
      <c r="A3571" s="1">
        <v>3569</v>
      </c>
      <c r="B3571" t="str">
        <f>HYPERLINK("https://www.dasschnelle.at/baumgartner-siegbert-reichenfels-liftstraße","Website")</f>
        <v>Website</v>
      </c>
      <c r="C3571" t="str">
        <f>HYPERLINK("http://www.members.aon.at/gwh-baumgartner","Website")</f>
        <v>Website</v>
      </c>
      <c r="D3571" t="str">
        <f>HYPERLINK("http://www.google.com/maps/place/47.00578,14.74476","Location")</f>
        <v>Location</v>
      </c>
      <c r="E3571" t="s">
        <v>30980</v>
      </c>
      <c r="F3571" t="s">
        <v>30981</v>
      </c>
      <c r="G3571" t="s">
        <v>30983</v>
      </c>
      <c r="H3571" t="s">
        <v>30984</v>
      </c>
      <c r="I3571" t="s">
        <v>4130</v>
      </c>
      <c r="J3571" t="s">
        <v>22</v>
      </c>
      <c r="K3571" t="s">
        <v>30982</v>
      </c>
      <c r="L3571" t="s">
        <v>30987</v>
      </c>
      <c r="M3571" t="s">
        <v>25</v>
      </c>
      <c r="N3571" t="s">
        <v>30988</v>
      </c>
      <c r="O3571" t="s">
        <v>25</v>
      </c>
      <c r="P3571" t="s">
        <v>30989</v>
      </c>
      <c r="Q3571" t="s">
        <v>29</v>
      </c>
      <c r="R3571" t="s">
        <v>30985</v>
      </c>
      <c r="S3571" t="s">
        <v>30986</v>
      </c>
    </row>
    <row r="3572" spans="1:19" x14ac:dyDescent="0.25">
      <c r="A3572" s="1">
        <v>3570</v>
      </c>
      <c r="B3572" t="str">
        <f>HYPERLINK("https://www.dasschnelle.at/starkl-anton-gmbh-tulln-an-der-donau-gärtnerstraße","Website")</f>
        <v>Website</v>
      </c>
      <c r="C3572" t="str">
        <f>HYPERLINK("http://www.starkl.at","Website")</f>
        <v>Website</v>
      </c>
      <c r="D3572" t="str">
        <f>HYPERLINK("http://www.google.com/maps/place/48.30856,16.08164","Location")</f>
        <v>Location</v>
      </c>
      <c r="E3572" t="s">
        <v>30990</v>
      </c>
      <c r="F3572" t="s">
        <v>30991</v>
      </c>
      <c r="G3572" t="s">
        <v>9499</v>
      </c>
      <c r="H3572" t="s">
        <v>9500</v>
      </c>
      <c r="I3572" t="s">
        <v>177</v>
      </c>
      <c r="J3572" t="s">
        <v>22</v>
      </c>
      <c r="K3572" t="s">
        <v>19656</v>
      </c>
      <c r="L3572" t="s">
        <v>30994</v>
      </c>
      <c r="M3572" t="s">
        <v>30995</v>
      </c>
      <c r="N3572" t="s">
        <v>30996</v>
      </c>
      <c r="O3572" t="s">
        <v>25</v>
      </c>
      <c r="P3572" t="s">
        <v>30997</v>
      </c>
      <c r="Q3572" t="s">
        <v>29</v>
      </c>
      <c r="R3572" t="s">
        <v>30992</v>
      </c>
      <c r="S3572" t="s">
        <v>30993</v>
      </c>
    </row>
    <row r="3573" spans="1:19" x14ac:dyDescent="0.25">
      <c r="A3573" s="1">
        <v>3571</v>
      </c>
      <c r="B3573" t="str">
        <f>HYPERLINK("https://www.dasschnelle.at/mohl-christian-st-paul-im-lavanttal-unterrainz","Website")</f>
        <v>Website</v>
      </c>
      <c r="C3573" t="str">
        <f>HYPERLINK("https://www.dasschnelle.at/mohl-christian-st-paul-im-lavanttal-unterrainz","Website")</f>
        <v>Website</v>
      </c>
      <c r="D3573" t="str">
        <f>HYPERLINK("http://www.google.com/maps/place/46.7029445,14.8906056","Location")</f>
        <v>Location</v>
      </c>
      <c r="E3573" t="s">
        <v>30998</v>
      </c>
      <c r="F3573" t="s">
        <v>30999</v>
      </c>
      <c r="G3573" t="s">
        <v>11352</v>
      </c>
      <c r="H3573" t="s">
        <v>11353</v>
      </c>
      <c r="I3573" t="s">
        <v>4130</v>
      </c>
      <c r="J3573" t="s">
        <v>22</v>
      </c>
      <c r="K3573" t="s">
        <v>31000</v>
      </c>
      <c r="L3573" t="s">
        <v>31003</v>
      </c>
      <c r="M3573" t="s">
        <v>25</v>
      </c>
      <c r="N3573" t="s">
        <v>31004</v>
      </c>
      <c r="O3573" t="s">
        <v>25</v>
      </c>
      <c r="P3573" t="s">
        <v>31005</v>
      </c>
      <c r="Q3573" t="s">
        <v>29</v>
      </c>
      <c r="R3573" t="s">
        <v>31001</v>
      </c>
      <c r="S3573" t="s">
        <v>31002</v>
      </c>
    </row>
    <row r="3574" spans="1:19" x14ac:dyDescent="0.25">
      <c r="A3574" s="1">
        <v>3572</v>
      </c>
      <c r="B3574" t="str">
        <f>HYPERLINK("https://www.dasschnelle.at/schnür-wala-alice-weidling-hauptstraße","Website")</f>
        <v>Website</v>
      </c>
      <c r="C3574" t="str">
        <f>HYPERLINK("http://www.photo-schnuer.com","Website")</f>
        <v>Website</v>
      </c>
      <c r="D3574" t="str">
        <f>HYPERLINK("http://www.google.com/maps/place/48.2843,16.29066","Location")</f>
        <v>Location</v>
      </c>
      <c r="E3574" t="s">
        <v>31006</v>
      </c>
      <c r="F3574" t="s">
        <v>31007</v>
      </c>
      <c r="G3574" t="s">
        <v>10308</v>
      </c>
      <c r="H3574" t="s">
        <v>31009</v>
      </c>
      <c r="I3574" t="s">
        <v>177</v>
      </c>
      <c r="J3574" t="s">
        <v>22</v>
      </c>
      <c r="K3574" t="s">
        <v>31008</v>
      </c>
      <c r="L3574" t="s">
        <v>31012</v>
      </c>
      <c r="M3574" t="s">
        <v>25</v>
      </c>
      <c r="N3574" t="s">
        <v>31013</v>
      </c>
      <c r="O3574" t="s">
        <v>25</v>
      </c>
      <c r="P3574" t="s">
        <v>31014</v>
      </c>
      <c r="Q3574" t="s">
        <v>29</v>
      </c>
      <c r="R3574" t="s">
        <v>31010</v>
      </c>
      <c r="S3574" t="s">
        <v>31011</v>
      </c>
    </row>
    <row r="3575" spans="1:19" x14ac:dyDescent="0.25">
      <c r="A3575" s="1">
        <v>3573</v>
      </c>
      <c r="B3575" t="str">
        <f>HYPERLINK("https://www.dasschnelle.at/finger-reinhard-dr-eggenburg-kühnringerstraße","Website")</f>
        <v>Website</v>
      </c>
      <c r="C3575" t="str">
        <f>HYPERLINK("http://www.face-tuning.at","Website")</f>
        <v>Website</v>
      </c>
      <c r="D3575" t="str">
        <f>HYPERLINK("http://www.google.com/maps/place/48.64125,15.81026","Location")</f>
        <v>Location</v>
      </c>
      <c r="E3575" t="s">
        <v>31015</v>
      </c>
      <c r="F3575" t="s">
        <v>31016</v>
      </c>
      <c r="G3575" t="s">
        <v>12596</v>
      </c>
      <c r="H3575" t="s">
        <v>12597</v>
      </c>
      <c r="I3575" t="s">
        <v>177</v>
      </c>
      <c r="J3575" t="s">
        <v>22</v>
      </c>
      <c r="K3575" t="s">
        <v>31017</v>
      </c>
      <c r="L3575" t="s">
        <v>31020</v>
      </c>
      <c r="M3575" t="s">
        <v>25</v>
      </c>
      <c r="N3575" t="s">
        <v>25</v>
      </c>
      <c r="O3575" t="s">
        <v>25</v>
      </c>
      <c r="P3575" t="s">
        <v>31021</v>
      </c>
      <c r="Q3575" t="s">
        <v>29</v>
      </c>
      <c r="R3575" t="s">
        <v>31018</v>
      </c>
      <c r="S3575" t="s">
        <v>31019</v>
      </c>
    </row>
    <row r="3576" spans="1:19" x14ac:dyDescent="0.25">
      <c r="A3576" s="1">
        <v>3574</v>
      </c>
      <c r="B3576" t="str">
        <f>HYPERLINK("https://www.dasschnelle.at/kanzlei-popp-gratwein-bahnhofstraße","Website")</f>
        <v>Website</v>
      </c>
      <c r="C3576" t="str">
        <f>HYPERLINK("http://www.rechtsanwalt-popp.at","Website")</f>
        <v>Website</v>
      </c>
      <c r="D3576" t="str">
        <f>HYPERLINK("http://www.google.com/maps/place/47.1292182,15.3204221","Location")</f>
        <v>Location</v>
      </c>
      <c r="E3576" t="s">
        <v>31022</v>
      </c>
      <c r="F3576" t="s">
        <v>31023</v>
      </c>
      <c r="G3576" t="s">
        <v>7864</v>
      </c>
      <c r="H3576" t="s">
        <v>7865</v>
      </c>
      <c r="I3576" t="s">
        <v>451</v>
      </c>
      <c r="J3576" t="s">
        <v>22</v>
      </c>
      <c r="K3576" t="s">
        <v>31024</v>
      </c>
      <c r="L3576" t="s">
        <v>31027</v>
      </c>
      <c r="M3576" t="s">
        <v>25</v>
      </c>
      <c r="N3576" t="s">
        <v>31028</v>
      </c>
      <c r="O3576" t="s">
        <v>25</v>
      </c>
      <c r="P3576" t="s">
        <v>31029</v>
      </c>
      <c r="Q3576" t="s">
        <v>29</v>
      </c>
      <c r="R3576" t="s">
        <v>31025</v>
      </c>
      <c r="S3576" t="s">
        <v>31026</v>
      </c>
    </row>
    <row r="3577" spans="1:19" x14ac:dyDescent="0.25">
      <c r="A3577" s="1">
        <v>3575</v>
      </c>
      <c r="B3577" t="str">
        <f>HYPERLINK("https://www.dasschnelle.at/huemer-kompost-gmbh-veitsdorf-erdenweg","Website")</f>
        <v>Website</v>
      </c>
      <c r="C3577" t="str">
        <f>HYPERLINK("http://www.huemerkompost.at","Website")</f>
        <v>Website</v>
      </c>
      <c r="D3577" t="str">
        <f>HYPERLINK("http://www.google.com/maps/place/48.3726663,14.3952596","Location")</f>
        <v>Location</v>
      </c>
      <c r="E3577" t="s">
        <v>31030</v>
      </c>
      <c r="F3577" t="s">
        <v>31031</v>
      </c>
      <c r="G3577" t="s">
        <v>29757</v>
      </c>
      <c r="H3577" t="s">
        <v>31033</v>
      </c>
      <c r="I3577" t="s">
        <v>85</v>
      </c>
      <c r="J3577" t="s">
        <v>22</v>
      </c>
      <c r="K3577" t="s">
        <v>31032</v>
      </c>
      <c r="L3577" t="s">
        <v>31036</v>
      </c>
      <c r="M3577" t="s">
        <v>31037</v>
      </c>
      <c r="N3577" t="s">
        <v>31038</v>
      </c>
      <c r="O3577" t="s">
        <v>25</v>
      </c>
      <c r="P3577" t="s">
        <v>31039</v>
      </c>
      <c r="Q3577" t="s">
        <v>29</v>
      </c>
      <c r="R3577" t="s">
        <v>31034</v>
      </c>
      <c r="S3577" t="s">
        <v>31035</v>
      </c>
    </row>
    <row r="3578" spans="1:19" x14ac:dyDescent="0.25">
      <c r="A3578" s="1">
        <v>3576</v>
      </c>
      <c r="B3578" t="str">
        <f>HYPERLINK("https://www.dasschnelle.at/hiebl-andrea-mag-altenberg-bei-linz-raiffeisenweg","Website")</f>
        <v>Website</v>
      </c>
      <c r="C3578" t="str">
        <f>HYPERLINK("http://www.hiebl.eu","Website")</f>
        <v>Website</v>
      </c>
      <c r="D3578" t="str">
        <f>HYPERLINK("http://www.google.com/maps/place/48.3742,14.34889","Location")</f>
        <v>Location</v>
      </c>
      <c r="E3578" t="s">
        <v>31040</v>
      </c>
      <c r="F3578" t="s">
        <v>31041</v>
      </c>
      <c r="G3578" t="s">
        <v>4110</v>
      </c>
      <c r="H3578" t="s">
        <v>4111</v>
      </c>
      <c r="I3578" t="s">
        <v>85</v>
      </c>
      <c r="J3578" t="s">
        <v>22</v>
      </c>
      <c r="K3578" t="s">
        <v>31042</v>
      </c>
      <c r="L3578" t="s">
        <v>31045</v>
      </c>
      <c r="M3578" t="s">
        <v>25</v>
      </c>
      <c r="N3578" t="s">
        <v>31046</v>
      </c>
      <c r="O3578" t="s">
        <v>25</v>
      </c>
      <c r="P3578" t="s">
        <v>31047</v>
      </c>
      <c r="Q3578" t="s">
        <v>29</v>
      </c>
      <c r="R3578" t="s">
        <v>31043</v>
      </c>
      <c r="S3578" t="s">
        <v>31044</v>
      </c>
    </row>
    <row r="3579" spans="1:19" x14ac:dyDescent="0.25">
      <c r="A3579" s="1">
        <v>3577</v>
      </c>
      <c r="B3579" t="str">
        <f>HYPERLINK("https://www.dasschnelle.at/noli-e-u-klosterneuburg-hintersdorfer-straße","Website")</f>
        <v>Website</v>
      </c>
      <c r="C3579" t="str">
        <f>HYPERLINK("http://www.anoli.at","Website")</f>
        <v>Website</v>
      </c>
      <c r="D3579" t="str">
        <f>HYPERLINK("http://www.google.com/maps/place/48.30599,16.2525","Location")</f>
        <v>Location</v>
      </c>
      <c r="E3579" t="s">
        <v>31048</v>
      </c>
      <c r="F3579" t="s">
        <v>31049</v>
      </c>
      <c r="G3579" t="s">
        <v>10308</v>
      </c>
      <c r="H3579" t="s">
        <v>10317</v>
      </c>
      <c r="I3579" t="s">
        <v>177</v>
      </c>
      <c r="J3579" t="s">
        <v>22</v>
      </c>
      <c r="K3579" t="s">
        <v>10307</v>
      </c>
      <c r="L3579" t="s">
        <v>31050</v>
      </c>
      <c r="M3579" t="s">
        <v>25</v>
      </c>
      <c r="N3579" t="s">
        <v>31051</v>
      </c>
      <c r="O3579" t="s">
        <v>31052</v>
      </c>
      <c r="P3579" t="s">
        <v>31053</v>
      </c>
      <c r="Q3579" t="s">
        <v>29</v>
      </c>
      <c r="R3579" t="s">
        <v>10310</v>
      </c>
      <c r="S3579" t="s">
        <v>10311</v>
      </c>
    </row>
    <row r="3580" spans="1:19" x14ac:dyDescent="0.25">
      <c r="A3580" s="1">
        <v>3578</v>
      </c>
      <c r="B3580" t="str">
        <f>HYPERLINK("https://www.dasschnelle.at/avega-bau-e-u-klosterneuburg-hintersdorfer-straße","Website")</f>
        <v>Website</v>
      </c>
      <c r="C3580" t="str">
        <f>HYPERLINK("http://www.avega.at/","Website")</f>
        <v>Website</v>
      </c>
      <c r="D3580" t="str">
        <f>HYPERLINK("http://www.google.com/maps/place/48.30599,16.2525","Location")</f>
        <v>Location</v>
      </c>
      <c r="E3580" t="s">
        <v>31054</v>
      </c>
      <c r="F3580" t="s">
        <v>31055</v>
      </c>
      <c r="G3580" t="s">
        <v>10308</v>
      </c>
      <c r="H3580" t="s">
        <v>10317</v>
      </c>
      <c r="I3580" t="s">
        <v>177</v>
      </c>
      <c r="J3580" t="s">
        <v>22</v>
      </c>
      <c r="K3580" t="s">
        <v>10307</v>
      </c>
      <c r="L3580" t="s">
        <v>31056</v>
      </c>
      <c r="M3580" t="s">
        <v>25</v>
      </c>
      <c r="N3580" t="s">
        <v>31057</v>
      </c>
      <c r="O3580" t="s">
        <v>31058</v>
      </c>
      <c r="P3580" t="s">
        <v>31059</v>
      </c>
      <c r="Q3580" t="s">
        <v>29</v>
      </c>
      <c r="R3580" t="s">
        <v>10310</v>
      </c>
      <c r="S3580" t="s">
        <v>10311</v>
      </c>
    </row>
    <row r="3581" spans="1:19" x14ac:dyDescent="0.25">
      <c r="A3581" s="1">
        <v>3579</v>
      </c>
      <c r="B3581" t="str">
        <f>HYPERLINK("https://www.dasschnelle.at/kreidl-walter-jun-dr-med-univ-zell-am-ziller-gerlosstraße","Website")</f>
        <v>Website</v>
      </c>
      <c r="C3581" t="str">
        <f>HYPERLINK("https://www.dasschnelle.at/kreidl-walter-jun-dr-med-univ-zell-am-ziller-gerlosstra%C3%9Fe","Website")</f>
        <v>Website</v>
      </c>
      <c r="D3581" t="str">
        <f>HYPERLINK("http://www.google.com/maps/place/47.2323000,11.8841000","Location")</f>
        <v>Location</v>
      </c>
      <c r="E3581" t="s">
        <v>31060</v>
      </c>
      <c r="F3581" t="s">
        <v>31061</v>
      </c>
      <c r="G3581" t="s">
        <v>4180</v>
      </c>
      <c r="H3581" t="s">
        <v>4181</v>
      </c>
      <c r="I3581" t="s">
        <v>21</v>
      </c>
      <c r="J3581" t="s">
        <v>22</v>
      </c>
      <c r="K3581" t="s">
        <v>31062</v>
      </c>
      <c r="L3581" t="s">
        <v>31065</v>
      </c>
      <c r="M3581" t="s">
        <v>25</v>
      </c>
      <c r="N3581" t="s">
        <v>31066</v>
      </c>
      <c r="O3581" t="s">
        <v>25</v>
      </c>
      <c r="P3581" t="s">
        <v>31067</v>
      </c>
      <c r="Q3581" t="s">
        <v>29</v>
      </c>
      <c r="R3581" t="s">
        <v>31063</v>
      </c>
      <c r="S3581" t="s">
        <v>31064</v>
      </c>
    </row>
    <row r="3582" spans="1:19" x14ac:dyDescent="0.25">
      <c r="A3582" s="1">
        <v>3580</v>
      </c>
      <c r="B3582" t="str">
        <f>HYPERLINK("https://www.dasschnelle.at/holz-schachinger-konrad-atzbach-schnötzing","Website")</f>
        <v>Website</v>
      </c>
      <c r="C3582" t="str">
        <f>HYPERLINK("http://www.holz-schachinger.at","Website")</f>
        <v>Website</v>
      </c>
      <c r="D3582" t="str">
        <f>HYPERLINK("http://www.google.com/maps/place/48.0914481,13.7133515","Location")</f>
        <v>Location</v>
      </c>
      <c r="E3582" t="s">
        <v>31068</v>
      </c>
      <c r="F3582" t="s">
        <v>31069</v>
      </c>
      <c r="G3582" t="s">
        <v>31071</v>
      </c>
      <c r="H3582" t="s">
        <v>31072</v>
      </c>
      <c r="I3582" t="s">
        <v>85</v>
      </c>
      <c r="J3582" t="s">
        <v>22</v>
      </c>
      <c r="K3582" t="s">
        <v>31070</v>
      </c>
      <c r="L3582" t="s">
        <v>31075</v>
      </c>
      <c r="M3582" t="s">
        <v>31076</v>
      </c>
      <c r="N3582" t="s">
        <v>31077</v>
      </c>
      <c r="O3582" t="s">
        <v>25</v>
      </c>
      <c r="P3582" t="s">
        <v>31078</v>
      </c>
      <c r="Q3582" t="s">
        <v>29</v>
      </c>
      <c r="R3582" t="s">
        <v>31073</v>
      </c>
      <c r="S3582" t="s">
        <v>31074</v>
      </c>
    </row>
    <row r="3583" spans="1:19" x14ac:dyDescent="0.25">
      <c r="A3583" s="1">
        <v>3581</v>
      </c>
      <c r="B3583" t="str">
        <f>HYPERLINK("https://www.dasschnelle.at/axhillari-enver-klosterneuburg-hintersdorfer-straße","Website")</f>
        <v>Website</v>
      </c>
      <c r="C3583" t="str">
        <f>HYPERLINK("http://www.bauspenglerei-axhillari.at","Website")</f>
        <v>Website</v>
      </c>
      <c r="D3583" t="str">
        <f>HYPERLINK("http://www.google.com/maps/place/48.30599,16.2525","Location")</f>
        <v>Location</v>
      </c>
      <c r="E3583" t="s">
        <v>31079</v>
      </c>
      <c r="F3583" t="s">
        <v>31080</v>
      </c>
      <c r="G3583" t="s">
        <v>10308</v>
      </c>
      <c r="H3583" t="s">
        <v>10317</v>
      </c>
      <c r="I3583" t="s">
        <v>177</v>
      </c>
      <c r="J3583" t="s">
        <v>22</v>
      </c>
      <c r="K3583" t="s">
        <v>10307</v>
      </c>
      <c r="L3583" t="s">
        <v>10312</v>
      </c>
      <c r="M3583" t="s">
        <v>25</v>
      </c>
      <c r="N3583" t="s">
        <v>10313</v>
      </c>
      <c r="O3583" t="s">
        <v>25</v>
      </c>
      <c r="P3583" t="s">
        <v>31081</v>
      </c>
      <c r="Q3583" t="s">
        <v>29</v>
      </c>
      <c r="R3583" t="s">
        <v>10310</v>
      </c>
      <c r="S3583" t="s">
        <v>10311</v>
      </c>
    </row>
    <row r="3584" spans="1:19" x14ac:dyDescent="0.25">
      <c r="A3584" s="1">
        <v>3582</v>
      </c>
      <c r="B3584" t="str">
        <f>HYPERLINK("https://www.dasschnelle.at/sorglos24-immobilien-u-schadensanierungs-gmbh-klosterneuburg-inkustraße","Website")</f>
        <v>Website</v>
      </c>
      <c r="C3584" t="str">
        <f>HYPERLINK("http://www.sorglos24.at","Website")</f>
        <v>Website</v>
      </c>
      <c r="D3584" t="str">
        <f>HYPERLINK("http://www.google.com/maps/place/48.2924765,16.3408861","Location")</f>
        <v>Location</v>
      </c>
      <c r="E3584" t="s">
        <v>31082</v>
      </c>
      <c r="F3584" t="s">
        <v>31083</v>
      </c>
      <c r="G3584" t="s">
        <v>10308</v>
      </c>
      <c r="H3584" t="s">
        <v>10317</v>
      </c>
      <c r="I3584" t="s">
        <v>177</v>
      </c>
      <c r="J3584" t="s">
        <v>22</v>
      </c>
      <c r="K3584" t="s">
        <v>31084</v>
      </c>
      <c r="L3584" t="s">
        <v>31085</v>
      </c>
      <c r="M3584" t="s">
        <v>25</v>
      </c>
      <c r="N3584" t="s">
        <v>31086</v>
      </c>
      <c r="O3584" t="s">
        <v>31087</v>
      </c>
      <c r="P3584" t="s">
        <v>31088</v>
      </c>
      <c r="Q3584" t="s">
        <v>29</v>
      </c>
      <c r="R3584" t="s">
        <v>26068</v>
      </c>
      <c r="S3584" t="s">
        <v>26069</v>
      </c>
    </row>
    <row r="3585" spans="1:19" x14ac:dyDescent="0.25">
      <c r="A3585" s="1">
        <v>3583</v>
      </c>
      <c r="B3585" t="str">
        <f>HYPERLINK("https://www.dasschnelle.at/holzbau-lenz-see-winkl","Website")</f>
        <v>Website</v>
      </c>
      <c r="C3585" t="str">
        <f>HYPERLINK("http://www.holzbau-lenz.at","Website")</f>
        <v>Website</v>
      </c>
      <c r="D3585" t="str">
        <f>HYPERLINK("http://www.google.com/maps/place/47.0782,10.46272","Location")</f>
        <v>Location</v>
      </c>
      <c r="E3585" t="s">
        <v>31089</v>
      </c>
      <c r="F3585" t="s">
        <v>31090</v>
      </c>
      <c r="G3585" t="s">
        <v>31092</v>
      </c>
      <c r="H3585" t="s">
        <v>31093</v>
      </c>
      <c r="I3585" t="s">
        <v>21</v>
      </c>
      <c r="J3585" t="s">
        <v>22</v>
      </c>
      <c r="K3585" t="s">
        <v>31091</v>
      </c>
      <c r="L3585" t="s">
        <v>31096</v>
      </c>
      <c r="M3585" t="s">
        <v>25</v>
      </c>
      <c r="N3585" t="s">
        <v>31097</v>
      </c>
      <c r="O3585" t="s">
        <v>25</v>
      </c>
      <c r="P3585" t="s">
        <v>31098</v>
      </c>
      <c r="Q3585" t="s">
        <v>29</v>
      </c>
      <c r="R3585" t="s">
        <v>31094</v>
      </c>
      <c r="S3585" t="s">
        <v>31095</v>
      </c>
    </row>
    <row r="3586" spans="1:19" x14ac:dyDescent="0.25">
      <c r="A3586" s="1">
        <v>3584</v>
      </c>
      <c r="B3586" t="str">
        <f>HYPERLINK("https://www.dasschnelle.at/kopfsache-doreen-walter-galtür-galtür","Website")</f>
        <v>Website</v>
      </c>
      <c r="C3586" t="str">
        <f>HYPERLINK("http://www.kopfsache-galtuer.at","Website")</f>
        <v>Website</v>
      </c>
      <c r="D3586" t="str">
        <f>HYPERLINK("http://www.google.com/maps/place/46.9684421,10.1876091","Location")</f>
        <v>Location</v>
      </c>
      <c r="E3586" t="s">
        <v>31099</v>
      </c>
      <c r="F3586" t="s">
        <v>31100</v>
      </c>
      <c r="G3586" t="s">
        <v>31102</v>
      </c>
      <c r="H3586" t="s">
        <v>31103</v>
      </c>
      <c r="I3586" t="s">
        <v>21</v>
      </c>
      <c r="J3586" t="s">
        <v>22</v>
      </c>
      <c r="K3586" t="s">
        <v>31101</v>
      </c>
      <c r="L3586" t="s">
        <v>31106</v>
      </c>
      <c r="M3586" t="s">
        <v>25</v>
      </c>
      <c r="N3586" t="s">
        <v>31107</v>
      </c>
      <c r="O3586" t="s">
        <v>25</v>
      </c>
      <c r="P3586" t="s">
        <v>31108</v>
      </c>
      <c r="Q3586" t="s">
        <v>29</v>
      </c>
      <c r="R3586" t="s">
        <v>31104</v>
      </c>
      <c r="S3586" t="s">
        <v>31105</v>
      </c>
    </row>
    <row r="3587" spans="1:19" x14ac:dyDescent="0.25">
      <c r="A3587" s="1">
        <v>3585</v>
      </c>
      <c r="B3587" t="str">
        <f>HYPERLINK("https://www.dasschnelle.at/elektro-karl-eidenberg-lichtenberger-straße","Website")</f>
        <v>Website</v>
      </c>
      <c r="C3587" t="str">
        <f>HYPERLINK("http://www.elektrokarl.com","Website")</f>
        <v>Website</v>
      </c>
      <c r="D3587" t="str">
        <f>HYPERLINK("http://www.google.com/maps/place/48.39379,14.23403","Location")</f>
        <v>Location</v>
      </c>
      <c r="E3587" t="s">
        <v>31109</v>
      </c>
      <c r="F3587" t="s">
        <v>31110</v>
      </c>
      <c r="G3587" t="s">
        <v>27341</v>
      </c>
      <c r="H3587" t="s">
        <v>28080</v>
      </c>
      <c r="I3587" t="s">
        <v>85</v>
      </c>
      <c r="J3587" t="s">
        <v>22</v>
      </c>
      <c r="K3587" t="s">
        <v>31111</v>
      </c>
      <c r="L3587" t="s">
        <v>31114</v>
      </c>
      <c r="M3587" t="s">
        <v>25</v>
      </c>
      <c r="N3587" t="s">
        <v>31115</v>
      </c>
      <c r="O3587" t="s">
        <v>25</v>
      </c>
      <c r="P3587" t="s">
        <v>31116</v>
      </c>
      <c r="Q3587" t="s">
        <v>29</v>
      </c>
      <c r="R3587" t="s">
        <v>31112</v>
      </c>
      <c r="S3587" t="s">
        <v>31113</v>
      </c>
    </row>
    <row r="3588" spans="1:19" x14ac:dyDescent="0.25">
      <c r="A3588" s="1">
        <v>3586</v>
      </c>
      <c r="B3588" t="str">
        <f>HYPERLINK("https://www.dasschnelle.at/hogl-steuerberatung-gmbh-hollabrunn-wienerstraße","Website")</f>
        <v>Website</v>
      </c>
      <c r="C3588" t="str">
        <f>HYPERLINK("http://www.hogl.co.at","Website")</f>
        <v>Website</v>
      </c>
      <c r="D3588" t="str">
        <f>HYPERLINK("http://www.google.com/maps/place/48.5580800,16.0801000","Location")</f>
        <v>Location</v>
      </c>
      <c r="E3588" t="s">
        <v>31117</v>
      </c>
      <c r="F3588" t="s">
        <v>31118</v>
      </c>
      <c r="G3588" t="s">
        <v>8370</v>
      </c>
      <c r="H3588" t="s">
        <v>8371</v>
      </c>
      <c r="I3588" t="s">
        <v>177</v>
      </c>
      <c r="J3588" t="s">
        <v>22</v>
      </c>
      <c r="K3588" t="s">
        <v>31119</v>
      </c>
      <c r="L3588" t="s">
        <v>31122</v>
      </c>
      <c r="M3588" t="s">
        <v>25</v>
      </c>
      <c r="N3588" t="s">
        <v>31123</v>
      </c>
      <c r="O3588" t="s">
        <v>25</v>
      </c>
      <c r="P3588" t="s">
        <v>31124</v>
      </c>
      <c r="Q3588" t="s">
        <v>29</v>
      </c>
      <c r="R3588" t="s">
        <v>31120</v>
      </c>
      <c r="S3588" t="s">
        <v>31121</v>
      </c>
    </row>
    <row r="3589" spans="1:19" x14ac:dyDescent="0.25">
      <c r="A3589" s="1">
        <v>3587</v>
      </c>
      <c r="B3589" t="str">
        <f>HYPERLINK("https://www.dasschnelle.at/schmöller-friedrich-prim-dr-amstetten-viehdorfer-straße","Website")</f>
        <v>Website</v>
      </c>
      <c r="C3589" t="str">
        <f>HYPERLINK("https://www.dasschnelle.at/schm%C3%B6ller-friedrich-prim-dr-amstetten-viehdorfer-stra%C3%9Fe","Website")</f>
        <v>Website</v>
      </c>
      <c r="D3589" t="str">
        <f>HYPERLINK("http://www.google.com/maps/place/48.12588,14.87056","Location")</f>
        <v>Location</v>
      </c>
      <c r="E3589" t="s">
        <v>31125</v>
      </c>
      <c r="F3589" t="s">
        <v>31126</v>
      </c>
      <c r="G3589" t="s">
        <v>1474</v>
      </c>
      <c r="H3589" t="s">
        <v>1475</v>
      </c>
      <c r="I3589" t="s">
        <v>177</v>
      </c>
      <c r="J3589" t="s">
        <v>22</v>
      </c>
      <c r="K3589" t="s">
        <v>31127</v>
      </c>
      <c r="L3589" t="s">
        <v>31130</v>
      </c>
      <c r="M3589" t="s">
        <v>25</v>
      </c>
      <c r="N3589" t="s">
        <v>25</v>
      </c>
      <c r="O3589" t="s">
        <v>25</v>
      </c>
      <c r="P3589" t="s">
        <v>31131</v>
      </c>
      <c r="Q3589" t="s">
        <v>29</v>
      </c>
      <c r="R3589" t="s">
        <v>31128</v>
      </c>
      <c r="S3589" t="s">
        <v>31129</v>
      </c>
    </row>
    <row r="3590" spans="1:19" x14ac:dyDescent="0.25">
      <c r="A3590" s="1">
        <v>3588</v>
      </c>
      <c r="B3590" t="str">
        <f>HYPERLINK("https://www.dasschnelle.at/hehenberger-konrad-dipl-tierarzt-zeillern-kleinberg","Website")</f>
        <v>Website</v>
      </c>
      <c r="C3590" t="str">
        <f>HYPERLINK("http://www.tierarzt-hehenberger.at","Website")</f>
        <v>Website</v>
      </c>
      <c r="D3590" t="str">
        <f>HYPERLINK("http://www.google.com/maps/place/48.11732,14.79729","Location")</f>
        <v>Location</v>
      </c>
      <c r="E3590" t="s">
        <v>31132</v>
      </c>
      <c r="F3590" t="s">
        <v>31133</v>
      </c>
      <c r="G3590" t="s">
        <v>31135</v>
      </c>
      <c r="H3590" t="s">
        <v>31136</v>
      </c>
      <c r="I3590" t="s">
        <v>177</v>
      </c>
      <c r="J3590" t="s">
        <v>22</v>
      </c>
      <c r="K3590" t="s">
        <v>31134</v>
      </c>
      <c r="L3590" t="s">
        <v>31139</v>
      </c>
      <c r="M3590" t="s">
        <v>25</v>
      </c>
      <c r="N3590" t="s">
        <v>31140</v>
      </c>
      <c r="O3590" t="s">
        <v>25</v>
      </c>
      <c r="P3590" t="s">
        <v>31141</v>
      </c>
      <c r="Q3590" t="s">
        <v>29</v>
      </c>
      <c r="R3590" t="s">
        <v>31137</v>
      </c>
      <c r="S3590" t="s">
        <v>31138</v>
      </c>
    </row>
    <row r="3591" spans="1:19" x14ac:dyDescent="0.25">
      <c r="A3591" s="1">
        <v>3589</v>
      </c>
      <c r="B3591" t="str">
        <f>HYPERLINK("https://www.dasschnelle.at/alte-stadtapotheke-zum-einhorn-waidhofen-an-der-ybbs-oberer-stadtplatz","Website")</f>
        <v>Website</v>
      </c>
      <c r="C3591" t="str">
        <f>HYPERLINK("http://www.stadtapotheke-waidhofen.at","Website")</f>
        <v>Website</v>
      </c>
      <c r="D3591" t="str">
        <f>HYPERLINK("http://www.google.com/maps/place/47.9605806,14.7755353","Location")</f>
        <v>Location</v>
      </c>
      <c r="E3591" t="s">
        <v>31142</v>
      </c>
      <c r="F3591" t="s">
        <v>31143</v>
      </c>
      <c r="G3591" t="s">
        <v>1504</v>
      </c>
      <c r="H3591" t="s">
        <v>1586</v>
      </c>
      <c r="I3591" t="s">
        <v>177</v>
      </c>
      <c r="J3591" t="s">
        <v>22</v>
      </c>
      <c r="K3591" t="s">
        <v>31144</v>
      </c>
      <c r="L3591" t="s">
        <v>31147</v>
      </c>
      <c r="M3591" t="s">
        <v>25</v>
      </c>
      <c r="N3591" t="s">
        <v>31148</v>
      </c>
      <c r="O3591" t="s">
        <v>25</v>
      </c>
      <c r="P3591" t="s">
        <v>31149</v>
      </c>
      <c r="Q3591" t="s">
        <v>29</v>
      </c>
      <c r="R3591" t="s">
        <v>31145</v>
      </c>
      <c r="S3591" t="s">
        <v>31146</v>
      </c>
    </row>
    <row r="3592" spans="1:19" x14ac:dyDescent="0.25">
      <c r="A3592" s="1">
        <v>3590</v>
      </c>
      <c r="B3592" t="str">
        <f>HYPERLINK("https://www.dasschnelle.at/aslan-faruk-freiland-lehenrotte","Website")</f>
        <v>Website</v>
      </c>
      <c r="C3592" t="str">
        <f>HYPERLINK("http://www.gartenservice-pool.at","Website")</f>
        <v>Website</v>
      </c>
      <c r="D3592" t="str">
        <f>HYPERLINK("http://www.google.com/maps/place/47.9618419,15.5537647","Location")</f>
        <v>Location</v>
      </c>
      <c r="E3592" t="s">
        <v>31150</v>
      </c>
      <c r="F3592" t="s">
        <v>31151</v>
      </c>
      <c r="G3592" t="s">
        <v>12499</v>
      </c>
      <c r="H3592" t="s">
        <v>31153</v>
      </c>
      <c r="I3592" t="s">
        <v>177</v>
      </c>
      <c r="J3592" t="s">
        <v>22</v>
      </c>
      <c r="K3592" t="s">
        <v>31152</v>
      </c>
      <c r="L3592" t="s">
        <v>31156</v>
      </c>
      <c r="M3592" t="s">
        <v>25</v>
      </c>
      <c r="N3592" t="s">
        <v>31157</v>
      </c>
      <c r="O3592" t="s">
        <v>25</v>
      </c>
      <c r="P3592" t="s">
        <v>697</v>
      </c>
      <c r="Q3592" t="s">
        <v>29</v>
      </c>
      <c r="R3592" t="s">
        <v>31154</v>
      </c>
      <c r="S3592" t="s">
        <v>31155</v>
      </c>
    </row>
    <row r="3593" spans="1:19" x14ac:dyDescent="0.25">
      <c r="A3593" s="1">
        <v>3591</v>
      </c>
      <c r="B3593" t="str">
        <f>HYPERLINK("https://www.dasschnelle.at/fix-verfliest-e-u-st-stefan-rosenfeldstraße","Website")</f>
        <v>Website</v>
      </c>
      <c r="C3593" t="str">
        <f>HYPERLINK("https://www.dasschnelle.at/fix-verfliest-e-u-st-stefan-rosenfeldstra%C3%9Fe","Website")</f>
        <v>Website</v>
      </c>
      <c r="D3593" t="str">
        <f>HYPERLINK("http://www.google.com/maps/place/46.81168,14.84922","Location")</f>
        <v>Location</v>
      </c>
      <c r="E3593" t="s">
        <v>31158</v>
      </c>
      <c r="F3593" t="s">
        <v>31159</v>
      </c>
      <c r="G3593" t="s">
        <v>11372</v>
      </c>
      <c r="H3593" t="s">
        <v>11373</v>
      </c>
      <c r="I3593" t="s">
        <v>4130</v>
      </c>
      <c r="J3593" t="s">
        <v>22</v>
      </c>
      <c r="K3593" t="s">
        <v>31160</v>
      </c>
      <c r="L3593" t="s">
        <v>31163</v>
      </c>
      <c r="M3593" t="s">
        <v>25</v>
      </c>
      <c r="N3593" t="s">
        <v>31164</v>
      </c>
      <c r="O3593" t="s">
        <v>25</v>
      </c>
      <c r="P3593" t="s">
        <v>31165</v>
      </c>
      <c r="Q3593" t="s">
        <v>29</v>
      </c>
      <c r="R3593" t="s">
        <v>31161</v>
      </c>
      <c r="S3593" t="s">
        <v>31162</v>
      </c>
    </row>
    <row r="3594" spans="1:19" x14ac:dyDescent="0.25">
      <c r="A3594" s="1">
        <v>3592</v>
      </c>
      <c r="B3594" t="str">
        <f>HYPERLINK("https://www.dasschnelle.at/brunnmayr-gudrun-dr-marchtrenk-linzer-straße","Website")</f>
        <v>Website</v>
      </c>
      <c r="C3594" t="str">
        <f>HYPERLINK("http://www.frauenaerztin-brunnmayr.at","Website")</f>
        <v>Website</v>
      </c>
      <c r="D3594" t="str">
        <f>HYPERLINK("http://www.google.com/maps/place/48.1905,14.11283","Location")</f>
        <v>Location</v>
      </c>
      <c r="E3594" t="s">
        <v>31166</v>
      </c>
      <c r="F3594" t="s">
        <v>31167</v>
      </c>
      <c r="G3594" t="s">
        <v>4902</v>
      </c>
      <c r="H3594" t="s">
        <v>7155</v>
      </c>
      <c r="I3594" t="s">
        <v>85</v>
      </c>
      <c r="J3594" t="s">
        <v>22</v>
      </c>
      <c r="K3594" t="s">
        <v>12717</v>
      </c>
      <c r="L3594" t="s">
        <v>31168</v>
      </c>
      <c r="M3594" t="s">
        <v>25</v>
      </c>
      <c r="N3594" t="s">
        <v>31169</v>
      </c>
      <c r="O3594" t="s">
        <v>31170</v>
      </c>
      <c r="P3594" t="s">
        <v>31171</v>
      </c>
      <c r="Q3594" t="s">
        <v>29</v>
      </c>
      <c r="R3594" t="s">
        <v>12718</v>
      </c>
      <c r="S3594" t="s">
        <v>12719</v>
      </c>
    </row>
    <row r="3595" spans="1:19" x14ac:dyDescent="0.25">
      <c r="A3595" s="1">
        <v>3593</v>
      </c>
      <c r="B3595" t="str">
        <f>HYPERLINK("https://www.dasschnelle.at/zangl-christian-dr-med-hall-in-tirol-kaiser-max-straße","Website")</f>
        <v>Website</v>
      </c>
      <c r="C3595" t="str">
        <f>HYPERLINK("http://www.zangl.cc","Website")</f>
        <v>Website</v>
      </c>
      <c r="D3595" t="str">
        <f>HYPERLINK("http://www.google.com/maps/place/47.2853547,11.5216431","Location")</f>
        <v>Location</v>
      </c>
      <c r="E3595" t="s">
        <v>31172</v>
      </c>
      <c r="F3595" t="s">
        <v>31173</v>
      </c>
      <c r="G3595" t="s">
        <v>31175</v>
      </c>
      <c r="H3595" t="s">
        <v>31176</v>
      </c>
      <c r="I3595" t="s">
        <v>21</v>
      </c>
      <c r="J3595" t="s">
        <v>22</v>
      </c>
      <c r="K3595" t="s">
        <v>31174</v>
      </c>
      <c r="L3595" t="s">
        <v>31179</v>
      </c>
      <c r="M3595" t="s">
        <v>25</v>
      </c>
      <c r="N3595" t="s">
        <v>31180</v>
      </c>
      <c r="O3595" t="s">
        <v>25</v>
      </c>
      <c r="P3595" t="s">
        <v>31181</v>
      </c>
      <c r="Q3595" t="s">
        <v>29</v>
      </c>
      <c r="R3595" t="s">
        <v>31177</v>
      </c>
      <c r="S3595" t="s">
        <v>31178</v>
      </c>
    </row>
    <row r="3596" spans="1:19" x14ac:dyDescent="0.25">
      <c r="A3596" s="1">
        <v>3594</v>
      </c>
      <c r="B3596" t="str">
        <f>HYPERLINK("https://www.dasschnelle.at/bestattung-wolfsberg-und-st-paul-wolfsberg-lindhofstraße","Website")</f>
        <v>Website</v>
      </c>
      <c r="C3596" t="str">
        <f>HYPERLINK("http://www.bestattung-wolfsberg.at","Website")</f>
        <v>Website</v>
      </c>
      <c r="D3596" t="str">
        <f>HYPERLINK("http://www.google.com/maps/place/46.8401100,14.8440700","Location")</f>
        <v>Location</v>
      </c>
      <c r="E3596" t="s">
        <v>31182</v>
      </c>
      <c r="F3596" t="s">
        <v>31183</v>
      </c>
      <c r="G3596" t="s">
        <v>11363</v>
      </c>
      <c r="H3596" t="s">
        <v>11391</v>
      </c>
      <c r="I3596" t="s">
        <v>4130</v>
      </c>
      <c r="J3596" t="s">
        <v>22</v>
      </c>
      <c r="K3596" t="s">
        <v>31184</v>
      </c>
      <c r="L3596" t="s">
        <v>31187</v>
      </c>
      <c r="M3596" t="s">
        <v>25</v>
      </c>
      <c r="N3596" t="s">
        <v>31188</v>
      </c>
      <c r="O3596" t="s">
        <v>31189</v>
      </c>
      <c r="P3596" t="s">
        <v>31190</v>
      </c>
      <c r="Q3596" t="s">
        <v>29</v>
      </c>
      <c r="R3596" t="s">
        <v>31185</v>
      </c>
      <c r="S3596" t="s">
        <v>31186</v>
      </c>
    </row>
    <row r="3597" spans="1:19" x14ac:dyDescent="0.25">
      <c r="A3597" s="1">
        <v>3595</v>
      </c>
      <c r="B3597" t="str">
        <f>HYPERLINK("https://www.dasschnelle.at/klade-peter-wolfsberg-industriestraße","Website")</f>
        <v>Website</v>
      </c>
      <c r="C3597" t="str">
        <f>HYPERLINK("https://www.dasschnelle.at/klade-peter-wolfsberg-industriestra%C3%9Fe","Website")</f>
        <v>Website</v>
      </c>
      <c r="D3597" t="str">
        <f>HYPERLINK("http://www.google.com/maps/place/46.8229,14.84108","Location")</f>
        <v>Location</v>
      </c>
      <c r="E3597" t="s">
        <v>31191</v>
      </c>
      <c r="F3597" t="s">
        <v>31192</v>
      </c>
      <c r="G3597" t="s">
        <v>11363</v>
      </c>
      <c r="H3597" t="s">
        <v>11391</v>
      </c>
      <c r="I3597" t="s">
        <v>4130</v>
      </c>
      <c r="J3597" t="s">
        <v>22</v>
      </c>
      <c r="K3597" t="s">
        <v>31193</v>
      </c>
      <c r="L3597" t="s">
        <v>31196</v>
      </c>
      <c r="M3597" t="s">
        <v>25</v>
      </c>
      <c r="N3597" t="s">
        <v>31197</v>
      </c>
      <c r="O3597" t="s">
        <v>25</v>
      </c>
      <c r="P3597" t="s">
        <v>697</v>
      </c>
      <c r="Q3597" t="s">
        <v>29</v>
      </c>
      <c r="R3597" t="s">
        <v>31194</v>
      </c>
      <c r="S3597" t="s">
        <v>31195</v>
      </c>
    </row>
    <row r="3598" spans="1:19" x14ac:dyDescent="0.25">
      <c r="A3598" s="1">
        <v>3596</v>
      </c>
      <c r="B3598" t="str">
        <f>HYPERLINK("https://www.dasschnelle.at/bergmoser-anni-sankt-veit-landstraße","Website")</f>
        <v>Website</v>
      </c>
      <c r="C3598" t="str">
        <f>HYPERLINK("https://www.dasschnelle.at/bergmoser-anni-sankt-veit-landstra%C3%9Fe","Website")</f>
        <v>Website</v>
      </c>
      <c r="D3598" t="str">
        <f>HYPERLINK("http://www.google.com/maps/place/46.7661073,14.3597654","Location")</f>
        <v>Location</v>
      </c>
      <c r="E3598" t="s">
        <v>31198</v>
      </c>
      <c r="F3598" t="s">
        <v>31199</v>
      </c>
      <c r="G3598" t="s">
        <v>9689</v>
      </c>
      <c r="H3598" t="s">
        <v>25307</v>
      </c>
      <c r="I3598" t="s">
        <v>4130</v>
      </c>
      <c r="J3598" t="s">
        <v>22</v>
      </c>
      <c r="K3598" t="s">
        <v>31200</v>
      </c>
      <c r="L3598" t="s">
        <v>31203</v>
      </c>
      <c r="M3598" t="s">
        <v>25</v>
      </c>
      <c r="N3598" t="s">
        <v>31204</v>
      </c>
      <c r="O3598" t="s">
        <v>25</v>
      </c>
      <c r="P3598" t="s">
        <v>31205</v>
      </c>
      <c r="Q3598" t="s">
        <v>29</v>
      </c>
      <c r="R3598" t="s">
        <v>31201</v>
      </c>
      <c r="S3598" t="s">
        <v>31202</v>
      </c>
    </row>
    <row r="3599" spans="1:19" x14ac:dyDescent="0.25">
      <c r="A3599" s="1">
        <v>3597</v>
      </c>
      <c r="B3599" t="str">
        <f>HYPERLINK("https://www.dasschnelle.at/dr-thomas-schwarz-jennersdorf-kirchenstraße","Website")</f>
        <v>Website</v>
      </c>
      <c r="C3599" t="str">
        <f>HYPERLINK("http://www.schwarz-augenarzt.at","Website")</f>
        <v>Website</v>
      </c>
      <c r="D3599" t="str">
        <f>HYPERLINK("http://www.google.com/maps/place/46.93794,16.14188","Location")</f>
        <v>Location</v>
      </c>
      <c r="E3599" t="s">
        <v>31206</v>
      </c>
      <c r="F3599" t="s">
        <v>31207</v>
      </c>
      <c r="G3599" t="s">
        <v>6602</v>
      </c>
      <c r="H3599" t="s">
        <v>6603</v>
      </c>
      <c r="I3599" t="s">
        <v>1834</v>
      </c>
      <c r="J3599" t="s">
        <v>22</v>
      </c>
      <c r="K3599" t="s">
        <v>31208</v>
      </c>
      <c r="L3599" t="s">
        <v>31211</v>
      </c>
      <c r="M3599" t="s">
        <v>25</v>
      </c>
      <c r="N3599" t="s">
        <v>31212</v>
      </c>
      <c r="O3599" t="s">
        <v>25</v>
      </c>
      <c r="P3599" t="s">
        <v>31213</v>
      </c>
      <c r="Q3599" t="s">
        <v>29</v>
      </c>
      <c r="R3599" t="s">
        <v>31209</v>
      </c>
      <c r="S3599" t="s">
        <v>31210</v>
      </c>
    </row>
    <row r="3600" spans="1:19" x14ac:dyDescent="0.25">
      <c r="A3600" s="1">
        <v>3598</v>
      </c>
      <c r="B3600" t="str">
        <f>HYPERLINK("https://www.dasschnelle.at/mag-ddr-ruth-maria-friewald-amstetten-schulstraße","Website")</f>
        <v>Website</v>
      </c>
      <c r="C3600" t="str">
        <f>HYPERLINK("http://www.kjp-friewald.at","Website")</f>
        <v>Website</v>
      </c>
      <c r="D3600" t="str">
        <f>HYPERLINK("http://www.google.com/maps/place/48.1231,14.87672","Location")</f>
        <v>Location</v>
      </c>
      <c r="E3600" t="s">
        <v>31214</v>
      </c>
      <c r="F3600" t="s">
        <v>31215</v>
      </c>
      <c r="G3600" t="s">
        <v>1474</v>
      </c>
      <c r="H3600" t="s">
        <v>1475</v>
      </c>
      <c r="I3600" t="s">
        <v>177</v>
      </c>
      <c r="J3600" t="s">
        <v>22</v>
      </c>
      <c r="K3600" t="s">
        <v>31216</v>
      </c>
      <c r="L3600" t="s">
        <v>31219</v>
      </c>
      <c r="M3600" t="s">
        <v>25</v>
      </c>
      <c r="N3600" t="s">
        <v>31220</v>
      </c>
      <c r="O3600" t="s">
        <v>25</v>
      </c>
      <c r="P3600" t="s">
        <v>31221</v>
      </c>
      <c r="Q3600" t="s">
        <v>29</v>
      </c>
      <c r="R3600" t="s">
        <v>31217</v>
      </c>
      <c r="S3600" t="s">
        <v>31218</v>
      </c>
    </row>
    <row r="3601" spans="1:19" x14ac:dyDescent="0.25">
      <c r="A3601" s="1">
        <v>3599</v>
      </c>
      <c r="B3601" t="str">
        <f>HYPERLINK("https://www.dasschnelle.at/christoph-langsenlehner-kg-haidershofen-tröstlberg","Website")</f>
        <v>Website</v>
      </c>
      <c r="C3601" t="str">
        <f>HYPERLINK("https://www.dasschnelle.at/christoph-langsenlehner-kg-haidershofen-tr%C3%B6stlberg","Website")</f>
        <v>Website</v>
      </c>
      <c r="D3601" t="str">
        <f>HYPERLINK("http://www.google.com/maps/place/48.0531937,14.5247230","Location")</f>
        <v>Location</v>
      </c>
      <c r="E3601" t="s">
        <v>31222</v>
      </c>
      <c r="F3601" t="s">
        <v>31223</v>
      </c>
      <c r="G3601" t="s">
        <v>9366</v>
      </c>
      <c r="H3601" t="s">
        <v>31225</v>
      </c>
      <c r="I3601" t="s">
        <v>177</v>
      </c>
      <c r="J3601" t="s">
        <v>22</v>
      </c>
      <c r="K3601" t="s">
        <v>31224</v>
      </c>
      <c r="L3601" t="s">
        <v>31228</v>
      </c>
      <c r="M3601" t="s">
        <v>25</v>
      </c>
      <c r="N3601" t="s">
        <v>25</v>
      </c>
      <c r="O3601" t="s">
        <v>25</v>
      </c>
      <c r="P3601" t="s">
        <v>31229</v>
      </c>
      <c r="Q3601" t="s">
        <v>29</v>
      </c>
      <c r="R3601" t="s">
        <v>31226</v>
      </c>
      <c r="S3601" t="s">
        <v>31227</v>
      </c>
    </row>
    <row r="3602" spans="1:19" x14ac:dyDescent="0.25">
      <c r="A3602" s="1">
        <v>3600</v>
      </c>
      <c r="B3602" t="str">
        <f>HYPERLINK("https://www.dasschnelle.at/hotel-post-st-valentin-westbahnstr","Website")</f>
        <v>Website</v>
      </c>
      <c r="C3602" t="str">
        <f>HYPERLINK("http://www.hotel-rogl.at","Website")</f>
        <v>Website</v>
      </c>
      <c r="D3602" t="str">
        <f>HYPERLINK("http://www.google.com/maps/place/48.17904,14.52278","Location")</f>
        <v>Location</v>
      </c>
      <c r="E3602" t="s">
        <v>31230</v>
      </c>
      <c r="F3602" t="s">
        <v>31231</v>
      </c>
      <c r="G3602" t="s">
        <v>1484</v>
      </c>
      <c r="H3602" t="s">
        <v>1485</v>
      </c>
      <c r="I3602" t="s">
        <v>177</v>
      </c>
      <c r="J3602" t="s">
        <v>22</v>
      </c>
      <c r="K3602" t="s">
        <v>31232</v>
      </c>
      <c r="L3602" t="s">
        <v>31235</v>
      </c>
      <c r="M3602" t="s">
        <v>25</v>
      </c>
      <c r="N3602" t="s">
        <v>31236</v>
      </c>
      <c r="O3602" t="s">
        <v>25</v>
      </c>
      <c r="P3602" t="s">
        <v>31237</v>
      </c>
      <c r="Q3602" t="s">
        <v>29</v>
      </c>
      <c r="R3602" t="s">
        <v>31233</v>
      </c>
      <c r="S3602" t="s">
        <v>31234</v>
      </c>
    </row>
    <row r="3603" spans="1:19" x14ac:dyDescent="0.25">
      <c r="A3603" s="1">
        <v>3601</v>
      </c>
      <c r="B3603" t="str">
        <f>HYPERLINK("https://www.dasschnelle.at/mag-matthias-leitner-waidhofen-ybbs-kapuzingerg","Website")</f>
        <v>Website</v>
      </c>
      <c r="C3603" t="str">
        <f>HYPERLINK("http://www.rechtsanwalt-leitner.at","Website")</f>
        <v>Website</v>
      </c>
      <c r="D3603" t="str">
        <f>HYPERLINK("http://www.google.com/maps/place/47.9585482,14.7771731","Location")</f>
        <v>Location</v>
      </c>
      <c r="E3603" t="s">
        <v>31238</v>
      </c>
      <c r="F3603" t="s">
        <v>31239</v>
      </c>
      <c r="G3603" t="s">
        <v>1504</v>
      </c>
      <c r="H3603" t="s">
        <v>31241</v>
      </c>
      <c r="I3603" t="s">
        <v>177</v>
      </c>
      <c r="J3603" t="s">
        <v>22</v>
      </c>
      <c r="K3603" t="s">
        <v>31240</v>
      </c>
      <c r="L3603" t="s">
        <v>31244</v>
      </c>
      <c r="M3603" t="s">
        <v>25</v>
      </c>
      <c r="N3603" t="s">
        <v>31245</v>
      </c>
      <c r="O3603" t="s">
        <v>25</v>
      </c>
      <c r="P3603" t="s">
        <v>31246</v>
      </c>
      <c r="Q3603" t="s">
        <v>29</v>
      </c>
      <c r="R3603" t="s">
        <v>31242</v>
      </c>
      <c r="S3603" t="s">
        <v>31243</v>
      </c>
    </row>
    <row r="3604" spans="1:19" x14ac:dyDescent="0.25">
      <c r="A3604" s="1">
        <v>3602</v>
      </c>
      <c r="B3604" t="str">
        <f>HYPERLINK("https://www.dasschnelle.at/gruber-nicole-dr-med-univ-zell-am-ziller-unterau","Website")</f>
        <v>Website</v>
      </c>
      <c r="C3604" t="str">
        <f>HYPERLINK("http://www.nicole-gruber.at","Website")</f>
        <v>Website</v>
      </c>
      <c r="D3604" t="str">
        <f>HYPERLINK("http://www.google.com/maps/place/47.23716,11.886","Location")</f>
        <v>Location</v>
      </c>
      <c r="E3604" t="s">
        <v>31247</v>
      </c>
      <c r="F3604" t="s">
        <v>31248</v>
      </c>
      <c r="G3604" t="s">
        <v>4180</v>
      </c>
      <c r="H3604" t="s">
        <v>4181</v>
      </c>
      <c r="I3604" t="s">
        <v>21</v>
      </c>
      <c r="J3604" t="s">
        <v>22</v>
      </c>
      <c r="K3604" t="s">
        <v>31249</v>
      </c>
      <c r="L3604" t="s">
        <v>31252</v>
      </c>
      <c r="M3604" t="s">
        <v>25</v>
      </c>
      <c r="N3604" t="s">
        <v>31253</v>
      </c>
      <c r="O3604" t="s">
        <v>25</v>
      </c>
      <c r="P3604" t="s">
        <v>31254</v>
      </c>
      <c r="Q3604" t="s">
        <v>29</v>
      </c>
      <c r="R3604" t="s">
        <v>31250</v>
      </c>
      <c r="S3604" t="s">
        <v>31251</v>
      </c>
    </row>
    <row r="3605" spans="1:19" x14ac:dyDescent="0.25">
      <c r="A3605" s="1">
        <v>3603</v>
      </c>
      <c r="B3605" t="str">
        <f>HYPERLINK("https://www.dasschnelle.at/röntgendiagnostik-in-hollabrunn-og-hollabrunn-brünnlgasse","Website")</f>
        <v>Website</v>
      </c>
      <c r="C3605" t="str">
        <f>HYPERLINK("http://www.roentgen-hollabrunn.at","Website")</f>
        <v>Website</v>
      </c>
      <c r="D3605" t="str">
        <f>HYPERLINK("http://www.google.com/maps/place/48.56447,16.09185","Location")</f>
        <v>Location</v>
      </c>
      <c r="E3605" t="s">
        <v>31255</v>
      </c>
      <c r="F3605" t="s">
        <v>31256</v>
      </c>
      <c r="G3605" t="s">
        <v>8370</v>
      </c>
      <c r="H3605" t="s">
        <v>8371</v>
      </c>
      <c r="I3605" t="s">
        <v>177</v>
      </c>
      <c r="J3605" t="s">
        <v>22</v>
      </c>
      <c r="K3605" t="s">
        <v>31257</v>
      </c>
      <c r="L3605" t="s">
        <v>31260</v>
      </c>
      <c r="M3605" t="s">
        <v>25</v>
      </c>
      <c r="N3605" t="s">
        <v>31261</v>
      </c>
      <c r="O3605" t="s">
        <v>25</v>
      </c>
      <c r="P3605" t="s">
        <v>31262</v>
      </c>
      <c r="Q3605" t="s">
        <v>29</v>
      </c>
      <c r="R3605" t="s">
        <v>31258</v>
      </c>
      <c r="S3605" t="s">
        <v>31259</v>
      </c>
    </row>
    <row r="3606" spans="1:19" x14ac:dyDescent="0.25">
      <c r="A3606" s="1">
        <v>3604</v>
      </c>
      <c r="B3606" t="str">
        <f>HYPERLINK("https://www.dasschnelle.at/freunberger-josef-oberwang-oberaschau","Website")</f>
        <v>Website</v>
      </c>
      <c r="C3606" t="str">
        <f>HYPERLINK("http://www.tortech.at","Website")</f>
        <v>Website</v>
      </c>
      <c r="D3606" t="str">
        <f>HYPERLINK("http://www.google.com/maps/place/47.8396019,13.4765826","Location")</f>
        <v>Location</v>
      </c>
      <c r="E3606" t="s">
        <v>31263</v>
      </c>
      <c r="F3606" t="s">
        <v>31264</v>
      </c>
      <c r="G3606" t="s">
        <v>6553</v>
      </c>
      <c r="H3606" t="s">
        <v>6554</v>
      </c>
      <c r="I3606" t="s">
        <v>85</v>
      </c>
      <c r="J3606" t="s">
        <v>22</v>
      </c>
      <c r="K3606" t="s">
        <v>31265</v>
      </c>
      <c r="L3606" t="s">
        <v>31268</v>
      </c>
      <c r="M3606" t="s">
        <v>25</v>
      </c>
      <c r="N3606" t="s">
        <v>31269</v>
      </c>
      <c r="O3606" t="s">
        <v>25</v>
      </c>
      <c r="P3606" t="s">
        <v>31270</v>
      </c>
      <c r="Q3606" t="s">
        <v>29</v>
      </c>
      <c r="R3606" t="s">
        <v>31266</v>
      </c>
      <c r="S3606" t="s">
        <v>31267</v>
      </c>
    </row>
    <row r="3607" spans="1:19" x14ac:dyDescent="0.25">
      <c r="A3607" s="1">
        <v>3605</v>
      </c>
      <c r="B3607" t="str">
        <f>HYPERLINK("https://www.dasschnelle.at/augenzentrum-horn-dr-frischauf-und-dr-sulzer-horn-riedenburgstraße","Website")</f>
        <v>Website</v>
      </c>
      <c r="C3607" t="str">
        <f>HYPERLINK("https://www.dasschnelle.at/augenzentrum-horn-dr-frischauf-und-dr-sulzer-horn-riedenburgstra%C3%9Fe","Website")</f>
        <v>Website</v>
      </c>
      <c r="D3607" t="str">
        <f>HYPERLINK("http://www.google.com/maps/place/48.66178,15.65618","Location")</f>
        <v>Location</v>
      </c>
      <c r="E3607" t="s">
        <v>31271</v>
      </c>
      <c r="F3607" t="s">
        <v>31272</v>
      </c>
      <c r="G3607" t="s">
        <v>12616</v>
      </c>
      <c r="H3607" t="s">
        <v>12625</v>
      </c>
      <c r="I3607" t="s">
        <v>177</v>
      </c>
      <c r="J3607" t="s">
        <v>22</v>
      </c>
      <c r="K3607" t="s">
        <v>31273</v>
      </c>
      <c r="L3607" t="s">
        <v>31276</v>
      </c>
      <c r="M3607" t="s">
        <v>25</v>
      </c>
      <c r="N3607" t="s">
        <v>25</v>
      </c>
      <c r="O3607" t="s">
        <v>25</v>
      </c>
      <c r="P3607" t="s">
        <v>31277</v>
      </c>
      <c r="Q3607" t="s">
        <v>29</v>
      </c>
      <c r="R3607" t="s">
        <v>31274</v>
      </c>
      <c r="S3607" t="s">
        <v>31275</v>
      </c>
    </row>
    <row r="3608" spans="1:19" x14ac:dyDescent="0.25">
      <c r="A3608" s="1">
        <v>3606</v>
      </c>
      <c r="B3608" t="str">
        <f>HYPERLINK("https://www.dasschnelle.at/hauzenberger-gmbh-autohaus-zwettl-an-der-rodl-linzer-straße","Website")</f>
        <v>Website</v>
      </c>
      <c r="C3608" t="str">
        <f>HYPERLINK("http://www.ford-hauzenberger.at","Website")</f>
        <v>Website</v>
      </c>
      <c r="D3608" t="str">
        <f>HYPERLINK("http://www.google.com/maps/place/48.46289,14.27082","Location")</f>
        <v>Location</v>
      </c>
      <c r="E3608" t="s">
        <v>31278</v>
      </c>
      <c r="F3608" t="s">
        <v>31279</v>
      </c>
      <c r="G3608" t="s">
        <v>31280</v>
      </c>
      <c r="H3608" t="s">
        <v>31281</v>
      </c>
      <c r="I3608" t="s">
        <v>85</v>
      </c>
      <c r="J3608" t="s">
        <v>22</v>
      </c>
      <c r="K3608" t="s">
        <v>27687</v>
      </c>
      <c r="L3608" t="s">
        <v>31284</v>
      </c>
      <c r="M3608" t="s">
        <v>31285</v>
      </c>
      <c r="N3608" t="s">
        <v>31286</v>
      </c>
      <c r="O3608" t="s">
        <v>25</v>
      </c>
      <c r="P3608" t="s">
        <v>31287</v>
      </c>
      <c r="Q3608" t="s">
        <v>29</v>
      </c>
      <c r="R3608" t="s">
        <v>31282</v>
      </c>
      <c r="S3608" t="s">
        <v>31283</v>
      </c>
    </row>
    <row r="3609" spans="1:19" x14ac:dyDescent="0.25">
      <c r="A3609" s="1">
        <v>3607</v>
      </c>
      <c r="B3609" t="str">
        <f>HYPERLINK("https://www.dasschnelle.at/malek-c-dr-med-univ-ravelsbach-hauptplatz","Website")</f>
        <v>Website</v>
      </c>
      <c r="C3609" t="str">
        <f>HYPERLINK("https://www.dasschnelle.at/malek-c-dr-med-univ-ravelsbach-hauptplatz","Website")</f>
        <v>Website</v>
      </c>
      <c r="D3609" t="str">
        <f>HYPERLINK("http://www.google.com/maps/place/48.55168,15.84935","Location")</f>
        <v>Location</v>
      </c>
      <c r="E3609" t="s">
        <v>31288</v>
      </c>
      <c r="F3609" t="s">
        <v>31289</v>
      </c>
      <c r="G3609" t="s">
        <v>8430</v>
      </c>
      <c r="H3609" t="s">
        <v>8431</v>
      </c>
      <c r="I3609" t="s">
        <v>177</v>
      </c>
      <c r="J3609" t="s">
        <v>22</v>
      </c>
      <c r="K3609" t="s">
        <v>1212</v>
      </c>
      <c r="L3609" t="s">
        <v>31292</v>
      </c>
      <c r="M3609" t="s">
        <v>25</v>
      </c>
      <c r="N3609" t="s">
        <v>31293</v>
      </c>
      <c r="O3609" t="s">
        <v>25</v>
      </c>
      <c r="P3609" t="s">
        <v>31294</v>
      </c>
      <c r="Q3609" t="s">
        <v>29</v>
      </c>
      <c r="R3609" t="s">
        <v>31290</v>
      </c>
      <c r="S3609" t="s">
        <v>31291</v>
      </c>
    </row>
    <row r="3610" spans="1:19" x14ac:dyDescent="0.25">
      <c r="A3610" s="1">
        <v>3608</v>
      </c>
      <c r="B3610" t="str">
        <f>HYPERLINK("https://www.dasschnelle.at/dr-med-othmar-ablinger-thalheim-pater-bernhard-rodlberger-str","Website")</f>
        <v>Website</v>
      </c>
      <c r="C3610" t="str">
        <f>HYPERLINK("http://www.lunge-ablinger.at","Website")</f>
        <v>Website</v>
      </c>
      <c r="D3610" t="str">
        <f>HYPERLINK("http://www.google.com/maps/place/48.1527611,14.0294897","Location")</f>
        <v>Location</v>
      </c>
      <c r="E3610" t="s">
        <v>31295</v>
      </c>
      <c r="F3610" t="s">
        <v>31296</v>
      </c>
      <c r="G3610" t="s">
        <v>4725</v>
      </c>
      <c r="H3610" t="s">
        <v>28030</v>
      </c>
      <c r="I3610" t="s">
        <v>85</v>
      </c>
      <c r="J3610" t="s">
        <v>22</v>
      </c>
      <c r="K3610" t="s">
        <v>31297</v>
      </c>
      <c r="L3610" t="s">
        <v>31300</v>
      </c>
      <c r="M3610" t="s">
        <v>25</v>
      </c>
      <c r="N3610" t="s">
        <v>31301</v>
      </c>
      <c r="O3610" t="s">
        <v>25</v>
      </c>
      <c r="P3610" t="s">
        <v>31302</v>
      </c>
      <c r="Q3610" t="s">
        <v>29</v>
      </c>
      <c r="R3610" t="s">
        <v>31298</v>
      </c>
      <c r="S3610" t="s">
        <v>31299</v>
      </c>
    </row>
    <row r="3611" spans="1:19" x14ac:dyDescent="0.25">
      <c r="A3611" s="1">
        <v>3609</v>
      </c>
      <c r="B3611" t="str">
        <f>HYPERLINK("https://www.dasschnelle.at/siess-andreas-landeck-bruggfeldstraße-lantec","Website")</f>
        <v>Website</v>
      </c>
      <c r="C3611" t="str">
        <f>HYPERLINK("http://www.bauleitung-siess.at","Website")</f>
        <v>Website</v>
      </c>
      <c r="D3611" t="str">
        <f>HYPERLINK("http://www.google.com/maps/place/47.1414381,10.5154550","Location")</f>
        <v>Location</v>
      </c>
      <c r="E3611" t="s">
        <v>31303</v>
      </c>
      <c r="F3611" t="s">
        <v>31304</v>
      </c>
      <c r="G3611" t="s">
        <v>1279</v>
      </c>
      <c r="H3611" t="s">
        <v>1280</v>
      </c>
      <c r="I3611" t="s">
        <v>21</v>
      </c>
      <c r="J3611" t="s">
        <v>22</v>
      </c>
      <c r="K3611" t="s">
        <v>31305</v>
      </c>
      <c r="L3611" t="s">
        <v>31308</v>
      </c>
      <c r="M3611" t="s">
        <v>25</v>
      </c>
      <c r="N3611" t="s">
        <v>31309</v>
      </c>
      <c r="O3611" t="s">
        <v>25</v>
      </c>
      <c r="P3611" t="s">
        <v>31310</v>
      </c>
      <c r="Q3611" t="s">
        <v>29</v>
      </c>
      <c r="R3611" t="s">
        <v>31306</v>
      </c>
      <c r="S3611" t="s">
        <v>31307</v>
      </c>
    </row>
    <row r="3612" spans="1:19" x14ac:dyDescent="0.25">
      <c r="A3612" s="1">
        <v>3610</v>
      </c>
      <c r="B3612" t="str">
        <f>HYPERLINK("https://www.dasschnelle.at/mba-manuela-pöschl-manuela-pöschl-mba-amstetten-wiener-str","Website")</f>
        <v>Website</v>
      </c>
      <c r="C3612" t="str">
        <f>HYPERLINK("http://www.poeschl.at","Website")</f>
        <v>Website</v>
      </c>
      <c r="D3612" t="str">
        <f>HYPERLINK("http://www.google.com/maps/place/48.12287,14.88349","Location")</f>
        <v>Location</v>
      </c>
      <c r="E3612" t="s">
        <v>31311</v>
      </c>
      <c r="F3612" t="s">
        <v>31312</v>
      </c>
      <c r="G3612" t="s">
        <v>1474</v>
      </c>
      <c r="H3612" t="s">
        <v>1475</v>
      </c>
      <c r="I3612" t="s">
        <v>177</v>
      </c>
      <c r="J3612" t="s">
        <v>22</v>
      </c>
      <c r="K3612" t="s">
        <v>31313</v>
      </c>
      <c r="L3612" t="s">
        <v>31316</v>
      </c>
      <c r="M3612" t="s">
        <v>25</v>
      </c>
      <c r="N3612" t="s">
        <v>31317</v>
      </c>
      <c r="O3612" t="s">
        <v>25</v>
      </c>
      <c r="P3612" t="s">
        <v>31318</v>
      </c>
      <c r="Q3612" t="s">
        <v>29</v>
      </c>
      <c r="R3612" t="s">
        <v>31314</v>
      </c>
      <c r="S3612" t="s">
        <v>31315</v>
      </c>
    </row>
    <row r="3613" spans="1:19" x14ac:dyDescent="0.25">
      <c r="A3613" s="1">
        <v>3611</v>
      </c>
      <c r="B3613" t="str">
        <f>HYPERLINK("https://www.dasschnelle.at/gruppenpraxis-innere-medizin-dr-kies-und-dr-meyer-und-dr-hodzic-og-amstetten-eggersdorfer-straße","Website")</f>
        <v>Website</v>
      </c>
      <c r="C3613" t="str">
        <f>HYPERLINK("http://www.internist-kies.at","Website")</f>
        <v>Website</v>
      </c>
      <c r="D3613" t="str">
        <f>HYPERLINK("http://www.google.com/maps/place/48.12112,14.87382","Location")</f>
        <v>Location</v>
      </c>
      <c r="E3613" t="s">
        <v>31319</v>
      </c>
      <c r="F3613" t="s">
        <v>31320</v>
      </c>
      <c r="G3613" t="s">
        <v>1474</v>
      </c>
      <c r="H3613" t="s">
        <v>1475</v>
      </c>
      <c r="I3613" t="s">
        <v>177</v>
      </c>
      <c r="J3613" t="s">
        <v>22</v>
      </c>
      <c r="K3613" t="s">
        <v>31321</v>
      </c>
      <c r="L3613" t="s">
        <v>31324</v>
      </c>
      <c r="M3613" t="s">
        <v>25</v>
      </c>
      <c r="N3613" t="s">
        <v>31325</v>
      </c>
      <c r="O3613" t="s">
        <v>25</v>
      </c>
      <c r="P3613" t="s">
        <v>31326</v>
      </c>
      <c r="Q3613" t="s">
        <v>29</v>
      </c>
      <c r="R3613" t="s">
        <v>31322</v>
      </c>
      <c r="S3613" t="s">
        <v>31323</v>
      </c>
    </row>
    <row r="3614" spans="1:19" x14ac:dyDescent="0.25">
      <c r="A3614" s="1">
        <v>3612</v>
      </c>
      <c r="B3614" t="str">
        <f>HYPERLINK("https://www.dasschnelle.at/ebenbichler-heinz-dipl-ing-brandberg-pignellen","Website")</f>
        <v>Website</v>
      </c>
      <c r="C3614" t="str">
        <f>HYPERLINK("http://www.ebenbichler.com","Website")</f>
        <v>Website</v>
      </c>
      <c r="D3614" t="str">
        <f>HYPERLINK("http://www.google.com/maps/place/47.15811,11.87369","Location")</f>
        <v>Location</v>
      </c>
      <c r="E3614" t="s">
        <v>31327</v>
      </c>
      <c r="F3614" t="s">
        <v>31328</v>
      </c>
      <c r="G3614" t="s">
        <v>4329</v>
      </c>
      <c r="H3614" t="s">
        <v>31330</v>
      </c>
      <c r="I3614" t="s">
        <v>21</v>
      </c>
      <c r="J3614" t="s">
        <v>22</v>
      </c>
      <c r="K3614" t="s">
        <v>31329</v>
      </c>
      <c r="L3614" t="s">
        <v>31333</v>
      </c>
      <c r="M3614" t="s">
        <v>31334</v>
      </c>
      <c r="N3614" t="s">
        <v>31335</v>
      </c>
      <c r="O3614" t="s">
        <v>25</v>
      </c>
      <c r="P3614" t="s">
        <v>31336</v>
      </c>
      <c r="Q3614" t="s">
        <v>29</v>
      </c>
      <c r="R3614" t="s">
        <v>31331</v>
      </c>
      <c r="S3614" t="s">
        <v>31332</v>
      </c>
    </row>
    <row r="3615" spans="1:19" x14ac:dyDescent="0.25">
      <c r="A3615" s="1">
        <v>3613</v>
      </c>
      <c r="B3615" t="str">
        <f>HYPERLINK("https://www.dasschnelle.at/edelbacher-otmar-di-mariazell-grazer-straße","Website")</f>
        <v>Website</v>
      </c>
      <c r="C3615" t="str">
        <f>HYPERLINK("http://www.arch-edelbacher.at","Website")</f>
        <v>Website</v>
      </c>
      <c r="D3615" t="str">
        <f>HYPERLINK("http://www.google.com/maps/place/47.77183,15.31565","Location")</f>
        <v>Location</v>
      </c>
      <c r="E3615" t="s">
        <v>31337</v>
      </c>
      <c r="F3615" t="s">
        <v>31338</v>
      </c>
      <c r="G3615" t="s">
        <v>12529</v>
      </c>
      <c r="H3615" t="s">
        <v>24696</v>
      </c>
      <c r="I3615" t="s">
        <v>451</v>
      </c>
      <c r="J3615" t="s">
        <v>22</v>
      </c>
      <c r="K3615" t="s">
        <v>24422</v>
      </c>
      <c r="L3615" t="s">
        <v>31341</v>
      </c>
      <c r="M3615" t="s">
        <v>25</v>
      </c>
      <c r="N3615" t="s">
        <v>31342</v>
      </c>
      <c r="O3615" t="s">
        <v>25</v>
      </c>
      <c r="P3615" t="s">
        <v>31343</v>
      </c>
      <c r="Q3615" t="s">
        <v>29</v>
      </c>
      <c r="R3615" t="s">
        <v>31339</v>
      </c>
      <c r="S3615" t="s">
        <v>31340</v>
      </c>
    </row>
    <row r="3616" spans="1:19" x14ac:dyDescent="0.25">
      <c r="A3616" s="1">
        <v>3614</v>
      </c>
      <c r="B3616" t="str">
        <f>HYPERLINK("https://www.dasschnelle.at/mayer-sabine-hollabrunn-lothringerplatz","Website")</f>
        <v>Website</v>
      </c>
      <c r="C3616" t="str">
        <f>HYPERLINK("http://www.glaserei-mayer.at","Website")</f>
        <v>Website</v>
      </c>
      <c r="D3616" t="str">
        <f>HYPERLINK("http://www.google.com/maps/place/48.56609,16.07962","Location")</f>
        <v>Location</v>
      </c>
      <c r="E3616" t="s">
        <v>31344</v>
      </c>
      <c r="F3616" t="s">
        <v>31345</v>
      </c>
      <c r="G3616" t="s">
        <v>8370</v>
      </c>
      <c r="H3616" t="s">
        <v>8371</v>
      </c>
      <c r="I3616" t="s">
        <v>177</v>
      </c>
      <c r="J3616" t="s">
        <v>22</v>
      </c>
      <c r="K3616" t="s">
        <v>31346</v>
      </c>
      <c r="L3616" t="s">
        <v>31349</v>
      </c>
      <c r="M3616" t="s">
        <v>25</v>
      </c>
      <c r="N3616" t="s">
        <v>31350</v>
      </c>
      <c r="O3616" t="s">
        <v>25</v>
      </c>
      <c r="P3616" t="s">
        <v>31351</v>
      </c>
      <c r="Q3616" t="s">
        <v>29</v>
      </c>
      <c r="R3616" t="s">
        <v>31347</v>
      </c>
      <c r="S3616" t="s">
        <v>31348</v>
      </c>
    </row>
    <row r="3617" spans="1:19" x14ac:dyDescent="0.25">
      <c r="A3617" s="1">
        <v>3615</v>
      </c>
      <c r="B3617" t="str">
        <f>HYPERLINK("https://www.dasschnelle.at/restaurant-reisinger-hollabrunn-hauptplatz","Website")</f>
        <v>Website</v>
      </c>
      <c r="C3617" t="str">
        <f>HYPERLINK("http://www.restaurant-reisinger.net","Website")</f>
        <v>Website</v>
      </c>
      <c r="D3617" t="str">
        <f>HYPERLINK("http://www.google.com/maps/place/48.56291,16.07929","Location")</f>
        <v>Location</v>
      </c>
      <c r="E3617" t="s">
        <v>31352</v>
      </c>
      <c r="F3617" t="s">
        <v>31353</v>
      </c>
      <c r="G3617" t="s">
        <v>8370</v>
      </c>
      <c r="H3617" t="s">
        <v>8371</v>
      </c>
      <c r="I3617" t="s">
        <v>177</v>
      </c>
      <c r="J3617" t="s">
        <v>22</v>
      </c>
      <c r="K3617" t="s">
        <v>15441</v>
      </c>
      <c r="L3617" t="s">
        <v>31356</v>
      </c>
      <c r="M3617" t="s">
        <v>25</v>
      </c>
      <c r="N3617" t="s">
        <v>31357</v>
      </c>
      <c r="O3617" t="s">
        <v>25</v>
      </c>
      <c r="P3617" t="s">
        <v>31358</v>
      </c>
      <c r="Q3617" t="s">
        <v>29</v>
      </c>
      <c r="R3617" t="s">
        <v>31354</v>
      </c>
      <c r="S3617" t="s">
        <v>31355</v>
      </c>
    </row>
    <row r="3618" spans="1:19" x14ac:dyDescent="0.25">
      <c r="A3618" s="1">
        <v>3616</v>
      </c>
      <c r="B3618" t="str">
        <f>HYPERLINK("https://www.dasschnelle.at/mag-johanna-forster-amstetten-bahnhofstr","Website")</f>
        <v>Website</v>
      </c>
      <c r="C3618" t="str">
        <f>HYPERLINK("http://www.tierarzt-amstetten.at","Website")</f>
        <v>Website</v>
      </c>
      <c r="D3618" t="str">
        <f>HYPERLINK("http://www.google.com/maps/place/48.12376,14.87782","Location")</f>
        <v>Location</v>
      </c>
      <c r="E3618" t="s">
        <v>31359</v>
      </c>
      <c r="F3618" t="s">
        <v>31360</v>
      </c>
      <c r="G3618" t="s">
        <v>1474</v>
      </c>
      <c r="H3618" t="s">
        <v>1475</v>
      </c>
      <c r="I3618" t="s">
        <v>177</v>
      </c>
      <c r="J3618" t="s">
        <v>22</v>
      </c>
      <c r="K3618" t="s">
        <v>31361</v>
      </c>
      <c r="L3618" t="s">
        <v>31364</v>
      </c>
      <c r="M3618" t="s">
        <v>25</v>
      </c>
      <c r="N3618" t="s">
        <v>31365</v>
      </c>
      <c r="O3618" t="s">
        <v>25</v>
      </c>
      <c r="P3618" t="s">
        <v>31366</v>
      </c>
      <c r="Q3618" t="s">
        <v>29</v>
      </c>
      <c r="R3618" t="s">
        <v>31362</v>
      </c>
      <c r="S3618" t="s">
        <v>31363</v>
      </c>
    </row>
    <row r="3619" spans="1:19" x14ac:dyDescent="0.25">
      <c r="A3619" s="1">
        <v>3617</v>
      </c>
      <c r="B3619" t="str">
        <f>HYPERLINK("https://www.dasschnelle.at/klemens-hintermaier-perg-friedhofstraße","Website")</f>
        <v>Website</v>
      </c>
      <c r="C3619" t="str">
        <f>HYPERLINK("http://www.gaertnerei-muehlehner.at","Website")</f>
        <v>Website</v>
      </c>
      <c r="D3619" t="str">
        <f>HYPERLINK("http://www.google.com/maps/place/48.25202,14.62829","Location")</f>
        <v>Location</v>
      </c>
      <c r="E3619" t="s">
        <v>31367</v>
      </c>
      <c r="F3619" t="s">
        <v>31368</v>
      </c>
      <c r="G3619" t="s">
        <v>6379</v>
      </c>
      <c r="H3619" t="s">
        <v>6380</v>
      </c>
      <c r="I3619" t="s">
        <v>85</v>
      </c>
      <c r="J3619" t="s">
        <v>22</v>
      </c>
      <c r="K3619" t="s">
        <v>31369</v>
      </c>
      <c r="L3619" t="s">
        <v>31372</v>
      </c>
      <c r="M3619" t="s">
        <v>25</v>
      </c>
      <c r="N3619" t="s">
        <v>31373</v>
      </c>
      <c r="O3619" t="s">
        <v>25</v>
      </c>
      <c r="P3619" t="s">
        <v>31374</v>
      </c>
      <c r="Q3619" t="s">
        <v>29</v>
      </c>
      <c r="R3619" t="s">
        <v>31370</v>
      </c>
      <c r="S3619" t="s">
        <v>31371</v>
      </c>
    </row>
    <row r="3620" spans="1:19" x14ac:dyDescent="0.25">
      <c r="A3620" s="1">
        <v>3618</v>
      </c>
      <c r="B3620" t="str">
        <f>HYPERLINK("https://www.dasschnelle.at/reichart-dr-kg-wirtschaftstreuhandgesellschaft-wels-herrengasse","Website")</f>
        <v>Website</v>
      </c>
      <c r="C3620" t="str">
        <f>HYPERLINK("http://www.reichart.at","Website")</f>
        <v>Website</v>
      </c>
      <c r="D3620" t="str">
        <f>HYPERLINK("http://www.google.com/maps/place/48.15971,14.02809","Location")</f>
        <v>Location</v>
      </c>
      <c r="E3620" t="s">
        <v>31375</v>
      </c>
      <c r="F3620" t="s">
        <v>31376</v>
      </c>
      <c r="G3620" t="s">
        <v>4725</v>
      </c>
      <c r="H3620" t="s">
        <v>4754</v>
      </c>
      <c r="I3620" t="s">
        <v>85</v>
      </c>
      <c r="J3620" t="s">
        <v>22</v>
      </c>
      <c r="K3620" t="s">
        <v>31377</v>
      </c>
      <c r="L3620" t="s">
        <v>31380</v>
      </c>
      <c r="M3620" t="s">
        <v>31381</v>
      </c>
      <c r="N3620" t="s">
        <v>31382</v>
      </c>
      <c r="O3620" t="s">
        <v>25</v>
      </c>
      <c r="P3620" t="s">
        <v>31383</v>
      </c>
      <c r="Q3620" t="s">
        <v>29</v>
      </c>
      <c r="R3620" t="s">
        <v>31378</v>
      </c>
      <c r="S3620" t="s">
        <v>31379</v>
      </c>
    </row>
    <row r="3621" spans="1:19" x14ac:dyDescent="0.25">
      <c r="A3621" s="1">
        <v>3619</v>
      </c>
      <c r="B3621" t="str">
        <f>HYPERLINK("https://www.dasschnelle.at/eder-michael-wels-thalbachweg","Website")</f>
        <v>Website</v>
      </c>
      <c r="C3621" t="str">
        <f>HYPERLINK("http://www.eder-massage.at","Website")</f>
        <v>Website</v>
      </c>
      <c r="D3621" t="str">
        <f>HYPERLINK("http://www.google.com/maps/place/48.1535500,14.0476183","Location")</f>
        <v>Location</v>
      </c>
      <c r="E3621" t="s">
        <v>31384</v>
      </c>
      <c r="F3621" t="s">
        <v>31385</v>
      </c>
      <c r="G3621" t="s">
        <v>4725</v>
      </c>
      <c r="H3621" t="s">
        <v>4754</v>
      </c>
      <c r="I3621" t="s">
        <v>85</v>
      </c>
      <c r="J3621" t="s">
        <v>22</v>
      </c>
      <c r="K3621" t="s">
        <v>31386</v>
      </c>
      <c r="L3621" t="s">
        <v>31389</v>
      </c>
      <c r="M3621" t="s">
        <v>25</v>
      </c>
      <c r="N3621" t="s">
        <v>31390</v>
      </c>
      <c r="O3621" t="s">
        <v>25</v>
      </c>
      <c r="P3621" t="s">
        <v>31391</v>
      </c>
      <c r="Q3621" t="s">
        <v>29</v>
      </c>
      <c r="R3621" t="s">
        <v>31387</v>
      </c>
      <c r="S3621" t="s">
        <v>31388</v>
      </c>
    </row>
    <row r="3622" spans="1:19" x14ac:dyDescent="0.25">
      <c r="A3622" s="1">
        <v>3620</v>
      </c>
      <c r="B3622" t="str">
        <f>HYPERLINK("https://www.dasschnelle.at/tischlerei-lehner-e-u-buchkirchen-hundshamerstraße","Website")</f>
        <v>Website</v>
      </c>
      <c r="C3622" t="str">
        <f>HYPERLINK("http://www.tischler-lehner.at","Website")</f>
        <v>Website</v>
      </c>
      <c r="D3622" t="str">
        <f>HYPERLINK("http://www.google.com/maps/place/48.22596,14.02085","Location")</f>
        <v>Location</v>
      </c>
      <c r="E3622" t="s">
        <v>31392</v>
      </c>
      <c r="F3622" t="s">
        <v>31393</v>
      </c>
      <c r="G3622" t="s">
        <v>4922</v>
      </c>
      <c r="H3622" t="s">
        <v>4923</v>
      </c>
      <c r="I3622" t="s">
        <v>85</v>
      </c>
      <c r="J3622" t="s">
        <v>22</v>
      </c>
      <c r="K3622" t="s">
        <v>31394</v>
      </c>
      <c r="L3622" t="s">
        <v>31397</v>
      </c>
      <c r="M3622" t="s">
        <v>25</v>
      </c>
      <c r="N3622" t="s">
        <v>31398</v>
      </c>
      <c r="O3622" t="s">
        <v>25</v>
      </c>
      <c r="P3622" t="s">
        <v>31399</v>
      </c>
      <c r="Q3622" t="s">
        <v>29</v>
      </c>
      <c r="R3622" t="s">
        <v>31395</v>
      </c>
      <c r="S3622" t="s">
        <v>31396</v>
      </c>
    </row>
    <row r="3623" spans="1:19" x14ac:dyDescent="0.25">
      <c r="A3623" s="1">
        <v>3621</v>
      </c>
      <c r="B3623" t="str">
        <f>HYPERLINK("https://www.dasschnelle.at/kravutske-wolfgang-dr-wels-wallerer-straße","Website")</f>
        <v>Website</v>
      </c>
      <c r="C3623" t="str">
        <f>HYPERLINK("https://www.dasschnelle.at/kravutske-wolfgang-dr-wels-wallerer-stra%C3%9Fe","Website")</f>
        <v>Website</v>
      </c>
      <c r="D3623" t="str">
        <f>HYPERLINK("http://www.google.com/maps/place/48.1675,14.0232","Location")</f>
        <v>Location</v>
      </c>
      <c r="E3623" t="s">
        <v>31400</v>
      </c>
      <c r="F3623" t="s">
        <v>31401</v>
      </c>
      <c r="G3623" t="s">
        <v>4725</v>
      </c>
      <c r="H3623" t="s">
        <v>4754</v>
      </c>
      <c r="I3623" t="s">
        <v>85</v>
      </c>
      <c r="J3623" t="s">
        <v>22</v>
      </c>
      <c r="K3623" t="s">
        <v>31402</v>
      </c>
      <c r="L3623" t="s">
        <v>31405</v>
      </c>
      <c r="M3623" t="s">
        <v>31406</v>
      </c>
      <c r="N3623" t="s">
        <v>25</v>
      </c>
      <c r="O3623" t="s">
        <v>25</v>
      </c>
      <c r="P3623" t="s">
        <v>31407</v>
      </c>
      <c r="Q3623" t="s">
        <v>29</v>
      </c>
      <c r="R3623" t="s">
        <v>31403</v>
      </c>
      <c r="S3623" t="s">
        <v>31404</v>
      </c>
    </row>
    <row r="3624" spans="1:19" x14ac:dyDescent="0.25">
      <c r="A3624" s="1">
        <v>3622</v>
      </c>
      <c r="B3624" t="str">
        <f>HYPERLINK("https://www.dasschnelle.at/dopetsberger-thomas-wels-oberhartstraße","Website")</f>
        <v>Website</v>
      </c>
      <c r="C3624" t="str">
        <f>HYPERLINK("http://www.dopetsberger.at","Website")</f>
        <v>Website</v>
      </c>
      <c r="D3624" t="str">
        <f>HYPERLINK("http://www.google.com/maps/place/48.17104,14.03448","Location")</f>
        <v>Location</v>
      </c>
      <c r="E3624" t="s">
        <v>31408</v>
      </c>
      <c r="F3624" t="s">
        <v>31409</v>
      </c>
      <c r="G3624" t="s">
        <v>4725</v>
      </c>
      <c r="H3624" t="s">
        <v>4754</v>
      </c>
      <c r="I3624" t="s">
        <v>85</v>
      </c>
      <c r="J3624" t="s">
        <v>22</v>
      </c>
      <c r="K3624" t="s">
        <v>31410</v>
      </c>
      <c r="L3624" t="s">
        <v>31413</v>
      </c>
      <c r="M3624" t="s">
        <v>25</v>
      </c>
      <c r="N3624" t="s">
        <v>31414</v>
      </c>
      <c r="O3624" t="s">
        <v>31415</v>
      </c>
      <c r="P3624" t="s">
        <v>31416</v>
      </c>
      <c r="Q3624" t="s">
        <v>29</v>
      </c>
      <c r="R3624" t="s">
        <v>31411</v>
      </c>
      <c r="S3624" t="s">
        <v>31412</v>
      </c>
    </row>
    <row r="3625" spans="1:19" x14ac:dyDescent="0.25">
      <c r="A3625" s="1">
        <v>3623</v>
      </c>
      <c r="B3625" t="str">
        <f>HYPERLINK("https://www.dasschnelle.at/huber-barbara-dr-wels-bauernstraße","Website")</f>
        <v>Website</v>
      </c>
      <c r="C3625" t="str">
        <f>HYPERLINK("http://www.augenarzt-huber.at","Website")</f>
        <v>Website</v>
      </c>
      <c r="D3625" t="str">
        <f>HYPERLINK("http://www.google.com/maps/place/48.15071,14.00946","Location")</f>
        <v>Location</v>
      </c>
      <c r="E3625" t="s">
        <v>31417</v>
      </c>
      <c r="F3625" t="s">
        <v>31418</v>
      </c>
      <c r="G3625" t="s">
        <v>4725</v>
      </c>
      <c r="H3625" t="s">
        <v>4754</v>
      </c>
      <c r="I3625" t="s">
        <v>85</v>
      </c>
      <c r="J3625" t="s">
        <v>22</v>
      </c>
      <c r="K3625" t="s">
        <v>31419</v>
      </c>
      <c r="L3625" t="s">
        <v>31422</v>
      </c>
      <c r="M3625" t="s">
        <v>25</v>
      </c>
      <c r="N3625" t="s">
        <v>31423</v>
      </c>
      <c r="O3625" t="s">
        <v>25</v>
      </c>
      <c r="P3625" t="s">
        <v>31424</v>
      </c>
      <c r="Q3625" t="s">
        <v>29</v>
      </c>
      <c r="R3625" t="s">
        <v>31420</v>
      </c>
      <c r="S3625" t="s">
        <v>31421</v>
      </c>
    </row>
    <row r="3626" spans="1:19" x14ac:dyDescent="0.25">
      <c r="A3626" s="1">
        <v>3624</v>
      </c>
      <c r="B3626" t="str">
        <f>HYPERLINK("https://www.dasschnelle.at/stadler-klaus-dr-wels-bauernstraße","Website")</f>
        <v>Website</v>
      </c>
      <c r="C3626" t="str">
        <f>HYPERLINK("http://www.neurologe.co.at","Website")</f>
        <v>Website</v>
      </c>
      <c r="D3626" t="str">
        <f>HYPERLINK("http://www.google.com/maps/place/48.1541394,14.0076707","Location")</f>
        <v>Location</v>
      </c>
      <c r="E3626" t="s">
        <v>31425</v>
      </c>
      <c r="F3626" t="s">
        <v>31426</v>
      </c>
      <c r="G3626" t="s">
        <v>4725</v>
      </c>
      <c r="H3626" t="s">
        <v>4754</v>
      </c>
      <c r="I3626" t="s">
        <v>85</v>
      </c>
      <c r="J3626" t="s">
        <v>22</v>
      </c>
      <c r="K3626" t="s">
        <v>31427</v>
      </c>
      <c r="L3626" t="s">
        <v>31430</v>
      </c>
      <c r="M3626" t="s">
        <v>25</v>
      </c>
      <c r="N3626" t="s">
        <v>31431</v>
      </c>
      <c r="O3626" t="s">
        <v>25</v>
      </c>
      <c r="P3626" t="s">
        <v>31432</v>
      </c>
      <c r="Q3626" t="s">
        <v>29</v>
      </c>
      <c r="R3626" t="s">
        <v>31428</v>
      </c>
      <c r="S3626" t="s">
        <v>31429</v>
      </c>
    </row>
    <row r="3627" spans="1:19" x14ac:dyDescent="0.25">
      <c r="A3627" s="1">
        <v>3625</v>
      </c>
      <c r="B3627" t="str">
        <f>HYPERLINK("https://www.dasschnelle.at/f-und-s-bauunternehmung-gmbh-gars-schillerstraße","Website")</f>
        <v>Website</v>
      </c>
      <c r="C3627" t="str">
        <f>HYPERLINK("http://www.fs-bau.at","Website")</f>
        <v>Website</v>
      </c>
      <c r="D3627" t="str">
        <f>HYPERLINK("http://www.google.com/maps/place/48.5974395,15.6647118","Location")</f>
        <v>Location</v>
      </c>
      <c r="E3627" t="s">
        <v>31433</v>
      </c>
      <c r="F3627" t="s">
        <v>31434</v>
      </c>
      <c r="G3627" t="s">
        <v>301</v>
      </c>
      <c r="H3627" t="s">
        <v>12587</v>
      </c>
      <c r="I3627" t="s">
        <v>177</v>
      </c>
      <c r="J3627" t="s">
        <v>22</v>
      </c>
      <c r="K3627" t="s">
        <v>12693</v>
      </c>
      <c r="L3627" t="s">
        <v>31435</v>
      </c>
      <c r="M3627" t="s">
        <v>25</v>
      </c>
      <c r="N3627" t="s">
        <v>31436</v>
      </c>
      <c r="O3627" t="s">
        <v>31437</v>
      </c>
      <c r="P3627" t="s">
        <v>31438</v>
      </c>
      <c r="Q3627" t="s">
        <v>29</v>
      </c>
      <c r="R3627" t="s">
        <v>12694</v>
      </c>
      <c r="S3627" t="s">
        <v>12695</v>
      </c>
    </row>
    <row r="3628" spans="1:19" x14ac:dyDescent="0.25">
      <c r="A3628" s="1">
        <v>3626</v>
      </c>
      <c r="B3628" t="str">
        <f>HYPERLINK("https://www.dasschnelle.at/godetz-martin-wels-laahener-straße","Website")</f>
        <v>Website</v>
      </c>
      <c r="C3628" t="str">
        <f>HYPERLINK("http://www.cafe-rolling.at","Website")</f>
        <v>Website</v>
      </c>
      <c r="D3628" t="str">
        <f>HYPERLINK("http://www.google.com/maps/place/48.16619,14.01374","Location")</f>
        <v>Location</v>
      </c>
      <c r="E3628" t="s">
        <v>31439</v>
      </c>
      <c r="F3628" t="s">
        <v>31440</v>
      </c>
      <c r="G3628" t="s">
        <v>4725</v>
      </c>
      <c r="H3628" t="s">
        <v>4754</v>
      </c>
      <c r="I3628" t="s">
        <v>85</v>
      </c>
      <c r="J3628" t="s">
        <v>22</v>
      </c>
      <c r="K3628" t="s">
        <v>31441</v>
      </c>
      <c r="L3628" t="s">
        <v>31444</v>
      </c>
      <c r="M3628" t="s">
        <v>25</v>
      </c>
      <c r="N3628" t="s">
        <v>31445</v>
      </c>
      <c r="O3628" t="s">
        <v>25</v>
      </c>
      <c r="P3628" t="s">
        <v>31446</v>
      </c>
      <c r="Q3628" t="s">
        <v>29</v>
      </c>
      <c r="R3628" t="s">
        <v>31442</v>
      </c>
      <c r="S3628" t="s">
        <v>31443</v>
      </c>
    </row>
    <row r="3629" spans="1:19" x14ac:dyDescent="0.25">
      <c r="A3629" s="1">
        <v>3627</v>
      </c>
      <c r="B3629" t="str">
        <f>HYPERLINK("https://www.dasschnelle.at/heimtextilien-annemarie-perg-linzerstraße","Website")</f>
        <v>Website</v>
      </c>
      <c r="C3629" t="str">
        <f>HYPERLINK("http://www.heimtex-perg.at","Website")</f>
        <v>Website</v>
      </c>
      <c r="D3629" t="str">
        <f>HYPERLINK("http://www.google.com/maps/place/48.25023,14.63282","Location")</f>
        <v>Location</v>
      </c>
      <c r="E3629" t="s">
        <v>31447</v>
      </c>
      <c r="F3629" t="s">
        <v>31448</v>
      </c>
      <c r="G3629" t="s">
        <v>6379</v>
      </c>
      <c r="H3629" t="s">
        <v>6380</v>
      </c>
      <c r="I3629" t="s">
        <v>85</v>
      </c>
      <c r="J3629" t="s">
        <v>22</v>
      </c>
      <c r="K3629" t="s">
        <v>31449</v>
      </c>
      <c r="L3629" t="s">
        <v>31452</v>
      </c>
      <c r="M3629" t="s">
        <v>25</v>
      </c>
      <c r="N3629" t="s">
        <v>31453</v>
      </c>
      <c r="O3629" t="s">
        <v>25</v>
      </c>
      <c r="P3629" t="s">
        <v>31454</v>
      </c>
      <c r="Q3629" t="s">
        <v>29</v>
      </c>
      <c r="R3629" t="s">
        <v>31450</v>
      </c>
      <c r="S3629" t="s">
        <v>31451</v>
      </c>
    </row>
    <row r="3630" spans="1:19" x14ac:dyDescent="0.25">
      <c r="A3630" s="1">
        <v>3628</v>
      </c>
      <c r="B3630" t="str">
        <f>HYPERLINK("https://www.dasschnelle.at/prorok-christian-dr-med-wels-franz-keim-straße","Website")</f>
        <v>Website</v>
      </c>
      <c r="C3630" t="str">
        <f>HYPERLINK("http://www.pro-uro.at","Website")</f>
        <v>Website</v>
      </c>
      <c r="D3630" t="str">
        <f>HYPERLINK("http://www.google.com/maps/place/48.16887,14.02549","Location")</f>
        <v>Location</v>
      </c>
      <c r="E3630" t="s">
        <v>31455</v>
      </c>
      <c r="F3630" t="s">
        <v>31456</v>
      </c>
      <c r="G3630" t="s">
        <v>4725</v>
      </c>
      <c r="H3630" t="s">
        <v>4754</v>
      </c>
      <c r="I3630" t="s">
        <v>85</v>
      </c>
      <c r="J3630" t="s">
        <v>22</v>
      </c>
      <c r="K3630" t="s">
        <v>31457</v>
      </c>
      <c r="L3630" t="s">
        <v>31460</v>
      </c>
      <c r="M3630" t="s">
        <v>25</v>
      </c>
      <c r="N3630" t="s">
        <v>31461</v>
      </c>
      <c r="O3630" t="s">
        <v>25</v>
      </c>
      <c r="P3630" t="s">
        <v>31462</v>
      </c>
      <c r="Q3630" t="s">
        <v>29</v>
      </c>
      <c r="R3630" t="s">
        <v>31458</v>
      </c>
      <c r="S3630" t="s">
        <v>31459</v>
      </c>
    </row>
    <row r="3631" spans="1:19" x14ac:dyDescent="0.25">
      <c r="A3631" s="1">
        <v>3629</v>
      </c>
      <c r="B3631" t="str">
        <f>HYPERLINK("https://www.dasschnelle.at/reinhart-vera-dr-wels-knorrstraße","Website")</f>
        <v>Website</v>
      </c>
      <c r="C3631" t="str">
        <f>HYPERLINK("http://www.reinhart-haut.at","Website")</f>
        <v>Website</v>
      </c>
      <c r="D3631" t="str">
        <f>HYPERLINK("http://www.google.com/maps/place/48.16104,14.03693","Location")</f>
        <v>Location</v>
      </c>
      <c r="E3631" t="s">
        <v>31463</v>
      </c>
      <c r="F3631" t="s">
        <v>31464</v>
      </c>
      <c r="G3631" t="s">
        <v>4725</v>
      </c>
      <c r="H3631" t="s">
        <v>4754</v>
      </c>
      <c r="I3631" t="s">
        <v>85</v>
      </c>
      <c r="J3631" t="s">
        <v>22</v>
      </c>
      <c r="K3631" t="s">
        <v>31465</v>
      </c>
      <c r="L3631" t="s">
        <v>31467</v>
      </c>
      <c r="M3631" t="s">
        <v>25</v>
      </c>
      <c r="N3631" t="s">
        <v>31468</v>
      </c>
      <c r="O3631" t="s">
        <v>25</v>
      </c>
      <c r="P3631" t="s">
        <v>31469</v>
      </c>
      <c r="Q3631" t="s">
        <v>29</v>
      </c>
      <c r="R3631" t="s">
        <v>28967</v>
      </c>
      <c r="S3631" t="s">
        <v>31466</v>
      </c>
    </row>
    <row r="3632" spans="1:19" x14ac:dyDescent="0.25">
      <c r="A3632" s="1">
        <v>3630</v>
      </c>
      <c r="B3632" t="str">
        <f>HYPERLINK("https://www.dasschnelle.at/falkner-andreas-dr-zell-am-ziller-bahnhofstraße","Website")</f>
        <v>Website</v>
      </c>
      <c r="C3632" t="str">
        <f>HYPERLINK("http://www.notar-falkner.at","Website")</f>
        <v>Website</v>
      </c>
      <c r="D3632" t="str">
        <f>HYPERLINK("http://www.google.com/maps/place/47.23237,11.88091","Location")</f>
        <v>Location</v>
      </c>
      <c r="E3632" t="s">
        <v>31470</v>
      </c>
      <c r="F3632" t="s">
        <v>31471</v>
      </c>
      <c r="G3632" t="s">
        <v>4180</v>
      </c>
      <c r="H3632" t="s">
        <v>4181</v>
      </c>
      <c r="I3632" t="s">
        <v>21</v>
      </c>
      <c r="J3632" t="s">
        <v>22</v>
      </c>
      <c r="K3632" t="s">
        <v>15748</v>
      </c>
      <c r="L3632" t="s">
        <v>31474</v>
      </c>
      <c r="M3632" t="s">
        <v>31475</v>
      </c>
      <c r="N3632" t="s">
        <v>31476</v>
      </c>
      <c r="O3632" t="s">
        <v>31477</v>
      </c>
      <c r="P3632" t="s">
        <v>31478</v>
      </c>
      <c r="Q3632" t="s">
        <v>29</v>
      </c>
      <c r="R3632" t="s">
        <v>31472</v>
      </c>
      <c r="S3632" t="s">
        <v>31473</v>
      </c>
    </row>
    <row r="3633" spans="1:19" x14ac:dyDescent="0.25">
      <c r="A3633" s="1">
        <v>3631</v>
      </c>
      <c r="B3633" t="str">
        <f>HYPERLINK("https://www.dasschnelle.at/reitter-josef-mag-zell-am-ziller-rohrerstraße","Website")</f>
        <v>Website</v>
      </c>
      <c r="C3633" t="str">
        <f>HYPERLINK("http://www.notar-reitter.at","Website")</f>
        <v>Website</v>
      </c>
      <c r="D3633" t="str">
        <f>HYPERLINK("http://www.google.com/maps/place/47.34729,11.71051","Location")</f>
        <v>Location</v>
      </c>
      <c r="E3633" t="s">
        <v>31479</v>
      </c>
      <c r="F3633" t="s">
        <v>31480</v>
      </c>
      <c r="G3633" t="s">
        <v>4180</v>
      </c>
      <c r="H3633" t="s">
        <v>4181</v>
      </c>
      <c r="I3633" t="s">
        <v>21</v>
      </c>
      <c r="J3633" t="s">
        <v>22</v>
      </c>
      <c r="K3633" t="s">
        <v>31481</v>
      </c>
      <c r="L3633" t="s">
        <v>31484</v>
      </c>
      <c r="M3633" t="s">
        <v>31485</v>
      </c>
      <c r="N3633" t="s">
        <v>31486</v>
      </c>
      <c r="O3633" t="s">
        <v>25</v>
      </c>
      <c r="P3633" t="s">
        <v>31487</v>
      </c>
      <c r="Q3633" t="s">
        <v>29</v>
      </c>
      <c r="R3633" t="s">
        <v>31482</v>
      </c>
      <c r="S3633" t="s">
        <v>31483</v>
      </c>
    </row>
    <row r="3634" spans="1:19" x14ac:dyDescent="0.25">
      <c r="A3634" s="1">
        <v>3632</v>
      </c>
      <c r="B3634" t="str">
        <f>HYPERLINK("https://www.dasschnelle.at/tikal-gesmbh-und-co-kg-wels-dragonerstraße","Website")</f>
        <v>Website</v>
      </c>
      <c r="C3634" t="str">
        <f>HYPERLINK("http://www.tikal.at","Website")</f>
        <v>Website</v>
      </c>
      <c r="D3634" t="str">
        <f>HYPERLINK("http://www.google.com/maps/place/48.15408,14.00624","Location")</f>
        <v>Location</v>
      </c>
      <c r="E3634" t="s">
        <v>31488</v>
      </c>
      <c r="F3634" t="s">
        <v>31489</v>
      </c>
      <c r="G3634" t="s">
        <v>31491</v>
      </c>
      <c r="H3634" t="s">
        <v>4754</v>
      </c>
      <c r="I3634" t="s">
        <v>85</v>
      </c>
      <c r="J3634" t="s">
        <v>22</v>
      </c>
      <c r="K3634" t="s">
        <v>31490</v>
      </c>
      <c r="L3634" t="s">
        <v>31494</v>
      </c>
      <c r="M3634" t="s">
        <v>25</v>
      </c>
      <c r="N3634" t="s">
        <v>31495</v>
      </c>
      <c r="O3634" t="s">
        <v>25</v>
      </c>
      <c r="P3634" t="s">
        <v>31496</v>
      </c>
      <c r="Q3634" t="s">
        <v>29</v>
      </c>
      <c r="R3634" t="s">
        <v>31492</v>
      </c>
      <c r="S3634" t="s">
        <v>31493</v>
      </c>
    </row>
    <row r="3635" spans="1:19" x14ac:dyDescent="0.25">
      <c r="A3635" s="1">
        <v>3633</v>
      </c>
      <c r="B3635" t="str">
        <f>HYPERLINK("https://www.dasschnelle.at/lothaller-robert-dr-med-horn-prager-straße","Website")</f>
        <v>Website</v>
      </c>
      <c r="C3635" t="str">
        <f>HYPERLINK("http://www.hno-horn.at","Website")</f>
        <v>Website</v>
      </c>
      <c r="D3635" t="str">
        <f>HYPERLINK("http://www.google.com/maps/place/48.6627831,15.6557124","Location")</f>
        <v>Location</v>
      </c>
      <c r="E3635" t="s">
        <v>31497</v>
      </c>
      <c r="F3635" t="s">
        <v>31498</v>
      </c>
      <c r="G3635" t="s">
        <v>12616</v>
      </c>
      <c r="H3635" t="s">
        <v>12625</v>
      </c>
      <c r="I3635" t="s">
        <v>177</v>
      </c>
      <c r="J3635" t="s">
        <v>22</v>
      </c>
      <c r="K3635" t="s">
        <v>31499</v>
      </c>
      <c r="L3635" t="s">
        <v>31500</v>
      </c>
      <c r="M3635" t="s">
        <v>25</v>
      </c>
      <c r="N3635" t="s">
        <v>31501</v>
      </c>
      <c r="O3635" t="s">
        <v>25</v>
      </c>
      <c r="P3635" t="s">
        <v>31502</v>
      </c>
      <c r="Q3635" t="s">
        <v>29</v>
      </c>
      <c r="R3635" t="s">
        <v>30691</v>
      </c>
      <c r="S3635" t="s">
        <v>30692</v>
      </c>
    </row>
    <row r="3636" spans="1:19" x14ac:dyDescent="0.25">
      <c r="A3636" s="1">
        <v>3634</v>
      </c>
      <c r="B3636" t="str">
        <f>HYPERLINK("https://www.dasschnelle.at/pfister-schwaiger-steuerberatungs-gmbh-und-co-kg-jenbach-auf-der-huben","Website")</f>
        <v>Website</v>
      </c>
      <c r="C3636" t="str">
        <f>HYPERLINK("http://www.pfister.co.at","Website")</f>
        <v>Website</v>
      </c>
      <c r="D3636" t="str">
        <f>HYPERLINK("http://www.google.com/maps/place/47.39202,11.77254","Location")</f>
        <v>Location</v>
      </c>
      <c r="E3636" t="s">
        <v>31503</v>
      </c>
      <c r="F3636" t="s">
        <v>31504</v>
      </c>
      <c r="G3636" t="s">
        <v>4374</v>
      </c>
      <c r="H3636" t="s">
        <v>4375</v>
      </c>
      <c r="I3636" t="s">
        <v>21</v>
      </c>
      <c r="J3636" t="s">
        <v>22</v>
      </c>
      <c r="K3636" t="s">
        <v>31505</v>
      </c>
      <c r="L3636" t="s">
        <v>31508</v>
      </c>
      <c r="M3636" t="s">
        <v>25</v>
      </c>
      <c r="N3636" t="s">
        <v>31509</v>
      </c>
      <c r="O3636" t="s">
        <v>25</v>
      </c>
      <c r="P3636" t="s">
        <v>31510</v>
      </c>
      <c r="Q3636" t="s">
        <v>29</v>
      </c>
      <c r="R3636" t="s">
        <v>31506</v>
      </c>
      <c r="S3636" t="s">
        <v>31507</v>
      </c>
    </row>
    <row r="3637" spans="1:19" x14ac:dyDescent="0.25">
      <c r="A3637" s="1">
        <v>3635</v>
      </c>
      <c r="B3637" t="str">
        <f>HYPERLINK("https://www.dasschnelle.at/wurzrainer-christian-bruck-bahnhofstraße","Website")</f>
        <v>Website</v>
      </c>
      <c r="C3637" t="str">
        <f>HYPERLINK("http://www.spenglerei-wurzrainer.at","Website")</f>
        <v>Website</v>
      </c>
      <c r="D3637" t="str">
        <f>HYPERLINK("http://www.google.com/maps/place/47.2848458,12.8293146","Location")</f>
        <v>Location</v>
      </c>
      <c r="E3637" t="s">
        <v>31511</v>
      </c>
      <c r="F3637" t="s">
        <v>31512</v>
      </c>
      <c r="G3637" t="s">
        <v>31514</v>
      </c>
      <c r="H3637" t="s">
        <v>1770</v>
      </c>
      <c r="I3637" t="s">
        <v>2239</v>
      </c>
      <c r="J3637" t="s">
        <v>22</v>
      </c>
      <c r="K3637" t="s">
        <v>31513</v>
      </c>
      <c r="L3637" t="s">
        <v>31517</v>
      </c>
      <c r="M3637" t="s">
        <v>25</v>
      </c>
      <c r="N3637" t="s">
        <v>31518</v>
      </c>
      <c r="O3637" t="s">
        <v>25</v>
      </c>
      <c r="P3637" t="s">
        <v>31519</v>
      </c>
      <c r="Q3637" t="s">
        <v>29</v>
      </c>
      <c r="R3637" t="s">
        <v>31515</v>
      </c>
      <c r="S3637" t="s">
        <v>31516</v>
      </c>
    </row>
    <row r="3638" spans="1:19" x14ac:dyDescent="0.25">
      <c r="A3638" s="1">
        <v>3636</v>
      </c>
      <c r="B3638" t="str">
        <f>HYPERLINK("https://www.dasschnelle.at/freimüller-karl-dr-med-marchtrenk-linzer-straße","Website")</f>
        <v>Website</v>
      </c>
      <c r="C3638" t="str">
        <f>HYPERLINK("http://www.frauenarzt-freimueller.at","Website")</f>
        <v>Website</v>
      </c>
      <c r="D3638" t="str">
        <f>HYPERLINK("http://www.google.com/maps/place/48.19049,14.11426","Location")</f>
        <v>Location</v>
      </c>
      <c r="E3638" t="s">
        <v>31520</v>
      </c>
      <c r="F3638" t="s">
        <v>31521</v>
      </c>
      <c r="G3638" t="s">
        <v>4902</v>
      </c>
      <c r="H3638" t="s">
        <v>7155</v>
      </c>
      <c r="I3638" t="s">
        <v>85</v>
      </c>
      <c r="J3638" t="s">
        <v>22</v>
      </c>
      <c r="K3638" t="s">
        <v>31522</v>
      </c>
      <c r="L3638" t="s">
        <v>31525</v>
      </c>
      <c r="M3638" t="s">
        <v>25</v>
      </c>
      <c r="N3638" t="s">
        <v>31526</v>
      </c>
      <c r="O3638" t="s">
        <v>25</v>
      </c>
      <c r="P3638" t="s">
        <v>31527</v>
      </c>
      <c r="Q3638" t="s">
        <v>29</v>
      </c>
      <c r="R3638" t="s">
        <v>31523</v>
      </c>
      <c r="S3638" t="s">
        <v>31524</v>
      </c>
    </row>
    <row r="3639" spans="1:19" x14ac:dyDescent="0.25">
      <c r="A3639" s="1">
        <v>3637</v>
      </c>
      <c r="B3639" t="str">
        <f>HYPERLINK("https://www.dasschnelle.at/tipotsch-christian-dr-schwaz-innsbrucker-straße","Website")</f>
        <v>Website</v>
      </c>
      <c r="C3639" t="str">
        <f>HYPERLINK("https://www.dasschnelle.at/tipotsch-christian-dr-schwaz-innsbrucker-stra%C3%9Fe","Website")</f>
        <v>Website</v>
      </c>
      <c r="D3639" t="str">
        <f>HYPERLINK("http://www.google.com/maps/place/47.3444,11.70812","Location")</f>
        <v>Location</v>
      </c>
      <c r="E3639" t="s">
        <v>31528</v>
      </c>
      <c r="F3639" t="s">
        <v>31529</v>
      </c>
      <c r="G3639" t="s">
        <v>4200</v>
      </c>
      <c r="H3639" t="s">
        <v>4201</v>
      </c>
      <c r="I3639" t="s">
        <v>21</v>
      </c>
      <c r="J3639" t="s">
        <v>22</v>
      </c>
      <c r="K3639" t="s">
        <v>31530</v>
      </c>
      <c r="L3639" t="s">
        <v>31533</v>
      </c>
      <c r="M3639" t="s">
        <v>25</v>
      </c>
      <c r="N3639" t="s">
        <v>25</v>
      </c>
      <c r="O3639" t="s">
        <v>25</v>
      </c>
      <c r="P3639" t="s">
        <v>31534</v>
      </c>
      <c r="Q3639" t="s">
        <v>29</v>
      </c>
      <c r="R3639" t="s">
        <v>31531</v>
      </c>
      <c r="S3639" t="s">
        <v>31532</v>
      </c>
    </row>
    <row r="3640" spans="1:19" x14ac:dyDescent="0.25">
      <c r="A3640" s="1">
        <v>3638</v>
      </c>
      <c r="B3640" t="str">
        <f>HYPERLINK("https://www.dasschnelle.at/therapiezentrum-balance-fügen-bahnhofstraße","Website")</f>
        <v>Website</v>
      </c>
      <c r="C3640" t="str">
        <f>HYPERLINK("http://www.therapie-balance.at","Website")</f>
        <v>Website</v>
      </c>
      <c r="D3640" t="str">
        <f>HYPERLINK("http://www.google.com/maps/place/47.34495,11.85099","Location")</f>
        <v>Location</v>
      </c>
      <c r="E3640" t="s">
        <v>31535</v>
      </c>
      <c r="F3640" t="s">
        <v>31536</v>
      </c>
      <c r="G3640" t="s">
        <v>4219</v>
      </c>
      <c r="H3640" t="s">
        <v>4220</v>
      </c>
      <c r="I3640" t="s">
        <v>21</v>
      </c>
      <c r="J3640" t="s">
        <v>22</v>
      </c>
      <c r="K3640" t="s">
        <v>1631</v>
      </c>
      <c r="L3640" t="s">
        <v>31539</v>
      </c>
      <c r="M3640" t="s">
        <v>25</v>
      </c>
      <c r="N3640" t="s">
        <v>31540</v>
      </c>
      <c r="O3640" t="s">
        <v>25</v>
      </c>
      <c r="P3640" t="s">
        <v>31541</v>
      </c>
      <c r="Q3640" t="s">
        <v>29</v>
      </c>
      <c r="R3640" t="s">
        <v>31537</v>
      </c>
      <c r="S3640" t="s">
        <v>31538</v>
      </c>
    </row>
    <row r="3641" spans="1:19" x14ac:dyDescent="0.25">
      <c r="A3641" s="1">
        <v>3639</v>
      </c>
      <c r="B3641" t="str">
        <f>HYPERLINK("https://www.dasschnelle.at/klimbacher-peter-ing-wolfsberg-johann-offner-straße","Website")</f>
        <v>Website</v>
      </c>
      <c r="C3641" t="str">
        <f>HYPERLINK("https://www.dasschnelle.at/klimbacher-peter-ing-wolfsberg-johann-offner-stra%C3%9Fe","Website")</f>
        <v>Website</v>
      </c>
      <c r="D3641" t="str">
        <f>HYPERLINK("http://www.google.com/maps/place/46.83854,14.84594","Location")</f>
        <v>Location</v>
      </c>
      <c r="E3641" t="s">
        <v>31542</v>
      </c>
      <c r="F3641" t="s">
        <v>31543</v>
      </c>
      <c r="G3641" t="s">
        <v>11363</v>
      </c>
      <c r="H3641" t="s">
        <v>11391</v>
      </c>
      <c r="I3641" t="s">
        <v>4130</v>
      </c>
      <c r="J3641" t="s">
        <v>22</v>
      </c>
      <c r="K3641" t="s">
        <v>31544</v>
      </c>
      <c r="L3641" t="s">
        <v>31547</v>
      </c>
      <c r="M3641" t="s">
        <v>25</v>
      </c>
      <c r="N3641" t="s">
        <v>31548</v>
      </c>
      <c r="O3641" t="s">
        <v>25</v>
      </c>
      <c r="P3641" t="s">
        <v>31549</v>
      </c>
      <c r="Q3641" t="s">
        <v>29</v>
      </c>
      <c r="R3641" t="s">
        <v>31545</v>
      </c>
      <c r="S3641" t="s">
        <v>31546</v>
      </c>
    </row>
    <row r="3642" spans="1:19" x14ac:dyDescent="0.25">
      <c r="A3642" s="1">
        <v>3640</v>
      </c>
      <c r="B3642" t="str">
        <f>HYPERLINK("https://www.dasschnelle.at/hagebau-bauzentrum-gmbh-wolfsberg-industriestraße","Website")</f>
        <v>Website</v>
      </c>
      <c r="C3642" t="str">
        <f>HYPERLINK("http://www.hagebaubauzentrum.at/","Website")</f>
        <v>Website</v>
      </c>
      <c r="D3642" t="str">
        <f>HYPERLINK("http://www.google.com/maps/place/46.81991,14.84139","Location")</f>
        <v>Location</v>
      </c>
      <c r="E3642" t="s">
        <v>31550</v>
      </c>
      <c r="F3642" t="s">
        <v>31551</v>
      </c>
      <c r="G3642" t="s">
        <v>11363</v>
      </c>
      <c r="H3642" t="s">
        <v>11391</v>
      </c>
      <c r="I3642" t="s">
        <v>4130</v>
      </c>
      <c r="J3642" t="s">
        <v>22</v>
      </c>
      <c r="K3642" t="s">
        <v>31552</v>
      </c>
      <c r="L3642" t="s">
        <v>31555</v>
      </c>
      <c r="M3642" t="s">
        <v>25</v>
      </c>
      <c r="N3642" t="s">
        <v>31556</v>
      </c>
      <c r="O3642" t="s">
        <v>31557</v>
      </c>
      <c r="P3642" t="s">
        <v>31558</v>
      </c>
      <c r="Q3642" t="s">
        <v>29</v>
      </c>
      <c r="R3642" t="s">
        <v>31553</v>
      </c>
      <c r="S3642" t="s">
        <v>31554</v>
      </c>
    </row>
    <row r="3643" spans="1:19" x14ac:dyDescent="0.25">
      <c r="A3643" s="1">
        <v>3641</v>
      </c>
      <c r="B3643" t="str">
        <f>HYPERLINK("https://www.dasschnelle.at/fritz-installationen-tulln-königstetter-straße","Website")</f>
        <v>Website</v>
      </c>
      <c r="C3643" t="str">
        <f>HYPERLINK("http://www.fritz-installationen.at","Website")</f>
        <v>Website</v>
      </c>
      <c r="D3643" t="str">
        <f>HYPERLINK("http://www.google.com/maps/place/48.32591,16.06332","Location")</f>
        <v>Location</v>
      </c>
      <c r="E3643" t="s">
        <v>31559</v>
      </c>
      <c r="F3643" t="s">
        <v>31560</v>
      </c>
      <c r="G3643" t="s">
        <v>9499</v>
      </c>
      <c r="H3643" t="s">
        <v>29583</v>
      </c>
      <c r="I3643" t="s">
        <v>177</v>
      </c>
      <c r="J3643" t="s">
        <v>22</v>
      </c>
      <c r="K3643" t="s">
        <v>31561</v>
      </c>
      <c r="L3643" t="s">
        <v>31564</v>
      </c>
      <c r="M3643" t="s">
        <v>25</v>
      </c>
      <c r="N3643" t="s">
        <v>31565</v>
      </c>
      <c r="O3643" t="s">
        <v>31566</v>
      </c>
      <c r="P3643" t="s">
        <v>31567</v>
      </c>
      <c r="Q3643" t="s">
        <v>29</v>
      </c>
      <c r="R3643" t="s">
        <v>31562</v>
      </c>
      <c r="S3643" t="s">
        <v>31563</v>
      </c>
    </row>
    <row r="3644" spans="1:19" x14ac:dyDescent="0.25">
      <c r="A3644" s="1">
        <v>3642</v>
      </c>
      <c r="B3644" t="str">
        <f>HYPERLINK("https://www.dasschnelle.at/haun-martin-dr-fügen-zillerweg","Website")</f>
        <v>Website</v>
      </c>
      <c r="C3644" t="str">
        <f>HYPERLINK("https://www.dasschnelle.at/haun-martin-dr-f%C3%BCgen-zillerweg","Website")</f>
        <v>Website</v>
      </c>
      <c r="D3644" t="str">
        <f>HYPERLINK("http://www.google.com/maps/place/47.34871,11.85162","Location")</f>
        <v>Location</v>
      </c>
      <c r="E3644" t="s">
        <v>31568</v>
      </c>
      <c r="F3644" t="s">
        <v>31569</v>
      </c>
      <c r="G3644" t="s">
        <v>4219</v>
      </c>
      <c r="H3644" t="s">
        <v>4220</v>
      </c>
      <c r="I3644" t="s">
        <v>21</v>
      </c>
      <c r="J3644" t="s">
        <v>22</v>
      </c>
      <c r="K3644" t="s">
        <v>31570</v>
      </c>
      <c r="L3644" t="s">
        <v>31573</v>
      </c>
      <c r="M3644" t="s">
        <v>31574</v>
      </c>
      <c r="N3644" t="s">
        <v>31575</v>
      </c>
      <c r="O3644" t="s">
        <v>25</v>
      </c>
      <c r="P3644" t="s">
        <v>31576</v>
      </c>
      <c r="Q3644" t="s">
        <v>29</v>
      </c>
      <c r="R3644" t="s">
        <v>31571</v>
      </c>
      <c r="S3644" t="s">
        <v>31572</v>
      </c>
    </row>
    <row r="3645" spans="1:19" x14ac:dyDescent="0.25">
      <c r="A3645" s="1">
        <v>3643</v>
      </c>
      <c r="B3645" t="str">
        <f>HYPERLINK("https://www.dasschnelle.at/elektro-hans-stöckl-gmbh-und-co-kg-saalfelden-loferer-bundesstraße","Website")</f>
        <v>Website</v>
      </c>
      <c r="C3645" t="str">
        <f>HYPERLINK("http://www.elektrostoeckl.at","Website")</f>
        <v>Website</v>
      </c>
      <c r="D3645" t="str">
        <f>HYPERLINK("http://www.google.com/maps/place/47.4317256,12.8445651","Location")</f>
        <v>Location</v>
      </c>
      <c r="E3645" t="s">
        <v>31577</v>
      </c>
      <c r="F3645" t="s">
        <v>31578</v>
      </c>
      <c r="G3645" t="s">
        <v>5573</v>
      </c>
      <c r="H3645" t="s">
        <v>5574</v>
      </c>
      <c r="I3645" t="s">
        <v>2239</v>
      </c>
      <c r="J3645" t="s">
        <v>22</v>
      </c>
      <c r="K3645" t="s">
        <v>31579</v>
      </c>
      <c r="L3645" t="s">
        <v>31582</v>
      </c>
      <c r="M3645" t="s">
        <v>25</v>
      </c>
      <c r="N3645" t="s">
        <v>31583</v>
      </c>
      <c r="O3645" t="s">
        <v>25</v>
      </c>
      <c r="P3645" t="s">
        <v>31584</v>
      </c>
      <c r="Q3645" t="s">
        <v>29</v>
      </c>
      <c r="R3645" t="s">
        <v>31580</v>
      </c>
      <c r="S3645" t="s">
        <v>31581</v>
      </c>
    </row>
    <row r="3646" spans="1:19" x14ac:dyDescent="0.25">
      <c r="A3646" s="1">
        <v>3644</v>
      </c>
      <c r="B3646" t="str">
        <f>HYPERLINK("https://www.dasschnelle.at/vorderegger-hans-harham","Website")</f>
        <v>Website</v>
      </c>
      <c r="C3646" t="str">
        <f>HYPERLINK("https://www.dasschnelle.at/vorderegger-hans-harham","Website")</f>
        <v>Website</v>
      </c>
      <c r="D3646" t="str">
        <f>HYPERLINK("http://www.google.com/maps/place/47.3999315,12.8050249","Location")</f>
        <v>Location</v>
      </c>
      <c r="E3646" t="s">
        <v>31585</v>
      </c>
      <c r="F3646" t="s">
        <v>31586</v>
      </c>
      <c r="G3646" t="s">
        <v>5573</v>
      </c>
      <c r="H3646" t="s">
        <v>31587</v>
      </c>
      <c r="I3646" t="s">
        <v>2239</v>
      </c>
      <c r="J3646" t="s">
        <v>22</v>
      </c>
      <c r="K3646" t="s">
        <v>25</v>
      </c>
      <c r="L3646" t="s">
        <v>31590</v>
      </c>
      <c r="M3646" t="s">
        <v>31591</v>
      </c>
      <c r="N3646" t="s">
        <v>25</v>
      </c>
      <c r="O3646" t="s">
        <v>25</v>
      </c>
      <c r="P3646" t="s">
        <v>31592</v>
      </c>
      <c r="Q3646" t="s">
        <v>29</v>
      </c>
      <c r="R3646" t="s">
        <v>31588</v>
      </c>
      <c r="S3646" t="s">
        <v>31589</v>
      </c>
    </row>
    <row r="3647" spans="1:19" x14ac:dyDescent="0.25">
      <c r="A3647" s="1">
        <v>3645</v>
      </c>
      <c r="B3647" t="str">
        <f>HYPERLINK("https://www.dasschnelle.at/suchan-leopold-winkl","Website")</f>
        <v>Website</v>
      </c>
      <c r="C3647" t="str">
        <f>HYPERLINK("http://www.suchan.at","Website")</f>
        <v>Website</v>
      </c>
      <c r="D3647" t="str">
        <f>HYPERLINK("http://www.google.com/maps/place/48.6684203,15.4788986","Location")</f>
        <v>Location</v>
      </c>
      <c r="E3647" t="s">
        <v>31593</v>
      </c>
      <c r="F3647" t="s">
        <v>31594</v>
      </c>
      <c r="G3647" t="s">
        <v>31595</v>
      </c>
      <c r="H3647" t="s">
        <v>31596</v>
      </c>
      <c r="I3647" t="s">
        <v>177</v>
      </c>
      <c r="J3647" t="s">
        <v>22</v>
      </c>
      <c r="K3647" t="s">
        <v>25</v>
      </c>
      <c r="L3647" t="s">
        <v>31599</v>
      </c>
      <c r="M3647" t="s">
        <v>25</v>
      </c>
      <c r="N3647" t="s">
        <v>31600</v>
      </c>
      <c r="O3647" t="s">
        <v>25</v>
      </c>
      <c r="P3647" t="s">
        <v>31601</v>
      </c>
      <c r="Q3647" t="s">
        <v>29</v>
      </c>
      <c r="R3647" t="s">
        <v>31597</v>
      </c>
      <c r="S3647" t="s">
        <v>31598</v>
      </c>
    </row>
    <row r="3648" spans="1:19" x14ac:dyDescent="0.25">
      <c r="A3648" s="1">
        <v>3646</v>
      </c>
      <c r="B3648" t="str">
        <f>HYPERLINK("https://www.dasschnelle.at/watzinger-kurt-maissau-leopold-figl-straße","Website")</f>
        <v>Website</v>
      </c>
      <c r="C3648" t="str">
        <f>HYPERLINK("http://www.watzinger-maissau.at/","Website")</f>
        <v>Website</v>
      </c>
      <c r="D3648" t="str">
        <f>HYPERLINK("http://www.google.com/maps/place/48.57267,15.83273","Location")</f>
        <v>Location</v>
      </c>
      <c r="E3648" t="s">
        <v>31602</v>
      </c>
      <c r="F3648" t="s">
        <v>31603</v>
      </c>
      <c r="G3648" t="s">
        <v>8480</v>
      </c>
      <c r="H3648" t="s">
        <v>8481</v>
      </c>
      <c r="I3648" t="s">
        <v>177</v>
      </c>
      <c r="J3648" t="s">
        <v>22</v>
      </c>
      <c r="K3648" t="s">
        <v>31604</v>
      </c>
      <c r="L3648" t="s">
        <v>31607</v>
      </c>
      <c r="M3648" t="s">
        <v>25</v>
      </c>
      <c r="N3648" t="s">
        <v>31608</v>
      </c>
      <c r="O3648" t="s">
        <v>25</v>
      </c>
      <c r="P3648" t="s">
        <v>31609</v>
      </c>
      <c r="Q3648" t="s">
        <v>29</v>
      </c>
      <c r="R3648" t="s">
        <v>31605</v>
      </c>
      <c r="S3648" t="s">
        <v>31606</v>
      </c>
    </row>
    <row r="3649" spans="1:19" x14ac:dyDescent="0.25">
      <c r="A3649" s="1">
        <v>3647</v>
      </c>
      <c r="B3649" t="str">
        <f>HYPERLINK("https://www.dasschnelle.at/mladek-franz-hollabrunn-schulgasse","Website")</f>
        <v>Website</v>
      </c>
      <c r="C3649" t="str">
        <f>HYPERLINK("http://www.mladek-fliesen.at","Website")</f>
        <v>Website</v>
      </c>
      <c r="D3649" t="str">
        <f>HYPERLINK("http://www.google.com/maps/place/48.5597616,16.0800608","Location")</f>
        <v>Location</v>
      </c>
      <c r="E3649" t="s">
        <v>31610</v>
      </c>
      <c r="F3649" t="s">
        <v>31611</v>
      </c>
      <c r="G3649" t="s">
        <v>8370</v>
      </c>
      <c r="H3649" t="s">
        <v>8371</v>
      </c>
      <c r="I3649" t="s">
        <v>177</v>
      </c>
      <c r="J3649" t="s">
        <v>22</v>
      </c>
      <c r="K3649" t="s">
        <v>31612</v>
      </c>
      <c r="L3649" t="s">
        <v>31615</v>
      </c>
      <c r="M3649" t="s">
        <v>31616</v>
      </c>
      <c r="N3649" t="s">
        <v>31617</v>
      </c>
      <c r="O3649" t="s">
        <v>25</v>
      </c>
      <c r="P3649" t="s">
        <v>31618</v>
      </c>
      <c r="Q3649" t="s">
        <v>29</v>
      </c>
      <c r="R3649" t="s">
        <v>31613</v>
      </c>
      <c r="S3649" t="s">
        <v>31614</v>
      </c>
    </row>
    <row r="3650" spans="1:19" x14ac:dyDescent="0.25">
      <c r="A3650" s="1">
        <v>3648</v>
      </c>
      <c r="B3650" t="str">
        <f>HYPERLINK("https://www.dasschnelle.at/dental-praxis-schwaz-andreas-hofer-straße","Website")</f>
        <v>Website</v>
      </c>
      <c r="C3650" t="str">
        <f>HYPERLINK("http://www.dental-praxis.at","Website")</f>
        <v>Website</v>
      </c>
      <c r="D3650" t="str">
        <f>HYPERLINK("http://www.google.com/maps/place/47.3459735,11.7073303","Location")</f>
        <v>Location</v>
      </c>
      <c r="E3650" t="s">
        <v>31619</v>
      </c>
      <c r="F3650" t="s">
        <v>31620</v>
      </c>
      <c r="G3650" t="s">
        <v>4200</v>
      </c>
      <c r="H3650" t="s">
        <v>4201</v>
      </c>
      <c r="I3650" t="s">
        <v>21</v>
      </c>
      <c r="J3650" t="s">
        <v>22</v>
      </c>
      <c r="K3650" t="s">
        <v>31621</v>
      </c>
      <c r="L3650" t="s">
        <v>31624</v>
      </c>
      <c r="M3650" t="s">
        <v>25</v>
      </c>
      <c r="N3650" t="s">
        <v>31625</v>
      </c>
      <c r="O3650" t="s">
        <v>25</v>
      </c>
      <c r="P3650" t="s">
        <v>31626</v>
      </c>
      <c r="Q3650" t="s">
        <v>29</v>
      </c>
      <c r="R3650" t="s">
        <v>31622</v>
      </c>
      <c r="S3650" t="s">
        <v>31623</v>
      </c>
    </row>
    <row r="3651" spans="1:19" x14ac:dyDescent="0.25">
      <c r="A3651" s="1">
        <v>3649</v>
      </c>
      <c r="B3651" t="str">
        <f>HYPERLINK("https://www.dasschnelle.at/krichbaum-michael-dr-ampflwang-ort","Website")</f>
        <v>Website</v>
      </c>
      <c r="C3651" t="str">
        <f>HYPERLINK("http://www.dr-krichbaum.at","Website")</f>
        <v>Website</v>
      </c>
      <c r="D3651" t="str">
        <f>HYPERLINK("http://www.google.com/maps/place/48.0861356,13.5682203","Location")</f>
        <v>Location</v>
      </c>
      <c r="E3651" t="s">
        <v>31627</v>
      </c>
      <c r="F3651" t="s">
        <v>31628</v>
      </c>
      <c r="G3651" t="s">
        <v>3805</v>
      </c>
      <c r="H3651" t="s">
        <v>3806</v>
      </c>
      <c r="I3651" t="s">
        <v>85</v>
      </c>
      <c r="J3651" t="s">
        <v>22</v>
      </c>
      <c r="K3651" t="s">
        <v>31629</v>
      </c>
      <c r="L3651" t="s">
        <v>31632</v>
      </c>
      <c r="M3651" t="s">
        <v>25</v>
      </c>
      <c r="N3651" t="s">
        <v>31633</v>
      </c>
      <c r="O3651" t="s">
        <v>25</v>
      </c>
      <c r="P3651" t="s">
        <v>31634</v>
      </c>
      <c r="Q3651" t="s">
        <v>29</v>
      </c>
      <c r="R3651" t="s">
        <v>31630</v>
      </c>
      <c r="S3651" t="s">
        <v>31631</v>
      </c>
    </row>
    <row r="3652" spans="1:19" x14ac:dyDescent="0.25">
      <c r="A3652" s="1">
        <v>3650</v>
      </c>
      <c r="B3652" t="str">
        <f>HYPERLINK("https://www.dasschnelle.at/ane-restaurant-gmbh-vöcklabruck-stadtplatz","Website")</f>
        <v>Website</v>
      </c>
      <c r="C3652" t="str">
        <f>HYPERLINK("http://www.pizza-vb.at","Website")</f>
        <v>Website</v>
      </c>
      <c r="D3652" t="str">
        <f>HYPERLINK("http://www.google.com/maps/place/48.00779,13.65307","Location")</f>
        <v>Location</v>
      </c>
      <c r="E3652" t="s">
        <v>31635</v>
      </c>
      <c r="F3652" t="s">
        <v>31636</v>
      </c>
      <c r="G3652" t="s">
        <v>3749</v>
      </c>
      <c r="H3652" t="s">
        <v>3750</v>
      </c>
      <c r="I3652" t="s">
        <v>85</v>
      </c>
      <c r="J3652" t="s">
        <v>22</v>
      </c>
      <c r="K3652" t="s">
        <v>26036</v>
      </c>
      <c r="L3652" t="s">
        <v>31637</v>
      </c>
      <c r="M3652" t="s">
        <v>25</v>
      </c>
      <c r="N3652" t="s">
        <v>31638</v>
      </c>
      <c r="O3652" t="s">
        <v>25</v>
      </c>
      <c r="P3652" t="s">
        <v>31639</v>
      </c>
      <c r="Q3652" t="s">
        <v>29</v>
      </c>
      <c r="R3652" t="s">
        <v>26037</v>
      </c>
      <c r="S3652" t="s">
        <v>26038</v>
      </c>
    </row>
    <row r="3653" spans="1:19" x14ac:dyDescent="0.25">
      <c r="A3653" s="1">
        <v>3651</v>
      </c>
      <c r="B3653" t="str">
        <f>HYPERLINK("https://www.dasschnelle.at/dachdeckerei-höttl-saalfelden-haid","Website")</f>
        <v>Website</v>
      </c>
      <c r="C3653" t="str">
        <f>HYPERLINK("https://www.dasschnelle.at/dachdeckerei-h%C3%B6ttl-saalfelden-haid","Website")</f>
        <v>Website</v>
      </c>
      <c r="D3653" t="str">
        <f>HYPERLINK("http://www.google.com/maps/place/47.4097456,12.8202537","Location")</f>
        <v>Location</v>
      </c>
      <c r="E3653" t="s">
        <v>31640</v>
      </c>
      <c r="F3653" t="s">
        <v>31641</v>
      </c>
      <c r="G3653" t="s">
        <v>5573</v>
      </c>
      <c r="H3653" t="s">
        <v>5574</v>
      </c>
      <c r="I3653" t="s">
        <v>2239</v>
      </c>
      <c r="J3653" t="s">
        <v>22</v>
      </c>
      <c r="K3653" t="s">
        <v>31642</v>
      </c>
      <c r="L3653" t="s">
        <v>31645</v>
      </c>
      <c r="M3653" t="s">
        <v>25</v>
      </c>
      <c r="N3653" t="s">
        <v>31646</v>
      </c>
      <c r="O3653" t="s">
        <v>25</v>
      </c>
      <c r="P3653" t="s">
        <v>31647</v>
      </c>
      <c r="Q3653" t="s">
        <v>29</v>
      </c>
      <c r="R3653" t="s">
        <v>31643</v>
      </c>
      <c r="S3653" t="s">
        <v>31644</v>
      </c>
    </row>
    <row r="3654" spans="1:19" x14ac:dyDescent="0.25">
      <c r="A3654" s="1">
        <v>3652</v>
      </c>
      <c r="B3654" t="str">
        <f>HYPERLINK("https://www.dasschnelle.at/band-garten-gmbh-horn-wiesengasse","Website")</f>
        <v>Website</v>
      </c>
      <c r="C3654" t="str">
        <f>HYPERLINK("http://www.band-garten.at","Website")</f>
        <v>Website</v>
      </c>
      <c r="D3654" t="str">
        <f>HYPERLINK("http://www.google.com/maps/place/48.66772,15.65436","Location")</f>
        <v>Location</v>
      </c>
      <c r="E3654" t="s">
        <v>31648</v>
      </c>
      <c r="F3654" t="s">
        <v>31649</v>
      </c>
      <c r="G3654" t="s">
        <v>12616</v>
      </c>
      <c r="H3654" t="s">
        <v>12625</v>
      </c>
      <c r="I3654" t="s">
        <v>177</v>
      </c>
      <c r="J3654" t="s">
        <v>22</v>
      </c>
      <c r="K3654" t="s">
        <v>31650</v>
      </c>
      <c r="L3654" t="s">
        <v>31653</v>
      </c>
      <c r="M3654" t="s">
        <v>31654</v>
      </c>
      <c r="N3654" t="s">
        <v>31655</v>
      </c>
      <c r="O3654" t="s">
        <v>25</v>
      </c>
      <c r="P3654" t="s">
        <v>31656</v>
      </c>
      <c r="Q3654" t="s">
        <v>29</v>
      </c>
      <c r="R3654" t="s">
        <v>31651</v>
      </c>
      <c r="S3654" t="s">
        <v>31652</v>
      </c>
    </row>
    <row r="3655" spans="1:19" x14ac:dyDescent="0.25">
      <c r="A3655" s="1">
        <v>3653</v>
      </c>
      <c r="B3655" t="str">
        <f>HYPERLINK("https://www.dasschnelle.at/müller-johann-gesmbh-wolfsberg-industriestraße","Website")</f>
        <v>Website</v>
      </c>
      <c r="C3655" t="str">
        <f>HYPERLINK("http://www.bm-mueller.at","Website")</f>
        <v>Website</v>
      </c>
      <c r="D3655" t="str">
        <f>HYPERLINK("http://www.google.com/maps/place/46.822,14.84043","Location")</f>
        <v>Location</v>
      </c>
      <c r="E3655" t="s">
        <v>31657</v>
      </c>
      <c r="F3655" t="s">
        <v>31658</v>
      </c>
      <c r="G3655" t="s">
        <v>11363</v>
      </c>
      <c r="H3655" t="s">
        <v>11391</v>
      </c>
      <c r="I3655" t="s">
        <v>4130</v>
      </c>
      <c r="J3655" t="s">
        <v>22</v>
      </c>
      <c r="K3655" t="s">
        <v>1220</v>
      </c>
      <c r="L3655" t="s">
        <v>31660</v>
      </c>
      <c r="M3655" t="s">
        <v>31661</v>
      </c>
      <c r="N3655" t="s">
        <v>31662</v>
      </c>
      <c r="O3655" t="s">
        <v>25</v>
      </c>
      <c r="P3655" t="s">
        <v>31663</v>
      </c>
      <c r="Q3655" t="s">
        <v>29</v>
      </c>
      <c r="R3655" t="s">
        <v>20979</v>
      </c>
      <c r="S3655" t="s">
        <v>31659</v>
      </c>
    </row>
    <row r="3656" spans="1:19" x14ac:dyDescent="0.25">
      <c r="A3656" s="1">
        <v>3654</v>
      </c>
      <c r="B3656" t="str">
        <f>HYPERLINK("https://www.dasschnelle.at/loike-bau-gmbh-wolfsberg-weinzedleistraße","Website")</f>
        <v>Website</v>
      </c>
      <c r="C3656" t="str">
        <f>HYPERLINK("https://www.dasschnelle.at/loike-bau-gmbh-wolfsberg-weinzedleistra%C3%9Fe","Website")</f>
        <v>Website</v>
      </c>
      <c r="D3656" t="str">
        <f>HYPERLINK("http://www.google.com/maps/place/46.85523,14.84037","Location")</f>
        <v>Location</v>
      </c>
      <c r="E3656" t="s">
        <v>31664</v>
      </c>
      <c r="F3656" t="s">
        <v>31665</v>
      </c>
      <c r="G3656" t="s">
        <v>11363</v>
      </c>
      <c r="H3656" t="s">
        <v>11391</v>
      </c>
      <c r="I3656" t="s">
        <v>4130</v>
      </c>
      <c r="J3656" t="s">
        <v>22</v>
      </c>
      <c r="K3656" t="s">
        <v>31666</v>
      </c>
      <c r="L3656" t="s">
        <v>31669</v>
      </c>
      <c r="M3656" t="s">
        <v>25</v>
      </c>
      <c r="N3656" t="s">
        <v>31670</v>
      </c>
      <c r="O3656" t="s">
        <v>25</v>
      </c>
      <c r="P3656" t="s">
        <v>31671</v>
      </c>
      <c r="Q3656" t="s">
        <v>29</v>
      </c>
      <c r="R3656" t="s">
        <v>31667</v>
      </c>
      <c r="S3656" t="s">
        <v>31668</v>
      </c>
    </row>
    <row r="3657" spans="1:19" x14ac:dyDescent="0.25">
      <c r="A3657" s="1">
        <v>3655</v>
      </c>
      <c r="B3657" t="str">
        <f>HYPERLINK("https://www.dasschnelle.at/hartl-und-melcher-gmbh-und-co-kg-st-michael-sankt-michael-im-lavanttal-st-michael","Website")</f>
        <v>Website</v>
      </c>
      <c r="C3657" t="str">
        <f>HYPERLINK("http://www.hartl-melcher.at","Website")</f>
        <v>Website</v>
      </c>
      <c r="D3657" t="str">
        <f>HYPERLINK("http://www.google.com/maps/place/46.8347431,14.7997427","Location")</f>
        <v>Location</v>
      </c>
      <c r="E3657" t="s">
        <v>31672</v>
      </c>
      <c r="F3657" t="s">
        <v>31673</v>
      </c>
      <c r="G3657" t="s">
        <v>30003</v>
      </c>
      <c r="H3657" t="s">
        <v>30004</v>
      </c>
      <c r="I3657" t="s">
        <v>4130</v>
      </c>
      <c r="J3657" t="s">
        <v>22</v>
      </c>
      <c r="K3657" t="s">
        <v>31674</v>
      </c>
      <c r="L3657" t="s">
        <v>31677</v>
      </c>
      <c r="M3657" t="s">
        <v>31678</v>
      </c>
      <c r="N3657" t="s">
        <v>31679</v>
      </c>
      <c r="O3657" t="s">
        <v>25</v>
      </c>
      <c r="P3657" t="s">
        <v>31680</v>
      </c>
      <c r="Q3657" t="s">
        <v>29</v>
      </c>
      <c r="R3657" t="s">
        <v>31675</v>
      </c>
      <c r="S3657" t="s">
        <v>31676</v>
      </c>
    </row>
    <row r="3658" spans="1:19" x14ac:dyDescent="0.25">
      <c r="A3658" s="1">
        <v>3656</v>
      </c>
      <c r="B3658" t="str">
        <f>HYPERLINK("https://www.dasschnelle.at/told-autoservice-gesmbh-rainer-told-fügen-zillertalstraße","Website")</f>
        <v>Website</v>
      </c>
      <c r="C3658" t="str">
        <f>HYPERLINK("http://www.told-auto.at","Website")</f>
        <v>Website</v>
      </c>
      <c r="D3658" t="str">
        <f>HYPERLINK("http://www.google.com/maps/place/47.35115,11.85131","Location")</f>
        <v>Location</v>
      </c>
      <c r="E3658" t="s">
        <v>31681</v>
      </c>
      <c r="F3658" t="s">
        <v>31682</v>
      </c>
      <c r="G3658" t="s">
        <v>4219</v>
      </c>
      <c r="H3658" t="s">
        <v>4220</v>
      </c>
      <c r="I3658" t="s">
        <v>21</v>
      </c>
      <c r="J3658" t="s">
        <v>22</v>
      </c>
      <c r="K3658" t="s">
        <v>31683</v>
      </c>
      <c r="L3658" t="s">
        <v>31686</v>
      </c>
      <c r="M3658" t="s">
        <v>31687</v>
      </c>
      <c r="N3658" t="s">
        <v>31688</v>
      </c>
      <c r="O3658" t="s">
        <v>25</v>
      </c>
      <c r="P3658" t="s">
        <v>31689</v>
      </c>
      <c r="Q3658" t="s">
        <v>29</v>
      </c>
      <c r="R3658" t="s">
        <v>31684</v>
      </c>
      <c r="S3658" t="s">
        <v>31685</v>
      </c>
    </row>
    <row r="3659" spans="1:19" x14ac:dyDescent="0.25">
      <c r="A3659" s="1">
        <v>3657</v>
      </c>
      <c r="B3659" t="str">
        <f>HYPERLINK("https://www.dasschnelle.at/dd-putz-saalfelden-am-steinernen-meer-lofererstraße","Website")</f>
        <v>Website</v>
      </c>
      <c r="C3659" t="str">
        <f>HYPERLINK("http://www.dd-putz.at","Website")</f>
        <v>Website</v>
      </c>
      <c r="D3659" t="str">
        <f>HYPERLINK("http://www.google.com/maps/place/47.4276838,12.8491458","Location")</f>
        <v>Location</v>
      </c>
      <c r="E3659" t="s">
        <v>31690</v>
      </c>
      <c r="F3659" t="s">
        <v>31691</v>
      </c>
      <c r="G3659" t="s">
        <v>5573</v>
      </c>
      <c r="H3659" t="s">
        <v>31693</v>
      </c>
      <c r="I3659" t="s">
        <v>2239</v>
      </c>
      <c r="J3659" t="s">
        <v>22</v>
      </c>
      <c r="K3659" t="s">
        <v>31692</v>
      </c>
      <c r="L3659" t="s">
        <v>31696</v>
      </c>
      <c r="M3659" t="s">
        <v>25</v>
      </c>
      <c r="N3659" t="s">
        <v>31697</v>
      </c>
      <c r="O3659" t="s">
        <v>31698</v>
      </c>
      <c r="P3659" t="s">
        <v>31699</v>
      </c>
      <c r="Q3659" t="s">
        <v>29</v>
      </c>
      <c r="R3659" t="s">
        <v>31694</v>
      </c>
      <c r="S3659" t="s">
        <v>31695</v>
      </c>
    </row>
    <row r="3660" spans="1:19" x14ac:dyDescent="0.25">
      <c r="A3660" s="1">
        <v>3658</v>
      </c>
      <c r="B3660" t="str">
        <f>HYPERLINK("https://www.dasschnelle.at/holzbau-wegscheider-innovative-bau-gmbh-pill-innstraße","Website")</f>
        <v>Website</v>
      </c>
      <c r="C3660" t="str">
        <f>HYPERLINK("http://www.holzbau-wegscheider.at","Website")</f>
        <v>Website</v>
      </c>
      <c r="D3660" t="str">
        <f>HYPERLINK("http://www.google.com/maps/place/47.32145,11.68249","Location")</f>
        <v>Location</v>
      </c>
      <c r="E3660" t="s">
        <v>31700</v>
      </c>
      <c r="F3660" t="s">
        <v>31701</v>
      </c>
      <c r="G3660" t="s">
        <v>31703</v>
      </c>
      <c r="H3660" t="s">
        <v>31704</v>
      </c>
      <c r="I3660" t="s">
        <v>21</v>
      </c>
      <c r="J3660" t="s">
        <v>22</v>
      </c>
      <c r="K3660" t="s">
        <v>31702</v>
      </c>
      <c r="L3660" t="s">
        <v>31707</v>
      </c>
      <c r="M3660" t="s">
        <v>31708</v>
      </c>
      <c r="N3660" t="s">
        <v>31709</v>
      </c>
      <c r="O3660" t="s">
        <v>25</v>
      </c>
      <c r="P3660" t="s">
        <v>31710</v>
      </c>
      <c r="Q3660" t="s">
        <v>29</v>
      </c>
      <c r="R3660" t="s">
        <v>31705</v>
      </c>
      <c r="S3660" t="s">
        <v>31706</v>
      </c>
    </row>
    <row r="3661" spans="1:19" x14ac:dyDescent="0.25">
      <c r="A3661" s="1">
        <v>3659</v>
      </c>
      <c r="B3661" t="str">
        <f>HYPERLINK("https://www.dasschnelle.at/siegfried-tutschek-e-u-eggenburg-luegerring","Website")</f>
        <v>Website</v>
      </c>
      <c r="C3661" t="str">
        <f>HYPERLINK("http://www.tutschek.at","Website")</f>
        <v>Website</v>
      </c>
      <c r="D3661" t="str">
        <f>HYPERLINK("http://www.google.com/maps/place/48.63992,15.8196","Location")</f>
        <v>Location</v>
      </c>
      <c r="E3661" t="s">
        <v>31711</v>
      </c>
      <c r="F3661" t="s">
        <v>31712</v>
      </c>
      <c r="G3661" t="s">
        <v>12596</v>
      </c>
      <c r="H3661" t="s">
        <v>12597</v>
      </c>
      <c r="I3661" t="s">
        <v>177</v>
      </c>
      <c r="J3661" t="s">
        <v>22</v>
      </c>
      <c r="K3661" t="s">
        <v>31713</v>
      </c>
      <c r="L3661" t="s">
        <v>31716</v>
      </c>
      <c r="M3661" t="s">
        <v>25</v>
      </c>
      <c r="N3661" t="s">
        <v>31717</v>
      </c>
      <c r="O3661" t="s">
        <v>25</v>
      </c>
      <c r="P3661" t="s">
        <v>31718</v>
      </c>
      <c r="Q3661" t="s">
        <v>29</v>
      </c>
      <c r="R3661" t="s">
        <v>31714</v>
      </c>
      <c r="S3661" t="s">
        <v>31715</v>
      </c>
    </row>
    <row r="3662" spans="1:19" x14ac:dyDescent="0.25">
      <c r="A3662" s="1">
        <v>3660</v>
      </c>
      <c r="B3662" t="str">
        <f>HYPERLINK("https://www.dasschnelle.at/brandner-thomas-mitterkirchen-haid","Website")</f>
        <v>Website</v>
      </c>
      <c r="C3662" t="str">
        <f>HYPERLINK("http://www.tischlerei-brandner.at","Website")</f>
        <v>Website</v>
      </c>
      <c r="D3662" t="str">
        <f>HYPERLINK("http://www.google.com/maps/place/48.2062521,14.6895513","Location")</f>
        <v>Location</v>
      </c>
      <c r="E3662" t="s">
        <v>31719</v>
      </c>
      <c r="F3662" t="s">
        <v>31720</v>
      </c>
      <c r="G3662" t="s">
        <v>27209</v>
      </c>
      <c r="H3662" t="s">
        <v>27210</v>
      </c>
      <c r="I3662" t="s">
        <v>85</v>
      </c>
      <c r="J3662" t="s">
        <v>22</v>
      </c>
      <c r="K3662" t="s">
        <v>31721</v>
      </c>
      <c r="L3662" t="s">
        <v>31724</v>
      </c>
      <c r="M3662" t="s">
        <v>25</v>
      </c>
      <c r="N3662" t="s">
        <v>31725</v>
      </c>
      <c r="O3662" t="s">
        <v>31726</v>
      </c>
      <c r="P3662" t="s">
        <v>31727</v>
      </c>
      <c r="Q3662" t="s">
        <v>29</v>
      </c>
      <c r="R3662" t="s">
        <v>31722</v>
      </c>
      <c r="S3662" t="s">
        <v>31723</v>
      </c>
    </row>
    <row r="3663" spans="1:19" x14ac:dyDescent="0.25">
      <c r="A3663" s="1">
        <v>3661</v>
      </c>
      <c r="B3663" t="str">
        <f>HYPERLINK("https://www.dasschnelle.at/eberharter-und-gruber-gesmbh-fügen-gewerbeweg","Website")</f>
        <v>Website</v>
      </c>
      <c r="C3663" t="str">
        <f>HYPERLINK("http://www.eug-bau.com","Website")</f>
        <v>Website</v>
      </c>
      <c r="D3663" t="str">
        <f>HYPERLINK("http://www.google.com/maps/place/47.36586,11.84793","Location")</f>
        <v>Location</v>
      </c>
      <c r="E3663" t="s">
        <v>31728</v>
      </c>
      <c r="F3663" t="s">
        <v>31729</v>
      </c>
      <c r="G3663" t="s">
        <v>4219</v>
      </c>
      <c r="H3663" t="s">
        <v>4220</v>
      </c>
      <c r="I3663" t="s">
        <v>21</v>
      </c>
      <c r="J3663" t="s">
        <v>22</v>
      </c>
      <c r="K3663" t="s">
        <v>31730</v>
      </c>
      <c r="L3663" t="s">
        <v>31733</v>
      </c>
      <c r="M3663" t="s">
        <v>31734</v>
      </c>
      <c r="N3663" t="s">
        <v>31735</v>
      </c>
      <c r="O3663" t="s">
        <v>25</v>
      </c>
      <c r="P3663" t="s">
        <v>31736</v>
      </c>
      <c r="Q3663" t="s">
        <v>29</v>
      </c>
      <c r="R3663" t="s">
        <v>31731</v>
      </c>
      <c r="S3663" t="s">
        <v>31732</v>
      </c>
    </row>
    <row r="3664" spans="1:19" x14ac:dyDescent="0.25">
      <c r="A3664" s="1">
        <v>3662</v>
      </c>
      <c r="B3664" t="str">
        <f>HYPERLINK("https://www.dasschnelle.at/probst-fassaden-und-putze-gmbh-st-andrä-winkling-nord","Website")</f>
        <v>Website</v>
      </c>
      <c r="C3664" t="str">
        <f>HYPERLINK("http://www.probst-putze.at","Website")</f>
        <v>Website</v>
      </c>
      <c r="D3664" t="str">
        <f>HYPERLINK("http://www.google.com/maps/place/46.7909859,14.8061722","Location")</f>
        <v>Location</v>
      </c>
      <c r="E3664" t="s">
        <v>31737</v>
      </c>
      <c r="F3664" t="s">
        <v>31738</v>
      </c>
      <c r="G3664" t="s">
        <v>11381</v>
      </c>
      <c r="H3664" t="s">
        <v>11382</v>
      </c>
      <c r="I3664" t="s">
        <v>4130</v>
      </c>
      <c r="J3664" t="s">
        <v>22</v>
      </c>
      <c r="K3664" t="s">
        <v>31739</v>
      </c>
      <c r="L3664" t="s">
        <v>31742</v>
      </c>
      <c r="M3664" t="s">
        <v>31743</v>
      </c>
      <c r="N3664" t="s">
        <v>31744</v>
      </c>
      <c r="O3664" t="s">
        <v>31745</v>
      </c>
      <c r="P3664" t="s">
        <v>31746</v>
      </c>
      <c r="Q3664" t="s">
        <v>29</v>
      </c>
      <c r="R3664" t="s">
        <v>31740</v>
      </c>
      <c r="S3664" t="s">
        <v>31741</v>
      </c>
    </row>
    <row r="3665" spans="1:19" x14ac:dyDescent="0.25">
      <c r="A3665" s="1">
        <v>3663</v>
      </c>
      <c r="B3665" t="str">
        <f>HYPERLINK("https://www.dasschnelle.at/dr-johannes-mitterhuber-thalheim-b-wels-traunufer-arkade","Website")</f>
        <v>Website</v>
      </c>
      <c r="C3665" t="str">
        <f>HYPERLINK("https://www.dasschnelle.at/dr-johannes-mitterhuber-thalheim-b-wels-traunufer-arkade","Website")</f>
        <v>Website</v>
      </c>
      <c r="D3665" t="str">
        <f>HYPERLINK("http://www.google.com/maps/place/48.1540865,14.0355742","Location")</f>
        <v>Location</v>
      </c>
      <c r="E3665" t="s">
        <v>31747</v>
      </c>
      <c r="F3665" t="s">
        <v>31748</v>
      </c>
      <c r="G3665" t="s">
        <v>4725</v>
      </c>
      <c r="H3665" t="s">
        <v>31749</v>
      </c>
      <c r="I3665" t="s">
        <v>85</v>
      </c>
      <c r="J3665" t="s">
        <v>22</v>
      </c>
      <c r="K3665" t="s">
        <v>28029</v>
      </c>
      <c r="L3665" t="s">
        <v>31750</v>
      </c>
      <c r="M3665" t="s">
        <v>25</v>
      </c>
      <c r="N3665" t="s">
        <v>25</v>
      </c>
      <c r="O3665" t="s">
        <v>25</v>
      </c>
      <c r="P3665" t="s">
        <v>31751</v>
      </c>
      <c r="Q3665" t="s">
        <v>29</v>
      </c>
      <c r="R3665" t="s">
        <v>29351</v>
      </c>
      <c r="S3665" t="s">
        <v>29352</v>
      </c>
    </row>
    <row r="3666" spans="1:19" x14ac:dyDescent="0.25">
      <c r="A3666" s="1">
        <v>3664</v>
      </c>
      <c r="B3666" t="str">
        <f>HYPERLINK("https://www.dasschnelle.at/karamat-lukas-dr-med-hollabrunn-klostergasse","Website")</f>
        <v>Website</v>
      </c>
      <c r="C3666" t="str">
        <f>HYPERLINK("http://www.orthopaedie-karamat.at","Website")</f>
        <v>Website</v>
      </c>
      <c r="D3666" t="str">
        <f>HYPERLINK("http://www.google.com/maps/place/48.56293,16.07988","Location")</f>
        <v>Location</v>
      </c>
      <c r="E3666" t="s">
        <v>31752</v>
      </c>
      <c r="F3666" t="s">
        <v>31753</v>
      </c>
      <c r="G3666" t="s">
        <v>8370</v>
      </c>
      <c r="H3666" t="s">
        <v>8371</v>
      </c>
      <c r="I3666" t="s">
        <v>177</v>
      </c>
      <c r="J3666" t="s">
        <v>22</v>
      </c>
      <c r="K3666" t="s">
        <v>31754</v>
      </c>
      <c r="L3666" t="s">
        <v>31757</v>
      </c>
      <c r="M3666" t="s">
        <v>25</v>
      </c>
      <c r="N3666" t="s">
        <v>31758</v>
      </c>
      <c r="O3666" t="s">
        <v>25</v>
      </c>
      <c r="P3666" t="s">
        <v>31759</v>
      </c>
      <c r="Q3666" t="s">
        <v>29</v>
      </c>
      <c r="R3666" t="s">
        <v>31755</v>
      </c>
      <c r="S3666" t="s">
        <v>31756</v>
      </c>
    </row>
    <row r="3667" spans="1:19" x14ac:dyDescent="0.25">
      <c r="A3667" s="1">
        <v>3665</v>
      </c>
      <c r="B3667" t="str">
        <f>HYPERLINK("https://www.dasschnelle.at/ep-kollegger-bad-st-leonhard-im-lavanttal-postgasse","Website")</f>
        <v>Website</v>
      </c>
      <c r="C3667" t="str">
        <f>HYPERLINK("http://www.fernsehtechnik.at","Website")</f>
        <v>Website</v>
      </c>
      <c r="D3667" t="str">
        <f>HYPERLINK("http://www.google.com/maps/place/46.9627700,14.7897400","Location")</f>
        <v>Location</v>
      </c>
      <c r="E3667" t="s">
        <v>31760</v>
      </c>
      <c r="F3667" t="s">
        <v>31761</v>
      </c>
      <c r="G3667" t="s">
        <v>29694</v>
      </c>
      <c r="H3667" t="s">
        <v>29695</v>
      </c>
      <c r="I3667" t="s">
        <v>4130</v>
      </c>
      <c r="J3667" t="s">
        <v>22</v>
      </c>
      <c r="K3667" t="s">
        <v>31762</v>
      </c>
      <c r="L3667" t="s">
        <v>31765</v>
      </c>
      <c r="M3667" t="s">
        <v>25</v>
      </c>
      <c r="N3667" t="s">
        <v>31766</v>
      </c>
      <c r="O3667" t="s">
        <v>25</v>
      </c>
      <c r="P3667" t="s">
        <v>31767</v>
      </c>
      <c r="Q3667" t="s">
        <v>29</v>
      </c>
      <c r="R3667" t="s">
        <v>31763</v>
      </c>
      <c r="S3667" t="s">
        <v>31764</v>
      </c>
    </row>
    <row r="3668" spans="1:19" x14ac:dyDescent="0.25">
      <c r="A3668" s="1">
        <v>3666</v>
      </c>
      <c r="B3668" t="str">
        <f>HYPERLINK("https://www.dasschnelle.at/titze-walter-dr-unterach-elisabethallee","Website")</f>
        <v>Website</v>
      </c>
      <c r="C3668" t="str">
        <f>HYPERLINK("http://www.tiklinik.at","Website")</f>
        <v>Website</v>
      </c>
      <c r="D3668" t="str">
        <f>HYPERLINK("http://www.google.com/maps/place/47.80235,13.48222","Location")</f>
        <v>Location</v>
      </c>
      <c r="E3668" t="s">
        <v>31768</v>
      </c>
      <c r="F3668" t="s">
        <v>31769</v>
      </c>
      <c r="G3668" t="s">
        <v>10978</v>
      </c>
      <c r="H3668" t="s">
        <v>10979</v>
      </c>
      <c r="I3668" t="s">
        <v>85</v>
      </c>
      <c r="J3668" t="s">
        <v>22</v>
      </c>
      <c r="K3668" t="s">
        <v>31770</v>
      </c>
      <c r="L3668" t="s">
        <v>31773</v>
      </c>
      <c r="M3668" t="s">
        <v>31774</v>
      </c>
      <c r="N3668" t="s">
        <v>31775</v>
      </c>
      <c r="O3668" t="s">
        <v>25</v>
      </c>
      <c r="P3668" t="s">
        <v>31776</v>
      </c>
      <c r="Q3668" t="s">
        <v>29</v>
      </c>
      <c r="R3668" t="s">
        <v>31771</v>
      </c>
      <c r="S3668" t="s">
        <v>31772</v>
      </c>
    </row>
    <row r="3669" spans="1:19" x14ac:dyDescent="0.25">
      <c r="A3669" s="1">
        <v>3667</v>
      </c>
      <c r="B3669" t="str">
        <f>HYPERLINK("https://www.dasschnelle.at/pachatz-alfred-st-michael-altendorf","Website")</f>
        <v>Website</v>
      </c>
      <c r="C3669" t="str">
        <f>HYPERLINK("https://www.dasschnelle.at/pachatz-alfred-st-michael-altendorf","Website")</f>
        <v>Website</v>
      </c>
      <c r="D3669" t="str">
        <f>HYPERLINK("http://www.google.com/maps/place/46.8324,14.81589","Location")</f>
        <v>Location</v>
      </c>
      <c r="E3669" t="s">
        <v>31777</v>
      </c>
      <c r="F3669" t="s">
        <v>31778</v>
      </c>
      <c r="G3669" t="s">
        <v>30003</v>
      </c>
      <c r="H3669" t="s">
        <v>30004</v>
      </c>
      <c r="I3669" t="s">
        <v>4130</v>
      </c>
      <c r="J3669" t="s">
        <v>22</v>
      </c>
      <c r="K3669" t="s">
        <v>31779</v>
      </c>
      <c r="L3669" t="s">
        <v>31782</v>
      </c>
      <c r="M3669" t="s">
        <v>25</v>
      </c>
      <c r="N3669" t="s">
        <v>31783</v>
      </c>
      <c r="O3669" t="s">
        <v>25</v>
      </c>
      <c r="P3669" t="s">
        <v>31784</v>
      </c>
      <c r="Q3669" t="s">
        <v>29</v>
      </c>
      <c r="R3669" t="s">
        <v>31780</v>
      </c>
      <c r="S3669" t="s">
        <v>31781</v>
      </c>
    </row>
    <row r="3670" spans="1:19" x14ac:dyDescent="0.25">
      <c r="A3670" s="1">
        <v>3668</v>
      </c>
      <c r="B3670" t="str">
        <f>HYPERLINK("https://www.dasschnelle.at/heim-josef-kg-fügen-kapfingerstraße","Website")</f>
        <v>Website</v>
      </c>
      <c r="C3670" t="str">
        <f>HYPERLINK("http://www.josef-heim.at","Website")</f>
        <v>Website</v>
      </c>
      <c r="D3670" t="str">
        <f>HYPERLINK("http://www.google.com/maps/place/47.33217,11.85829","Location")</f>
        <v>Location</v>
      </c>
      <c r="E3670" t="s">
        <v>31785</v>
      </c>
      <c r="F3670" t="s">
        <v>31786</v>
      </c>
      <c r="G3670" t="s">
        <v>4219</v>
      </c>
      <c r="H3670" t="s">
        <v>4220</v>
      </c>
      <c r="I3670" t="s">
        <v>21</v>
      </c>
      <c r="J3670" t="s">
        <v>22</v>
      </c>
      <c r="K3670" t="s">
        <v>31787</v>
      </c>
      <c r="L3670" t="s">
        <v>31790</v>
      </c>
      <c r="M3670" t="s">
        <v>31791</v>
      </c>
      <c r="N3670" t="s">
        <v>31792</v>
      </c>
      <c r="O3670" t="s">
        <v>25</v>
      </c>
      <c r="P3670" t="s">
        <v>31793</v>
      </c>
      <c r="Q3670" t="s">
        <v>29</v>
      </c>
      <c r="R3670" t="s">
        <v>31788</v>
      </c>
      <c r="S3670" t="s">
        <v>31789</v>
      </c>
    </row>
    <row r="3671" spans="1:19" x14ac:dyDescent="0.25">
      <c r="A3671" s="1">
        <v>3669</v>
      </c>
      <c r="B3671" t="str">
        <f>HYPERLINK("https://www.dasschnelle.at/krätschmer-herbert-katzbach-hochroithen","Website")</f>
        <v>Website</v>
      </c>
      <c r="C3671" t="str">
        <f>HYPERLINK("http://www.hls.co.at","Website")</f>
        <v>Website</v>
      </c>
      <c r="D3671" t="str">
        <f>HYPERLINK("http://www.google.com/maps/place/48.1957,13.97145","Location")</f>
        <v>Location</v>
      </c>
      <c r="E3671" t="s">
        <v>31794</v>
      </c>
      <c r="F3671" t="s">
        <v>31795</v>
      </c>
      <c r="G3671" t="s">
        <v>31797</v>
      </c>
      <c r="H3671" t="s">
        <v>31798</v>
      </c>
      <c r="I3671" t="s">
        <v>85</v>
      </c>
      <c r="J3671" t="s">
        <v>22</v>
      </c>
      <c r="K3671" t="s">
        <v>31796</v>
      </c>
      <c r="L3671" t="s">
        <v>31801</v>
      </c>
      <c r="M3671" t="s">
        <v>25</v>
      </c>
      <c r="N3671" t="s">
        <v>31802</v>
      </c>
      <c r="O3671" t="s">
        <v>31803</v>
      </c>
      <c r="P3671" t="s">
        <v>31804</v>
      </c>
      <c r="Q3671" t="s">
        <v>29</v>
      </c>
      <c r="R3671" t="s">
        <v>31799</v>
      </c>
      <c r="S3671" t="s">
        <v>31800</v>
      </c>
    </row>
    <row r="3672" spans="1:19" x14ac:dyDescent="0.25">
      <c r="A3672" s="1">
        <v>3670</v>
      </c>
      <c r="B3672" t="str">
        <f>HYPERLINK("https://www.dasschnelle.at/vvm-marchtrenk-linzer-straße","Website")</f>
        <v>Website</v>
      </c>
      <c r="C3672" t="str">
        <f>HYPERLINK("http://www.vvm.co.at","Website")</f>
        <v>Website</v>
      </c>
      <c r="D3672" t="str">
        <f>HYPERLINK("http://www.google.com/maps/place/48.1916400,14.1168000","Location")</f>
        <v>Location</v>
      </c>
      <c r="E3672" t="s">
        <v>31805</v>
      </c>
      <c r="F3672" t="s">
        <v>31806</v>
      </c>
      <c r="G3672" t="s">
        <v>4902</v>
      </c>
      <c r="H3672" t="s">
        <v>7155</v>
      </c>
      <c r="I3672" t="s">
        <v>85</v>
      </c>
      <c r="J3672" t="s">
        <v>22</v>
      </c>
      <c r="K3672" t="s">
        <v>31807</v>
      </c>
      <c r="L3672" t="s">
        <v>31810</v>
      </c>
      <c r="M3672" t="s">
        <v>25</v>
      </c>
      <c r="N3672" t="s">
        <v>31811</v>
      </c>
      <c r="O3672" t="s">
        <v>25</v>
      </c>
      <c r="P3672" t="s">
        <v>31812</v>
      </c>
      <c r="Q3672" t="s">
        <v>29</v>
      </c>
      <c r="R3672" t="s">
        <v>31808</v>
      </c>
      <c r="S3672" t="s">
        <v>31809</v>
      </c>
    </row>
    <row r="3673" spans="1:19" x14ac:dyDescent="0.25">
      <c r="A3673" s="1">
        <v>3671</v>
      </c>
      <c r="B3673" t="str">
        <f>HYPERLINK("https://www.dasschnelle.at/installationen-loinger-schwaz-münchner-straße","Website")</f>
        <v>Website</v>
      </c>
      <c r="C3673" t="str">
        <f>HYPERLINK("http://www.loinger.installationen.at","Website")</f>
        <v>Website</v>
      </c>
      <c r="D3673" t="str">
        <f>HYPERLINK("http://www.google.com/maps/place/47.35287,11.70768","Location")</f>
        <v>Location</v>
      </c>
      <c r="E3673" t="s">
        <v>31813</v>
      </c>
      <c r="F3673" t="s">
        <v>31814</v>
      </c>
      <c r="G3673" t="s">
        <v>4200</v>
      </c>
      <c r="H3673" t="s">
        <v>4201</v>
      </c>
      <c r="I3673" t="s">
        <v>21</v>
      </c>
      <c r="J3673" t="s">
        <v>22</v>
      </c>
      <c r="K3673" t="s">
        <v>31815</v>
      </c>
      <c r="L3673" t="s">
        <v>31818</v>
      </c>
      <c r="M3673" t="s">
        <v>25</v>
      </c>
      <c r="N3673" t="s">
        <v>31819</v>
      </c>
      <c r="O3673" t="s">
        <v>25</v>
      </c>
      <c r="P3673" t="s">
        <v>31820</v>
      </c>
      <c r="Q3673" t="s">
        <v>29</v>
      </c>
      <c r="R3673" t="s">
        <v>31816</v>
      </c>
      <c r="S3673" t="s">
        <v>31817</v>
      </c>
    </row>
    <row r="3674" spans="1:19" x14ac:dyDescent="0.25">
      <c r="A3674" s="1">
        <v>3672</v>
      </c>
      <c r="B3674" t="str">
        <f>HYPERLINK("https://www.dasschnelle.at/reitzinger-johannes-dipl-tierarzt-st-valentin-haagerstraße","Website")</f>
        <v>Website</v>
      </c>
      <c r="C3674" t="str">
        <f>HYPERLINK("https://www.dasschnelle.at/reitzinger-johannes-dipl-tierarzt-st-valentin-haagerstra%C3%9Fe","Website")</f>
        <v>Website</v>
      </c>
      <c r="D3674" t="str">
        <f>HYPERLINK("http://www.google.com/maps/place/48.1720100,14.5317200","Location")</f>
        <v>Location</v>
      </c>
      <c r="E3674" t="s">
        <v>31821</v>
      </c>
      <c r="F3674" t="s">
        <v>31822</v>
      </c>
      <c r="G3674" t="s">
        <v>1484</v>
      </c>
      <c r="H3674" t="s">
        <v>1485</v>
      </c>
      <c r="I3674" t="s">
        <v>177</v>
      </c>
      <c r="J3674" t="s">
        <v>22</v>
      </c>
      <c r="K3674" t="s">
        <v>31823</v>
      </c>
      <c r="L3674" t="s">
        <v>31826</v>
      </c>
      <c r="M3674" t="s">
        <v>25</v>
      </c>
      <c r="N3674" t="s">
        <v>31827</v>
      </c>
      <c r="O3674" t="s">
        <v>25</v>
      </c>
      <c r="P3674" t="s">
        <v>31828</v>
      </c>
      <c r="Q3674" t="s">
        <v>29</v>
      </c>
      <c r="R3674" t="s">
        <v>31824</v>
      </c>
      <c r="S3674" t="s">
        <v>31825</v>
      </c>
    </row>
    <row r="3675" spans="1:19" x14ac:dyDescent="0.25">
      <c r="A3675" s="1">
        <v>3673</v>
      </c>
      <c r="B3675" t="str">
        <f>HYPERLINK("https://www.dasschnelle.at/bestattung-der-stadt-wels-gmbh-wels-stadtplatz","Website")</f>
        <v>Website</v>
      </c>
      <c r="C3675" t="str">
        <f>HYPERLINK("http://www.bestattung-wels.at","Website")</f>
        <v>Website</v>
      </c>
      <c r="D3675" t="str">
        <f>HYPERLINK("http://www.google.com/maps/place/48.15746,14.02717","Location")</f>
        <v>Location</v>
      </c>
      <c r="E3675" t="s">
        <v>31829</v>
      </c>
      <c r="F3675" t="s">
        <v>31830</v>
      </c>
      <c r="G3675" t="s">
        <v>4725</v>
      </c>
      <c r="H3675" t="s">
        <v>4754</v>
      </c>
      <c r="I3675" t="s">
        <v>85</v>
      </c>
      <c r="J3675" t="s">
        <v>22</v>
      </c>
      <c r="K3675" t="s">
        <v>26614</v>
      </c>
      <c r="L3675" t="s">
        <v>31833</v>
      </c>
      <c r="M3675" t="s">
        <v>25</v>
      </c>
      <c r="N3675" t="s">
        <v>31834</v>
      </c>
      <c r="O3675" t="s">
        <v>31835</v>
      </c>
      <c r="P3675" t="s">
        <v>31836</v>
      </c>
      <c r="Q3675" t="s">
        <v>29</v>
      </c>
      <c r="R3675" t="s">
        <v>31831</v>
      </c>
      <c r="S3675" t="s">
        <v>31832</v>
      </c>
    </row>
    <row r="3676" spans="1:19" x14ac:dyDescent="0.25">
      <c r="A3676" s="1">
        <v>3674</v>
      </c>
      <c r="B3676" t="str">
        <f>HYPERLINK("https://www.dasschnelle.at/neuwirth-zvonko-wels-salzburger-straße","Website")</f>
        <v>Website</v>
      </c>
      <c r="C3676" t="str">
        <f>HYPERLINK("http://www.autoglas-neuwirth.at","Website")</f>
        <v>Website</v>
      </c>
      <c r="D3676" t="str">
        <f>HYPERLINK("http://www.google.com/maps/place/48.15954,14.01582","Location")</f>
        <v>Location</v>
      </c>
      <c r="E3676" t="s">
        <v>31837</v>
      </c>
      <c r="F3676" t="s">
        <v>31838</v>
      </c>
      <c r="G3676" t="s">
        <v>4725</v>
      </c>
      <c r="H3676" t="s">
        <v>4754</v>
      </c>
      <c r="I3676" t="s">
        <v>85</v>
      </c>
      <c r="J3676" t="s">
        <v>22</v>
      </c>
      <c r="K3676" t="s">
        <v>31839</v>
      </c>
      <c r="L3676" t="s">
        <v>31842</v>
      </c>
      <c r="M3676" t="s">
        <v>25</v>
      </c>
      <c r="N3676" t="s">
        <v>31843</v>
      </c>
      <c r="O3676" t="s">
        <v>31844</v>
      </c>
      <c r="P3676" t="s">
        <v>31845</v>
      </c>
      <c r="Q3676" t="s">
        <v>29</v>
      </c>
      <c r="R3676" t="s">
        <v>31840</v>
      </c>
      <c r="S3676" t="s">
        <v>31841</v>
      </c>
    </row>
    <row r="3677" spans="1:19" x14ac:dyDescent="0.25">
      <c r="A3677" s="1">
        <v>3675</v>
      </c>
      <c r="B3677" t="str">
        <f>HYPERLINK("https://www.dasschnelle.at/haustechnik-miesl-gmbh-kehlbach-kehlbach","Website")</f>
        <v>Website</v>
      </c>
      <c r="C3677" t="str">
        <f>HYPERLINK("http://www.miesl.at","Website")</f>
        <v>Website</v>
      </c>
      <c r="D3677" t="str">
        <f>HYPERLINK("http://www.google.com/maps/place/47.4175171,12.8182428","Location")</f>
        <v>Location</v>
      </c>
      <c r="E3677" t="s">
        <v>31846</v>
      </c>
      <c r="F3677" t="s">
        <v>31847</v>
      </c>
      <c r="G3677" t="s">
        <v>5573</v>
      </c>
      <c r="H3677" t="s">
        <v>31849</v>
      </c>
      <c r="I3677" t="s">
        <v>2239</v>
      </c>
      <c r="J3677" t="s">
        <v>22</v>
      </c>
      <c r="K3677" t="s">
        <v>31848</v>
      </c>
      <c r="L3677" t="s">
        <v>31852</v>
      </c>
      <c r="M3677" t="s">
        <v>25</v>
      </c>
      <c r="N3677" t="s">
        <v>31853</v>
      </c>
      <c r="O3677" t="s">
        <v>25</v>
      </c>
      <c r="P3677" t="s">
        <v>31854</v>
      </c>
      <c r="Q3677" t="s">
        <v>29</v>
      </c>
      <c r="R3677" t="s">
        <v>31850</v>
      </c>
      <c r="S3677" t="s">
        <v>31851</v>
      </c>
    </row>
    <row r="3678" spans="1:19" x14ac:dyDescent="0.25">
      <c r="A3678" s="1">
        <v>3676</v>
      </c>
      <c r="B3678" t="str">
        <f>HYPERLINK("https://www.dasschnelle.at/gebr-lechner-schwaz-innsbrucker-straße","Website")</f>
        <v>Website</v>
      </c>
      <c r="C3678" t="str">
        <f>HYPERLINK("http://www.lechnerdruck.at","Website")</f>
        <v>Website</v>
      </c>
      <c r="D3678" t="str">
        <f>HYPERLINK("http://www.google.com/maps/place/47.34358,11.70748","Location")</f>
        <v>Location</v>
      </c>
      <c r="E3678" t="s">
        <v>31855</v>
      </c>
      <c r="F3678" t="s">
        <v>31856</v>
      </c>
      <c r="G3678" t="s">
        <v>4200</v>
      </c>
      <c r="H3678" t="s">
        <v>4201</v>
      </c>
      <c r="I3678" t="s">
        <v>21</v>
      </c>
      <c r="J3678" t="s">
        <v>22</v>
      </c>
      <c r="K3678" t="s">
        <v>31857</v>
      </c>
      <c r="L3678" t="s">
        <v>31860</v>
      </c>
      <c r="M3678" t="s">
        <v>25</v>
      </c>
      <c r="N3678" t="s">
        <v>31861</v>
      </c>
      <c r="O3678" t="s">
        <v>25</v>
      </c>
      <c r="P3678" t="s">
        <v>31862</v>
      </c>
      <c r="Q3678" t="s">
        <v>29</v>
      </c>
      <c r="R3678" t="s">
        <v>31858</v>
      </c>
      <c r="S3678" t="s">
        <v>31859</v>
      </c>
    </row>
    <row r="3679" spans="1:19" x14ac:dyDescent="0.25">
      <c r="A3679" s="1">
        <v>3677</v>
      </c>
      <c r="B3679" t="str">
        <f>HYPERLINK("https://www.dasschnelle.at/kundk-küchen-klagenfurt-pischelsdorferstraße","Website")</f>
        <v>Website</v>
      </c>
      <c r="C3679" t="str">
        <f>HYPERLINK("http://www.kk-kuechen.at","Website")</f>
        <v>Website</v>
      </c>
      <c r="D3679" t="str">
        <f>HYPERLINK("http://www.google.com/maps/place/46.6367562,14.3277490","Location")</f>
        <v>Location</v>
      </c>
      <c r="E3679" t="s">
        <v>31863</v>
      </c>
      <c r="F3679" t="s">
        <v>31864</v>
      </c>
      <c r="G3679" t="s">
        <v>16510</v>
      </c>
      <c r="H3679" t="s">
        <v>16511</v>
      </c>
      <c r="I3679" t="s">
        <v>4130</v>
      </c>
      <c r="J3679" t="s">
        <v>22</v>
      </c>
      <c r="K3679" t="s">
        <v>31865</v>
      </c>
      <c r="L3679" t="s">
        <v>31868</v>
      </c>
      <c r="M3679" t="s">
        <v>25</v>
      </c>
      <c r="N3679" t="s">
        <v>31869</v>
      </c>
      <c r="O3679" t="s">
        <v>31870</v>
      </c>
      <c r="P3679" t="s">
        <v>31871</v>
      </c>
      <c r="Q3679" t="s">
        <v>29</v>
      </c>
      <c r="R3679" t="s">
        <v>31866</v>
      </c>
      <c r="S3679" t="s">
        <v>31867</v>
      </c>
    </row>
    <row r="3680" spans="1:19" x14ac:dyDescent="0.25">
      <c r="A3680" s="1">
        <v>3678</v>
      </c>
      <c r="B3680" t="str">
        <f>HYPERLINK("https://www.dasschnelle.at/rainer-sabine-dr-med-wolfsberg-spanheimerstraße","Website")</f>
        <v>Website</v>
      </c>
      <c r="C3680" t="str">
        <f>HYPERLINK("http://www.hautarzt-rainer.at","Website")</f>
        <v>Website</v>
      </c>
      <c r="D3680" t="str">
        <f>HYPERLINK("http://www.google.com/maps/place/46.83914,14.8401","Location")</f>
        <v>Location</v>
      </c>
      <c r="E3680" t="s">
        <v>31872</v>
      </c>
      <c r="F3680" t="s">
        <v>31873</v>
      </c>
      <c r="G3680" t="s">
        <v>11363</v>
      </c>
      <c r="H3680" t="s">
        <v>11391</v>
      </c>
      <c r="I3680" t="s">
        <v>4130</v>
      </c>
      <c r="J3680" t="s">
        <v>22</v>
      </c>
      <c r="K3680" t="s">
        <v>31874</v>
      </c>
      <c r="L3680" t="s">
        <v>31877</v>
      </c>
      <c r="M3680" t="s">
        <v>31878</v>
      </c>
      <c r="N3680" t="s">
        <v>31879</v>
      </c>
      <c r="O3680" t="s">
        <v>25</v>
      </c>
      <c r="P3680" t="s">
        <v>31880</v>
      </c>
      <c r="Q3680" t="s">
        <v>29</v>
      </c>
      <c r="R3680" t="s">
        <v>31875</v>
      </c>
      <c r="S3680" t="s">
        <v>31876</v>
      </c>
    </row>
    <row r="3681" spans="1:19" x14ac:dyDescent="0.25">
      <c r="A3681" s="1">
        <v>3679</v>
      </c>
      <c r="B3681" t="str">
        <f>HYPERLINK("https://www.dasschnelle.at/mag-jörg-jäger-mariazell-grazerstraße","Website")</f>
        <v>Website</v>
      </c>
      <c r="C3681" t="str">
        <f>HYPERLINK("http://www.notar-jaeger.at","Website")</f>
        <v>Website</v>
      </c>
      <c r="D3681" t="str">
        <f>HYPERLINK("http://www.google.com/maps/place/47.77183,15.31565","Location")</f>
        <v>Location</v>
      </c>
      <c r="E3681" t="s">
        <v>31881</v>
      </c>
      <c r="F3681" t="s">
        <v>31882</v>
      </c>
      <c r="G3681" t="s">
        <v>12529</v>
      </c>
      <c r="H3681" t="s">
        <v>24696</v>
      </c>
      <c r="I3681" t="s">
        <v>451</v>
      </c>
      <c r="J3681" t="s">
        <v>22</v>
      </c>
      <c r="K3681" t="s">
        <v>31883</v>
      </c>
      <c r="L3681" t="s">
        <v>31884</v>
      </c>
      <c r="M3681" t="s">
        <v>25</v>
      </c>
      <c r="N3681" t="s">
        <v>31885</v>
      </c>
      <c r="O3681" t="s">
        <v>25</v>
      </c>
      <c r="P3681" t="s">
        <v>31886</v>
      </c>
      <c r="Q3681" t="s">
        <v>29</v>
      </c>
      <c r="R3681" t="s">
        <v>31339</v>
      </c>
      <c r="S3681" t="s">
        <v>31340</v>
      </c>
    </row>
    <row r="3682" spans="1:19" x14ac:dyDescent="0.25">
      <c r="A3682" s="1">
        <v>3680</v>
      </c>
      <c r="B3682" t="str">
        <f>HYPERLINK("https://www.dasschnelle.at/völkl-manuel-horn-wiener-straße","Website")</f>
        <v>Website</v>
      </c>
      <c r="C3682" t="str">
        <f>HYPERLINK("http://www.ausklang-in-horn.at","Website")</f>
        <v>Website</v>
      </c>
      <c r="D3682" t="str">
        <f>HYPERLINK("http://www.google.com/maps/place/48.6639,15.65909","Location")</f>
        <v>Location</v>
      </c>
      <c r="E3682" t="s">
        <v>31887</v>
      </c>
      <c r="F3682" t="s">
        <v>31888</v>
      </c>
      <c r="G3682" t="s">
        <v>12616</v>
      </c>
      <c r="H3682" t="s">
        <v>12625</v>
      </c>
      <c r="I3682" t="s">
        <v>177</v>
      </c>
      <c r="J3682" t="s">
        <v>22</v>
      </c>
      <c r="K3682" t="s">
        <v>12235</v>
      </c>
      <c r="L3682" t="s">
        <v>31891</v>
      </c>
      <c r="M3682" t="s">
        <v>25</v>
      </c>
      <c r="N3682" t="s">
        <v>31892</v>
      </c>
      <c r="O3682" t="s">
        <v>25</v>
      </c>
      <c r="P3682" t="s">
        <v>31893</v>
      </c>
      <c r="Q3682" t="s">
        <v>29</v>
      </c>
      <c r="R3682" t="s">
        <v>31889</v>
      </c>
      <c r="S3682" t="s">
        <v>31890</v>
      </c>
    </row>
    <row r="3683" spans="1:19" x14ac:dyDescent="0.25">
      <c r="A3683" s="1">
        <v>3681</v>
      </c>
      <c r="B3683" t="str">
        <f>HYPERLINK("https://www.dasschnelle.at/öffentlicher-notar-dr-franz-stenitzer-und-partner-wolfsberg-bambergerstraße","Website")</f>
        <v>Website</v>
      </c>
      <c r="C3683" t="str">
        <f>HYPERLINK("http://www.notar-stenitzer.at","Website")</f>
        <v>Website</v>
      </c>
      <c r="D3683" t="str">
        <f>HYPERLINK("http://www.google.com/maps/place/46.84038,14.84169","Location")</f>
        <v>Location</v>
      </c>
      <c r="E3683" t="s">
        <v>31894</v>
      </c>
      <c r="F3683" t="s">
        <v>31895</v>
      </c>
      <c r="G3683" t="s">
        <v>11363</v>
      </c>
      <c r="H3683" t="s">
        <v>11391</v>
      </c>
      <c r="I3683" t="s">
        <v>4130</v>
      </c>
      <c r="J3683" t="s">
        <v>22</v>
      </c>
      <c r="K3683" t="s">
        <v>31896</v>
      </c>
      <c r="L3683" t="s">
        <v>31899</v>
      </c>
      <c r="M3683" t="s">
        <v>25</v>
      </c>
      <c r="N3683" t="s">
        <v>31900</v>
      </c>
      <c r="O3683" t="s">
        <v>25</v>
      </c>
      <c r="P3683" t="s">
        <v>31901</v>
      </c>
      <c r="Q3683" t="s">
        <v>29</v>
      </c>
      <c r="R3683" t="s">
        <v>31897</v>
      </c>
      <c r="S3683" t="s">
        <v>31898</v>
      </c>
    </row>
    <row r="3684" spans="1:19" x14ac:dyDescent="0.25">
      <c r="A3684" s="1">
        <v>3682</v>
      </c>
      <c r="B3684" t="str">
        <f>HYPERLINK("https://www.dasschnelle.at/diagnose-team-horn-radiologische-gruppenpraxis-og-horn-feldgasse","Website")</f>
        <v>Website</v>
      </c>
      <c r="C3684" t="str">
        <f>HYPERLINK("http://www.dthorn.at","Website")</f>
        <v>Website</v>
      </c>
      <c r="D3684" t="str">
        <f>HYPERLINK("http://www.google.com/maps/place/48.6683,15.65897","Location")</f>
        <v>Location</v>
      </c>
      <c r="E3684" t="s">
        <v>31902</v>
      </c>
      <c r="F3684" t="s">
        <v>31903</v>
      </c>
      <c r="G3684" t="s">
        <v>12616</v>
      </c>
      <c r="H3684" t="s">
        <v>12625</v>
      </c>
      <c r="I3684" t="s">
        <v>177</v>
      </c>
      <c r="J3684" t="s">
        <v>22</v>
      </c>
      <c r="K3684" t="s">
        <v>31904</v>
      </c>
      <c r="L3684" t="s">
        <v>31907</v>
      </c>
      <c r="M3684" t="s">
        <v>31908</v>
      </c>
      <c r="N3684" t="s">
        <v>31909</v>
      </c>
      <c r="O3684" t="s">
        <v>25</v>
      </c>
      <c r="P3684" t="s">
        <v>31910</v>
      </c>
      <c r="Q3684" t="s">
        <v>29</v>
      </c>
      <c r="R3684" t="s">
        <v>31905</v>
      </c>
      <c r="S3684" t="s">
        <v>31906</v>
      </c>
    </row>
    <row r="3685" spans="1:19" x14ac:dyDescent="0.25">
      <c r="A3685" s="1">
        <v>3683</v>
      </c>
      <c r="B3685" t="str">
        <f>HYPERLINK("https://www.dasschnelle.at/hirschbichler-installationen-gmb-sankt-martin-bei-lofer-wildental","Website")</f>
        <v>Website</v>
      </c>
      <c r="C3685" t="str">
        <f>HYPERLINK("http://www.hirschbichler.net","Website")</f>
        <v>Website</v>
      </c>
      <c r="D3685" t="str">
        <f>HYPERLINK("http://www.google.com/maps/place/47.5597605,12.7627626","Location")</f>
        <v>Location</v>
      </c>
      <c r="E3685" t="s">
        <v>31911</v>
      </c>
      <c r="F3685" t="s">
        <v>31912</v>
      </c>
      <c r="G3685" t="s">
        <v>31914</v>
      </c>
      <c r="H3685" t="s">
        <v>31915</v>
      </c>
      <c r="I3685" t="s">
        <v>2239</v>
      </c>
      <c r="J3685" t="s">
        <v>22</v>
      </c>
      <c r="K3685" t="s">
        <v>31913</v>
      </c>
      <c r="L3685" t="s">
        <v>31918</v>
      </c>
      <c r="M3685" t="s">
        <v>25</v>
      </c>
      <c r="N3685" t="s">
        <v>31919</v>
      </c>
      <c r="O3685" t="s">
        <v>25</v>
      </c>
      <c r="P3685" t="s">
        <v>31920</v>
      </c>
      <c r="Q3685" t="s">
        <v>29</v>
      </c>
      <c r="R3685" t="s">
        <v>31916</v>
      </c>
      <c r="S3685" t="s">
        <v>31917</v>
      </c>
    </row>
    <row r="3686" spans="1:19" x14ac:dyDescent="0.25">
      <c r="A3686" s="1">
        <v>3684</v>
      </c>
      <c r="B3686" t="str">
        <f>HYPERLINK("https://www.dasschnelle.at/grill-silvio-raumdesign-sankt-martin-bei-lofer-wildmoos","Website")</f>
        <v>Website</v>
      </c>
      <c r="C3686" t="str">
        <f>HYPERLINK("http://raumdesign-grill.at","Website")</f>
        <v>Website</v>
      </c>
      <c r="D3686" t="str">
        <f>HYPERLINK("http://www.google.com/maps/place/47.57273,12.69437","Location")</f>
        <v>Location</v>
      </c>
      <c r="E3686" t="s">
        <v>31921</v>
      </c>
      <c r="F3686" t="s">
        <v>31922</v>
      </c>
      <c r="G3686" t="s">
        <v>31914</v>
      </c>
      <c r="H3686" t="s">
        <v>31915</v>
      </c>
      <c r="I3686" t="s">
        <v>2239</v>
      </c>
      <c r="J3686" t="s">
        <v>22</v>
      </c>
      <c r="K3686" t="s">
        <v>31923</v>
      </c>
      <c r="L3686" t="s">
        <v>31926</v>
      </c>
      <c r="M3686" t="s">
        <v>25</v>
      </c>
      <c r="N3686" t="s">
        <v>31927</v>
      </c>
      <c r="O3686" t="s">
        <v>25</v>
      </c>
      <c r="P3686" t="s">
        <v>31928</v>
      </c>
      <c r="Q3686" t="s">
        <v>29</v>
      </c>
      <c r="R3686" t="s">
        <v>31924</v>
      </c>
      <c r="S3686" t="s">
        <v>31925</v>
      </c>
    </row>
    <row r="3687" spans="1:19" x14ac:dyDescent="0.25">
      <c r="A3687" s="1">
        <v>3685</v>
      </c>
      <c r="B3687" t="str">
        <f>HYPERLINK("https://www.dasschnelle.at/ofenbaumeister-gmbh-fusch-großglocknerstraße-z","Website")</f>
        <v>Website</v>
      </c>
      <c r="C3687" t="str">
        <f>HYPERLINK("http://www.ofenbaumeister.at","Website")</f>
        <v>Website</v>
      </c>
      <c r="D3687" t="str">
        <f>HYPERLINK("http://www.google.com/maps/place/47.2293756,12.8266259","Location")</f>
        <v>Location</v>
      </c>
      <c r="E3687" t="s">
        <v>31929</v>
      </c>
      <c r="F3687" t="s">
        <v>31930</v>
      </c>
      <c r="G3687" t="s">
        <v>31932</v>
      </c>
      <c r="H3687" t="s">
        <v>31933</v>
      </c>
      <c r="I3687" t="s">
        <v>2239</v>
      </c>
      <c r="J3687" t="s">
        <v>22</v>
      </c>
      <c r="K3687" t="s">
        <v>31931</v>
      </c>
      <c r="L3687" t="s">
        <v>31936</v>
      </c>
      <c r="M3687" t="s">
        <v>25</v>
      </c>
      <c r="N3687" t="s">
        <v>25</v>
      </c>
      <c r="O3687" t="s">
        <v>25</v>
      </c>
      <c r="P3687" t="s">
        <v>31937</v>
      </c>
      <c r="Q3687" t="s">
        <v>29</v>
      </c>
      <c r="R3687" t="s">
        <v>31934</v>
      </c>
      <c r="S3687" t="s">
        <v>31935</v>
      </c>
    </row>
    <row r="3688" spans="1:19" x14ac:dyDescent="0.25">
      <c r="A3688" s="1">
        <v>3686</v>
      </c>
      <c r="B3688" t="str">
        <f>HYPERLINK("https://www.dasschnelle.at/weber-gredler-katharina-dr-med-mayrhofen-hauptstraße","Website")</f>
        <v>Website</v>
      </c>
      <c r="C3688" t="str">
        <f>HYPERLINK("http://www.arzt-zillertal.at","Website")</f>
        <v>Website</v>
      </c>
      <c r="D3688" t="str">
        <f>HYPERLINK("http://www.google.com/maps/place/47.16465,11.86181","Location")</f>
        <v>Location</v>
      </c>
      <c r="E3688" t="s">
        <v>31938</v>
      </c>
      <c r="F3688" t="s">
        <v>31939</v>
      </c>
      <c r="G3688" t="s">
        <v>4329</v>
      </c>
      <c r="H3688" t="s">
        <v>4330</v>
      </c>
      <c r="I3688" t="s">
        <v>21</v>
      </c>
      <c r="J3688" t="s">
        <v>22</v>
      </c>
      <c r="K3688" t="s">
        <v>31940</v>
      </c>
      <c r="L3688" t="s">
        <v>31943</v>
      </c>
      <c r="M3688" t="s">
        <v>31944</v>
      </c>
      <c r="N3688" t="s">
        <v>31945</v>
      </c>
      <c r="O3688" t="s">
        <v>25</v>
      </c>
      <c r="P3688" t="s">
        <v>31946</v>
      </c>
      <c r="Q3688" t="s">
        <v>29</v>
      </c>
      <c r="R3688" t="s">
        <v>31941</v>
      </c>
      <c r="S3688" t="s">
        <v>31942</v>
      </c>
    </row>
    <row r="3689" spans="1:19" x14ac:dyDescent="0.25">
      <c r="A3689" s="1">
        <v>3687</v>
      </c>
      <c r="B3689" t="str">
        <f>HYPERLINK("https://www.dasschnelle.at/breitwieser-haustechnik-steinhaus-oberhart","Website")</f>
        <v>Website</v>
      </c>
      <c r="C3689" t="str">
        <f>HYPERLINK("https://www.dasschnelle.at/breitwieser-haustechnik-steinhaus-oberhart","Website")</f>
        <v>Website</v>
      </c>
      <c r="D3689" t="str">
        <f>HYPERLINK("http://www.google.com/maps/place/48.1037030,14.0292739","Location")</f>
        <v>Location</v>
      </c>
      <c r="E3689" t="s">
        <v>31947</v>
      </c>
      <c r="F3689" t="s">
        <v>31948</v>
      </c>
      <c r="G3689" t="s">
        <v>4965</v>
      </c>
      <c r="H3689" t="s">
        <v>4966</v>
      </c>
      <c r="I3689" t="s">
        <v>85</v>
      </c>
      <c r="J3689" t="s">
        <v>22</v>
      </c>
      <c r="K3689" t="s">
        <v>31949</v>
      </c>
      <c r="L3689" t="s">
        <v>31952</v>
      </c>
      <c r="M3689" t="s">
        <v>25</v>
      </c>
      <c r="N3689" t="s">
        <v>31953</v>
      </c>
      <c r="O3689" t="s">
        <v>31954</v>
      </c>
      <c r="P3689" t="s">
        <v>31955</v>
      </c>
      <c r="Q3689" t="s">
        <v>29</v>
      </c>
      <c r="R3689" t="s">
        <v>31950</v>
      </c>
      <c r="S3689" t="s">
        <v>31951</v>
      </c>
    </row>
    <row r="3690" spans="1:19" x14ac:dyDescent="0.25">
      <c r="A3690" s="1">
        <v>3688</v>
      </c>
      <c r="B3690" t="str">
        <f>HYPERLINK("https://www.dasschnelle.at/eckerstorfer-p-dr-med-wels-puchberger-straße","Website")</f>
        <v>Website</v>
      </c>
      <c r="C3690" t="str">
        <f>HYPERLINK("http://www.kinderarztwels.at","Website")</f>
        <v>Website</v>
      </c>
      <c r="D3690" t="str">
        <f>HYPERLINK("http://www.google.com/maps/place/48.16269,14.02403","Location")</f>
        <v>Location</v>
      </c>
      <c r="E3690" t="s">
        <v>31956</v>
      </c>
      <c r="F3690" t="s">
        <v>31957</v>
      </c>
      <c r="G3690" t="s">
        <v>4725</v>
      </c>
      <c r="H3690" t="s">
        <v>4754</v>
      </c>
      <c r="I3690" t="s">
        <v>85</v>
      </c>
      <c r="J3690" t="s">
        <v>22</v>
      </c>
      <c r="K3690" t="s">
        <v>31958</v>
      </c>
      <c r="L3690" t="s">
        <v>31961</v>
      </c>
      <c r="M3690" t="s">
        <v>25</v>
      </c>
      <c r="N3690" t="s">
        <v>31962</v>
      </c>
      <c r="O3690" t="s">
        <v>25</v>
      </c>
      <c r="P3690" t="s">
        <v>31963</v>
      </c>
      <c r="Q3690" t="s">
        <v>29</v>
      </c>
      <c r="R3690" t="s">
        <v>31959</v>
      </c>
      <c r="S3690" t="s">
        <v>31960</v>
      </c>
    </row>
    <row r="3691" spans="1:19" x14ac:dyDescent="0.25">
      <c r="A3691" s="1">
        <v>3689</v>
      </c>
      <c r="B3691" t="str">
        <f>HYPERLINK("https://www.dasschnelle.at/sehen-und-hören-maurer-gmbh-mittersill-zeller-straße","Website")</f>
        <v>Website</v>
      </c>
      <c r="C3691" t="str">
        <f>HYPERLINK("http://www.optik-maurer.at","Website")</f>
        <v>Website</v>
      </c>
      <c r="D3691" t="str">
        <f>HYPERLINK("http://www.google.com/maps/place/47.28318,12.48248","Location")</f>
        <v>Location</v>
      </c>
      <c r="E3691" t="s">
        <v>31964</v>
      </c>
      <c r="F3691" t="s">
        <v>31965</v>
      </c>
      <c r="G3691" t="s">
        <v>24264</v>
      </c>
      <c r="H3691" t="s">
        <v>24265</v>
      </c>
      <c r="I3691" t="s">
        <v>2239</v>
      </c>
      <c r="J3691" t="s">
        <v>22</v>
      </c>
      <c r="K3691" t="s">
        <v>31966</v>
      </c>
      <c r="L3691" t="s">
        <v>31969</v>
      </c>
      <c r="M3691" t="s">
        <v>25</v>
      </c>
      <c r="N3691" t="s">
        <v>31970</v>
      </c>
      <c r="O3691" t="s">
        <v>25</v>
      </c>
      <c r="P3691" t="s">
        <v>31971</v>
      </c>
      <c r="Q3691" t="s">
        <v>29</v>
      </c>
      <c r="R3691" t="s">
        <v>31967</v>
      </c>
      <c r="S3691" t="s">
        <v>31968</v>
      </c>
    </row>
    <row r="3692" spans="1:19" x14ac:dyDescent="0.25">
      <c r="A3692" s="1">
        <v>3690</v>
      </c>
      <c r="B3692" t="str">
        <f>HYPERLINK("https://www.dasschnelle.at/menges-dietmar-wels-herderstraße","Website")</f>
        <v>Website</v>
      </c>
      <c r="C3692" t="str">
        <f>HYPERLINK("http://www.malerei-wels.at","Website")</f>
        <v>Website</v>
      </c>
      <c r="D3692" t="str">
        <f>HYPERLINK("http://www.google.com/maps/place/48.16695,14.05277","Location")</f>
        <v>Location</v>
      </c>
      <c r="E3692" t="s">
        <v>31972</v>
      </c>
      <c r="F3692" t="s">
        <v>31973</v>
      </c>
      <c r="G3692" t="s">
        <v>4725</v>
      </c>
      <c r="H3692" t="s">
        <v>4754</v>
      </c>
      <c r="I3692" t="s">
        <v>85</v>
      </c>
      <c r="J3692" t="s">
        <v>22</v>
      </c>
      <c r="K3692" t="s">
        <v>31974</v>
      </c>
      <c r="L3692" t="s">
        <v>31977</v>
      </c>
      <c r="M3692" t="s">
        <v>25</v>
      </c>
      <c r="N3692" t="s">
        <v>31978</v>
      </c>
      <c r="O3692" t="s">
        <v>25</v>
      </c>
      <c r="P3692" t="s">
        <v>31979</v>
      </c>
      <c r="Q3692" t="s">
        <v>29</v>
      </c>
      <c r="R3692" t="s">
        <v>31975</v>
      </c>
      <c r="S3692" t="s">
        <v>31976</v>
      </c>
    </row>
    <row r="3693" spans="1:19" x14ac:dyDescent="0.25">
      <c r="A3693" s="1">
        <v>3691</v>
      </c>
      <c r="B3693" t="str">
        <f>HYPERLINK("https://www.dasschnelle.at/steiner-gmbh-wels-schafwiesen","Website")</f>
        <v>Website</v>
      </c>
      <c r="C3693" t="str">
        <f>HYPERLINK("http://www.steiner-baggerungen.at","Website")</f>
        <v>Website</v>
      </c>
      <c r="D3693" t="str">
        <f>HYPERLINK("http://www.google.com/maps/place/48.1681881,14.0597572","Location")</f>
        <v>Location</v>
      </c>
      <c r="E3693" t="s">
        <v>31980</v>
      </c>
      <c r="F3693" t="s">
        <v>31981</v>
      </c>
      <c r="G3693" t="s">
        <v>4725</v>
      </c>
      <c r="H3693" t="s">
        <v>4754</v>
      </c>
      <c r="I3693" t="s">
        <v>85</v>
      </c>
      <c r="J3693" t="s">
        <v>22</v>
      </c>
      <c r="K3693" t="s">
        <v>31982</v>
      </c>
      <c r="L3693" t="s">
        <v>31985</v>
      </c>
      <c r="M3693" t="s">
        <v>25</v>
      </c>
      <c r="N3693" t="s">
        <v>31986</v>
      </c>
      <c r="O3693" t="s">
        <v>25</v>
      </c>
      <c r="P3693" t="s">
        <v>697</v>
      </c>
      <c r="Q3693" t="s">
        <v>29</v>
      </c>
      <c r="R3693" t="s">
        <v>31983</v>
      </c>
      <c r="S3693" t="s">
        <v>31984</v>
      </c>
    </row>
    <row r="3694" spans="1:19" x14ac:dyDescent="0.25">
      <c r="A3694" s="1">
        <v>3692</v>
      </c>
      <c r="B3694" t="str">
        <f>HYPERLINK("https://www.dasschnelle.at/energie-direct-mineralölhandelsgesmbh-aschau-dorfstraße","Website")</f>
        <v>Website</v>
      </c>
      <c r="C3694" t="str">
        <f>HYPERLINK("http://www.energiedirect.at","Website")</f>
        <v>Website</v>
      </c>
      <c r="D3694" t="str">
        <f>HYPERLINK("http://www.google.com/maps/place/47.2592882,11.8940109","Location")</f>
        <v>Location</v>
      </c>
      <c r="E3694" t="s">
        <v>31987</v>
      </c>
      <c r="F3694" t="s">
        <v>31988</v>
      </c>
      <c r="G3694" t="s">
        <v>4245</v>
      </c>
      <c r="H3694" t="s">
        <v>4246</v>
      </c>
      <c r="I3694" t="s">
        <v>21</v>
      </c>
      <c r="J3694" t="s">
        <v>22</v>
      </c>
      <c r="K3694" t="s">
        <v>31989</v>
      </c>
      <c r="L3694" t="s">
        <v>31992</v>
      </c>
      <c r="M3694" t="s">
        <v>25</v>
      </c>
      <c r="N3694" t="s">
        <v>31993</v>
      </c>
      <c r="O3694" t="s">
        <v>25</v>
      </c>
      <c r="P3694" t="s">
        <v>31994</v>
      </c>
      <c r="Q3694" t="s">
        <v>29</v>
      </c>
      <c r="R3694" t="s">
        <v>31990</v>
      </c>
      <c r="S3694" t="s">
        <v>31991</v>
      </c>
    </row>
    <row r="3695" spans="1:19" x14ac:dyDescent="0.25">
      <c r="A3695" s="1">
        <v>3693</v>
      </c>
      <c r="B3695" t="str">
        <f>HYPERLINK("https://www.dasschnelle.at/gartencenter-leo-gmbh-schwaz-hermine-berghofer-straße","Website")</f>
        <v>Website</v>
      </c>
      <c r="C3695" t="str">
        <f>HYPERLINK("http://www.beimleo.at","Website")</f>
        <v>Website</v>
      </c>
      <c r="D3695" t="str">
        <f>HYPERLINK("http://www.google.com/maps/place/47.36002,11.72065","Location")</f>
        <v>Location</v>
      </c>
      <c r="E3695" t="s">
        <v>31995</v>
      </c>
      <c r="F3695" t="s">
        <v>31996</v>
      </c>
      <c r="G3695" t="s">
        <v>4200</v>
      </c>
      <c r="H3695" t="s">
        <v>4201</v>
      </c>
      <c r="I3695" t="s">
        <v>21</v>
      </c>
      <c r="J3695" t="s">
        <v>22</v>
      </c>
      <c r="K3695" t="s">
        <v>31997</v>
      </c>
      <c r="L3695" t="s">
        <v>32000</v>
      </c>
      <c r="M3695" t="s">
        <v>25</v>
      </c>
      <c r="N3695" t="s">
        <v>32001</v>
      </c>
      <c r="O3695" t="s">
        <v>25</v>
      </c>
      <c r="P3695" t="s">
        <v>32002</v>
      </c>
      <c r="Q3695" t="s">
        <v>29</v>
      </c>
      <c r="R3695" t="s">
        <v>31998</v>
      </c>
      <c r="S3695" t="s">
        <v>31999</v>
      </c>
    </row>
    <row r="3696" spans="1:19" x14ac:dyDescent="0.25">
      <c r="A3696" s="1">
        <v>3694</v>
      </c>
      <c r="B3696" t="str">
        <f>HYPERLINK("https://www.dasschnelle.at/brunner-bernhard-schwaz-archengasse","Website")</f>
        <v>Website</v>
      </c>
      <c r="C3696" t="str">
        <f>HYPERLINK("http://www.spenglerei-brunner.at","Website")</f>
        <v>Website</v>
      </c>
      <c r="D3696" t="str">
        <f>HYPERLINK("http://www.google.com/maps/place/47.34819,11.71149","Location")</f>
        <v>Location</v>
      </c>
      <c r="E3696" t="s">
        <v>32003</v>
      </c>
      <c r="F3696" t="s">
        <v>32004</v>
      </c>
      <c r="G3696" t="s">
        <v>4200</v>
      </c>
      <c r="H3696" t="s">
        <v>4201</v>
      </c>
      <c r="I3696" t="s">
        <v>21</v>
      </c>
      <c r="J3696" t="s">
        <v>22</v>
      </c>
      <c r="K3696" t="s">
        <v>32005</v>
      </c>
      <c r="L3696" t="s">
        <v>32008</v>
      </c>
      <c r="M3696" t="s">
        <v>25</v>
      </c>
      <c r="N3696" t="s">
        <v>32009</v>
      </c>
      <c r="O3696" t="s">
        <v>25</v>
      </c>
      <c r="P3696" t="s">
        <v>32010</v>
      </c>
      <c r="Q3696" t="s">
        <v>29</v>
      </c>
      <c r="R3696" t="s">
        <v>32006</v>
      </c>
      <c r="S3696" t="s">
        <v>32007</v>
      </c>
    </row>
    <row r="3697" spans="1:19" x14ac:dyDescent="0.25">
      <c r="A3697" s="1">
        <v>3695</v>
      </c>
      <c r="B3697" t="str">
        <f>HYPERLINK("https://www.dasschnelle.at/tischlerei-montageservice-gnesau-gnesau","Website")</f>
        <v>Website</v>
      </c>
      <c r="C3697" t="str">
        <f>HYPERLINK("http://www.ffpf.at","Website")</f>
        <v>Website</v>
      </c>
      <c r="D3697" t="str">
        <f>HYPERLINK("http://www.google.com/maps/place/46.7780481,13.9631143","Location")</f>
        <v>Location</v>
      </c>
      <c r="E3697" t="s">
        <v>32011</v>
      </c>
      <c r="F3697" t="s">
        <v>32012</v>
      </c>
      <c r="G3697" t="s">
        <v>8509</v>
      </c>
      <c r="H3697" t="s">
        <v>8510</v>
      </c>
      <c r="I3697" t="s">
        <v>4130</v>
      </c>
      <c r="J3697" t="s">
        <v>22</v>
      </c>
      <c r="K3697" t="s">
        <v>32013</v>
      </c>
      <c r="L3697" t="s">
        <v>32016</v>
      </c>
      <c r="M3697" t="s">
        <v>25</v>
      </c>
      <c r="N3697" t="s">
        <v>32017</v>
      </c>
      <c r="O3697" t="s">
        <v>32018</v>
      </c>
      <c r="P3697" t="s">
        <v>697</v>
      </c>
      <c r="Q3697" t="s">
        <v>29</v>
      </c>
      <c r="R3697" t="s">
        <v>32014</v>
      </c>
      <c r="S3697" t="s">
        <v>32015</v>
      </c>
    </row>
    <row r="3698" spans="1:19" x14ac:dyDescent="0.25">
      <c r="A3698" s="1">
        <v>3696</v>
      </c>
      <c r="B3698" t="str">
        <f>HYPERLINK("https://www.dasschnelle.at/braunegger-erdbau-thalgau-ruchtifeldsiedlung","Website")</f>
        <v>Website</v>
      </c>
      <c r="C3698" t="str">
        <f>HYPERLINK("http://www.braunegger-erdbau.at","Website")</f>
        <v>Website</v>
      </c>
      <c r="D3698" t="str">
        <f>HYPERLINK("http://www.google.com/maps/place/47.8379100,13.2594000","Location")</f>
        <v>Location</v>
      </c>
      <c r="E3698" t="s">
        <v>32019</v>
      </c>
      <c r="F3698" t="s">
        <v>32020</v>
      </c>
      <c r="G3698" t="s">
        <v>26904</v>
      </c>
      <c r="H3698" t="s">
        <v>26905</v>
      </c>
      <c r="I3698" t="s">
        <v>2239</v>
      </c>
      <c r="J3698" t="s">
        <v>22</v>
      </c>
      <c r="K3698" t="s">
        <v>32021</v>
      </c>
      <c r="L3698" t="s">
        <v>32024</v>
      </c>
      <c r="M3698" t="s">
        <v>25</v>
      </c>
      <c r="N3698" t="s">
        <v>32025</v>
      </c>
      <c r="O3698" t="s">
        <v>32026</v>
      </c>
      <c r="P3698" t="s">
        <v>32027</v>
      </c>
      <c r="Q3698" t="s">
        <v>29</v>
      </c>
      <c r="R3698" t="s">
        <v>32022</v>
      </c>
      <c r="S3698" t="s">
        <v>32023</v>
      </c>
    </row>
    <row r="3699" spans="1:19" x14ac:dyDescent="0.25">
      <c r="A3699" s="1">
        <v>3697</v>
      </c>
      <c r="B3699" t="str">
        <f>HYPERLINK("https://www.dasschnelle.at/magerle-conny-st-paul-im-lavanttal-hugo-wolf-straße","Website")</f>
        <v>Website</v>
      </c>
      <c r="C3699" t="str">
        <f>HYPERLINK("http://www.physiotherapie-connymagerle.at","Website")</f>
        <v>Website</v>
      </c>
      <c r="D3699" t="str">
        <f>HYPERLINK("http://www.google.com/maps/place/46.7073327,14.8636490","Location")</f>
        <v>Location</v>
      </c>
      <c r="E3699" t="s">
        <v>32028</v>
      </c>
      <c r="F3699" t="s">
        <v>32029</v>
      </c>
      <c r="G3699" t="s">
        <v>11352</v>
      </c>
      <c r="H3699" t="s">
        <v>11353</v>
      </c>
      <c r="I3699" t="s">
        <v>4130</v>
      </c>
      <c r="J3699" t="s">
        <v>22</v>
      </c>
      <c r="K3699" t="s">
        <v>32030</v>
      </c>
      <c r="L3699" t="s">
        <v>32033</v>
      </c>
      <c r="M3699" t="s">
        <v>25</v>
      </c>
      <c r="N3699" t="s">
        <v>32034</v>
      </c>
      <c r="O3699" t="s">
        <v>25</v>
      </c>
      <c r="P3699" t="s">
        <v>32035</v>
      </c>
      <c r="Q3699" t="s">
        <v>29</v>
      </c>
      <c r="R3699" t="s">
        <v>32031</v>
      </c>
      <c r="S3699" t="s">
        <v>32032</v>
      </c>
    </row>
    <row r="3700" spans="1:19" x14ac:dyDescent="0.25">
      <c r="A3700" s="1">
        <v>3698</v>
      </c>
      <c r="B3700" t="str">
        <f>HYPERLINK("https://www.dasschnelle.at/derhaschnig-johann-dr-med-wolfsberg-spanheimerstraße","Website")</f>
        <v>Website</v>
      </c>
      <c r="C3700" t="str">
        <f>HYPERLINK("http://www.derhaschnig.com","Website")</f>
        <v>Website</v>
      </c>
      <c r="D3700" t="str">
        <f>HYPERLINK("http://www.google.com/maps/place/46.83957,14.83935","Location")</f>
        <v>Location</v>
      </c>
      <c r="E3700" t="s">
        <v>32036</v>
      </c>
      <c r="F3700" t="s">
        <v>32037</v>
      </c>
      <c r="G3700" t="s">
        <v>11363</v>
      </c>
      <c r="H3700" t="s">
        <v>11391</v>
      </c>
      <c r="I3700" t="s">
        <v>4130</v>
      </c>
      <c r="J3700" t="s">
        <v>22</v>
      </c>
      <c r="K3700" t="s">
        <v>32038</v>
      </c>
      <c r="L3700" t="s">
        <v>32041</v>
      </c>
      <c r="M3700" t="s">
        <v>25</v>
      </c>
      <c r="N3700" t="s">
        <v>25</v>
      </c>
      <c r="O3700" t="s">
        <v>25</v>
      </c>
      <c r="P3700" t="s">
        <v>32042</v>
      </c>
      <c r="Q3700" t="s">
        <v>29</v>
      </c>
      <c r="R3700" t="s">
        <v>32039</v>
      </c>
      <c r="S3700" t="s">
        <v>32040</v>
      </c>
    </row>
    <row r="3701" spans="1:19" x14ac:dyDescent="0.25">
      <c r="A3701" s="1">
        <v>3699</v>
      </c>
      <c r="B3701" t="str">
        <f>HYPERLINK("https://www.dasschnelle.at/felderer-regina-dr-med-univ-wolfsberg-spanheimerstraße","Website")</f>
        <v>Website</v>
      </c>
      <c r="C3701" t="str">
        <f>HYPERLINK("http://www.drfelderer.at","Website")</f>
        <v>Website</v>
      </c>
      <c r="D3701" t="str">
        <f>HYPERLINK("http://www.google.com/maps/place/46.83914,14.8401","Location")</f>
        <v>Location</v>
      </c>
      <c r="E3701" t="s">
        <v>32043</v>
      </c>
      <c r="F3701" t="s">
        <v>32044</v>
      </c>
      <c r="G3701" t="s">
        <v>11363</v>
      </c>
      <c r="H3701" t="s">
        <v>11391</v>
      </c>
      <c r="I3701" t="s">
        <v>4130</v>
      </c>
      <c r="J3701" t="s">
        <v>22</v>
      </c>
      <c r="K3701" t="s">
        <v>31874</v>
      </c>
      <c r="L3701" t="s">
        <v>32045</v>
      </c>
      <c r="M3701" t="s">
        <v>25</v>
      </c>
      <c r="N3701" t="s">
        <v>32046</v>
      </c>
      <c r="O3701" t="s">
        <v>25</v>
      </c>
      <c r="P3701" t="s">
        <v>32047</v>
      </c>
      <c r="Q3701" t="s">
        <v>29</v>
      </c>
      <c r="R3701" t="s">
        <v>31875</v>
      </c>
      <c r="S3701" t="s">
        <v>31876</v>
      </c>
    </row>
    <row r="3702" spans="1:19" x14ac:dyDescent="0.25">
      <c r="A3702" s="1">
        <v>3700</v>
      </c>
      <c r="B3702" t="str">
        <f>HYPERLINK("https://www.dasschnelle.at/jeggle-riha-karin-dr-jenbach-südtiroler-platz","Website")</f>
        <v>Website</v>
      </c>
      <c r="C3702" t="str">
        <f>HYPERLINK("http://www.dr-riha.at","Website")</f>
        <v>Website</v>
      </c>
      <c r="D3702" t="str">
        <f>HYPERLINK("http://www.google.com/maps/place/47.39156,11.77208","Location")</f>
        <v>Location</v>
      </c>
      <c r="E3702" t="s">
        <v>32048</v>
      </c>
      <c r="F3702" t="s">
        <v>32049</v>
      </c>
      <c r="G3702" t="s">
        <v>4374</v>
      </c>
      <c r="H3702" t="s">
        <v>4375</v>
      </c>
      <c r="I3702" t="s">
        <v>21</v>
      </c>
      <c r="J3702" t="s">
        <v>22</v>
      </c>
      <c r="K3702" t="s">
        <v>32050</v>
      </c>
      <c r="L3702" t="s">
        <v>32053</v>
      </c>
      <c r="M3702" t="s">
        <v>32054</v>
      </c>
      <c r="N3702" t="s">
        <v>32055</v>
      </c>
      <c r="O3702" t="s">
        <v>25</v>
      </c>
      <c r="P3702" t="s">
        <v>32056</v>
      </c>
      <c r="Q3702" t="s">
        <v>29</v>
      </c>
      <c r="R3702" t="s">
        <v>32051</v>
      </c>
      <c r="S3702" t="s">
        <v>32052</v>
      </c>
    </row>
    <row r="3703" spans="1:19" x14ac:dyDescent="0.25">
      <c r="A3703" s="1">
        <v>3701</v>
      </c>
      <c r="B3703" t="str">
        <f>HYPERLINK("https://www.dasschnelle.at/bestattung-gschwandtner-hollersbach-im-pinzgau-dorf","Website")</f>
        <v>Website</v>
      </c>
      <c r="C3703" t="str">
        <f>HYPERLINK("https://www.dasschnelle.at/bestattung-gschwandtner-hollersbach-im-pinzgau-dorf","Website")</f>
        <v>Website</v>
      </c>
      <c r="D3703" t="str">
        <f>HYPERLINK("http://www.google.com/maps/place/47.2850895,12.4226297","Location")</f>
        <v>Location</v>
      </c>
      <c r="E3703" t="s">
        <v>32057</v>
      </c>
      <c r="F3703" t="s">
        <v>32058</v>
      </c>
      <c r="G3703" t="s">
        <v>5563</v>
      </c>
      <c r="H3703" t="s">
        <v>5564</v>
      </c>
      <c r="I3703" t="s">
        <v>2239</v>
      </c>
      <c r="J3703" t="s">
        <v>22</v>
      </c>
      <c r="K3703" t="s">
        <v>32059</v>
      </c>
      <c r="L3703" t="s">
        <v>32062</v>
      </c>
      <c r="M3703" t="s">
        <v>25</v>
      </c>
      <c r="N3703" t="s">
        <v>32063</v>
      </c>
      <c r="O3703" t="s">
        <v>25</v>
      </c>
      <c r="P3703" t="s">
        <v>32064</v>
      </c>
      <c r="Q3703" t="s">
        <v>29</v>
      </c>
      <c r="R3703" t="s">
        <v>32060</v>
      </c>
      <c r="S3703" t="s">
        <v>32061</v>
      </c>
    </row>
    <row r="3704" spans="1:19" x14ac:dyDescent="0.25">
      <c r="A3704" s="1">
        <v>3702</v>
      </c>
      <c r="B3704" t="str">
        <f>HYPERLINK("https://www.dasschnelle.at/meisel-eduard-buchkirchen-eppinger-straße","Website")</f>
        <v>Website</v>
      </c>
      <c r="C3704" t="str">
        <f>HYPERLINK("http://www.malermeisel.at","Website")</f>
        <v>Website</v>
      </c>
      <c r="D3704" t="str">
        <f>HYPERLINK("http://www.google.com/maps/place/48.2343,14.03183","Location")</f>
        <v>Location</v>
      </c>
      <c r="E3704" t="s">
        <v>32065</v>
      </c>
      <c r="F3704" t="s">
        <v>32066</v>
      </c>
      <c r="G3704" t="s">
        <v>4922</v>
      </c>
      <c r="H3704" t="s">
        <v>4923</v>
      </c>
      <c r="I3704" t="s">
        <v>85</v>
      </c>
      <c r="J3704" t="s">
        <v>22</v>
      </c>
      <c r="K3704" t="s">
        <v>32067</v>
      </c>
      <c r="L3704" t="s">
        <v>32070</v>
      </c>
      <c r="M3704" t="s">
        <v>25</v>
      </c>
      <c r="N3704" t="s">
        <v>32071</v>
      </c>
      <c r="O3704" t="s">
        <v>25</v>
      </c>
      <c r="P3704" t="s">
        <v>32072</v>
      </c>
      <c r="Q3704" t="s">
        <v>29</v>
      </c>
      <c r="R3704" t="s">
        <v>32068</v>
      </c>
      <c r="S3704" t="s">
        <v>32069</v>
      </c>
    </row>
    <row r="3705" spans="1:19" x14ac:dyDescent="0.25">
      <c r="A3705" s="1">
        <v>3703</v>
      </c>
      <c r="B3705" t="str">
        <f>HYPERLINK("https://www.dasschnelle.at/hager-erdbewegung-gmbh-und-co-kg-freiling-holzstraße","Website")</f>
        <v>Website</v>
      </c>
      <c r="C3705" t="str">
        <f>HYPERLINK("http://erdbewegungen-hager.gemeindeausstellung.at/","Website")</f>
        <v>Website</v>
      </c>
      <c r="D3705" t="str">
        <f>HYPERLINK("http://www.google.com/maps/place/48.23499,14.12507","Location")</f>
        <v>Location</v>
      </c>
      <c r="E3705" t="s">
        <v>32073</v>
      </c>
      <c r="F3705" t="s">
        <v>32074</v>
      </c>
      <c r="G3705" t="s">
        <v>32076</v>
      </c>
      <c r="H3705" t="s">
        <v>32077</v>
      </c>
      <c r="I3705" t="s">
        <v>85</v>
      </c>
      <c r="J3705" t="s">
        <v>22</v>
      </c>
      <c r="K3705" t="s">
        <v>32075</v>
      </c>
      <c r="L3705" t="s">
        <v>32080</v>
      </c>
      <c r="M3705" t="s">
        <v>25</v>
      </c>
      <c r="N3705" t="s">
        <v>32081</v>
      </c>
      <c r="O3705" t="s">
        <v>25</v>
      </c>
      <c r="P3705" t="s">
        <v>32082</v>
      </c>
      <c r="Q3705" t="s">
        <v>29</v>
      </c>
      <c r="R3705" t="s">
        <v>32078</v>
      </c>
      <c r="S3705" t="s">
        <v>32079</v>
      </c>
    </row>
    <row r="3706" spans="1:19" x14ac:dyDescent="0.25">
      <c r="A3706" s="1">
        <v>3704</v>
      </c>
      <c r="B3706" t="str">
        <f>HYPERLINK("https://www.dasschnelle.at/elektro-hartl-zell-am-see-schmittenstraße","Website")</f>
        <v>Website</v>
      </c>
      <c r="C3706" t="str">
        <f>HYPERLINK("https://www.dasschnelle.at/elektro-hartl-zell-am-see-schmittenstra%C3%9Fe","Website")</f>
        <v>Website</v>
      </c>
      <c r="D3706" t="str">
        <f>HYPERLINK("http://www.google.com/maps/place/47.3239141,12.7946338","Location")</f>
        <v>Location</v>
      </c>
      <c r="E3706" t="s">
        <v>32083</v>
      </c>
      <c r="F3706" t="s">
        <v>32084</v>
      </c>
      <c r="G3706" t="s">
        <v>5551</v>
      </c>
      <c r="H3706" t="s">
        <v>32086</v>
      </c>
      <c r="I3706" t="s">
        <v>2239</v>
      </c>
      <c r="J3706" t="s">
        <v>22</v>
      </c>
      <c r="K3706" t="s">
        <v>32085</v>
      </c>
      <c r="L3706" t="s">
        <v>32089</v>
      </c>
      <c r="M3706" t="s">
        <v>25</v>
      </c>
      <c r="N3706" t="s">
        <v>32090</v>
      </c>
      <c r="O3706" t="s">
        <v>32091</v>
      </c>
      <c r="P3706" t="s">
        <v>697</v>
      </c>
      <c r="Q3706" t="s">
        <v>29</v>
      </c>
      <c r="R3706" t="s">
        <v>32087</v>
      </c>
      <c r="S3706" t="s">
        <v>32088</v>
      </c>
    </row>
    <row r="3707" spans="1:19" x14ac:dyDescent="0.25">
      <c r="A3707" s="1">
        <v>3705</v>
      </c>
      <c r="B3707" t="str">
        <f>HYPERLINK("https://www.dasschnelle.at/empl-baugesmbh-rettenbach-rettenbachstraße","Website")</f>
        <v>Website</v>
      </c>
      <c r="C3707" t="str">
        <f>HYPERLINK("http://www.empl-bau.at","Website")</f>
        <v>Website</v>
      </c>
      <c r="D3707" t="str">
        <f>HYPERLINK("http://www.google.com/maps/place/47.2831,12.4449","Location")</f>
        <v>Location</v>
      </c>
      <c r="E3707" t="s">
        <v>32092</v>
      </c>
      <c r="F3707" t="s">
        <v>32093</v>
      </c>
      <c r="G3707" t="s">
        <v>24264</v>
      </c>
      <c r="H3707" t="s">
        <v>32095</v>
      </c>
      <c r="I3707" t="s">
        <v>2239</v>
      </c>
      <c r="J3707" t="s">
        <v>22</v>
      </c>
      <c r="K3707" t="s">
        <v>32094</v>
      </c>
      <c r="L3707" t="s">
        <v>32098</v>
      </c>
      <c r="M3707" t="s">
        <v>25</v>
      </c>
      <c r="N3707" t="s">
        <v>32099</v>
      </c>
      <c r="O3707" t="s">
        <v>32100</v>
      </c>
      <c r="P3707" t="s">
        <v>32101</v>
      </c>
      <c r="Q3707" t="s">
        <v>29</v>
      </c>
      <c r="R3707" t="s">
        <v>32096</v>
      </c>
      <c r="S3707" t="s">
        <v>32097</v>
      </c>
    </row>
    <row r="3708" spans="1:19" x14ac:dyDescent="0.25">
      <c r="A3708" s="1">
        <v>3706</v>
      </c>
      <c r="B3708" t="str">
        <f>HYPERLINK("https://www.dasschnelle.at/hdb-instandhaltung-v-maschinen-u-anlagen-gmbh-unterhart-hovalstraße","Website")</f>
        <v>Website</v>
      </c>
      <c r="C3708" t="str">
        <f>HYPERLINK("http://www.hdb.at","Website")</f>
        <v>Website</v>
      </c>
      <c r="D3708" t="str">
        <f>HYPERLINK("http://www.google.com/maps/place/48.19602,14.08025","Location")</f>
        <v>Location</v>
      </c>
      <c r="E3708" t="s">
        <v>32102</v>
      </c>
      <c r="F3708" t="s">
        <v>32103</v>
      </c>
      <c r="G3708" t="s">
        <v>4902</v>
      </c>
      <c r="H3708" t="s">
        <v>32105</v>
      </c>
      <c r="I3708" t="s">
        <v>85</v>
      </c>
      <c r="J3708" t="s">
        <v>22</v>
      </c>
      <c r="K3708" t="s">
        <v>32104</v>
      </c>
      <c r="L3708" t="s">
        <v>32108</v>
      </c>
      <c r="M3708" t="s">
        <v>25</v>
      </c>
      <c r="N3708" t="s">
        <v>32109</v>
      </c>
      <c r="O3708" t="s">
        <v>32110</v>
      </c>
      <c r="P3708" t="s">
        <v>32111</v>
      </c>
      <c r="Q3708" t="s">
        <v>29</v>
      </c>
      <c r="R3708" t="s">
        <v>32106</v>
      </c>
      <c r="S3708" t="s">
        <v>32107</v>
      </c>
    </row>
    <row r="3709" spans="1:19" x14ac:dyDescent="0.25">
      <c r="A3709" s="1">
        <v>3707</v>
      </c>
      <c r="B3709" t="str">
        <f>HYPERLINK("https://www.dasschnelle.at/osteamed-windhager-marchtrenk-lindenstraße","Website")</f>
        <v>Website</v>
      </c>
      <c r="C3709" t="str">
        <f>HYPERLINK("http://www.osteamed.at","Website")</f>
        <v>Website</v>
      </c>
      <c r="D3709" t="str">
        <f>HYPERLINK("http://www.google.com/maps/place/48.19843,14.11736","Location")</f>
        <v>Location</v>
      </c>
      <c r="E3709" t="s">
        <v>32112</v>
      </c>
      <c r="F3709" t="s">
        <v>32113</v>
      </c>
      <c r="G3709" t="s">
        <v>4902</v>
      </c>
      <c r="H3709" t="s">
        <v>7155</v>
      </c>
      <c r="I3709" t="s">
        <v>85</v>
      </c>
      <c r="J3709" t="s">
        <v>22</v>
      </c>
      <c r="K3709" t="s">
        <v>32114</v>
      </c>
      <c r="L3709" t="s">
        <v>32117</v>
      </c>
      <c r="M3709" t="s">
        <v>25</v>
      </c>
      <c r="N3709" t="s">
        <v>32118</v>
      </c>
      <c r="O3709" t="s">
        <v>32119</v>
      </c>
      <c r="P3709" t="s">
        <v>32120</v>
      </c>
      <c r="Q3709" t="s">
        <v>29</v>
      </c>
      <c r="R3709" t="s">
        <v>32115</v>
      </c>
      <c r="S3709" t="s">
        <v>32116</v>
      </c>
    </row>
    <row r="3710" spans="1:19" x14ac:dyDescent="0.25">
      <c r="A3710" s="1">
        <v>3708</v>
      </c>
      <c r="B3710" t="str">
        <f>HYPERLINK("https://www.dasschnelle.at/beautiful-moments-hörsching-humerstraße","Website")</f>
        <v>Website</v>
      </c>
      <c r="C3710" t="str">
        <f>HYPERLINK("http://www.beautiful-moments-by-peinbauer.at","Website")</f>
        <v>Website</v>
      </c>
      <c r="D3710" t="str">
        <f>HYPERLINK("http://www.google.com/maps/place/48.2224400,14.1793600","Location")</f>
        <v>Location</v>
      </c>
      <c r="E3710" t="s">
        <v>32121</v>
      </c>
      <c r="F3710" t="s">
        <v>32122</v>
      </c>
      <c r="G3710" t="s">
        <v>10217</v>
      </c>
      <c r="H3710" t="s">
        <v>10218</v>
      </c>
      <c r="I3710" t="s">
        <v>85</v>
      </c>
      <c r="J3710" t="s">
        <v>22</v>
      </c>
      <c r="K3710" t="s">
        <v>21384</v>
      </c>
      <c r="L3710" t="s">
        <v>21387</v>
      </c>
      <c r="M3710" t="s">
        <v>25</v>
      </c>
      <c r="N3710" t="s">
        <v>25</v>
      </c>
      <c r="O3710" t="s">
        <v>25</v>
      </c>
      <c r="P3710" t="s">
        <v>32123</v>
      </c>
      <c r="Q3710" t="s">
        <v>29</v>
      </c>
      <c r="R3710" t="s">
        <v>21385</v>
      </c>
      <c r="S3710" t="s">
        <v>21386</v>
      </c>
    </row>
    <row r="3711" spans="1:19" x14ac:dyDescent="0.25">
      <c r="A3711" s="1">
        <v>3709</v>
      </c>
      <c r="B3711" t="str">
        <f>HYPERLINK("https://www.dasschnelle.at/mystik-art-design-marchtrenk-linzer-straße","Website")</f>
        <v>Website</v>
      </c>
      <c r="C3711" t="str">
        <f>HYPERLINK("http://www.schmuckunikate.at","Website")</f>
        <v>Website</v>
      </c>
      <c r="D3711" t="str">
        <f>HYPERLINK("http://www.google.com/maps/place/48.19008,14.11276","Location")</f>
        <v>Location</v>
      </c>
      <c r="E3711" t="s">
        <v>32124</v>
      </c>
      <c r="F3711" t="s">
        <v>32125</v>
      </c>
      <c r="G3711" t="s">
        <v>4902</v>
      </c>
      <c r="H3711" t="s">
        <v>7155</v>
      </c>
      <c r="I3711" t="s">
        <v>85</v>
      </c>
      <c r="J3711" t="s">
        <v>22</v>
      </c>
      <c r="K3711" t="s">
        <v>27687</v>
      </c>
      <c r="L3711" t="s">
        <v>32128</v>
      </c>
      <c r="M3711" t="s">
        <v>25</v>
      </c>
      <c r="N3711" t="s">
        <v>32129</v>
      </c>
      <c r="O3711" t="s">
        <v>25</v>
      </c>
      <c r="P3711" t="s">
        <v>32130</v>
      </c>
      <c r="Q3711" t="s">
        <v>29</v>
      </c>
      <c r="R3711" t="s">
        <v>32126</v>
      </c>
      <c r="S3711" t="s">
        <v>32127</v>
      </c>
    </row>
    <row r="3712" spans="1:19" x14ac:dyDescent="0.25">
      <c r="A3712" s="1">
        <v>3710</v>
      </c>
      <c r="B3712" t="str">
        <f>HYPERLINK("https://www.dasschnelle.at/blaha-ronald-marchtrenk-linzer-straße","Website")</f>
        <v>Website</v>
      </c>
      <c r="C3712" t="str">
        <f>HYPERLINK("http://www.friseur-marchtrenk.at","Website")</f>
        <v>Website</v>
      </c>
      <c r="D3712" t="str">
        <f>HYPERLINK("http://www.google.com/maps/place/48.19016,14.11332","Location")</f>
        <v>Location</v>
      </c>
      <c r="E3712" t="s">
        <v>32131</v>
      </c>
      <c r="F3712" t="s">
        <v>32132</v>
      </c>
      <c r="G3712" t="s">
        <v>4902</v>
      </c>
      <c r="H3712" t="s">
        <v>7155</v>
      </c>
      <c r="I3712" t="s">
        <v>85</v>
      </c>
      <c r="J3712" t="s">
        <v>22</v>
      </c>
      <c r="K3712" t="s">
        <v>32133</v>
      </c>
      <c r="L3712" t="s">
        <v>32136</v>
      </c>
      <c r="M3712" t="s">
        <v>25</v>
      </c>
      <c r="N3712" t="s">
        <v>32137</v>
      </c>
      <c r="O3712" t="s">
        <v>25</v>
      </c>
      <c r="P3712" t="s">
        <v>32138</v>
      </c>
      <c r="Q3712" t="s">
        <v>29</v>
      </c>
      <c r="R3712" t="s">
        <v>32134</v>
      </c>
      <c r="S3712" t="s">
        <v>32135</v>
      </c>
    </row>
    <row r="3713" spans="1:19" x14ac:dyDescent="0.25">
      <c r="A3713" s="1">
        <v>3711</v>
      </c>
      <c r="B3713" t="str">
        <f>HYPERLINK("https://www.dasschnelle.at/hubalek-michael-doz-dr-schwaz-andreas-hofer-straße","Website")</f>
        <v>Website</v>
      </c>
      <c r="C3713" t="str">
        <f>HYPERLINK("http://www.dr-hubalek.at","Website")</f>
        <v>Website</v>
      </c>
      <c r="D3713" t="str">
        <f>HYPERLINK("http://www.google.com/maps/place/47.3461600,11.7073500","Location")</f>
        <v>Location</v>
      </c>
      <c r="E3713" t="s">
        <v>32139</v>
      </c>
      <c r="F3713" t="s">
        <v>32140</v>
      </c>
      <c r="G3713" t="s">
        <v>4200</v>
      </c>
      <c r="H3713" t="s">
        <v>4201</v>
      </c>
      <c r="I3713" t="s">
        <v>21</v>
      </c>
      <c r="J3713" t="s">
        <v>22</v>
      </c>
      <c r="K3713" t="s">
        <v>31621</v>
      </c>
      <c r="L3713" t="s">
        <v>32143</v>
      </c>
      <c r="M3713" t="s">
        <v>25</v>
      </c>
      <c r="N3713" t="s">
        <v>25</v>
      </c>
      <c r="O3713" t="s">
        <v>25</v>
      </c>
      <c r="P3713" t="s">
        <v>32144</v>
      </c>
      <c r="Q3713" t="s">
        <v>29</v>
      </c>
      <c r="R3713" t="s">
        <v>32141</v>
      </c>
      <c r="S3713" t="s">
        <v>32142</v>
      </c>
    </row>
    <row r="3714" spans="1:19" x14ac:dyDescent="0.25">
      <c r="A3714" s="1">
        <v>3712</v>
      </c>
      <c r="B3714" t="str">
        <f>HYPERLINK("https://www.dasschnelle.at/raiffeisenbank-weißkirchen-a-d-traun-egen-weißkirchen-raiffeisenweg","Website")</f>
        <v>Website</v>
      </c>
      <c r="C3714" t="str">
        <f>HYPERLINK("http://www.raiffeisen-ooe.at","Website")</f>
        <v>Website</v>
      </c>
      <c r="D3714" t="str">
        <f>HYPERLINK("http://www.google.com/maps/place/48.1634572,14.1204458","Location")</f>
        <v>Location</v>
      </c>
      <c r="E3714" t="s">
        <v>32145</v>
      </c>
      <c r="F3714" t="s">
        <v>32146</v>
      </c>
      <c r="G3714" t="s">
        <v>32148</v>
      </c>
      <c r="H3714" t="s">
        <v>32149</v>
      </c>
      <c r="I3714" t="s">
        <v>85</v>
      </c>
      <c r="J3714" t="s">
        <v>22</v>
      </c>
      <c r="K3714" t="s">
        <v>32147</v>
      </c>
      <c r="L3714" t="s">
        <v>32152</v>
      </c>
      <c r="M3714" t="s">
        <v>25</v>
      </c>
      <c r="N3714" t="s">
        <v>32153</v>
      </c>
      <c r="O3714" t="s">
        <v>25</v>
      </c>
      <c r="P3714" t="s">
        <v>32154</v>
      </c>
      <c r="Q3714" t="s">
        <v>29</v>
      </c>
      <c r="R3714" t="s">
        <v>32150</v>
      </c>
      <c r="S3714" t="s">
        <v>32151</v>
      </c>
    </row>
    <row r="3715" spans="1:19" x14ac:dyDescent="0.25">
      <c r="A3715" s="1">
        <v>3713</v>
      </c>
      <c r="B3715" t="str">
        <f>HYPERLINK("https://www.dasschnelle.at/elektro-demel-kg-sankt-martin-bei-lofer-st-martin","Website")</f>
        <v>Website</v>
      </c>
      <c r="C3715" t="str">
        <f>HYPERLINK("http://www.elektrotechnik-salzburg.at","Website")</f>
        <v>Website</v>
      </c>
      <c r="D3715" t="str">
        <f>HYPERLINK("http://www.google.com/maps/place/47.5680648,12.7045395","Location")</f>
        <v>Location</v>
      </c>
      <c r="E3715" t="s">
        <v>32155</v>
      </c>
      <c r="F3715" t="s">
        <v>32156</v>
      </c>
      <c r="G3715" t="s">
        <v>31914</v>
      </c>
      <c r="H3715" t="s">
        <v>31915</v>
      </c>
      <c r="I3715" t="s">
        <v>2239</v>
      </c>
      <c r="J3715" t="s">
        <v>22</v>
      </c>
      <c r="K3715" t="s">
        <v>32157</v>
      </c>
      <c r="L3715" t="s">
        <v>32160</v>
      </c>
      <c r="M3715" t="s">
        <v>25</v>
      </c>
      <c r="N3715" t="s">
        <v>32161</v>
      </c>
      <c r="O3715" t="s">
        <v>25</v>
      </c>
      <c r="P3715" t="s">
        <v>32162</v>
      </c>
      <c r="Q3715" t="s">
        <v>29</v>
      </c>
      <c r="R3715" t="s">
        <v>32158</v>
      </c>
      <c r="S3715" t="s">
        <v>32159</v>
      </c>
    </row>
    <row r="3716" spans="1:19" x14ac:dyDescent="0.25">
      <c r="A3716" s="1">
        <v>3714</v>
      </c>
      <c r="B3716" t="str">
        <f>HYPERLINK("https://www.dasschnelle.at/zernig-gmbh-st-paul-hauptstraße","Website")</f>
        <v>Website</v>
      </c>
      <c r="C3716" t="str">
        <f>HYPERLINK("http://www.holzdiesonne.net","Website")</f>
        <v>Website</v>
      </c>
      <c r="D3716" t="str">
        <f>HYPERLINK("http://www.google.com/maps/place/46.7060568,14.8692881","Location")</f>
        <v>Location</v>
      </c>
      <c r="E3716" t="s">
        <v>32163</v>
      </c>
      <c r="F3716" t="s">
        <v>32164</v>
      </c>
      <c r="G3716" t="s">
        <v>11352</v>
      </c>
      <c r="H3716" t="s">
        <v>11400</v>
      </c>
      <c r="I3716" t="s">
        <v>4130</v>
      </c>
      <c r="J3716" t="s">
        <v>22</v>
      </c>
      <c r="K3716" t="s">
        <v>32165</v>
      </c>
      <c r="L3716" t="s">
        <v>32168</v>
      </c>
      <c r="M3716" t="s">
        <v>25</v>
      </c>
      <c r="N3716" t="s">
        <v>32169</v>
      </c>
      <c r="O3716" t="s">
        <v>32170</v>
      </c>
      <c r="P3716" t="s">
        <v>32171</v>
      </c>
      <c r="Q3716" t="s">
        <v>29</v>
      </c>
      <c r="R3716" t="s">
        <v>32166</v>
      </c>
      <c r="S3716" t="s">
        <v>32167</v>
      </c>
    </row>
    <row r="3717" spans="1:19" x14ac:dyDescent="0.25">
      <c r="A3717" s="1">
        <v>3715</v>
      </c>
      <c r="B3717" t="str">
        <f>HYPERLINK("https://www.dasschnelle.at/stein-und-design-schwarzenbacher-uttendorf-alte-bundesstraße","Website")</f>
        <v>Website</v>
      </c>
      <c r="C3717" t="str">
        <f>HYPERLINK("http://www.steinunddesign.info","Website")</f>
        <v>Website</v>
      </c>
      <c r="D3717" t="str">
        <f>HYPERLINK("http://www.google.com/maps/place/47.28507,12.56183","Location")</f>
        <v>Location</v>
      </c>
      <c r="E3717" t="s">
        <v>32172</v>
      </c>
      <c r="F3717" t="s">
        <v>32173</v>
      </c>
      <c r="G3717" t="s">
        <v>32175</v>
      </c>
      <c r="H3717" t="s">
        <v>1329</v>
      </c>
      <c r="I3717" t="s">
        <v>2239</v>
      </c>
      <c r="J3717" t="s">
        <v>22</v>
      </c>
      <c r="K3717" t="s">
        <v>32174</v>
      </c>
      <c r="L3717" t="s">
        <v>32178</v>
      </c>
      <c r="M3717" t="s">
        <v>25</v>
      </c>
      <c r="N3717" t="s">
        <v>32179</v>
      </c>
      <c r="O3717" t="s">
        <v>25</v>
      </c>
      <c r="P3717" t="s">
        <v>32180</v>
      </c>
      <c r="Q3717" t="s">
        <v>29</v>
      </c>
      <c r="R3717" t="s">
        <v>32176</v>
      </c>
      <c r="S3717" t="s">
        <v>32177</v>
      </c>
    </row>
    <row r="3718" spans="1:19" x14ac:dyDescent="0.25">
      <c r="A3718" s="1">
        <v>3716</v>
      </c>
      <c r="B3718" t="str">
        <f>HYPERLINK("https://www.dasschnelle.at/exenberger-stefan-sonnberg","Website")</f>
        <v>Website</v>
      </c>
      <c r="C3718" t="str">
        <f>HYPERLINK("http://www.es-installationen.at","Website")</f>
        <v>Website</v>
      </c>
      <c r="D3718" t="str">
        <f>HYPERLINK("http://www.google.com/maps/place/47.2837730,12.3578028","Location")</f>
        <v>Location</v>
      </c>
      <c r="E3718" t="s">
        <v>32181</v>
      </c>
      <c r="F3718" t="s">
        <v>32182</v>
      </c>
      <c r="G3718" t="s">
        <v>32183</v>
      </c>
      <c r="H3718" t="s">
        <v>32184</v>
      </c>
      <c r="I3718" t="s">
        <v>2239</v>
      </c>
      <c r="J3718" t="s">
        <v>22</v>
      </c>
      <c r="K3718" t="s">
        <v>25</v>
      </c>
      <c r="L3718" t="s">
        <v>32187</v>
      </c>
      <c r="M3718" t="s">
        <v>25</v>
      </c>
      <c r="N3718" t="s">
        <v>32188</v>
      </c>
      <c r="O3718" t="s">
        <v>25</v>
      </c>
      <c r="P3718" t="s">
        <v>32189</v>
      </c>
      <c r="Q3718" t="s">
        <v>29</v>
      </c>
      <c r="R3718" t="s">
        <v>32185</v>
      </c>
      <c r="S3718" t="s">
        <v>32186</v>
      </c>
    </row>
    <row r="3719" spans="1:19" x14ac:dyDescent="0.25">
      <c r="A3719" s="1">
        <v>3717</v>
      </c>
      <c r="B3719" t="str">
        <f>HYPERLINK("https://www.dasschnelle.at/nsm-taxi-gmbh-taxi-enterprise-maria-rojach-maria-rojach","Website")</f>
        <v>Website</v>
      </c>
      <c r="C3719" t="str">
        <f>HYPERLINK("http://www.taxi-enterprise.at","Website")</f>
        <v>Website</v>
      </c>
      <c r="D3719" t="str">
        <f>HYPERLINK("http://www.google.com/maps/place/46.7338224,14.8823081","Location")</f>
        <v>Location</v>
      </c>
      <c r="E3719" t="s">
        <v>32190</v>
      </c>
      <c r="F3719" t="s">
        <v>32191</v>
      </c>
      <c r="G3719" t="s">
        <v>11341</v>
      </c>
      <c r="H3719" t="s">
        <v>11342</v>
      </c>
      <c r="I3719" t="s">
        <v>4130</v>
      </c>
      <c r="J3719" t="s">
        <v>22</v>
      </c>
      <c r="K3719" t="s">
        <v>32192</v>
      </c>
      <c r="L3719" t="s">
        <v>32195</v>
      </c>
      <c r="M3719" t="s">
        <v>25</v>
      </c>
      <c r="N3719" t="s">
        <v>14915</v>
      </c>
      <c r="O3719" t="s">
        <v>32196</v>
      </c>
      <c r="P3719" t="s">
        <v>32197</v>
      </c>
      <c r="Q3719" t="s">
        <v>29</v>
      </c>
      <c r="R3719" t="s">
        <v>32193</v>
      </c>
      <c r="S3719" t="s">
        <v>32194</v>
      </c>
    </row>
    <row r="3720" spans="1:19" x14ac:dyDescent="0.25">
      <c r="A3720" s="1">
        <v>3718</v>
      </c>
      <c r="B3720" t="str">
        <f>HYPERLINK("https://www.dasschnelle.at/fahrschule-speed-manfred-lipp-marchtrenk-bahnhofstraße","Website")</f>
        <v>Website</v>
      </c>
      <c r="C3720" t="str">
        <f>HYPERLINK("http://www.fahrschule-speed.at","Website")</f>
        <v>Website</v>
      </c>
      <c r="D3720" t="str">
        <f>HYPERLINK("http://www.google.com/maps/place/48.19223,14.11105","Location")</f>
        <v>Location</v>
      </c>
      <c r="E3720" t="s">
        <v>32198</v>
      </c>
      <c r="F3720" t="s">
        <v>32199</v>
      </c>
      <c r="G3720" t="s">
        <v>4902</v>
      </c>
      <c r="H3720" t="s">
        <v>7155</v>
      </c>
      <c r="I3720" t="s">
        <v>85</v>
      </c>
      <c r="J3720" t="s">
        <v>22</v>
      </c>
      <c r="K3720" t="s">
        <v>8273</v>
      </c>
      <c r="L3720" t="s">
        <v>32202</v>
      </c>
      <c r="M3720" t="s">
        <v>25</v>
      </c>
      <c r="N3720" t="s">
        <v>32203</v>
      </c>
      <c r="O3720" t="s">
        <v>25</v>
      </c>
      <c r="P3720" t="s">
        <v>32204</v>
      </c>
      <c r="Q3720" t="s">
        <v>29</v>
      </c>
      <c r="R3720" t="s">
        <v>32200</v>
      </c>
      <c r="S3720" t="s">
        <v>32201</v>
      </c>
    </row>
    <row r="3721" spans="1:19" x14ac:dyDescent="0.25">
      <c r="A3721" s="1">
        <v>3719</v>
      </c>
      <c r="B3721" t="str">
        <f>HYPERLINK("https://www.dasschnelle.at/erlach-christian-marchtrenk-westbahnstraße","Website")</f>
        <v>Website</v>
      </c>
      <c r="C3721" t="str">
        <f>HYPERLINK("http://www.kfz-erlach.at","Website")</f>
        <v>Website</v>
      </c>
      <c r="D3721" t="str">
        <f>HYPERLINK("http://www.google.com/maps/place/48.20076,14.09715","Location")</f>
        <v>Location</v>
      </c>
      <c r="E3721" t="s">
        <v>32205</v>
      </c>
      <c r="F3721" t="s">
        <v>32206</v>
      </c>
      <c r="G3721" t="s">
        <v>4902</v>
      </c>
      <c r="H3721" t="s">
        <v>7155</v>
      </c>
      <c r="I3721" t="s">
        <v>85</v>
      </c>
      <c r="J3721" t="s">
        <v>22</v>
      </c>
      <c r="K3721" t="s">
        <v>32207</v>
      </c>
      <c r="L3721" t="s">
        <v>32210</v>
      </c>
      <c r="M3721" t="s">
        <v>25</v>
      </c>
      <c r="N3721" t="s">
        <v>32211</v>
      </c>
      <c r="O3721" t="s">
        <v>32212</v>
      </c>
      <c r="P3721" t="s">
        <v>32213</v>
      </c>
      <c r="Q3721" t="s">
        <v>29</v>
      </c>
      <c r="R3721" t="s">
        <v>32208</v>
      </c>
      <c r="S3721" t="s">
        <v>32209</v>
      </c>
    </row>
    <row r="3722" spans="1:19" x14ac:dyDescent="0.25">
      <c r="A3722" s="1">
        <v>3720</v>
      </c>
      <c r="B3722" t="str">
        <f>HYPERLINK("https://www.dasschnelle.at/fuzo-kebap-pizza-marchtrenk-linzer-straße","Website")</f>
        <v>Website</v>
      </c>
      <c r="C3722" t="str">
        <f>HYPERLINK("http://www.marchtrenk-fuzo.at","Website")</f>
        <v>Website</v>
      </c>
      <c r="D3722" t="str">
        <f>HYPERLINK("http://www.google.com/maps/place/48.19082,14.11598","Location")</f>
        <v>Location</v>
      </c>
      <c r="E3722" t="s">
        <v>32214</v>
      </c>
      <c r="F3722" t="s">
        <v>32215</v>
      </c>
      <c r="G3722" t="s">
        <v>4902</v>
      </c>
      <c r="H3722" t="s">
        <v>7155</v>
      </c>
      <c r="I3722" t="s">
        <v>85</v>
      </c>
      <c r="J3722" t="s">
        <v>22</v>
      </c>
      <c r="K3722" t="s">
        <v>6920</v>
      </c>
      <c r="L3722" t="s">
        <v>32218</v>
      </c>
      <c r="M3722" t="s">
        <v>25</v>
      </c>
      <c r="N3722" t="s">
        <v>25</v>
      </c>
      <c r="O3722" t="s">
        <v>25</v>
      </c>
      <c r="P3722" t="s">
        <v>32219</v>
      </c>
      <c r="Q3722" t="s">
        <v>29</v>
      </c>
      <c r="R3722" t="s">
        <v>32216</v>
      </c>
      <c r="S3722" t="s">
        <v>32217</v>
      </c>
    </row>
    <row r="3723" spans="1:19" x14ac:dyDescent="0.25">
      <c r="A3723" s="1">
        <v>3721</v>
      </c>
      <c r="B3723" t="str">
        <f>HYPERLINK("https://www.dasschnelle.at/daniela-oresczuk-au-an-der-traun-offenbachstraße","Website")</f>
        <v>Website</v>
      </c>
      <c r="C3723" t="str">
        <f>HYPERLINK("http://www.oresczuk.at/","Website")</f>
        <v>Website</v>
      </c>
      <c r="D3723" t="str">
        <f>HYPERLINK("http://www.google.com/maps/place/48.1843177,14.1054363","Location")</f>
        <v>Location</v>
      </c>
      <c r="E3723" t="s">
        <v>32220</v>
      </c>
      <c r="F3723" t="s">
        <v>32221</v>
      </c>
      <c r="G3723" t="s">
        <v>4902</v>
      </c>
      <c r="H3723" t="s">
        <v>32223</v>
      </c>
      <c r="I3723" t="s">
        <v>85</v>
      </c>
      <c r="J3723" t="s">
        <v>22</v>
      </c>
      <c r="K3723" t="s">
        <v>32222</v>
      </c>
      <c r="L3723" t="s">
        <v>32226</v>
      </c>
      <c r="M3723" t="s">
        <v>25</v>
      </c>
      <c r="N3723" t="s">
        <v>32227</v>
      </c>
      <c r="O3723" t="s">
        <v>32228</v>
      </c>
      <c r="P3723" t="s">
        <v>32229</v>
      </c>
      <c r="Q3723" t="s">
        <v>29</v>
      </c>
      <c r="R3723" t="s">
        <v>32224</v>
      </c>
      <c r="S3723" t="s">
        <v>32225</v>
      </c>
    </row>
    <row r="3724" spans="1:19" x14ac:dyDescent="0.25">
      <c r="A3724" s="1">
        <v>3722</v>
      </c>
      <c r="B3724" t="str">
        <f>HYPERLINK("https://www.dasschnelle.at/feregyhazy-harald-buchkirchen-marchtrenker-straße","Website")</f>
        <v>Website</v>
      </c>
      <c r="C3724" t="str">
        <f>HYPERLINK("http://www.daecher.at","Website")</f>
        <v>Website</v>
      </c>
      <c r="D3724" t="str">
        <f>HYPERLINK("http://www.google.com/maps/place/48.22654,14.03418","Location")</f>
        <v>Location</v>
      </c>
      <c r="E3724" t="s">
        <v>32230</v>
      </c>
      <c r="F3724" t="s">
        <v>32231</v>
      </c>
      <c r="G3724" t="s">
        <v>4922</v>
      </c>
      <c r="H3724" t="s">
        <v>4923</v>
      </c>
      <c r="I3724" t="s">
        <v>85</v>
      </c>
      <c r="J3724" t="s">
        <v>22</v>
      </c>
      <c r="K3724" t="s">
        <v>32232</v>
      </c>
      <c r="L3724" t="s">
        <v>32235</v>
      </c>
      <c r="M3724" t="s">
        <v>32236</v>
      </c>
      <c r="N3724" t="s">
        <v>32237</v>
      </c>
      <c r="O3724" t="s">
        <v>32238</v>
      </c>
      <c r="P3724" t="s">
        <v>32239</v>
      </c>
      <c r="Q3724" t="s">
        <v>29</v>
      </c>
      <c r="R3724" t="s">
        <v>32233</v>
      </c>
      <c r="S3724" t="s">
        <v>32234</v>
      </c>
    </row>
    <row r="3725" spans="1:19" x14ac:dyDescent="0.25">
      <c r="A3725" s="1">
        <v>3723</v>
      </c>
      <c r="B3725" t="str">
        <f>HYPERLINK("https://www.dasschnelle.at/martinas-woll-und-stoffladl-jenbach-achenseestr","Website")</f>
        <v>Website</v>
      </c>
      <c r="C3725" t="str">
        <f>HYPERLINK("http://www.stoffundwolle.at","Website")</f>
        <v>Website</v>
      </c>
      <c r="D3725" t="str">
        <f>HYPERLINK("http://www.google.com/maps/place/47.39223,11.7727","Location")</f>
        <v>Location</v>
      </c>
      <c r="E3725" t="s">
        <v>32240</v>
      </c>
      <c r="F3725" t="s">
        <v>32241</v>
      </c>
      <c r="G3725" t="s">
        <v>4374</v>
      </c>
      <c r="H3725" t="s">
        <v>4375</v>
      </c>
      <c r="I3725" t="s">
        <v>21</v>
      </c>
      <c r="J3725" t="s">
        <v>22</v>
      </c>
      <c r="K3725" t="s">
        <v>32242</v>
      </c>
      <c r="L3725" t="s">
        <v>32245</v>
      </c>
      <c r="M3725" t="s">
        <v>25</v>
      </c>
      <c r="N3725" t="s">
        <v>32246</v>
      </c>
      <c r="O3725" t="s">
        <v>25</v>
      </c>
      <c r="P3725" t="s">
        <v>32247</v>
      </c>
      <c r="Q3725" t="s">
        <v>29</v>
      </c>
      <c r="R3725" t="s">
        <v>32243</v>
      </c>
      <c r="S3725" t="s">
        <v>32244</v>
      </c>
    </row>
    <row r="3726" spans="1:19" x14ac:dyDescent="0.25">
      <c r="A3726" s="1">
        <v>3724</v>
      </c>
      <c r="B3726" t="str">
        <f>HYPERLINK("https://www.dasschnelle.at/wirth-josef-gmbh-marchtrenk-jägerstraße","Website")</f>
        <v>Website</v>
      </c>
      <c r="C3726" t="str">
        <f>HYPERLINK("http://www.baggerungen-wirth.at","Website")</f>
        <v>Website</v>
      </c>
      <c r="D3726" t="str">
        <f>HYPERLINK("http://www.google.com/maps/place/48.1791087,14.1197536","Location")</f>
        <v>Location</v>
      </c>
      <c r="E3726" t="s">
        <v>32248</v>
      </c>
      <c r="F3726" t="s">
        <v>32249</v>
      </c>
      <c r="G3726" t="s">
        <v>4902</v>
      </c>
      <c r="H3726" t="s">
        <v>7155</v>
      </c>
      <c r="I3726" t="s">
        <v>85</v>
      </c>
      <c r="J3726" t="s">
        <v>22</v>
      </c>
      <c r="K3726" t="s">
        <v>32250</v>
      </c>
      <c r="L3726" t="s">
        <v>32253</v>
      </c>
      <c r="M3726" t="s">
        <v>25</v>
      </c>
      <c r="N3726" t="s">
        <v>32254</v>
      </c>
      <c r="O3726" t="s">
        <v>32255</v>
      </c>
      <c r="P3726" t="s">
        <v>32256</v>
      </c>
      <c r="Q3726" t="s">
        <v>29</v>
      </c>
      <c r="R3726" t="s">
        <v>32251</v>
      </c>
      <c r="S3726" t="s">
        <v>32252</v>
      </c>
    </row>
    <row r="3727" spans="1:19" x14ac:dyDescent="0.25">
      <c r="A3727" s="1">
        <v>3725</v>
      </c>
      <c r="B3727" t="str">
        <f>HYPERLINK("https://www.dasschnelle.at/brandstetter-markus-weißkirchen-gewerbepark","Website")</f>
        <v>Website</v>
      </c>
      <c r="C3727" t="str">
        <f>HYPERLINK("https://www.dasschnelle.at/brandstetter-markus-wei%C3%9Fkirchen-gewerbepark","Website")</f>
        <v>Website</v>
      </c>
      <c r="D3727" t="str">
        <f>HYPERLINK("http://www.google.com/maps/place/48.1691900,14.1257800","Location")</f>
        <v>Location</v>
      </c>
      <c r="E3727" t="s">
        <v>32257</v>
      </c>
      <c r="F3727" t="s">
        <v>32258</v>
      </c>
      <c r="G3727" t="s">
        <v>32148</v>
      </c>
      <c r="H3727" t="s">
        <v>32149</v>
      </c>
      <c r="I3727" t="s">
        <v>85</v>
      </c>
      <c r="J3727" t="s">
        <v>22</v>
      </c>
      <c r="K3727" t="s">
        <v>32259</v>
      </c>
      <c r="L3727" t="s">
        <v>32262</v>
      </c>
      <c r="M3727" t="s">
        <v>25</v>
      </c>
      <c r="N3727" t="s">
        <v>32263</v>
      </c>
      <c r="O3727" t="s">
        <v>25</v>
      </c>
      <c r="P3727" t="s">
        <v>32264</v>
      </c>
      <c r="Q3727" t="s">
        <v>29</v>
      </c>
      <c r="R3727" t="s">
        <v>32260</v>
      </c>
      <c r="S3727" t="s">
        <v>32261</v>
      </c>
    </row>
    <row r="3728" spans="1:19" x14ac:dyDescent="0.25">
      <c r="A3728" s="1">
        <v>3726</v>
      </c>
      <c r="B3728" t="str">
        <f>HYPERLINK("https://www.dasschnelle.at/hartl-ralph-uttendorf-bahnhofstraße","Website")</f>
        <v>Website</v>
      </c>
      <c r="C3728" t="str">
        <f>HYPERLINK("http://www.raumausstatter-hartl.at","Website")</f>
        <v>Website</v>
      </c>
      <c r="D3728" t="str">
        <f>HYPERLINK("http://www.google.com/maps/place/47.28219,12.5737","Location")</f>
        <v>Location</v>
      </c>
      <c r="E3728" t="s">
        <v>32265</v>
      </c>
      <c r="F3728" t="s">
        <v>32266</v>
      </c>
      <c r="G3728" t="s">
        <v>32175</v>
      </c>
      <c r="H3728" t="s">
        <v>1329</v>
      </c>
      <c r="I3728" t="s">
        <v>2239</v>
      </c>
      <c r="J3728" t="s">
        <v>22</v>
      </c>
      <c r="K3728" t="s">
        <v>12305</v>
      </c>
      <c r="L3728" t="s">
        <v>32269</v>
      </c>
      <c r="M3728" t="s">
        <v>25</v>
      </c>
      <c r="N3728" t="s">
        <v>32270</v>
      </c>
      <c r="O3728" t="s">
        <v>25</v>
      </c>
      <c r="P3728" t="s">
        <v>32271</v>
      </c>
      <c r="Q3728" t="s">
        <v>29</v>
      </c>
      <c r="R3728" t="s">
        <v>32267</v>
      </c>
      <c r="S3728" t="s">
        <v>32268</v>
      </c>
    </row>
    <row r="3729" spans="1:19" x14ac:dyDescent="0.25">
      <c r="A3729" s="1">
        <v>3727</v>
      </c>
      <c r="B3729" t="str">
        <f>HYPERLINK("https://www.dasschnelle.at/neumayr-günter-gmbh-klausen-rupert-steger-gasse","Website")</f>
        <v>Website</v>
      </c>
      <c r="C3729" t="str">
        <f>HYPERLINK("http://www.neumayr.at","Website")</f>
        <v>Website</v>
      </c>
      <c r="D3729" t="str">
        <f>HYPERLINK("http://www.google.com/maps/place/47.2772,12.48485","Location")</f>
        <v>Location</v>
      </c>
      <c r="E3729" t="s">
        <v>32272</v>
      </c>
      <c r="F3729" t="s">
        <v>32273</v>
      </c>
      <c r="G3729" t="s">
        <v>24264</v>
      </c>
      <c r="H3729" t="s">
        <v>32275</v>
      </c>
      <c r="I3729" t="s">
        <v>2239</v>
      </c>
      <c r="J3729" t="s">
        <v>22</v>
      </c>
      <c r="K3729" t="s">
        <v>32274</v>
      </c>
      <c r="L3729" t="s">
        <v>32278</v>
      </c>
      <c r="M3729" t="s">
        <v>32279</v>
      </c>
      <c r="N3729" t="s">
        <v>32280</v>
      </c>
      <c r="O3729" t="s">
        <v>25</v>
      </c>
      <c r="P3729" t="s">
        <v>32281</v>
      </c>
      <c r="Q3729" t="s">
        <v>29</v>
      </c>
      <c r="R3729" t="s">
        <v>32276</v>
      </c>
      <c r="S3729" t="s">
        <v>32277</v>
      </c>
    </row>
    <row r="3730" spans="1:19" x14ac:dyDescent="0.25">
      <c r="A3730" s="1">
        <v>3728</v>
      </c>
      <c r="B3730" t="str">
        <f>HYPERLINK("https://www.dasschnelle.at/heizblitz-badl-badl","Website")</f>
        <v>Website</v>
      </c>
      <c r="C3730" t="str">
        <f>HYPERLINK("http://www.heizblitz.at","Website")</f>
        <v>Website</v>
      </c>
      <c r="D3730" t="str">
        <f>HYPERLINK("http://www.google.com/maps/place/47.2284700,15.3396100","Location")</f>
        <v>Location</v>
      </c>
      <c r="E3730" t="s">
        <v>32282</v>
      </c>
      <c r="F3730" t="s">
        <v>32283</v>
      </c>
      <c r="G3730" t="s">
        <v>7874</v>
      </c>
      <c r="H3730" t="s">
        <v>32285</v>
      </c>
      <c r="I3730" t="s">
        <v>451</v>
      </c>
      <c r="J3730" t="s">
        <v>22</v>
      </c>
      <c r="K3730" t="s">
        <v>32284</v>
      </c>
      <c r="L3730" t="s">
        <v>32288</v>
      </c>
      <c r="M3730" t="s">
        <v>25</v>
      </c>
      <c r="N3730" t="s">
        <v>32289</v>
      </c>
      <c r="O3730" t="s">
        <v>25</v>
      </c>
      <c r="P3730" t="s">
        <v>32290</v>
      </c>
      <c r="Q3730" t="s">
        <v>29</v>
      </c>
      <c r="R3730" t="s">
        <v>32286</v>
      </c>
      <c r="S3730" t="s">
        <v>32287</v>
      </c>
    </row>
    <row r="3731" spans="1:19" x14ac:dyDescent="0.25">
      <c r="A3731" s="1">
        <v>3729</v>
      </c>
      <c r="B3731" t="str">
        <f>HYPERLINK("https://www.dasschnelle.at/optik-günther-saalfelden-almerstraße","Website")</f>
        <v>Website</v>
      </c>
      <c r="C3731" t="str">
        <f>HYPERLINK("http://www.optik-saalfelden.at","Website")</f>
        <v>Website</v>
      </c>
      <c r="D3731" t="str">
        <f>HYPERLINK("http://www.google.com/maps/place/47.4259943,12.8481899","Location")</f>
        <v>Location</v>
      </c>
      <c r="E3731" t="s">
        <v>32291</v>
      </c>
      <c r="F3731" t="s">
        <v>32292</v>
      </c>
      <c r="G3731" t="s">
        <v>5573</v>
      </c>
      <c r="H3731" t="s">
        <v>5574</v>
      </c>
      <c r="I3731" t="s">
        <v>2239</v>
      </c>
      <c r="J3731" t="s">
        <v>22</v>
      </c>
      <c r="K3731" t="s">
        <v>32293</v>
      </c>
      <c r="L3731" t="s">
        <v>32296</v>
      </c>
      <c r="M3731" t="s">
        <v>25</v>
      </c>
      <c r="N3731" t="s">
        <v>32297</v>
      </c>
      <c r="O3731" t="s">
        <v>25</v>
      </c>
      <c r="P3731" t="s">
        <v>32298</v>
      </c>
      <c r="Q3731" t="s">
        <v>29</v>
      </c>
      <c r="R3731" t="s">
        <v>32294</v>
      </c>
      <c r="S3731" t="s">
        <v>32295</v>
      </c>
    </row>
    <row r="3732" spans="1:19" x14ac:dyDescent="0.25">
      <c r="A3732" s="1">
        <v>3730</v>
      </c>
      <c r="B3732" t="str">
        <f>HYPERLINK("https://www.dasschnelle.at/elektro-und-edv-technik-schwaiger-jenbach-achenseestrasse","Website")</f>
        <v>Website</v>
      </c>
      <c r="C3732" t="str">
        <f>HYPERLINK("http://www.elektro-edv.at","Website")</f>
        <v>Website</v>
      </c>
      <c r="D3732" t="str">
        <f>HYPERLINK("http://www.google.com/maps/place/47.39284,11.77213","Location")</f>
        <v>Location</v>
      </c>
      <c r="E3732" t="s">
        <v>32299</v>
      </c>
      <c r="F3732" t="s">
        <v>32300</v>
      </c>
      <c r="G3732" t="s">
        <v>4374</v>
      </c>
      <c r="H3732" t="s">
        <v>4375</v>
      </c>
      <c r="I3732" t="s">
        <v>21</v>
      </c>
      <c r="J3732" t="s">
        <v>22</v>
      </c>
      <c r="K3732" t="s">
        <v>32301</v>
      </c>
      <c r="L3732" t="s">
        <v>32304</v>
      </c>
      <c r="M3732" t="s">
        <v>25</v>
      </c>
      <c r="N3732" t="s">
        <v>32305</v>
      </c>
      <c r="O3732" t="s">
        <v>25</v>
      </c>
      <c r="P3732" t="s">
        <v>32306</v>
      </c>
      <c r="Q3732" t="s">
        <v>29</v>
      </c>
      <c r="R3732" t="s">
        <v>32302</v>
      </c>
      <c r="S3732" t="s">
        <v>32303</v>
      </c>
    </row>
    <row r="3733" spans="1:19" x14ac:dyDescent="0.25">
      <c r="A3733" s="1">
        <v>3731</v>
      </c>
      <c r="B3733" t="str">
        <f>HYPERLINK("https://www.dasschnelle.at/mag-alexander-walter-behm-horn-kirchenplatz","Website")</f>
        <v>Website</v>
      </c>
      <c r="C3733" t="str">
        <f>HYPERLINK("http://www.behm.at","Website")</f>
        <v>Website</v>
      </c>
      <c r="D3733" t="str">
        <f>HYPERLINK("http://www.google.com/maps/place/48.66365,15.65753","Location")</f>
        <v>Location</v>
      </c>
      <c r="E3733" t="s">
        <v>32307</v>
      </c>
      <c r="F3733" t="s">
        <v>32308</v>
      </c>
      <c r="G3733" t="s">
        <v>12616</v>
      </c>
      <c r="H3733" t="s">
        <v>12625</v>
      </c>
      <c r="I3733" t="s">
        <v>177</v>
      </c>
      <c r="J3733" t="s">
        <v>22</v>
      </c>
      <c r="K3733" t="s">
        <v>32309</v>
      </c>
      <c r="L3733" t="s">
        <v>32312</v>
      </c>
      <c r="M3733" t="s">
        <v>25</v>
      </c>
      <c r="N3733" t="s">
        <v>32313</v>
      </c>
      <c r="O3733" t="s">
        <v>25</v>
      </c>
      <c r="P3733" t="s">
        <v>32314</v>
      </c>
      <c r="Q3733" t="s">
        <v>29</v>
      </c>
      <c r="R3733" t="s">
        <v>32310</v>
      </c>
      <c r="S3733" t="s">
        <v>32311</v>
      </c>
    </row>
    <row r="3734" spans="1:19" x14ac:dyDescent="0.25">
      <c r="A3734" s="1">
        <v>3732</v>
      </c>
      <c r="B3734" t="str">
        <f>HYPERLINK("https://www.dasschnelle.at/gasthof-pranzl-laussa-brunngraben","Website")</f>
        <v>Website</v>
      </c>
      <c r="C3734" t="str">
        <f>HYPERLINK("http://www.gasthaus-kleinschoenleiten.at","Website")</f>
        <v>Website</v>
      </c>
      <c r="D3734" t="str">
        <f>HYPERLINK("http://www.google.com/maps/place/47.9552,14.41597","Location")</f>
        <v>Location</v>
      </c>
      <c r="E3734" t="s">
        <v>32315</v>
      </c>
      <c r="F3734" t="s">
        <v>32316</v>
      </c>
      <c r="G3734" t="s">
        <v>262</v>
      </c>
      <c r="H3734" t="s">
        <v>263</v>
      </c>
      <c r="I3734" t="s">
        <v>85</v>
      </c>
      <c r="J3734" t="s">
        <v>22</v>
      </c>
      <c r="K3734" t="s">
        <v>261</v>
      </c>
      <c r="L3734" t="s">
        <v>266</v>
      </c>
      <c r="M3734" t="s">
        <v>25</v>
      </c>
      <c r="N3734" t="s">
        <v>267</v>
      </c>
      <c r="O3734" t="s">
        <v>25</v>
      </c>
      <c r="P3734" t="s">
        <v>697</v>
      </c>
      <c r="Q3734" t="s">
        <v>29</v>
      </c>
      <c r="R3734" t="s">
        <v>264</v>
      </c>
      <c r="S3734" t="s">
        <v>265</v>
      </c>
    </row>
    <row r="3735" spans="1:19" x14ac:dyDescent="0.25">
      <c r="A3735" s="1">
        <v>3733</v>
      </c>
      <c r="B3735" t="str">
        <f>HYPERLINK("https://www.dasschnelle.at/mrt-marco-rattensberger-technik-uttendorf-tobersbachstraße","Website")</f>
        <v>Website</v>
      </c>
      <c r="C3735" t="str">
        <f>HYPERLINK("http://www.mrt-technik.at","Website")</f>
        <v>Website</v>
      </c>
      <c r="D3735" t="str">
        <f>HYPERLINK("http://www.google.com/maps/place/47.28447,12.57476","Location")</f>
        <v>Location</v>
      </c>
      <c r="E3735" t="s">
        <v>32317</v>
      </c>
      <c r="F3735" t="s">
        <v>32318</v>
      </c>
      <c r="G3735" t="s">
        <v>32175</v>
      </c>
      <c r="H3735" t="s">
        <v>1329</v>
      </c>
      <c r="I3735" t="s">
        <v>2239</v>
      </c>
      <c r="J3735" t="s">
        <v>22</v>
      </c>
      <c r="K3735" t="s">
        <v>32319</v>
      </c>
      <c r="L3735" t="s">
        <v>32322</v>
      </c>
      <c r="M3735" t="s">
        <v>25</v>
      </c>
      <c r="N3735" t="s">
        <v>32323</v>
      </c>
      <c r="O3735" t="s">
        <v>25</v>
      </c>
      <c r="P3735" t="s">
        <v>32324</v>
      </c>
      <c r="Q3735" t="s">
        <v>29</v>
      </c>
      <c r="R3735" t="s">
        <v>32320</v>
      </c>
      <c r="S3735" t="s">
        <v>32321</v>
      </c>
    </row>
    <row r="3736" spans="1:19" x14ac:dyDescent="0.25">
      <c r="A3736" s="1">
        <v>3734</v>
      </c>
      <c r="B3736" t="str">
        <f>HYPERLINK("https://www.dasschnelle.at/klaus-kühar-piesendorf-hohe-arche-straße","Website")</f>
        <v>Website</v>
      </c>
      <c r="C3736" t="str">
        <f>HYPERLINK("http://www.die-malerei.at","Website")</f>
        <v>Website</v>
      </c>
      <c r="D3736" t="str">
        <f>HYPERLINK("http://www.google.com/maps/place/47.28945,12.71599","Location")</f>
        <v>Location</v>
      </c>
      <c r="E3736" t="s">
        <v>32325</v>
      </c>
      <c r="F3736" t="s">
        <v>32326</v>
      </c>
      <c r="G3736" t="s">
        <v>5638</v>
      </c>
      <c r="H3736" t="s">
        <v>5639</v>
      </c>
      <c r="I3736" t="s">
        <v>2239</v>
      </c>
      <c r="J3736" t="s">
        <v>22</v>
      </c>
      <c r="K3736" t="s">
        <v>32327</v>
      </c>
      <c r="L3736" t="s">
        <v>32330</v>
      </c>
      <c r="M3736" t="s">
        <v>25</v>
      </c>
      <c r="N3736" t="s">
        <v>32331</v>
      </c>
      <c r="O3736" t="s">
        <v>25</v>
      </c>
      <c r="P3736" t="s">
        <v>32332</v>
      </c>
      <c r="Q3736" t="s">
        <v>29</v>
      </c>
      <c r="R3736" t="s">
        <v>32328</v>
      </c>
      <c r="S3736" t="s">
        <v>32329</v>
      </c>
    </row>
    <row r="3737" spans="1:19" x14ac:dyDescent="0.25">
      <c r="A3737" s="1">
        <v>3735</v>
      </c>
      <c r="B3737" t="str">
        <f>HYPERLINK("https://www.dasschnelle.at/st-rupertus-apotheke-lofer-kg-lofer-lofer","Website")</f>
        <v>Website</v>
      </c>
      <c r="C3737" t="str">
        <f>HYPERLINK("http://www.apotheke-lofer.at","Website")</f>
        <v>Website</v>
      </c>
      <c r="D3737" t="str">
        <f>HYPERLINK("http://www.google.com/maps/place/47.5867190,12.6961052","Location")</f>
        <v>Location</v>
      </c>
      <c r="E3737" t="s">
        <v>32333</v>
      </c>
      <c r="F3737" t="s">
        <v>32334</v>
      </c>
      <c r="G3737" t="s">
        <v>32336</v>
      </c>
      <c r="H3737" t="s">
        <v>32337</v>
      </c>
      <c r="I3737" t="s">
        <v>2239</v>
      </c>
      <c r="J3737" t="s">
        <v>22</v>
      </c>
      <c r="K3737" t="s">
        <v>32335</v>
      </c>
      <c r="L3737" t="s">
        <v>32340</v>
      </c>
      <c r="M3737" t="s">
        <v>25</v>
      </c>
      <c r="N3737" t="s">
        <v>32341</v>
      </c>
      <c r="O3737" t="s">
        <v>25</v>
      </c>
      <c r="P3737" t="s">
        <v>32342</v>
      </c>
      <c r="Q3737" t="s">
        <v>29</v>
      </c>
      <c r="R3737" t="s">
        <v>32338</v>
      </c>
      <c r="S3737" t="s">
        <v>32339</v>
      </c>
    </row>
    <row r="3738" spans="1:19" x14ac:dyDescent="0.25">
      <c r="A3738" s="1">
        <v>3736</v>
      </c>
      <c r="B3738" t="str">
        <f>HYPERLINK("https://www.dasschnelle.at/le-elektrotechnik-gmbh-bramberg-am-wildkogel-wenns","Website")</f>
        <v>Website</v>
      </c>
      <c r="C3738" t="str">
        <f>HYPERLINK("https://www.dasschnelle.at/le-elektrotechnik-gmbh-bramberg-am-wildkogel-wenns","Website")</f>
        <v>Website</v>
      </c>
      <c r="D3738" t="str">
        <f>HYPERLINK("http://www.google.com/maps/place/47.2684576,12.3596906","Location")</f>
        <v>Location</v>
      </c>
      <c r="E3738" t="s">
        <v>32343</v>
      </c>
      <c r="F3738" t="s">
        <v>32344</v>
      </c>
      <c r="G3738" t="s">
        <v>32183</v>
      </c>
      <c r="H3738" t="s">
        <v>32346</v>
      </c>
      <c r="I3738" t="s">
        <v>2239</v>
      </c>
      <c r="J3738" t="s">
        <v>22</v>
      </c>
      <c r="K3738" t="s">
        <v>32345</v>
      </c>
      <c r="L3738" t="s">
        <v>32349</v>
      </c>
      <c r="M3738" t="s">
        <v>25</v>
      </c>
      <c r="N3738" t="s">
        <v>32350</v>
      </c>
      <c r="O3738" t="s">
        <v>25</v>
      </c>
      <c r="P3738" t="s">
        <v>32351</v>
      </c>
      <c r="Q3738" t="s">
        <v>29</v>
      </c>
      <c r="R3738" t="s">
        <v>32347</v>
      </c>
      <c r="S3738" t="s">
        <v>32348</v>
      </c>
    </row>
    <row r="3739" spans="1:19" x14ac:dyDescent="0.25">
      <c r="A3739" s="1">
        <v>3737</v>
      </c>
      <c r="B3739" t="str">
        <f>HYPERLINK("https://www.dasschnelle.at/holzbau-p-rainer-gmbh-büro-uttendorf-stubachstraße","Website")</f>
        <v>Website</v>
      </c>
      <c r="C3739" t="str">
        <f>HYPERLINK("http://www.holzbau-rainer.at","Website")</f>
        <v>Website</v>
      </c>
      <c r="D3739" t="str">
        <f>HYPERLINK("http://www.google.com/maps/place/47.28862,12.5721","Location")</f>
        <v>Location</v>
      </c>
      <c r="E3739" t="s">
        <v>32352</v>
      </c>
      <c r="F3739" t="s">
        <v>32353</v>
      </c>
      <c r="G3739" t="s">
        <v>32175</v>
      </c>
      <c r="H3739" t="s">
        <v>1329</v>
      </c>
      <c r="I3739" t="s">
        <v>2239</v>
      </c>
      <c r="J3739" t="s">
        <v>22</v>
      </c>
      <c r="K3739" t="s">
        <v>32354</v>
      </c>
      <c r="L3739" t="s">
        <v>32357</v>
      </c>
      <c r="M3739" t="s">
        <v>25</v>
      </c>
      <c r="N3739" t="s">
        <v>32358</v>
      </c>
      <c r="O3739" t="s">
        <v>25</v>
      </c>
      <c r="P3739" t="s">
        <v>32359</v>
      </c>
      <c r="Q3739" t="s">
        <v>29</v>
      </c>
      <c r="R3739" t="s">
        <v>32355</v>
      </c>
      <c r="S3739" t="s">
        <v>32356</v>
      </c>
    </row>
    <row r="3740" spans="1:19" x14ac:dyDescent="0.25">
      <c r="A3740" s="1">
        <v>3738</v>
      </c>
      <c r="B3740" t="str">
        <f>HYPERLINK("https://www.dasschnelle.at/ronacher-siegfried-mittersill-zellerstrasse","Website")</f>
        <v>Website</v>
      </c>
      <c r="C3740" t="str">
        <f>HYPERLINK("http://www.redzac.at/ronacher","Website")</f>
        <v>Website</v>
      </c>
      <c r="D3740" t="str">
        <f>HYPERLINK("http://www.google.com/maps/place/47.2828100,12.4824400","Location")</f>
        <v>Location</v>
      </c>
      <c r="E3740" t="s">
        <v>32360</v>
      </c>
      <c r="F3740" t="s">
        <v>32361</v>
      </c>
      <c r="G3740" t="s">
        <v>24264</v>
      </c>
      <c r="H3740" t="s">
        <v>24265</v>
      </c>
      <c r="I3740" t="s">
        <v>2239</v>
      </c>
      <c r="J3740" t="s">
        <v>22</v>
      </c>
      <c r="K3740" t="s">
        <v>32362</v>
      </c>
      <c r="L3740" t="s">
        <v>32365</v>
      </c>
      <c r="M3740" t="s">
        <v>25</v>
      </c>
      <c r="N3740" t="s">
        <v>32366</v>
      </c>
      <c r="O3740" t="s">
        <v>25</v>
      </c>
      <c r="P3740" t="s">
        <v>32367</v>
      </c>
      <c r="Q3740" t="s">
        <v>29</v>
      </c>
      <c r="R3740" t="s">
        <v>32363</v>
      </c>
      <c r="S3740" t="s">
        <v>32364</v>
      </c>
    </row>
    <row r="3741" spans="1:19" x14ac:dyDescent="0.25">
      <c r="A3741" s="1">
        <v>3739</v>
      </c>
      <c r="B3741" t="str">
        <f>HYPERLINK("https://www.dasschnelle.at/autohaus-larl-gmbh-stumm-ahrnbachstr","Website")</f>
        <v>Website</v>
      </c>
      <c r="C3741" t="str">
        <f>HYPERLINK("http://www.larl.at","Website")</f>
        <v>Website</v>
      </c>
      <c r="D3741" t="str">
        <f>HYPERLINK("http://www.google.com/maps/place/47.27356,11.89985","Location")</f>
        <v>Location</v>
      </c>
      <c r="E3741" t="s">
        <v>32368</v>
      </c>
      <c r="F3741" t="s">
        <v>32369</v>
      </c>
      <c r="G3741" t="s">
        <v>4282</v>
      </c>
      <c r="H3741" t="s">
        <v>4283</v>
      </c>
      <c r="I3741" t="s">
        <v>21</v>
      </c>
      <c r="J3741" t="s">
        <v>22</v>
      </c>
      <c r="K3741" t="s">
        <v>32370</v>
      </c>
      <c r="L3741" t="s">
        <v>32373</v>
      </c>
      <c r="M3741" t="s">
        <v>25</v>
      </c>
      <c r="N3741" t="s">
        <v>32374</v>
      </c>
      <c r="O3741" t="s">
        <v>25</v>
      </c>
      <c r="P3741" t="s">
        <v>32375</v>
      </c>
      <c r="Q3741" t="s">
        <v>29</v>
      </c>
      <c r="R3741" t="s">
        <v>32371</v>
      </c>
      <c r="S3741" t="s">
        <v>32372</v>
      </c>
    </row>
    <row r="3742" spans="1:19" x14ac:dyDescent="0.25">
      <c r="A3742" s="1">
        <v>3740</v>
      </c>
      <c r="B3742" t="str">
        <f>HYPERLINK("https://www.dasschnelle.at/priska-farkas-maishofen-anton-faistauerplatz","Website")</f>
        <v>Website</v>
      </c>
      <c r="C3742" t="str">
        <f>HYPERLINK("https://www.dasschnelle.at/priska-farkas-maishofen-anton-faistauerplatz","Website")</f>
        <v>Website</v>
      </c>
      <c r="D3742" t="str">
        <f>HYPERLINK("http://www.google.com/maps/place/47.36113,12.80513","Location")</f>
        <v>Location</v>
      </c>
      <c r="E3742" t="s">
        <v>32376</v>
      </c>
      <c r="F3742" t="s">
        <v>32377</v>
      </c>
      <c r="G3742" t="s">
        <v>32379</v>
      </c>
      <c r="H3742" t="s">
        <v>32380</v>
      </c>
      <c r="I3742" t="s">
        <v>2239</v>
      </c>
      <c r="J3742" t="s">
        <v>22</v>
      </c>
      <c r="K3742" t="s">
        <v>32378</v>
      </c>
      <c r="L3742" t="s">
        <v>32383</v>
      </c>
      <c r="M3742" t="s">
        <v>25</v>
      </c>
      <c r="N3742" t="s">
        <v>32384</v>
      </c>
      <c r="O3742" t="s">
        <v>25</v>
      </c>
      <c r="P3742" t="s">
        <v>32385</v>
      </c>
      <c r="Q3742" t="s">
        <v>29</v>
      </c>
      <c r="R3742" t="s">
        <v>32381</v>
      </c>
      <c r="S3742" t="s">
        <v>32382</v>
      </c>
    </row>
    <row r="3743" spans="1:19" x14ac:dyDescent="0.25">
      <c r="A3743" s="1">
        <v>3741</v>
      </c>
      <c r="B3743" t="str">
        <f>HYPERLINK("https://www.dasschnelle.at/gandler-landmaschinen-kg-mittersill-burk","Website")</f>
        <v>Website</v>
      </c>
      <c r="C3743" t="str">
        <f>HYPERLINK("http://www.gandler-anhaenger.at","Website")</f>
        <v>Website</v>
      </c>
      <c r="D3743" t="str">
        <f>HYPERLINK("http://www.google.com/maps/place/47.2903865,12.4925666","Location")</f>
        <v>Location</v>
      </c>
      <c r="E3743" t="s">
        <v>32386</v>
      </c>
      <c r="F3743" t="s">
        <v>32387</v>
      </c>
      <c r="G3743" t="s">
        <v>24264</v>
      </c>
      <c r="H3743" t="s">
        <v>24265</v>
      </c>
      <c r="I3743" t="s">
        <v>2239</v>
      </c>
      <c r="J3743" t="s">
        <v>22</v>
      </c>
      <c r="K3743" t="s">
        <v>32388</v>
      </c>
      <c r="L3743" t="s">
        <v>32391</v>
      </c>
      <c r="M3743" t="s">
        <v>25</v>
      </c>
      <c r="N3743" t="s">
        <v>32392</v>
      </c>
      <c r="O3743" t="s">
        <v>32393</v>
      </c>
      <c r="P3743" t="s">
        <v>32394</v>
      </c>
      <c r="Q3743" t="s">
        <v>29</v>
      </c>
      <c r="R3743" t="s">
        <v>32389</v>
      </c>
      <c r="S3743" t="s">
        <v>32390</v>
      </c>
    </row>
    <row r="3744" spans="1:19" x14ac:dyDescent="0.25">
      <c r="A3744" s="1">
        <v>3742</v>
      </c>
      <c r="B3744" t="str">
        <f>HYPERLINK("https://www.dasschnelle.at/voves-robert-dr-med-feldbach-bismarckstraße","Website")</f>
        <v>Website</v>
      </c>
      <c r="C3744" t="str">
        <f>HYPERLINK("http://www.drvoves.at","Website")</f>
        <v>Website</v>
      </c>
      <c r="D3744" t="str">
        <f>HYPERLINK("http://www.google.com/maps/place/46.95219,15.88765","Location")</f>
        <v>Location</v>
      </c>
      <c r="E3744" t="s">
        <v>32395</v>
      </c>
      <c r="F3744" t="s">
        <v>32396</v>
      </c>
      <c r="G3744" t="s">
        <v>470</v>
      </c>
      <c r="H3744" t="s">
        <v>471</v>
      </c>
      <c r="I3744" t="s">
        <v>451</v>
      </c>
      <c r="J3744" t="s">
        <v>22</v>
      </c>
      <c r="K3744" t="s">
        <v>32397</v>
      </c>
      <c r="L3744" t="s">
        <v>32400</v>
      </c>
      <c r="M3744" t="s">
        <v>32401</v>
      </c>
      <c r="N3744" t="s">
        <v>32402</v>
      </c>
      <c r="O3744" t="s">
        <v>25</v>
      </c>
      <c r="P3744" t="s">
        <v>32403</v>
      </c>
      <c r="Q3744" t="s">
        <v>29</v>
      </c>
      <c r="R3744" t="s">
        <v>32398</v>
      </c>
      <c r="S3744" t="s">
        <v>32399</v>
      </c>
    </row>
    <row r="3745" spans="1:19" x14ac:dyDescent="0.25">
      <c r="A3745" s="1">
        <v>3743</v>
      </c>
      <c r="B3745" t="str">
        <f>HYPERLINK("https://www.dasschnelle.at/raumausstattung-zehentner-saalbach-buchenauweg","Website")</f>
        <v>Website</v>
      </c>
      <c r="C3745" t="str">
        <f>HYPERLINK("http://www.wohnen-zehentner.at","Website")</f>
        <v>Website</v>
      </c>
      <c r="D3745" t="str">
        <f>HYPERLINK("http://www.google.com/maps/place/47.3843148,12.6109235","Location")</f>
        <v>Location</v>
      </c>
      <c r="E3745" t="s">
        <v>32404</v>
      </c>
      <c r="F3745" t="s">
        <v>32405</v>
      </c>
      <c r="G3745" t="s">
        <v>32407</v>
      </c>
      <c r="H3745" t="s">
        <v>32408</v>
      </c>
      <c r="I3745" t="s">
        <v>2239</v>
      </c>
      <c r="J3745" t="s">
        <v>22</v>
      </c>
      <c r="K3745" t="s">
        <v>32406</v>
      </c>
      <c r="L3745" t="s">
        <v>32411</v>
      </c>
      <c r="M3745" t="s">
        <v>25</v>
      </c>
      <c r="N3745" t="s">
        <v>32412</v>
      </c>
      <c r="O3745" t="s">
        <v>25</v>
      </c>
      <c r="P3745" t="s">
        <v>32413</v>
      </c>
      <c r="Q3745" t="s">
        <v>29</v>
      </c>
      <c r="R3745" t="s">
        <v>32409</v>
      </c>
      <c r="S3745" t="s">
        <v>32410</v>
      </c>
    </row>
    <row r="3746" spans="1:19" x14ac:dyDescent="0.25">
      <c r="A3746" s="1">
        <v>3744</v>
      </c>
      <c r="B3746" t="str">
        <f>HYPERLINK("https://www.dasschnelle.at/bigtime-josef-streitberger-atzing-saalhofstraße","Website")</f>
        <v>Website</v>
      </c>
      <c r="C3746" t="str">
        <f>HYPERLINK("http://www.bigtime-sport.at","Website")</f>
        <v>Website</v>
      </c>
      <c r="D3746" t="str">
        <f>HYPERLINK("http://www.google.com/maps/place/47.35958,12.80052","Location")</f>
        <v>Location</v>
      </c>
      <c r="E3746" t="s">
        <v>32414</v>
      </c>
      <c r="F3746" t="s">
        <v>32415</v>
      </c>
      <c r="G3746" t="s">
        <v>32379</v>
      </c>
      <c r="H3746" t="s">
        <v>32417</v>
      </c>
      <c r="I3746" t="s">
        <v>2239</v>
      </c>
      <c r="J3746" t="s">
        <v>22</v>
      </c>
      <c r="K3746" t="s">
        <v>32416</v>
      </c>
      <c r="L3746" t="s">
        <v>32420</v>
      </c>
      <c r="M3746" t="s">
        <v>25</v>
      </c>
      <c r="N3746" t="s">
        <v>32421</v>
      </c>
      <c r="O3746" t="s">
        <v>25</v>
      </c>
      <c r="P3746" t="s">
        <v>32422</v>
      </c>
      <c r="Q3746" t="s">
        <v>29</v>
      </c>
      <c r="R3746" t="s">
        <v>32418</v>
      </c>
      <c r="S3746" t="s">
        <v>32419</v>
      </c>
    </row>
    <row r="3747" spans="1:19" x14ac:dyDescent="0.25">
      <c r="A3747" s="1">
        <v>3745</v>
      </c>
      <c r="B3747" t="str">
        <f>HYPERLINK("https://www.dasschnelle.at/pointner-rudolph-univ-prof-dr-zell-am-see-stefan-zweig-straße","Website")</f>
        <v>Website</v>
      </c>
      <c r="C3747" t="str">
        <f>HYPERLINK("http://www.sodbrennen-therapie.at","Website")</f>
        <v>Website</v>
      </c>
      <c r="D3747" t="str">
        <f>HYPERLINK("http://www.google.com/maps/place/47.3000200,12.7979425","Location")</f>
        <v>Location</v>
      </c>
      <c r="E3747" t="s">
        <v>32423</v>
      </c>
      <c r="F3747" t="s">
        <v>32424</v>
      </c>
      <c r="G3747" t="s">
        <v>5551</v>
      </c>
      <c r="H3747" t="s">
        <v>32086</v>
      </c>
      <c r="I3747" t="s">
        <v>2239</v>
      </c>
      <c r="J3747" t="s">
        <v>22</v>
      </c>
      <c r="K3747" t="s">
        <v>32425</v>
      </c>
      <c r="L3747" t="s">
        <v>32428</v>
      </c>
      <c r="M3747" t="s">
        <v>25</v>
      </c>
      <c r="N3747" t="s">
        <v>32429</v>
      </c>
      <c r="O3747" t="s">
        <v>25</v>
      </c>
      <c r="P3747" t="s">
        <v>32430</v>
      </c>
      <c r="Q3747" t="s">
        <v>29</v>
      </c>
      <c r="R3747" t="s">
        <v>32426</v>
      </c>
      <c r="S3747" t="s">
        <v>32427</v>
      </c>
    </row>
    <row r="3748" spans="1:19" x14ac:dyDescent="0.25">
      <c r="A3748" s="1">
        <v>3746</v>
      </c>
      <c r="B3748" t="str">
        <f>HYPERLINK("https://www.dasschnelle.at/steger-ferdinand-dr-zell-am-see-schillerstraße","Website")</f>
        <v>Website</v>
      </c>
      <c r="C3748" t="str">
        <f>HYPERLINK("http://www.frauenarzt-zellamsee.at","Website")</f>
        <v>Website</v>
      </c>
      <c r="D3748" t="str">
        <f>HYPERLINK("http://www.google.com/maps/place/47.3249330,12.7949232","Location")</f>
        <v>Location</v>
      </c>
      <c r="E3748" t="s">
        <v>32431</v>
      </c>
      <c r="F3748" t="s">
        <v>32432</v>
      </c>
      <c r="G3748" t="s">
        <v>5551</v>
      </c>
      <c r="H3748" t="s">
        <v>32086</v>
      </c>
      <c r="I3748" t="s">
        <v>2239</v>
      </c>
      <c r="J3748" t="s">
        <v>22</v>
      </c>
      <c r="K3748" t="s">
        <v>32433</v>
      </c>
      <c r="L3748" t="s">
        <v>32436</v>
      </c>
      <c r="M3748" t="s">
        <v>25</v>
      </c>
      <c r="N3748" t="s">
        <v>32437</v>
      </c>
      <c r="O3748" t="s">
        <v>25</v>
      </c>
      <c r="P3748" t="s">
        <v>32438</v>
      </c>
      <c r="Q3748" t="s">
        <v>29</v>
      </c>
      <c r="R3748" t="s">
        <v>32434</v>
      </c>
      <c r="S3748" t="s">
        <v>32435</v>
      </c>
    </row>
    <row r="3749" spans="1:19" x14ac:dyDescent="0.25">
      <c r="A3749" s="1">
        <v>3747</v>
      </c>
      <c r="B3749" t="str">
        <f>HYPERLINK("https://www.dasschnelle.at/löcker-simon-leogang-leogang","Website")</f>
        <v>Website</v>
      </c>
      <c r="C3749" t="str">
        <f>HYPERLINK("https://www.dasschnelle.at/l%C3%B6cker-simon-leogang-leogang","Website")</f>
        <v>Website</v>
      </c>
      <c r="D3749" t="str">
        <f>HYPERLINK("http://www.google.com/maps/place/47.4472540,12.8047980","Location")</f>
        <v>Location</v>
      </c>
      <c r="E3749" t="s">
        <v>32439</v>
      </c>
      <c r="F3749" t="s">
        <v>32440</v>
      </c>
      <c r="G3749" t="s">
        <v>32442</v>
      </c>
      <c r="H3749" t="s">
        <v>32443</v>
      </c>
      <c r="I3749" t="s">
        <v>2239</v>
      </c>
      <c r="J3749" t="s">
        <v>22</v>
      </c>
      <c r="K3749" t="s">
        <v>32441</v>
      </c>
      <c r="L3749" t="s">
        <v>32446</v>
      </c>
      <c r="M3749" t="s">
        <v>25</v>
      </c>
      <c r="N3749" t="s">
        <v>32447</v>
      </c>
      <c r="O3749" t="s">
        <v>32448</v>
      </c>
      <c r="P3749" t="s">
        <v>32449</v>
      </c>
      <c r="Q3749" t="s">
        <v>29</v>
      </c>
      <c r="R3749" t="s">
        <v>32444</v>
      </c>
      <c r="S3749" t="s">
        <v>32445</v>
      </c>
    </row>
    <row r="3750" spans="1:19" x14ac:dyDescent="0.25">
      <c r="A3750" s="1">
        <v>3748</v>
      </c>
      <c r="B3750" t="str">
        <f>HYPERLINK("https://www.dasschnelle.at/malerei-ilija-mittelsill-hallenbadstraße","Website")</f>
        <v>Website</v>
      </c>
      <c r="C3750" t="str">
        <f>HYPERLINK("http://www.malerei-ili.at","Website")</f>
        <v>Website</v>
      </c>
      <c r="D3750" t="str">
        <f>HYPERLINK("http://www.google.com/maps/place/47.28211,12.47772","Location")</f>
        <v>Location</v>
      </c>
      <c r="E3750" t="s">
        <v>32450</v>
      </c>
      <c r="F3750" t="s">
        <v>32451</v>
      </c>
      <c r="G3750" t="s">
        <v>24264</v>
      </c>
      <c r="H3750" t="s">
        <v>32453</v>
      </c>
      <c r="I3750" t="s">
        <v>2239</v>
      </c>
      <c r="J3750" t="s">
        <v>22</v>
      </c>
      <c r="K3750" t="s">
        <v>32452</v>
      </c>
      <c r="L3750" t="s">
        <v>32456</v>
      </c>
      <c r="M3750" t="s">
        <v>25</v>
      </c>
      <c r="N3750" t="s">
        <v>32457</v>
      </c>
      <c r="O3750" t="s">
        <v>25</v>
      </c>
      <c r="P3750" t="s">
        <v>32458</v>
      </c>
      <c r="Q3750" t="s">
        <v>29</v>
      </c>
      <c r="R3750" t="s">
        <v>32454</v>
      </c>
      <c r="S3750" t="s">
        <v>32455</v>
      </c>
    </row>
    <row r="3751" spans="1:19" x14ac:dyDescent="0.25">
      <c r="A3751" s="1">
        <v>3749</v>
      </c>
      <c r="B3751" t="str">
        <f>HYPERLINK("https://www.dasschnelle.at/physiotherapie-brambergauf-bramberg-am-wildkogel-sportstraße","Website")</f>
        <v>Website</v>
      </c>
      <c r="C3751" t="str">
        <f>HYPERLINK("http://www.brambergauf.at","Website")</f>
        <v>Website</v>
      </c>
      <c r="D3751" t="str">
        <f>HYPERLINK("http://www.google.com/maps/place/47.24897,12.25196","Location")</f>
        <v>Location</v>
      </c>
      <c r="E3751" t="s">
        <v>32459</v>
      </c>
      <c r="F3751" t="s">
        <v>32460</v>
      </c>
      <c r="G3751" t="s">
        <v>32183</v>
      </c>
      <c r="H3751" t="s">
        <v>32346</v>
      </c>
      <c r="I3751" t="s">
        <v>2239</v>
      </c>
      <c r="J3751" t="s">
        <v>22</v>
      </c>
      <c r="K3751" t="s">
        <v>32461</v>
      </c>
      <c r="L3751" t="s">
        <v>32464</v>
      </c>
      <c r="M3751" t="s">
        <v>25</v>
      </c>
      <c r="N3751" t="s">
        <v>32465</v>
      </c>
      <c r="O3751" t="s">
        <v>25</v>
      </c>
      <c r="P3751" t="s">
        <v>32466</v>
      </c>
      <c r="Q3751" t="s">
        <v>29</v>
      </c>
      <c r="R3751" t="s">
        <v>32462</v>
      </c>
      <c r="S3751" t="s">
        <v>32463</v>
      </c>
    </row>
    <row r="3752" spans="1:19" x14ac:dyDescent="0.25">
      <c r="A3752" s="1">
        <v>3750</v>
      </c>
      <c r="B3752" t="str">
        <f>HYPERLINK("https://www.dasschnelle.at/wartbichler-michael-kaprun-tauern-spa-straße","Website")</f>
        <v>Website</v>
      </c>
      <c r="C3752" t="str">
        <f>HYPERLINK("http://www.pinzgauer-jogdstubn.at","Website")</f>
        <v>Website</v>
      </c>
      <c r="D3752" t="str">
        <f>HYPERLINK("http://www.google.com/maps/place/47.28295,12.75511","Location")</f>
        <v>Location</v>
      </c>
      <c r="E3752" t="s">
        <v>32467</v>
      </c>
      <c r="F3752" t="s">
        <v>32468</v>
      </c>
      <c r="G3752" t="s">
        <v>32470</v>
      </c>
      <c r="H3752" t="s">
        <v>32471</v>
      </c>
      <c r="I3752" t="s">
        <v>2239</v>
      </c>
      <c r="J3752" t="s">
        <v>22</v>
      </c>
      <c r="K3752" t="s">
        <v>32469</v>
      </c>
      <c r="L3752" t="s">
        <v>32474</v>
      </c>
      <c r="M3752" t="s">
        <v>25</v>
      </c>
      <c r="N3752" t="s">
        <v>32475</v>
      </c>
      <c r="O3752" t="s">
        <v>25</v>
      </c>
      <c r="P3752" t="s">
        <v>32476</v>
      </c>
      <c r="Q3752" t="s">
        <v>29</v>
      </c>
      <c r="R3752" t="s">
        <v>32472</v>
      </c>
      <c r="S3752" t="s">
        <v>32473</v>
      </c>
    </row>
    <row r="3753" spans="1:19" x14ac:dyDescent="0.25">
      <c r="A3753" s="1">
        <v>3751</v>
      </c>
      <c r="B3753" t="str">
        <f>HYPERLINK("https://www.dasschnelle.at/hrala-aleksandra-zell-am-see-seegasse","Website")</f>
        <v>Website</v>
      </c>
      <c r="C3753" t="str">
        <f>HYPERLINK("http://www.zahnarzt-zell.at","Website")</f>
        <v>Website</v>
      </c>
      <c r="D3753" t="str">
        <f>HYPERLINK("http://www.google.com/maps/place/47.3239833,12.7986528","Location")</f>
        <v>Location</v>
      </c>
      <c r="E3753" t="s">
        <v>32477</v>
      </c>
      <c r="F3753" t="s">
        <v>32478</v>
      </c>
      <c r="G3753" t="s">
        <v>5551</v>
      </c>
      <c r="H3753" t="s">
        <v>32086</v>
      </c>
      <c r="I3753" t="s">
        <v>2239</v>
      </c>
      <c r="J3753" t="s">
        <v>22</v>
      </c>
      <c r="K3753" t="s">
        <v>32479</v>
      </c>
      <c r="L3753" t="s">
        <v>32482</v>
      </c>
      <c r="M3753" t="s">
        <v>25</v>
      </c>
      <c r="N3753" t="s">
        <v>32483</v>
      </c>
      <c r="O3753" t="s">
        <v>32484</v>
      </c>
      <c r="P3753" t="s">
        <v>32485</v>
      </c>
      <c r="Q3753" t="s">
        <v>29</v>
      </c>
      <c r="R3753" t="s">
        <v>32480</v>
      </c>
      <c r="S3753" t="s">
        <v>32481</v>
      </c>
    </row>
    <row r="3754" spans="1:19" x14ac:dyDescent="0.25">
      <c r="A3754" s="1">
        <v>3752</v>
      </c>
      <c r="B3754" t="str">
        <f>HYPERLINK("https://www.dasschnelle.at/landgasthaus-weixen-rauris-seidlwinklstraße","Website")</f>
        <v>Website</v>
      </c>
      <c r="C3754" t="str">
        <f>HYPERLINK("http://www.weixen.at","Website")</f>
        <v>Website</v>
      </c>
      <c r="D3754" t="str">
        <f>HYPERLINK("http://www.google.com/maps/place/47.1838,12.93649","Location")</f>
        <v>Location</v>
      </c>
      <c r="E3754" t="s">
        <v>32486</v>
      </c>
      <c r="F3754" t="s">
        <v>32487</v>
      </c>
      <c r="G3754" t="s">
        <v>32489</v>
      </c>
      <c r="H3754" t="s">
        <v>32490</v>
      </c>
      <c r="I3754" t="s">
        <v>2239</v>
      </c>
      <c r="J3754" t="s">
        <v>22</v>
      </c>
      <c r="K3754" t="s">
        <v>32488</v>
      </c>
      <c r="L3754" t="s">
        <v>32493</v>
      </c>
      <c r="M3754" t="s">
        <v>25</v>
      </c>
      <c r="N3754" t="s">
        <v>32494</v>
      </c>
      <c r="O3754" t="s">
        <v>25</v>
      </c>
      <c r="P3754" t="s">
        <v>32495</v>
      </c>
      <c r="Q3754" t="s">
        <v>29</v>
      </c>
      <c r="R3754" t="s">
        <v>32491</v>
      </c>
      <c r="S3754" t="s">
        <v>32492</v>
      </c>
    </row>
    <row r="3755" spans="1:19" x14ac:dyDescent="0.25">
      <c r="A3755" s="1">
        <v>3753</v>
      </c>
      <c r="B3755" t="str">
        <f>HYPERLINK("https://www.dasschnelle.at/fritzenwanker-dach-gmbh-bruck-an-der-großglocknerstraße-wallackstraße","Website")</f>
        <v>Website</v>
      </c>
      <c r="C3755" t="str">
        <f>HYPERLINK("http://www.fritzenwanker-dach.at","Website")</f>
        <v>Website</v>
      </c>
      <c r="D3755" t="str">
        <f>HYPERLINK("http://www.google.com/maps/place/47.2856055,12.8229089","Location")</f>
        <v>Location</v>
      </c>
      <c r="E3755" t="s">
        <v>32496</v>
      </c>
      <c r="F3755" t="s">
        <v>32497</v>
      </c>
      <c r="G3755" t="s">
        <v>31514</v>
      </c>
      <c r="H3755" t="s">
        <v>32499</v>
      </c>
      <c r="I3755" t="s">
        <v>2239</v>
      </c>
      <c r="J3755" t="s">
        <v>22</v>
      </c>
      <c r="K3755" t="s">
        <v>32498</v>
      </c>
      <c r="L3755" t="s">
        <v>32502</v>
      </c>
      <c r="M3755" t="s">
        <v>25</v>
      </c>
      <c r="N3755" t="s">
        <v>32503</v>
      </c>
      <c r="O3755" t="s">
        <v>25</v>
      </c>
      <c r="P3755" t="s">
        <v>32504</v>
      </c>
      <c r="Q3755" t="s">
        <v>29</v>
      </c>
      <c r="R3755" t="s">
        <v>32500</v>
      </c>
      <c r="S3755" t="s">
        <v>32501</v>
      </c>
    </row>
    <row r="3756" spans="1:19" x14ac:dyDescent="0.25">
      <c r="A3756" s="1">
        <v>3754</v>
      </c>
      <c r="B3756" t="str">
        <f>HYPERLINK("https://www.dasschnelle.at/obwaller-hans-peter-kaprun-rosbachstraße","Website")</f>
        <v>Website</v>
      </c>
      <c r="C3756" t="str">
        <f>HYPERLINK("https://www.dasschnelle.at/obwaller-hans-peter-kaprun-rosbachstra%C3%9Fe","Website")</f>
        <v>Website</v>
      </c>
      <c r="D3756" t="str">
        <f>HYPERLINK("http://www.google.com/maps/place/47.27216,12.7666","Location")</f>
        <v>Location</v>
      </c>
      <c r="E3756" t="s">
        <v>32505</v>
      </c>
      <c r="F3756" t="s">
        <v>32506</v>
      </c>
      <c r="G3756" t="s">
        <v>32470</v>
      </c>
      <c r="H3756" t="s">
        <v>32471</v>
      </c>
      <c r="I3756" t="s">
        <v>2239</v>
      </c>
      <c r="J3756" t="s">
        <v>22</v>
      </c>
      <c r="K3756" t="s">
        <v>32507</v>
      </c>
      <c r="L3756" t="s">
        <v>32510</v>
      </c>
      <c r="M3756" t="s">
        <v>32511</v>
      </c>
      <c r="N3756" t="s">
        <v>32512</v>
      </c>
      <c r="O3756" t="s">
        <v>25</v>
      </c>
      <c r="P3756" t="s">
        <v>32513</v>
      </c>
      <c r="Q3756" t="s">
        <v>29</v>
      </c>
      <c r="R3756" t="s">
        <v>32508</v>
      </c>
      <c r="S3756" t="s">
        <v>32509</v>
      </c>
    </row>
    <row r="3757" spans="1:19" x14ac:dyDescent="0.25">
      <c r="A3757" s="1">
        <v>3755</v>
      </c>
      <c r="B3757" t="str">
        <f>HYPERLINK("https://www.dasschnelle.at/olaf-otto-kaprun-wilhelm-fazokas-straße","Website")</f>
        <v>Website</v>
      </c>
      <c r="C3757" t="str">
        <f>HYPERLINK("http://www.mountdent.at","Website")</f>
        <v>Website</v>
      </c>
      <c r="D3757" t="str">
        <f>HYPERLINK("http://www.google.com/maps/place/47.2728100,12.7590347","Location")</f>
        <v>Location</v>
      </c>
      <c r="E3757" t="s">
        <v>32514</v>
      </c>
      <c r="F3757" t="s">
        <v>32515</v>
      </c>
      <c r="G3757" t="s">
        <v>32470</v>
      </c>
      <c r="H3757" t="s">
        <v>32471</v>
      </c>
      <c r="I3757" t="s">
        <v>2239</v>
      </c>
      <c r="J3757" t="s">
        <v>22</v>
      </c>
      <c r="K3757" t="s">
        <v>32516</v>
      </c>
      <c r="L3757" t="s">
        <v>32519</v>
      </c>
      <c r="M3757" t="s">
        <v>25</v>
      </c>
      <c r="N3757" t="s">
        <v>32520</v>
      </c>
      <c r="O3757" t="s">
        <v>25</v>
      </c>
      <c r="P3757" t="s">
        <v>32521</v>
      </c>
      <c r="Q3757" t="s">
        <v>29</v>
      </c>
      <c r="R3757" t="s">
        <v>32517</v>
      </c>
      <c r="S3757" t="s">
        <v>32518</v>
      </c>
    </row>
    <row r="3758" spans="1:19" x14ac:dyDescent="0.25">
      <c r="A3758" s="1">
        <v>3756</v>
      </c>
      <c r="B3758" t="str">
        <f>HYPERLINK("https://www.dasschnelle.at/metalltechnik-u-reparaturen-herzog-maria-alm-am-steinernen-meer-enterwinkl","Website")</f>
        <v>Website</v>
      </c>
      <c r="C3758" t="str">
        <f>HYPERLINK("http://www.schlosser-pinzgau.at","Website")</f>
        <v>Website</v>
      </c>
      <c r="D3758" t="str">
        <f>HYPERLINK("http://www.google.com/maps/place/47.4057979,12.9272198","Location")</f>
        <v>Location</v>
      </c>
      <c r="E3758" t="s">
        <v>32522</v>
      </c>
      <c r="F3758" t="s">
        <v>32523</v>
      </c>
      <c r="G3758" t="s">
        <v>32525</v>
      </c>
      <c r="H3758" t="s">
        <v>32526</v>
      </c>
      <c r="I3758" t="s">
        <v>2239</v>
      </c>
      <c r="J3758" t="s">
        <v>22</v>
      </c>
      <c r="K3758" t="s">
        <v>32524</v>
      </c>
      <c r="L3758" t="s">
        <v>32529</v>
      </c>
      <c r="M3758" t="s">
        <v>25</v>
      </c>
      <c r="N3758" t="s">
        <v>32530</v>
      </c>
      <c r="O3758" t="s">
        <v>32531</v>
      </c>
      <c r="P3758" t="s">
        <v>32532</v>
      </c>
      <c r="Q3758" t="s">
        <v>29</v>
      </c>
      <c r="R3758" t="s">
        <v>32527</v>
      </c>
      <c r="S3758" t="s">
        <v>32528</v>
      </c>
    </row>
    <row r="3759" spans="1:19" x14ac:dyDescent="0.25">
      <c r="A3759" s="1">
        <v>3757</v>
      </c>
      <c r="B3759" t="str">
        <f>HYPERLINK("https://www.dasschnelle.at/leiter-markus-neukirchen-am-großvenediger-künstlergasse","Website")</f>
        <v>Website</v>
      </c>
      <c r="C3759" t="str">
        <f>HYPERLINK("https://www.dasschnelle.at/leiter-markus-neukirchen-am-gro%C3%9Fvenediger-k%C3%BCnstlergasse","Website")</f>
        <v>Website</v>
      </c>
      <c r="D3759" t="str">
        <f>HYPERLINK("http://www.google.com/maps/place/47.25496,12.28144","Location")</f>
        <v>Location</v>
      </c>
      <c r="E3759" t="s">
        <v>32533</v>
      </c>
      <c r="F3759" t="s">
        <v>32534</v>
      </c>
      <c r="G3759" t="s">
        <v>32536</v>
      </c>
      <c r="H3759" t="s">
        <v>32537</v>
      </c>
      <c r="I3759" t="s">
        <v>2239</v>
      </c>
      <c r="J3759" t="s">
        <v>22</v>
      </c>
      <c r="K3759" t="s">
        <v>32535</v>
      </c>
      <c r="L3759" t="s">
        <v>32540</v>
      </c>
      <c r="M3759" t="s">
        <v>25</v>
      </c>
      <c r="N3759" t="s">
        <v>32541</v>
      </c>
      <c r="O3759" t="s">
        <v>25</v>
      </c>
      <c r="P3759" t="s">
        <v>32542</v>
      </c>
      <c r="Q3759" t="s">
        <v>29</v>
      </c>
      <c r="R3759" t="s">
        <v>32538</v>
      </c>
      <c r="S3759" t="s">
        <v>32539</v>
      </c>
    </row>
    <row r="3760" spans="1:19" x14ac:dyDescent="0.25">
      <c r="A3760" s="1">
        <v>3758</v>
      </c>
      <c r="B3760" t="str">
        <f>HYPERLINK("https://www.dasschnelle.at/franz-sturmbauer-gmbh-leonding-aichbergstraße","Website")</f>
        <v>Website</v>
      </c>
      <c r="C3760" t="str">
        <f>HYPERLINK("http://www.sturmbauer.at","Website")</f>
        <v>Website</v>
      </c>
      <c r="D3760" t="str">
        <f>HYPERLINK("http://www.google.com/maps/place/48.29088,14.25423","Location")</f>
        <v>Location</v>
      </c>
      <c r="E3760" t="s">
        <v>32543</v>
      </c>
      <c r="F3760" t="s">
        <v>32544</v>
      </c>
      <c r="G3760" t="s">
        <v>20918</v>
      </c>
      <c r="H3760" t="s">
        <v>20919</v>
      </c>
      <c r="I3760" t="s">
        <v>85</v>
      </c>
      <c r="J3760" t="s">
        <v>22</v>
      </c>
      <c r="K3760" t="s">
        <v>32545</v>
      </c>
      <c r="L3760" t="s">
        <v>32548</v>
      </c>
      <c r="M3760" t="s">
        <v>25</v>
      </c>
      <c r="N3760" t="s">
        <v>32549</v>
      </c>
      <c r="O3760" t="s">
        <v>32550</v>
      </c>
      <c r="P3760" t="s">
        <v>32551</v>
      </c>
      <c r="Q3760" t="s">
        <v>29</v>
      </c>
      <c r="R3760" t="s">
        <v>32546</v>
      </c>
      <c r="S3760" t="s">
        <v>32547</v>
      </c>
    </row>
    <row r="3761" spans="1:19" x14ac:dyDescent="0.25">
      <c r="A3761" s="1">
        <v>3759</v>
      </c>
      <c r="B3761" t="str">
        <f>HYPERLINK("https://www.dasschnelle.at/gassner-franz-zell-stadtplatz","Website")</f>
        <v>Website</v>
      </c>
      <c r="C3761" t="str">
        <f>HYPERLINK("https://www.dasschnelle.at/gassner-franz-zell-stadtplatz","Website")</f>
        <v>Website</v>
      </c>
      <c r="D3761" t="str">
        <f>HYPERLINK("http://www.google.com/maps/place/47.3231822,12.7981847","Location")</f>
        <v>Location</v>
      </c>
      <c r="E3761" t="s">
        <v>32552</v>
      </c>
      <c r="F3761" t="s">
        <v>32553</v>
      </c>
      <c r="G3761" t="s">
        <v>5551</v>
      </c>
      <c r="H3761" t="s">
        <v>5552</v>
      </c>
      <c r="I3761" t="s">
        <v>2239</v>
      </c>
      <c r="J3761" t="s">
        <v>22</v>
      </c>
      <c r="K3761" t="s">
        <v>7274</v>
      </c>
      <c r="L3761" t="s">
        <v>32556</v>
      </c>
      <c r="M3761" t="s">
        <v>25</v>
      </c>
      <c r="N3761" t="s">
        <v>32557</v>
      </c>
      <c r="O3761" t="s">
        <v>25</v>
      </c>
      <c r="P3761" t="s">
        <v>32558</v>
      </c>
      <c r="Q3761" t="s">
        <v>29</v>
      </c>
      <c r="R3761" t="s">
        <v>32554</v>
      </c>
      <c r="S3761" t="s">
        <v>32555</v>
      </c>
    </row>
    <row r="3762" spans="1:19" x14ac:dyDescent="0.25">
      <c r="A3762" s="1">
        <v>3760</v>
      </c>
      <c r="B3762" t="str">
        <f>HYPERLINK("https://www.dasschnelle.at/lainer-fliesendesign-piesendorf-aufhausen","Website")</f>
        <v>Website</v>
      </c>
      <c r="C3762" t="str">
        <f>HYPERLINK("http://www.lainer-fliesendesign.at","Website")</f>
        <v>Website</v>
      </c>
      <c r="D3762" t="str">
        <f>HYPERLINK("http://www.google.com/maps/place/47.2966611,12.7610980","Location")</f>
        <v>Location</v>
      </c>
      <c r="E3762" t="s">
        <v>32559</v>
      </c>
      <c r="F3762" t="s">
        <v>32560</v>
      </c>
      <c r="G3762" t="s">
        <v>5638</v>
      </c>
      <c r="H3762" t="s">
        <v>5639</v>
      </c>
      <c r="I3762" t="s">
        <v>2239</v>
      </c>
      <c r="J3762" t="s">
        <v>22</v>
      </c>
      <c r="K3762" t="s">
        <v>32561</v>
      </c>
      <c r="L3762" t="s">
        <v>32564</v>
      </c>
      <c r="M3762" t="s">
        <v>25</v>
      </c>
      <c r="N3762" t="s">
        <v>32565</v>
      </c>
      <c r="O3762" t="s">
        <v>25</v>
      </c>
      <c r="P3762" t="s">
        <v>32566</v>
      </c>
      <c r="Q3762" t="s">
        <v>29</v>
      </c>
      <c r="R3762" t="s">
        <v>32562</v>
      </c>
      <c r="S3762" t="s">
        <v>32563</v>
      </c>
    </row>
    <row r="3763" spans="1:19" x14ac:dyDescent="0.25">
      <c r="A3763" s="1">
        <v>3761</v>
      </c>
      <c r="B3763" t="str">
        <f>HYPERLINK("https://www.dasschnelle.at/josko-höller-gmbh-maishofen-saalfeldnerstraße","Website")</f>
        <v>Website</v>
      </c>
      <c r="C3763" t="str">
        <f>HYPERLINK("http://www.josko.at","Website")</f>
        <v>Website</v>
      </c>
      <c r="D3763" t="str">
        <f>HYPERLINK("http://www.google.com/maps/place/47.37038,12.80592","Location")</f>
        <v>Location</v>
      </c>
      <c r="E3763" t="s">
        <v>32567</v>
      </c>
      <c r="F3763" t="s">
        <v>32568</v>
      </c>
      <c r="G3763" t="s">
        <v>32379</v>
      </c>
      <c r="H3763" t="s">
        <v>32380</v>
      </c>
      <c r="I3763" t="s">
        <v>2239</v>
      </c>
      <c r="J3763" t="s">
        <v>22</v>
      </c>
      <c r="K3763" t="s">
        <v>32569</v>
      </c>
      <c r="L3763" t="s">
        <v>32572</v>
      </c>
      <c r="M3763" t="s">
        <v>25</v>
      </c>
      <c r="N3763" t="s">
        <v>32573</v>
      </c>
      <c r="O3763" t="s">
        <v>32574</v>
      </c>
      <c r="P3763" t="s">
        <v>32575</v>
      </c>
      <c r="Q3763" t="s">
        <v>29</v>
      </c>
      <c r="R3763" t="s">
        <v>32570</v>
      </c>
      <c r="S3763" t="s">
        <v>32571</v>
      </c>
    </row>
    <row r="3764" spans="1:19" x14ac:dyDescent="0.25">
      <c r="A3764" s="1">
        <v>3762</v>
      </c>
      <c r="B3764" t="str">
        <f>HYPERLINK("https://www.dasschnelle.at/möbel-scheiber-leogang-leogang","Website")</f>
        <v>Website</v>
      </c>
      <c r="C3764" t="str">
        <f>HYPERLINK("https://www.dasschnelle.at/m%C3%B6bel-scheiber-leogang-leogang","Website")</f>
        <v>Website</v>
      </c>
      <c r="D3764" t="str">
        <f>HYPERLINK("http://www.google.com/maps/place/47.4389000,12.7568100","Location")</f>
        <v>Location</v>
      </c>
      <c r="E3764" t="s">
        <v>32576</v>
      </c>
      <c r="F3764" t="s">
        <v>32577</v>
      </c>
      <c r="G3764" t="s">
        <v>32442</v>
      </c>
      <c r="H3764" t="s">
        <v>32443</v>
      </c>
      <c r="I3764" t="s">
        <v>2239</v>
      </c>
      <c r="J3764" t="s">
        <v>22</v>
      </c>
      <c r="K3764" t="s">
        <v>32578</v>
      </c>
      <c r="L3764" t="s">
        <v>32581</v>
      </c>
      <c r="M3764" t="s">
        <v>25</v>
      </c>
      <c r="N3764" t="s">
        <v>32582</v>
      </c>
      <c r="O3764" t="s">
        <v>32583</v>
      </c>
      <c r="P3764" t="s">
        <v>32584</v>
      </c>
      <c r="Q3764" t="s">
        <v>29</v>
      </c>
      <c r="R3764" t="s">
        <v>32579</v>
      </c>
      <c r="S3764" t="s">
        <v>32580</v>
      </c>
    </row>
    <row r="3765" spans="1:19" x14ac:dyDescent="0.25">
      <c r="A3765" s="1">
        <v>3763</v>
      </c>
      <c r="B3765" t="str">
        <f>HYPERLINK("https://www.dasschnelle.at/notariat-pregarten-pregarten-bahnhofstraße","Website")</f>
        <v>Website</v>
      </c>
      <c r="C3765" t="str">
        <f>HYPERLINK("http://www.notariat-pregarten.at","Website")</f>
        <v>Website</v>
      </c>
      <c r="D3765" t="str">
        <f>HYPERLINK("http://www.google.com/maps/place/48.35507,14.5267","Location")</f>
        <v>Location</v>
      </c>
      <c r="E3765" t="s">
        <v>32585</v>
      </c>
      <c r="F3765" t="s">
        <v>32586</v>
      </c>
      <c r="G3765" t="s">
        <v>25297</v>
      </c>
      <c r="H3765" t="s">
        <v>25298</v>
      </c>
      <c r="I3765" t="s">
        <v>85</v>
      </c>
      <c r="J3765" t="s">
        <v>22</v>
      </c>
      <c r="K3765" t="s">
        <v>32587</v>
      </c>
      <c r="L3765" t="s">
        <v>32590</v>
      </c>
      <c r="M3765" t="s">
        <v>32591</v>
      </c>
      <c r="N3765" t="s">
        <v>32592</v>
      </c>
      <c r="O3765" t="s">
        <v>25</v>
      </c>
      <c r="P3765" t="s">
        <v>32593</v>
      </c>
      <c r="Q3765" t="s">
        <v>29</v>
      </c>
      <c r="R3765" t="s">
        <v>32588</v>
      </c>
      <c r="S3765" t="s">
        <v>32589</v>
      </c>
    </row>
    <row r="3766" spans="1:19" x14ac:dyDescent="0.25">
      <c r="A3766" s="1">
        <v>3764</v>
      </c>
      <c r="B3766" t="str">
        <f>HYPERLINK("https://www.dasschnelle.at/lukas-sabine-dipl-tzt-thalgau-franz-schoosleitner-straße","Website")</f>
        <v>Website</v>
      </c>
      <c r="C3766" t="str">
        <f>HYPERLINK("http://www.tierarzt-lukas.at","Website")</f>
        <v>Website</v>
      </c>
      <c r="D3766" t="str">
        <f>HYPERLINK("http://www.google.com/maps/place/47.8421,13.25308","Location")</f>
        <v>Location</v>
      </c>
      <c r="E3766" t="s">
        <v>32594</v>
      </c>
      <c r="F3766" t="s">
        <v>32595</v>
      </c>
      <c r="G3766" t="s">
        <v>26904</v>
      </c>
      <c r="H3766" t="s">
        <v>26905</v>
      </c>
      <c r="I3766" t="s">
        <v>2239</v>
      </c>
      <c r="J3766" t="s">
        <v>22</v>
      </c>
      <c r="K3766" t="s">
        <v>32596</v>
      </c>
      <c r="L3766" t="s">
        <v>32599</v>
      </c>
      <c r="M3766" t="s">
        <v>32599</v>
      </c>
      <c r="N3766" t="s">
        <v>32600</v>
      </c>
      <c r="O3766" t="s">
        <v>25</v>
      </c>
      <c r="P3766" t="s">
        <v>32601</v>
      </c>
      <c r="Q3766" t="s">
        <v>29</v>
      </c>
      <c r="R3766" t="s">
        <v>32597</v>
      </c>
      <c r="S3766" t="s">
        <v>32598</v>
      </c>
    </row>
    <row r="3767" spans="1:19" x14ac:dyDescent="0.25">
      <c r="A3767" s="1">
        <v>3765</v>
      </c>
      <c r="B3767" t="str">
        <f>HYPERLINK("https://www.dasschnelle.at/seelos-gmbh-und-co-kg-gratwein-am-grünanger","Website")</f>
        <v>Website</v>
      </c>
      <c r="C3767" t="str">
        <f>HYPERLINK("http://www.seelos-gratwein.at","Website")</f>
        <v>Website</v>
      </c>
      <c r="D3767" t="str">
        <f>HYPERLINK("http://www.google.com/maps/place/47.13339,15.32008","Location")</f>
        <v>Location</v>
      </c>
      <c r="E3767" t="s">
        <v>32602</v>
      </c>
      <c r="F3767" t="s">
        <v>32603</v>
      </c>
      <c r="G3767" t="s">
        <v>7864</v>
      </c>
      <c r="H3767" t="s">
        <v>7865</v>
      </c>
      <c r="I3767" t="s">
        <v>451</v>
      </c>
      <c r="J3767" t="s">
        <v>22</v>
      </c>
      <c r="K3767" t="s">
        <v>32604</v>
      </c>
      <c r="L3767" t="s">
        <v>32607</v>
      </c>
      <c r="M3767" t="s">
        <v>25</v>
      </c>
      <c r="N3767" t="s">
        <v>32608</v>
      </c>
      <c r="O3767" t="s">
        <v>25</v>
      </c>
      <c r="P3767" t="s">
        <v>32609</v>
      </c>
      <c r="Q3767" t="s">
        <v>29</v>
      </c>
      <c r="R3767" t="s">
        <v>32605</v>
      </c>
      <c r="S3767" t="s">
        <v>32606</v>
      </c>
    </row>
    <row r="3768" spans="1:19" x14ac:dyDescent="0.25">
      <c r="A3768" s="1">
        <v>3766</v>
      </c>
      <c r="B3768" t="str">
        <f>HYPERLINK("https://www.dasschnelle.at/wildbahner-adolf-kirchenviertel-friedhofplatz","Website")</f>
        <v>Website</v>
      </c>
      <c r="C3768" t="str">
        <f>HYPERLINK("http://www.steinmetz-wildbahner.at","Website")</f>
        <v>Website</v>
      </c>
      <c r="D3768" t="str">
        <f>HYPERLINK("http://www.google.com/maps/place/47.13421,15.34846","Location")</f>
        <v>Location</v>
      </c>
      <c r="E3768" t="s">
        <v>32610</v>
      </c>
      <c r="F3768" t="s">
        <v>32611</v>
      </c>
      <c r="G3768" t="s">
        <v>7958</v>
      </c>
      <c r="H3768" t="s">
        <v>30669</v>
      </c>
      <c r="I3768" t="s">
        <v>451</v>
      </c>
      <c r="J3768" t="s">
        <v>22</v>
      </c>
      <c r="K3768" t="s">
        <v>32612</v>
      </c>
      <c r="L3768" t="s">
        <v>32615</v>
      </c>
      <c r="M3768" t="s">
        <v>32616</v>
      </c>
      <c r="N3768" t="s">
        <v>32617</v>
      </c>
      <c r="O3768" t="s">
        <v>32618</v>
      </c>
      <c r="P3768" t="s">
        <v>32619</v>
      </c>
      <c r="Q3768" t="s">
        <v>29</v>
      </c>
      <c r="R3768" t="s">
        <v>32613</v>
      </c>
      <c r="S3768" t="s">
        <v>32614</v>
      </c>
    </row>
    <row r="3769" spans="1:19" x14ac:dyDescent="0.25">
      <c r="A3769" s="1">
        <v>3767</v>
      </c>
      <c r="B3769" t="str">
        <f>HYPERLINK("https://www.dasschnelle.at/blatt-und-blüte-e-u-straßengel-grazer-straße","Website")</f>
        <v>Website</v>
      </c>
      <c r="C3769" t="str">
        <f>HYPERLINK("http://www.blatt-und-bluete.at","Website")</f>
        <v>Website</v>
      </c>
      <c r="D3769" t="str">
        <f>HYPERLINK("http://www.google.com/maps/place/47.1169000,15.3517000","Location")</f>
        <v>Location</v>
      </c>
      <c r="E3769" t="s">
        <v>32620</v>
      </c>
      <c r="F3769" t="s">
        <v>32621</v>
      </c>
      <c r="G3769" t="s">
        <v>7854</v>
      </c>
      <c r="H3769" t="s">
        <v>24510</v>
      </c>
      <c r="I3769" t="s">
        <v>451</v>
      </c>
      <c r="J3769" t="s">
        <v>22</v>
      </c>
      <c r="K3769" t="s">
        <v>32622</v>
      </c>
      <c r="L3769" t="s">
        <v>32625</v>
      </c>
      <c r="M3769" t="s">
        <v>25</v>
      </c>
      <c r="N3769" t="s">
        <v>32626</v>
      </c>
      <c r="O3769" t="s">
        <v>25</v>
      </c>
      <c r="P3769" t="s">
        <v>32627</v>
      </c>
      <c r="Q3769" t="s">
        <v>29</v>
      </c>
      <c r="R3769" t="s">
        <v>32623</v>
      </c>
      <c r="S3769" t="s">
        <v>32624</v>
      </c>
    </row>
    <row r="3770" spans="1:19" x14ac:dyDescent="0.25">
      <c r="A3770" s="1">
        <v>3768</v>
      </c>
      <c r="B3770" t="str">
        <f>HYPERLINK("https://www.dasschnelle.at/reiß-karl-gratwein-hauptplatz","Website")</f>
        <v>Website</v>
      </c>
      <c r="C3770" t="str">
        <f>HYPERLINK("http://www.optik-reiss.at","Website")</f>
        <v>Website</v>
      </c>
      <c r="D3770" t="str">
        <f>HYPERLINK("http://www.google.com/maps/place/47.12945,15.31878","Location")</f>
        <v>Location</v>
      </c>
      <c r="E3770" t="s">
        <v>32628</v>
      </c>
      <c r="F3770" t="s">
        <v>32629</v>
      </c>
      <c r="G3770" t="s">
        <v>7864</v>
      </c>
      <c r="H3770" t="s">
        <v>7865</v>
      </c>
      <c r="I3770" t="s">
        <v>451</v>
      </c>
      <c r="J3770" t="s">
        <v>22</v>
      </c>
      <c r="K3770" t="s">
        <v>1778</v>
      </c>
      <c r="L3770" t="s">
        <v>32631</v>
      </c>
      <c r="M3770" t="s">
        <v>25</v>
      </c>
      <c r="N3770" t="s">
        <v>32632</v>
      </c>
      <c r="O3770" t="s">
        <v>32633</v>
      </c>
      <c r="P3770" t="s">
        <v>32634</v>
      </c>
      <c r="Q3770" t="s">
        <v>29</v>
      </c>
      <c r="R3770" t="s">
        <v>11588</v>
      </c>
      <c r="S3770" t="s">
        <v>32630</v>
      </c>
    </row>
    <row r="3771" spans="1:19" x14ac:dyDescent="0.25">
      <c r="A3771" s="1">
        <v>3769</v>
      </c>
      <c r="B3771" t="str">
        <f>HYPERLINK("https://www.dasschnelle.at/illmaier-franz-frohnleiten-hauptplatz","Website")</f>
        <v>Website</v>
      </c>
      <c r="C3771" t="str">
        <f>HYPERLINK("https://www.dasschnelle.at/illmaier-franz-frohnleiten-hauptplatz","Website")</f>
        <v>Website</v>
      </c>
      <c r="D3771" t="str">
        <f>HYPERLINK("http://www.google.com/maps/place/47.27089,15.32446","Location")</f>
        <v>Location</v>
      </c>
      <c r="E3771" t="s">
        <v>32635</v>
      </c>
      <c r="F3771" t="s">
        <v>32636</v>
      </c>
      <c r="G3771" t="s">
        <v>7874</v>
      </c>
      <c r="H3771" t="s">
        <v>7875</v>
      </c>
      <c r="I3771" t="s">
        <v>451</v>
      </c>
      <c r="J3771" t="s">
        <v>22</v>
      </c>
      <c r="K3771" t="s">
        <v>3621</v>
      </c>
      <c r="L3771" t="s">
        <v>32639</v>
      </c>
      <c r="M3771" t="s">
        <v>25</v>
      </c>
      <c r="N3771" t="s">
        <v>25</v>
      </c>
      <c r="O3771" t="s">
        <v>25</v>
      </c>
      <c r="P3771" t="s">
        <v>32640</v>
      </c>
      <c r="Q3771" t="s">
        <v>29</v>
      </c>
      <c r="R3771" t="s">
        <v>32637</v>
      </c>
      <c r="S3771" t="s">
        <v>32638</v>
      </c>
    </row>
    <row r="3772" spans="1:19" x14ac:dyDescent="0.25">
      <c r="A3772" s="1">
        <v>3770</v>
      </c>
      <c r="B3772" t="str">
        <f>HYPERLINK("https://www.dasschnelle.at/bachlinger-michael-straßengel-gewerbepark","Website")</f>
        <v>Website</v>
      </c>
      <c r="C3772" t="str">
        <f>HYPERLINK("http://www.mcc.st","Website")</f>
        <v>Website</v>
      </c>
      <c r="D3772" t="str">
        <f>HYPERLINK("http://www.google.com/maps/place/47.11879,15.33928","Location")</f>
        <v>Location</v>
      </c>
      <c r="E3772" t="s">
        <v>32641</v>
      </c>
      <c r="F3772" t="s">
        <v>32642</v>
      </c>
      <c r="G3772" t="s">
        <v>7854</v>
      </c>
      <c r="H3772" t="s">
        <v>24510</v>
      </c>
      <c r="I3772" t="s">
        <v>451</v>
      </c>
      <c r="J3772" t="s">
        <v>22</v>
      </c>
      <c r="K3772" t="s">
        <v>32643</v>
      </c>
      <c r="L3772" t="s">
        <v>32646</v>
      </c>
      <c r="M3772" t="s">
        <v>25</v>
      </c>
      <c r="N3772" t="s">
        <v>32647</v>
      </c>
      <c r="O3772" t="s">
        <v>25</v>
      </c>
      <c r="P3772" t="s">
        <v>32648</v>
      </c>
      <c r="Q3772" t="s">
        <v>29</v>
      </c>
      <c r="R3772" t="s">
        <v>32644</v>
      </c>
      <c r="S3772" t="s">
        <v>32645</v>
      </c>
    </row>
    <row r="3773" spans="1:19" x14ac:dyDescent="0.25">
      <c r="A3773" s="1">
        <v>3771</v>
      </c>
      <c r="B3773" t="str">
        <f>HYPERLINK("https://www.dasschnelle.at/cafe-konditorei-flößl-gmbh-frohnleiten-hauptplatz","Website")</f>
        <v>Website</v>
      </c>
      <c r="C3773" t="str">
        <f>HYPERLINK("http://www.floessl.at","Website")</f>
        <v>Website</v>
      </c>
      <c r="D3773" t="str">
        <f>HYPERLINK("http://www.google.com/maps/place/47.27059,15.32495","Location")</f>
        <v>Location</v>
      </c>
      <c r="E3773" t="s">
        <v>32649</v>
      </c>
      <c r="F3773" t="s">
        <v>32650</v>
      </c>
      <c r="G3773" t="s">
        <v>7874</v>
      </c>
      <c r="H3773" t="s">
        <v>7875</v>
      </c>
      <c r="I3773" t="s">
        <v>451</v>
      </c>
      <c r="J3773" t="s">
        <v>22</v>
      </c>
      <c r="K3773" t="s">
        <v>15441</v>
      </c>
      <c r="L3773" t="s">
        <v>32653</v>
      </c>
      <c r="M3773" t="s">
        <v>25</v>
      </c>
      <c r="N3773" t="s">
        <v>32654</v>
      </c>
      <c r="O3773" t="s">
        <v>25</v>
      </c>
      <c r="P3773" t="s">
        <v>32655</v>
      </c>
      <c r="Q3773" t="s">
        <v>29</v>
      </c>
      <c r="R3773" t="s">
        <v>32651</v>
      </c>
      <c r="S3773" t="s">
        <v>32652</v>
      </c>
    </row>
    <row r="3774" spans="1:19" x14ac:dyDescent="0.25">
      <c r="A3774" s="1">
        <v>3772</v>
      </c>
      <c r="B3774" t="str">
        <f>HYPERLINK("https://www.dasschnelle.at/lembacher-vinzenz-frohnleiten-schrauding","Website")</f>
        <v>Website</v>
      </c>
      <c r="C3774" t="str">
        <f>HYPERLINK("http://www.kfz-lembacher.at","Website")</f>
        <v>Website</v>
      </c>
      <c r="D3774" t="str">
        <f>HYPERLINK("http://www.google.com/maps/place/47.2426611,15.3230394","Location")</f>
        <v>Location</v>
      </c>
      <c r="E3774" t="s">
        <v>32656</v>
      </c>
      <c r="F3774" t="s">
        <v>32657</v>
      </c>
      <c r="G3774" t="s">
        <v>7874</v>
      </c>
      <c r="H3774" t="s">
        <v>7875</v>
      </c>
      <c r="I3774" t="s">
        <v>451</v>
      </c>
      <c r="J3774" t="s">
        <v>22</v>
      </c>
      <c r="K3774" t="s">
        <v>32658</v>
      </c>
      <c r="L3774" t="s">
        <v>32661</v>
      </c>
      <c r="M3774" t="s">
        <v>25</v>
      </c>
      <c r="N3774" t="s">
        <v>32662</v>
      </c>
      <c r="O3774" t="s">
        <v>32663</v>
      </c>
      <c r="P3774" t="s">
        <v>32664</v>
      </c>
      <c r="Q3774" t="s">
        <v>29</v>
      </c>
      <c r="R3774" t="s">
        <v>32659</v>
      </c>
      <c r="S3774" t="s">
        <v>32660</v>
      </c>
    </row>
    <row r="3775" spans="1:19" x14ac:dyDescent="0.25">
      <c r="A3775" s="1">
        <v>3773</v>
      </c>
      <c r="B3775" t="str">
        <f>HYPERLINK("https://www.dasschnelle.at/schinnerl-gmbh-und-co-kg-johann-gratwein-au","Website")</f>
        <v>Website</v>
      </c>
      <c r="C3775" t="str">
        <f>HYPERLINK("http://www.reparaturtischlerei.at","Website")</f>
        <v>Website</v>
      </c>
      <c r="D3775" t="str">
        <f>HYPERLINK("http://www.google.com/maps/place/47.14283,15.32218","Location")</f>
        <v>Location</v>
      </c>
      <c r="E3775" t="s">
        <v>32665</v>
      </c>
      <c r="F3775" t="s">
        <v>32666</v>
      </c>
      <c r="G3775" t="s">
        <v>7864</v>
      </c>
      <c r="H3775" t="s">
        <v>7865</v>
      </c>
      <c r="I3775" t="s">
        <v>451</v>
      </c>
      <c r="J3775" t="s">
        <v>22</v>
      </c>
      <c r="K3775" t="s">
        <v>32667</v>
      </c>
      <c r="L3775" t="s">
        <v>32670</v>
      </c>
      <c r="M3775" t="s">
        <v>25</v>
      </c>
      <c r="N3775" t="s">
        <v>32671</v>
      </c>
      <c r="O3775" t="s">
        <v>32672</v>
      </c>
      <c r="P3775" t="s">
        <v>32673</v>
      </c>
      <c r="Q3775" t="s">
        <v>29</v>
      </c>
      <c r="R3775" t="s">
        <v>32668</v>
      </c>
      <c r="S3775" t="s">
        <v>32669</v>
      </c>
    </row>
    <row r="3776" spans="1:19" x14ac:dyDescent="0.25">
      <c r="A3776" s="1">
        <v>3774</v>
      </c>
      <c r="B3776" t="str">
        <f>HYPERLINK("https://www.dasschnelle.at/koch-haarmoden-bettina-gratkorn-brucker-straße","Website")</f>
        <v>Website</v>
      </c>
      <c r="C3776" t="str">
        <f>HYPERLINK("http://www.kochhaarmoden.at","Website")</f>
        <v>Website</v>
      </c>
      <c r="D3776" t="str">
        <f>HYPERLINK("http://www.google.com/maps/place/47.134,15.33678","Location")</f>
        <v>Location</v>
      </c>
      <c r="E3776" t="s">
        <v>32674</v>
      </c>
      <c r="F3776" t="s">
        <v>32675</v>
      </c>
      <c r="G3776" t="s">
        <v>7958</v>
      </c>
      <c r="H3776" t="s">
        <v>7959</v>
      </c>
      <c r="I3776" t="s">
        <v>451</v>
      </c>
      <c r="J3776" t="s">
        <v>22</v>
      </c>
      <c r="K3776" t="s">
        <v>32676</v>
      </c>
      <c r="L3776" t="s">
        <v>32679</v>
      </c>
      <c r="M3776" t="s">
        <v>25</v>
      </c>
      <c r="N3776" t="s">
        <v>32680</v>
      </c>
      <c r="O3776" t="s">
        <v>25</v>
      </c>
      <c r="P3776" t="s">
        <v>32681</v>
      </c>
      <c r="Q3776" t="s">
        <v>29</v>
      </c>
      <c r="R3776" t="s">
        <v>32677</v>
      </c>
      <c r="S3776" t="s">
        <v>32678</v>
      </c>
    </row>
    <row r="3777" spans="1:19" x14ac:dyDescent="0.25">
      <c r="A3777" s="1">
        <v>3775</v>
      </c>
      <c r="B3777" t="str">
        <f>HYPERLINK("https://www.dasschnelle.at/pb-vk-gmbh-semriach-markt","Website")</f>
        <v>Website</v>
      </c>
      <c r="C3777" t="str">
        <f>HYPERLINK("http://www.pb-vk.at","Website")</f>
        <v>Website</v>
      </c>
      <c r="D3777" t="str">
        <f>HYPERLINK("http://www.google.com/maps/place/47.2181044,15.3958667","Location")</f>
        <v>Location</v>
      </c>
      <c r="E3777" t="s">
        <v>32682</v>
      </c>
      <c r="F3777" t="s">
        <v>32683</v>
      </c>
      <c r="G3777" t="s">
        <v>7920</v>
      </c>
      <c r="H3777" t="s">
        <v>32685</v>
      </c>
      <c r="I3777" t="s">
        <v>451</v>
      </c>
      <c r="J3777" t="s">
        <v>22</v>
      </c>
      <c r="K3777" t="s">
        <v>32684</v>
      </c>
      <c r="L3777" t="s">
        <v>32688</v>
      </c>
      <c r="M3777" t="s">
        <v>25</v>
      </c>
      <c r="N3777" t="s">
        <v>32689</v>
      </c>
      <c r="O3777" t="s">
        <v>32690</v>
      </c>
      <c r="P3777" t="s">
        <v>32691</v>
      </c>
      <c r="Q3777" t="s">
        <v>29</v>
      </c>
      <c r="R3777" t="s">
        <v>32686</v>
      </c>
      <c r="S3777" t="s">
        <v>32687</v>
      </c>
    </row>
    <row r="3778" spans="1:19" x14ac:dyDescent="0.25">
      <c r="A3778" s="1">
        <v>3776</v>
      </c>
      <c r="B3778" t="str">
        <f>HYPERLINK("https://www.dasschnelle.at/narrath-putze-gmbh-gratkorn-harter-strasse","Website")</f>
        <v>Website</v>
      </c>
      <c r="C3778" t="str">
        <f>HYPERLINK("http://www.narrath.at","Website")</f>
        <v>Website</v>
      </c>
      <c r="D3778" t="str">
        <f>HYPERLINK("http://www.google.com/maps/place/47.1235100,15.3551900","Location")</f>
        <v>Location</v>
      </c>
      <c r="E3778" t="s">
        <v>32692</v>
      </c>
      <c r="F3778" t="s">
        <v>32693</v>
      </c>
      <c r="G3778" t="s">
        <v>7958</v>
      </c>
      <c r="H3778" t="s">
        <v>7959</v>
      </c>
      <c r="I3778" t="s">
        <v>451</v>
      </c>
      <c r="J3778" t="s">
        <v>22</v>
      </c>
      <c r="K3778" t="s">
        <v>32694</v>
      </c>
      <c r="L3778" t="s">
        <v>32697</v>
      </c>
      <c r="M3778" t="s">
        <v>25</v>
      </c>
      <c r="N3778" t="s">
        <v>32698</v>
      </c>
      <c r="O3778" t="s">
        <v>32699</v>
      </c>
      <c r="P3778" t="s">
        <v>32700</v>
      </c>
      <c r="Q3778" t="s">
        <v>29</v>
      </c>
      <c r="R3778" t="s">
        <v>32695</v>
      </c>
      <c r="S3778" t="s">
        <v>32696</v>
      </c>
    </row>
    <row r="3779" spans="1:19" x14ac:dyDescent="0.25">
      <c r="A3779" s="1">
        <v>3777</v>
      </c>
      <c r="B3779" t="str">
        <f>HYPERLINK("https://www.dasschnelle.at/haushofer-josef-und-söhne-frohnleiten-brunnhof","Website")</f>
        <v>Website</v>
      </c>
      <c r="C3779" t="str">
        <f>HYPERLINK("http://www.haushofer.at","Website")</f>
        <v>Website</v>
      </c>
      <c r="D3779" t="str">
        <f>HYPERLINK("http://www.google.com/maps/place/47.2708935,15.3314728","Location")</f>
        <v>Location</v>
      </c>
      <c r="E3779" t="s">
        <v>32701</v>
      </c>
      <c r="F3779" t="s">
        <v>32702</v>
      </c>
      <c r="G3779" t="s">
        <v>7874</v>
      </c>
      <c r="H3779" t="s">
        <v>7875</v>
      </c>
      <c r="I3779" t="s">
        <v>451</v>
      </c>
      <c r="J3779" t="s">
        <v>22</v>
      </c>
      <c r="K3779" t="s">
        <v>32703</v>
      </c>
      <c r="L3779" t="s">
        <v>32704</v>
      </c>
      <c r="M3779" t="s">
        <v>25</v>
      </c>
      <c r="N3779" t="s">
        <v>32705</v>
      </c>
      <c r="O3779" t="s">
        <v>25</v>
      </c>
      <c r="P3779" t="s">
        <v>32706</v>
      </c>
      <c r="Q3779" t="s">
        <v>29</v>
      </c>
      <c r="R3779" t="s">
        <v>30160</v>
      </c>
      <c r="S3779" t="s">
        <v>30161</v>
      </c>
    </row>
    <row r="3780" spans="1:19" x14ac:dyDescent="0.25">
      <c r="A3780" s="1">
        <v>3778</v>
      </c>
      <c r="B3780" t="str">
        <f>HYPERLINK("https://www.dasschnelle.at/krammer-andreas-deutschfeistritz-gartengasse","Website")</f>
        <v>Website</v>
      </c>
      <c r="C3780" t="str">
        <f>HYPERLINK("http://www.krammer-blumen.at","Website")</f>
        <v>Website</v>
      </c>
      <c r="D3780" t="str">
        <f>HYPERLINK("http://www.google.com/maps/place/47.19846,15.33624","Location")</f>
        <v>Location</v>
      </c>
      <c r="E3780" t="s">
        <v>32707</v>
      </c>
      <c r="F3780" t="s">
        <v>32708</v>
      </c>
      <c r="G3780" t="s">
        <v>24423</v>
      </c>
      <c r="H3780" t="s">
        <v>24424</v>
      </c>
      <c r="I3780" t="s">
        <v>451</v>
      </c>
      <c r="J3780" t="s">
        <v>22</v>
      </c>
      <c r="K3780" t="s">
        <v>32709</v>
      </c>
      <c r="L3780" t="s">
        <v>32711</v>
      </c>
      <c r="M3780" t="s">
        <v>25</v>
      </c>
      <c r="N3780" t="s">
        <v>32712</v>
      </c>
      <c r="O3780" t="s">
        <v>25</v>
      </c>
      <c r="P3780" t="s">
        <v>32713</v>
      </c>
      <c r="Q3780" t="s">
        <v>29</v>
      </c>
      <c r="R3780" t="s">
        <v>32710</v>
      </c>
      <c r="S3780" t="s">
        <v>5929</v>
      </c>
    </row>
    <row r="3781" spans="1:19" x14ac:dyDescent="0.25">
      <c r="A3781" s="1">
        <v>3779</v>
      </c>
      <c r="B3781" t="str">
        <f>HYPERLINK("https://www.dasschnelle.at/dietmar-stadlhuber-altmünster-buchbergstrasse","Website")</f>
        <v>Website</v>
      </c>
      <c r="C3781" t="str">
        <f>HYPERLINK("http://www.malerei-stadlhuber.at","Website")</f>
        <v>Website</v>
      </c>
      <c r="D3781" t="str">
        <f>HYPERLINK("http://www.google.com/maps/place/47.86414,13.74747","Location")</f>
        <v>Location</v>
      </c>
      <c r="E3781" t="s">
        <v>32714</v>
      </c>
      <c r="F3781" t="s">
        <v>32715</v>
      </c>
      <c r="G3781" t="s">
        <v>7000</v>
      </c>
      <c r="H3781" t="s">
        <v>7001</v>
      </c>
      <c r="I3781" t="s">
        <v>85</v>
      </c>
      <c r="J3781" t="s">
        <v>22</v>
      </c>
      <c r="K3781" t="s">
        <v>32716</v>
      </c>
      <c r="L3781" t="s">
        <v>7120</v>
      </c>
      <c r="M3781" t="s">
        <v>25</v>
      </c>
      <c r="N3781" t="s">
        <v>7121</v>
      </c>
      <c r="O3781" t="s">
        <v>32717</v>
      </c>
      <c r="P3781" t="s">
        <v>32718</v>
      </c>
      <c r="Q3781" t="s">
        <v>29</v>
      </c>
      <c r="R3781" t="s">
        <v>7118</v>
      </c>
      <c r="S3781" t="s">
        <v>7119</v>
      </c>
    </row>
    <row r="3782" spans="1:19" x14ac:dyDescent="0.25">
      <c r="A3782" s="1">
        <v>3780</v>
      </c>
      <c r="B3782" t="str">
        <f>HYPERLINK("https://www.dasschnelle.at/dr-martin-hötzer-spittal-presserhofstraße","Website")</f>
        <v>Website</v>
      </c>
      <c r="C3782" t="str">
        <f>HYPERLINK("https://www.dasschnelle.at/dr-martin-h%C3%B6tzer-spittal-presserhofstra%C3%9Fe","Website")</f>
        <v>Website</v>
      </c>
      <c r="D3782" t="str">
        <f>HYPERLINK("http://www.google.com/maps/place/46.7916156,13.5156683","Location")</f>
        <v>Location</v>
      </c>
      <c r="E3782" t="s">
        <v>32719</v>
      </c>
      <c r="F3782" t="s">
        <v>32720</v>
      </c>
      <c r="G3782" t="s">
        <v>4160</v>
      </c>
      <c r="H3782" t="s">
        <v>4161</v>
      </c>
      <c r="I3782" t="s">
        <v>4130</v>
      </c>
      <c r="J3782" t="s">
        <v>22</v>
      </c>
      <c r="K3782" t="s">
        <v>32721</v>
      </c>
      <c r="L3782" t="s">
        <v>32724</v>
      </c>
      <c r="M3782" t="s">
        <v>25</v>
      </c>
      <c r="N3782" t="s">
        <v>32725</v>
      </c>
      <c r="O3782" t="s">
        <v>25</v>
      </c>
      <c r="P3782" t="s">
        <v>697</v>
      </c>
      <c r="Q3782" t="s">
        <v>29</v>
      </c>
      <c r="R3782" t="s">
        <v>32722</v>
      </c>
      <c r="S3782" t="s">
        <v>32723</v>
      </c>
    </row>
    <row r="3783" spans="1:19" x14ac:dyDescent="0.25">
      <c r="A3783" s="1">
        <v>3781</v>
      </c>
      <c r="B3783" t="str">
        <f>HYPERLINK("https://www.dasschnelle.at/janger-günther-zweiradjanger-gesmbh-gratwein-kirchengasse","Website")</f>
        <v>Website</v>
      </c>
      <c r="C3783" t="str">
        <f>HYPERLINK("http://www.radsport-janger.at","Website")</f>
        <v>Website</v>
      </c>
      <c r="D3783" t="str">
        <f>HYPERLINK("http://www.google.com/maps/place/47.12979,15.31784","Location")</f>
        <v>Location</v>
      </c>
      <c r="E3783" t="s">
        <v>32726</v>
      </c>
      <c r="F3783" t="s">
        <v>32727</v>
      </c>
      <c r="G3783" t="s">
        <v>7864</v>
      </c>
      <c r="H3783" t="s">
        <v>7865</v>
      </c>
      <c r="I3783" t="s">
        <v>451</v>
      </c>
      <c r="J3783" t="s">
        <v>22</v>
      </c>
      <c r="K3783" t="s">
        <v>32728</v>
      </c>
      <c r="L3783" t="s">
        <v>32731</v>
      </c>
      <c r="M3783" t="s">
        <v>25</v>
      </c>
      <c r="N3783" t="s">
        <v>32732</v>
      </c>
      <c r="O3783" t="s">
        <v>32733</v>
      </c>
      <c r="P3783" t="s">
        <v>32734</v>
      </c>
      <c r="Q3783" t="s">
        <v>29</v>
      </c>
      <c r="R3783" t="s">
        <v>32729</v>
      </c>
      <c r="S3783" t="s">
        <v>32730</v>
      </c>
    </row>
    <row r="3784" spans="1:19" x14ac:dyDescent="0.25">
      <c r="A3784" s="1">
        <v>3782</v>
      </c>
      <c r="B3784" t="str">
        <f>HYPERLINK("https://www.dasschnelle.at/fuchsbichler-gertrud-frohnleiten-hauptplatz","Website")</f>
        <v>Website</v>
      </c>
      <c r="C3784" t="str">
        <f>HYPERLINK("https://www.dasschnelle.at/fuchsbichler-gertrud-frohnleiten-hauptplatz","Website")</f>
        <v>Website</v>
      </c>
      <c r="D3784" t="str">
        <f>HYPERLINK("http://www.google.com/maps/place/47.27131,15.32695","Location")</f>
        <v>Location</v>
      </c>
      <c r="E3784" t="s">
        <v>32735</v>
      </c>
      <c r="F3784" t="s">
        <v>32736</v>
      </c>
      <c r="G3784" t="s">
        <v>7874</v>
      </c>
      <c r="H3784" t="s">
        <v>7875</v>
      </c>
      <c r="I3784" t="s">
        <v>451</v>
      </c>
      <c r="J3784" t="s">
        <v>22</v>
      </c>
      <c r="K3784" t="s">
        <v>30143</v>
      </c>
      <c r="L3784" t="s">
        <v>32738</v>
      </c>
      <c r="M3784" t="s">
        <v>25</v>
      </c>
      <c r="N3784" t="s">
        <v>25</v>
      </c>
      <c r="O3784" t="s">
        <v>25</v>
      </c>
      <c r="P3784" t="s">
        <v>32739</v>
      </c>
      <c r="Q3784" t="s">
        <v>29</v>
      </c>
      <c r="R3784" t="s">
        <v>30263</v>
      </c>
      <c r="S3784" t="s">
        <v>32737</v>
      </c>
    </row>
    <row r="3785" spans="1:19" x14ac:dyDescent="0.25">
      <c r="A3785" s="1">
        <v>3783</v>
      </c>
      <c r="B3785" t="str">
        <f>HYPERLINK("https://www.dasschnelle.at/metalltechnik-pfingstl-übersbach-übersbach","Website")</f>
        <v>Website</v>
      </c>
      <c r="C3785" t="str">
        <f>HYPERLINK("http://www.schlosserei-pfingstl.at","Website")</f>
        <v>Website</v>
      </c>
      <c r="D3785" t="str">
        <f>HYPERLINK("http://www.google.com/maps/place/47.0237636,16.0534499","Location")</f>
        <v>Location</v>
      </c>
      <c r="E3785" t="s">
        <v>32740</v>
      </c>
      <c r="F3785" t="s">
        <v>32741</v>
      </c>
      <c r="G3785" t="s">
        <v>26143</v>
      </c>
      <c r="H3785" t="s">
        <v>32743</v>
      </c>
      <c r="I3785" t="s">
        <v>451</v>
      </c>
      <c r="J3785" t="s">
        <v>22</v>
      </c>
      <c r="K3785" t="s">
        <v>32742</v>
      </c>
      <c r="L3785" t="s">
        <v>32746</v>
      </c>
      <c r="M3785" t="s">
        <v>25</v>
      </c>
      <c r="N3785" t="s">
        <v>32747</v>
      </c>
      <c r="O3785" t="s">
        <v>32748</v>
      </c>
      <c r="P3785" t="s">
        <v>32749</v>
      </c>
      <c r="Q3785" t="s">
        <v>29</v>
      </c>
      <c r="R3785" t="s">
        <v>32744</v>
      </c>
      <c r="S3785" t="s">
        <v>32745</v>
      </c>
    </row>
    <row r="3786" spans="1:19" x14ac:dyDescent="0.25">
      <c r="A3786" s="1">
        <v>3784</v>
      </c>
      <c r="B3786" t="str">
        <f>HYPERLINK("https://www.dasschnelle.at/heinrich-bau-gmbh-fürstenfeld-burgenlandstraße","Website")</f>
        <v>Website</v>
      </c>
      <c r="C3786" t="str">
        <f>HYPERLINK("http://www.heinrich-bau.at","Website")</f>
        <v>Website</v>
      </c>
      <c r="D3786" t="str">
        <f>HYPERLINK("http://www.google.com/maps/place/47.0488,16.09071","Location")</f>
        <v>Location</v>
      </c>
      <c r="E3786" t="s">
        <v>32750</v>
      </c>
      <c r="F3786" t="s">
        <v>32751</v>
      </c>
      <c r="G3786" t="s">
        <v>32753</v>
      </c>
      <c r="H3786" t="s">
        <v>24442</v>
      </c>
      <c r="I3786" t="s">
        <v>451</v>
      </c>
      <c r="J3786" t="s">
        <v>22</v>
      </c>
      <c r="K3786" t="s">
        <v>32752</v>
      </c>
      <c r="L3786" t="s">
        <v>32756</v>
      </c>
      <c r="M3786" t="s">
        <v>25</v>
      </c>
      <c r="N3786" t="s">
        <v>32757</v>
      </c>
      <c r="O3786" t="s">
        <v>25</v>
      </c>
      <c r="P3786" t="s">
        <v>32758</v>
      </c>
      <c r="Q3786" t="s">
        <v>29</v>
      </c>
      <c r="R3786" t="s">
        <v>32754</v>
      </c>
      <c r="S3786" t="s">
        <v>32755</v>
      </c>
    </row>
    <row r="3787" spans="1:19" x14ac:dyDescent="0.25">
      <c r="A3787" s="1">
        <v>3785</v>
      </c>
      <c r="B3787" t="str">
        <f>HYPERLINK("https://www.dasschnelle.at/windischbauer-paul-dr-med-univ-hof-bei-salzburg-strohbichlstraße","Website")</f>
        <v>Website</v>
      </c>
      <c r="C3787" t="str">
        <f>HYPERLINK("https://www.docfinder.at/hno-arzt/5322-hof-bei-salzburg/dr-paul-windischbauer","Website")</f>
        <v>Website</v>
      </c>
      <c r="D3787" t="str">
        <f>HYPERLINK("http://www.google.com/maps/place/47.8197,13.20895","Location")</f>
        <v>Location</v>
      </c>
      <c r="E3787" t="s">
        <v>32759</v>
      </c>
      <c r="F3787" t="s">
        <v>32760</v>
      </c>
      <c r="G3787" t="s">
        <v>6579</v>
      </c>
      <c r="H3787" t="s">
        <v>6580</v>
      </c>
      <c r="I3787" t="s">
        <v>2239</v>
      </c>
      <c r="J3787" t="s">
        <v>22</v>
      </c>
      <c r="K3787" t="s">
        <v>32761</v>
      </c>
      <c r="L3787" t="s">
        <v>32764</v>
      </c>
      <c r="M3787" t="s">
        <v>25</v>
      </c>
      <c r="N3787" t="s">
        <v>32765</v>
      </c>
      <c r="O3787" t="s">
        <v>25</v>
      </c>
      <c r="P3787" t="s">
        <v>32766</v>
      </c>
      <c r="Q3787" t="s">
        <v>29</v>
      </c>
      <c r="R3787" t="s">
        <v>32762</v>
      </c>
      <c r="S3787" t="s">
        <v>32763</v>
      </c>
    </row>
    <row r="3788" spans="1:19" x14ac:dyDescent="0.25">
      <c r="A3788" s="1">
        <v>3786</v>
      </c>
      <c r="B3788" t="str">
        <f>HYPERLINK("https://www.dasschnelle.at/feurhuber-oberwang-gmbh-oberwang-oberwang","Website")</f>
        <v>Website</v>
      </c>
      <c r="C3788" t="str">
        <f>HYPERLINK("https://www.dasschnelle.at/feurhuber-oberwang-gmbh-oberwang-oberwang","Website")</f>
        <v>Website</v>
      </c>
      <c r="D3788" t="str">
        <f>HYPERLINK("http://www.google.com/maps/place/47.8723368,13.4388748","Location")</f>
        <v>Location</v>
      </c>
      <c r="E3788" t="s">
        <v>32767</v>
      </c>
      <c r="F3788" t="s">
        <v>32768</v>
      </c>
      <c r="G3788" t="s">
        <v>6553</v>
      </c>
      <c r="H3788" t="s">
        <v>6554</v>
      </c>
      <c r="I3788" t="s">
        <v>85</v>
      </c>
      <c r="J3788" t="s">
        <v>22</v>
      </c>
      <c r="K3788" t="s">
        <v>32769</v>
      </c>
      <c r="L3788" t="s">
        <v>32772</v>
      </c>
      <c r="M3788" t="s">
        <v>25</v>
      </c>
      <c r="N3788" t="s">
        <v>32773</v>
      </c>
      <c r="O3788" t="s">
        <v>32774</v>
      </c>
      <c r="P3788" t="s">
        <v>32775</v>
      </c>
      <c r="Q3788" t="s">
        <v>29</v>
      </c>
      <c r="R3788" t="s">
        <v>32770</v>
      </c>
      <c r="S3788" t="s">
        <v>32771</v>
      </c>
    </row>
    <row r="3789" spans="1:19" x14ac:dyDescent="0.25">
      <c r="A3789" s="1">
        <v>3787</v>
      </c>
      <c r="B3789" t="str">
        <f>HYPERLINK("https://www.dasschnelle.at/eurospar-feurhuber-gmbh-sankt-lorenz-mondseestr","Website")</f>
        <v>Website</v>
      </c>
      <c r="C3789" t="str">
        <f>HYPERLINK("https://www.dasschnelle.at/eurospar-feurhuber-gmbh-sankt-lorenz-mondseestr","Website")</f>
        <v>Website</v>
      </c>
      <c r="D3789" t="str">
        <f>HYPERLINK("http://www.google.com/maps/place/47.8476,13.34043","Location")</f>
        <v>Location</v>
      </c>
      <c r="E3789" t="s">
        <v>32776</v>
      </c>
      <c r="F3789" t="s">
        <v>32777</v>
      </c>
      <c r="G3789" t="s">
        <v>6543</v>
      </c>
      <c r="H3789" t="s">
        <v>32779</v>
      </c>
      <c r="I3789" t="s">
        <v>85</v>
      </c>
      <c r="J3789" t="s">
        <v>22</v>
      </c>
      <c r="K3789" t="s">
        <v>32778</v>
      </c>
      <c r="L3789" t="s">
        <v>32782</v>
      </c>
      <c r="M3789" t="s">
        <v>25</v>
      </c>
      <c r="N3789" t="s">
        <v>32783</v>
      </c>
      <c r="O3789" t="s">
        <v>32784</v>
      </c>
      <c r="P3789" t="s">
        <v>32785</v>
      </c>
      <c r="Q3789" t="s">
        <v>29</v>
      </c>
      <c r="R3789" t="s">
        <v>32780</v>
      </c>
      <c r="S3789" t="s">
        <v>32781</v>
      </c>
    </row>
    <row r="3790" spans="1:19" x14ac:dyDescent="0.25">
      <c r="A3790" s="1">
        <v>3788</v>
      </c>
      <c r="B3790" t="str">
        <f>HYPERLINK("https://www.dasschnelle.at/dick-johannes-dr-innerschwand-loibichl","Website")</f>
        <v>Website</v>
      </c>
      <c r="C3790" t="str">
        <f>HYPERLINK("https://www.dasschnelle.at/dick-johannes-dr-innerschwand-loibichl","Website")</f>
        <v>Website</v>
      </c>
      <c r="D3790" t="str">
        <f>HYPERLINK("http://www.google.com/maps/place/47.82938,13.40537","Location")</f>
        <v>Location</v>
      </c>
      <c r="E3790" t="s">
        <v>32786</v>
      </c>
      <c r="F3790" t="s">
        <v>32787</v>
      </c>
      <c r="G3790" t="s">
        <v>26711</v>
      </c>
      <c r="H3790" t="s">
        <v>26712</v>
      </c>
      <c r="I3790" t="s">
        <v>85</v>
      </c>
      <c r="J3790" t="s">
        <v>22</v>
      </c>
      <c r="K3790" t="s">
        <v>32788</v>
      </c>
      <c r="L3790" t="s">
        <v>32791</v>
      </c>
      <c r="M3790" t="s">
        <v>25</v>
      </c>
      <c r="N3790" t="s">
        <v>25</v>
      </c>
      <c r="O3790" t="s">
        <v>25</v>
      </c>
      <c r="P3790" t="s">
        <v>32792</v>
      </c>
      <c r="Q3790" t="s">
        <v>29</v>
      </c>
      <c r="R3790" t="s">
        <v>32789</v>
      </c>
      <c r="S3790" t="s">
        <v>32790</v>
      </c>
    </row>
    <row r="3791" spans="1:19" x14ac:dyDescent="0.25">
      <c r="A3791" s="1">
        <v>3789</v>
      </c>
      <c r="B3791" t="str">
        <f>HYPERLINK("https://www.dasschnelle.at/höller-andreas-gratwein-am-grünanger","Website")</f>
        <v>Website</v>
      </c>
      <c r="C3791" t="str">
        <f>HYPERLINK("http://www.fliesen.cc","Website")</f>
        <v>Website</v>
      </c>
      <c r="D3791" t="str">
        <f>HYPERLINK("http://www.google.com/maps/place/47.13339,15.32008","Location")</f>
        <v>Location</v>
      </c>
      <c r="E3791" t="s">
        <v>32793</v>
      </c>
      <c r="F3791" t="s">
        <v>32794</v>
      </c>
      <c r="G3791" t="s">
        <v>7864</v>
      </c>
      <c r="H3791" t="s">
        <v>7865</v>
      </c>
      <c r="I3791" t="s">
        <v>451</v>
      </c>
      <c r="J3791" t="s">
        <v>22</v>
      </c>
      <c r="K3791" t="s">
        <v>32795</v>
      </c>
      <c r="L3791" t="s">
        <v>32796</v>
      </c>
      <c r="M3791" t="s">
        <v>25</v>
      </c>
      <c r="N3791" t="s">
        <v>32797</v>
      </c>
      <c r="O3791" t="s">
        <v>25</v>
      </c>
      <c r="P3791" t="s">
        <v>32798</v>
      </c>
      <c r="Q3791" t="s">
        <v>29</v>
      </c>
      <c r="R3791" t="s">
        <v>32605</v>
      </c>
      <c r="S3791" t="s">
        <v>32606</v>
      </c>
    </row>
    <row r="3792" spans="1:19" x14ac:dyDescent="0.25">
      <c r="A3792" s="1">
        <v>3790</v>
      </c>
      <c r="B3792" t="str">
        <f>HYPERLINK("https://www.dasschnelle.at/silli-claudia-judendorf-gratweiner-straße","Website")</f>
        <v>Website</v>
      </c>
      <c r="C3792" t="str">
        <f>HYPERLINK("https://www.dasschnelle.at/silli-claudia-judendorf-gratweiner-stra%C3%9Fe","Website")</f>
        <v>Website</v>
      </c>
      <c r="D3792" t="str">
        <f>HYPERLINK("http://www.google.com/maps/place/47.11642,15.34254","Location")</f>
        <v>Location</v>
      </c>
      <c r="E3792" t="s">
        <v>32799</v>
      </c>
      <c r="F3792" t="s">
        <v>32800</v>
      </c>
      <c r="G3792" t="s">
        <v>7854</v>
      </c>
      <c r="H3792" t="s">
        <v>24472</v>
      </c>
      <c r="I3792" t="s">
        <v>451</v>
      </c>
      <c r="J3792" t="s">
        <v>22</v>
      </c>
      <c r="K3792" t="s">
        <v>32801</v>
      </c>
      <c r="L3792" t="s">
        <v>32804</v>
      </c>
      <c r="M3792" t="s">
        <v>25</v>
      </c>
      <c r="N3792" t="s">
        <v>25</v>
      </c>
      <c r="O3792" t="s">
        <v>25</v>
      </c>
      <c r="P3792" t="s">
        <v>32805</v>
      </c>
      <c r="Q3792" t="s">
        <v>29</v>
      </c>
      <c r="R3792" t="s">
        <v>32802</v>
      </c>
      <c r="S3792" t="s">
        <v>32803</v>
      </c>
    </row>
    <row r="3793" spans="1:19" x14ac:dyDescent="0.25">
      <c r="A3793" s="1">
        <v>3791</v>
      </c>
      <c r="B3793" t="str">
        <f>HYPERLINK("https://www.dasschnelle.at/baumschule-haritsch-gratwein-strassengel-murfeldstraße","Website")</f>
        <v>Website</v>
      </c>
      <c r="C3793" t="str">
        <f>HYPERLINK("http://www.baumschule-steiermark.at","Website")</f>
        <v>Website</v>
      </c>
      <c r="D3793" t="str">
        <f>HYPERLINK("http://www.google.com/maps/place/47.1418287,15.3245215","Location")</f>
        <v>Location</v>
      </c>
      <c r="E3793" t="s">
        <v>32806</v>
      </c>
      <c r="F3793" t="s">
        <v>32807</v>
      </c>
      <c r="G3793" t="s">
        <v>7864</v>
      </c>
      <c r="H3793" t="s">
        <v>7855</v>
      </c>
      <c r="I3793" t="s">
        <v>451</v>
      </c>
      <c r="J3793" t="s">
        <v>22</v>
      </c>
      <c r="K3793" t="s">
        <v>32808</v>
      </c>
      <c r="L3793" t="s">
        <v>32811</v>
      </c>
      <c r="M3793" t="s">
        <v>25</v>
      </c>
      <c r="N3793" t="s">
        <v>32812</v>
      </c>
      <c r="O3793" t="s">
        <v>32813</v>
      </c>
      <c r="P3793" t="s">
        <v>32814</v>
      </c>
      <c r="Q3793" t="s">
        <v>29</v>
      </c>
      <c r="R3793" t="s">
        <v>32809</v>
      </c>
      <c r="S3793" t="s">
        <v>32810</v>
      </c>
    </row>
    <row r="3794" spans="1:19" x14ac:dyDescent="0.25">
      <c r="A3794" s="1">
        <v>3792</v>
      </c>
      <c r="B3794" t="str">
        <f>HYPERLINK("https://www.dasschnelle.at/fink-wolfgang-mondsee-herzog-odilo-straße","Website")</f>
        <v>Website</v>
      </c>
      <c r="C3794" t="str">
        <f>HYPERLINK("http://www.elektrofink.at","Website")</f>
        <v>Website</v>
      </c>
      <c r="D3794" t="str">
        <f>HYPERLINK("http://www.google.com/maps/place/47.85625,13.34917","Location")</f>
        <v>Location</v>
      </c>
      <c r="E3794" t="s">
        <v>32815</v>
      </c>
      <c r="F3794" t="s">
        <v>32816</v>
      </c>
      <c r="G3794" t="s">
        <v>6543</v>
      </c>
      <c r="H3794" t="s">
        <v>6544</v>
      </c>
      <c r="I3794" t="s">
        <v>85</v>
      </c>
      <c r="J3794" t="s">
        <v>22</v>
      </c>
      <c r="K3794" t="s">
        <v>32817</v>
      </c>
      <c r="L3794" t="s">
        <v>32820</v>
      </c>
      <c r="M3794" t="s">
        <v>25</v>
      </c>
      <c r="N3794" t="s">
        <v>32821</v>
      </c>
      <c r="O3794" t="s">
        <v>25</v>
      </c>
      <c r="P3794" t="s">
        <v>32822</v>
      </c>
      <c r="Q3794" t="s">
        <v>29</v>
      </c>
      <c r="R3794" t="s">
        <v>32818</v>
      </c>
      <c r="S3794" t="s">
        <v>32819</v>
      </c>
    </row>
    <row r="3795" spans="1:19" x14ac:dyDescent="0.25">
      <c r="A3795" s="1">
        <v>3793</v>
      </c>
      <c r="B3795" t="str">
        <f>HYPERLINK("https://www.dasschnelle.at/mayrhofer-thomas-mag-mondsee-walter-simmer-straße","Website")</f>
        <v>Website</v>
      </c>
      <c r="C3795" t="str">
        <f>HYPERLINK("http://www.mondseeland-apotheke.at","Website")</f>
        <v>Website</v>
      </c>
      <c r="D3795" t="str">
        <f>HYPERLINK("http://www.google.com/maps/place/47.86465,13.3312","Location")</f>
        <v>Location</v>
      </c>
      <c r="E3795" t="s">
        <v>32823</v>
      </c>
      <c r="F3795" t="s">
        <v>32824</v>
      </c>
      <c r="G3795" t="s">
        <v>6543</v>
      </c>
      <c r="H3795" t="s">
        <v>6544</v>
      </c>
      <c r="I3795" t="s">
        <v>85</v>
      </c>
      <c r="J3795" t="s">
        <v>22</v>
      </c>
      <c r="K3795" t="s">
        <v>32825</v>
      </c>
      <c r="L3795" t="s">
        <v>32828</v>
      </c>
      <c r="M3795" t="s">
        <v>25</v>
      </c>
      <c r="N3795" t="s">
        <v>32829</v>
      </c>
      <c r="O3795" t="s">
        <v>25</v>
      </c>
      <c r="P3795" t="s">
        <v>32830</v>
      </c>
      <c r="Q3795" t="s">
        <v>29</v>
      </c>
      <c r="R3795" t="s">
        <v>32826</v>
      </c>
      <c r="S3795" t="s">
        <v>32827</v>
      </c>
    </row>
    <row r="3796" spans="1:19" x14ac:dyDescent="0.25">
      <c r="A3796" s="1">
        <v>3794</v>
      </c>
      <c r="B3796" t="str">
        <f>HYPERLINK("https://www.dasschnelle.at/mondsee-treuhand-wiedlroither-gmbh-mondsee-alfred-jaeger-weg","Website")</f>
        <v>Website</v>
      </c>
      <c r="C3796" t="str">
        <f>HYPERLINK("http://www.mondsee-treuhand.at","Website")</f>
        <v>Website</v>
      </c>
      <c r="D3796" t="str">
        <f>HYPERLINK("http://www.google.com/maps/place/47.85638,13.34346","Location")</f>
        <v>Location</v>
      </c>
      <c r="E3796" t="s">
        <v>32831</v>
      </c>
      <c r="F3796" t="s">
        <v>32832</v>
      </c>
      <c r="G3796" t="s">
        <v>6543</v>
      </c>
      <c r="H3796" t="s">
        <v>6544</v>
      </c>
      <c r="I3796" t="s">
        <v>85</v>
      </c>
      <c r="J3796" t="s">
        <v>22</v>
      </c>
      <c r="K3796" t="s">
        <v>32833</v>
      </c>
      <c r="L3796" t="s">
        <v>32836</v>
      </c>
      <c r="M3796" t="s">
        <v>25</v>
      </c>
      <c r="N3796" t="s">
        <v>32837</v>
      </c>
      <c r="O3796" t="s">
        <v>25</v>
      </c>
      <c r="P3796" t="s">
        <v>32838</v>
      </c>
      <c r="Q3796" t="s">
        <v>29</v>
      </c>
      <c r="R3796" t="s">
        <v>32834</v>
      </c>
      <c r="S3796" t="s">
        <v>32835</v>
      </c>
    </row>
    <row r="3797" spans="1:19" x14ac:dyDescent="0.25">
      <c r="A3797" s="1">
        <v>3795</v>
      </c>
      <c r="B3797" t="str">
        <f>HYPERLINK("https://www.dasschnelle.at/freiberger-hans-michael-dr-med-mondsee-herzog-odilo-straße","Website")</f>
        <v>Website</v>
      </c>
      <c r="C3797" t="str">
        <f>HYPERLINK("http://www.hno-freiberger.com","Website")</f>
        <v>Website</v>
      </c>
      <c r="D3797" t="str">
        <f>HYPERLINK("http://www.google.com/maps/place/47.85737,13.34879","Location")</f>
        <v>Location</v>
      </c>
      <c r="E3797" t="s">
        <v>32839</v>
      </c>
      <c r="F3797" t="s">
        <v>32840</v>
      </c>
      <c r="G3797" t="s">
        <v>6543</v>
      </c>
      <c r="H3797" t="s">
        <v>6544</v>
      </c>
      <c r="I3797" t="s">
        <v>85</v>
      </c>
      <c r="J3797" t="s">
        <v>22</v>
      </c>
      <c r="K3797" t="s">
        <v>32841</v>
      </c>
      <c r="L3797" t="s">
        <v>32844</v>
      </c>
      <c r="M3797" t="s">
        <v>32845</v>
      </c>
      <c r="N3797" t="s">
        <v>32846</v>
      </c>
      <c r="O3797" t="s">
        <v>32847</v>
      </c>
      <c r="P3797" t="s">
        <v>32848</v>
      </c>
      <c r="Q3797" t="s">
        <v>29</v>
      </c>
      <c r="R3797" t="s">
        <v>32842</v>
      </c>
      <c r="S3797" t="s">
        <v>32843</v>
      </c>
    </row>
    <row r="3798" spans="1:19" x14ac:dyDescent="0.25">
      <c r="A3798" s="1">
        <v>3796</v>
      </c>
      <c r="B3798" t="str">
        <f>HYPERLINK("https://www.dasschnelle.at/palzinsky-eva-zell-am-moos-m-guggenbichler-weg","Website")</f>
        <v>Website</v>
      </c>
      <c r="C3798" t="str">
        <f>HYPERLINK("https://www.dasschnelle.at/palzinsky-eva-zell-am-moos-m-guggenbichler-weg","Website")</f>
        <v>Website</v>
      </c>
      <c r="D3798" t="str">
        <f>HYPERLINK("http://www.google.com/maps/place/47.9008986,13.3175785","Location")</f>
        <v>Location</v>
      </c>
      <c r="E3798" t="s">
        <v>32849</v>
      </c>
      <c r="F3798" t="s">
        <v>32850</v>
      </c>
      <c r="G3798" t="s">
        <v>32852</v>
      </c>
      <c r="H3798" t="s">
        <v>32853</v>
      </c>
      <c r="I3798" t="s">
        <v>85</v>
      </c>
      <c r="J3798" t="s">
        <v>22</v>
      </c>
      <c r="K3798" t="s">
        <v>32851</v>
      </c>
      <c r="L3798" t="s">
        <v>32856</v>
      </c>
      <c r="M3798" t="s">
        <v>25</v>
      </c>
      <c r="N3798" t="s">
        <v>32857</v>
      </c>
      <c r="O3798" t="s">
        <v>25</v>
      </c>
      <c r="P3798" t="s">
        <v>32858</v>
      </c>
      <c r="Q3798" t="s">
        <v>29</v>
      </c>
      <c r="R3798" t="s">
        <v>32854</v>
      </c>
      <c r="S3798" t="s">
        <v>32855</v>
      </c>
    </row>
    <row r="3799" spans="1:19" x14ac:dyDescent="0.25">
      <c r="A3799" s="1">
        <v>3797</v>
      </c>
      <c r="B3799" t="str">
        <f>HYPERLINK("https://www.dasschnelle.at/renat-köberl-frohnleiten-rabensteinerweg","Website")</f>
        <v>Website</v>
      </c>
      <c r="C3799" t="str">
        <f>HYPERLINK("https://www.dasschnelle.at/renat-k%C3%B6berl-frohnleiten-rabensteinerweg","Website")</f>
        <v>Website</v>
      </c>
      <c r="D3799" t="str">
        <f>HYPERLINK("http://www.google.com/maps/place/47.26906,15.32239","Location")</f>
        <v>Location</v>
      </c>
      <c r="E3799" t="s">
        <v>32859</v>
      </c>
      <c r="F3799" t="s">
        <v>32860</v>
      </c>
      <c r="G3799" t="s">
        <v>7874</v>
      </c>
      <c r="H3799" t="s">
        <v>7875</v>
      </c>
      <c r="I3799" t="s">
        <v>451</v>
      </c>
      <c r="J3799" t="s">
        <v>22</v>
      </c>
      <c r="K3799" t="s">
        <v>32861</v>
      </c>
      <c r="L3799" t="s">
        <v>32864</v>
      </c>
      <c r="M3799" t="s">
        <v>32865</v>
      </c>
      <c r="N3799" t="s">
        <v>32866</v>
      </c>
      <c r="O3799" t="s">
        <v>32867</v>
      </c>
      <c r="P3799" t="s">
        <v>32868</v>
      </c>
      <c r="Q3799" t="s">
        <v>29</v>
      </c>
      <c r="R3799" t="s">
        <v>32862</v>
      </c>
      <c r="S3799" t="s">
        <v>32863</v>
      </c>
    </row>
    <row r="3800" spans="1:19" x14ac:dyDescent="0.25">
      <c r="A3800" s="1">
        <v>3798</v>
      </c>
      <c r="B3800" t="str">
        <f>HYPERLINK("https://www.dasschnelle.at/metalltechnik-hirschbauer-martin-fladnitz-an-der-teichalm-schitterdorf","Website")</f>
        <v>Website</v>
      </c>
      <c r="C3800" t="str">
        <f>HYPERLINK("http://www.metalltechnik-hirschbauer.at","Website")</f>
        <v>Website</v>
      </c>
      <c r="D3800" t="str">
        <f>HYPERLINK("http://www.google.com/maps/place/47.2657,15.42844","Location")</f>
        <v>Location</v>
      </c>
      <c r="E3800" t="s">
        <v>32869</v>
      </c>
      <c r="F3800" t="s">
        <v>32870</v>
      </c>
      <c r="G3800" t="s">
        <v>3707</v>
      </c>
      <c r="H3800" t="s">
        <v>3708</v>
      </c>
      <c r="I3800" t="s">
        <v>451</v>
      </c>
      <c r="J3800" t="s">
        <v>22</v>
      </c>
      <c r="K3800" t="s">
        <v>32871</v>
      </c>
      <c r="L3800" t="s">
        <v>32874</v>
      </c>
      <c r="M3800" t="s">
        <v>25</v>
      </c>
      <c r="N3800" t="s">
        <v>32875</v>
      </c>
      <c r="O3800" t="s">
        <v>32876</v>
      </c>
      <c r="P3800" t="s">
        <v>32877</v>
      </c>
      <c r="Q3800" t="s">
        <v>29</v>
      </c>
      <c r="R3800" t="s">
        <v>32872</v>
      </c>
      <c r="S3800" t="s">
        <v>32873</v>
      </c>
    </row>
    <row r="3801" spans="1:19" x14ac:dyDescent="0.25">
      <c r="A3801" s="1">
        <v>3799</v>
      </c>
      <c r="B3801" t="str">
        <f>HYPERLINK("https://www.dasschnelle.at/wolfgang-brunnsteiner-ing-leibnitz-augasse","Website")</f>
        <v>Website</v>
      </c>
      <c r="C3801" t="str">
        <f>HYPERLINK("http://www.waffenbrunnsteiner.com","Website")</f>
        <v>Website</v>
      </c>
      <c r="D3801" t="str">
        <f>HYPERLINK("http://www.google.com/maps/place/46.78147,15.53657","Location")</f>
        <v>Location</v>
      </c>
      <c r="E3801" t="s">
        <v>32878</v>
      </c>
      <c r="F3801" t="s">
        <v>32879</v>
      </c>
      <c r="G3801" t="s">
        <v>1013</v>
      </c>
      <c r="H3801" t="s">
        <v>1023</v>
      </c>
      <c r="I3801" t="s">
        <v>451</v>
      </c>
      <c r="J3801" t="s">
        <v>22</v>
      </c>
      <c r="K3801" t="s">
        <v>13471</v>
      </c>
      <c r="L3801" t="s">
        <v>13474</v>
      </c>
      <c r="M3801" t="s">
        <v>25</v>
      </c>
      <c r="N3801" t="s">
        <v>13475</v>
      </c>
      <c r="O3801" t="s">
        <v>32880</v>
      </c>
      <c r="P3801" t="s">
        <v>32881</v>
      </c>
      <c r="Q3801" t="s">
        <v>29</v>
      </c>
      <c r="R3801" t="s">
        <v>13472</v>
      </c>
      <c r="S3801" t="s">
        <v>13473</v>
      </c>
    </row>
    <row r="3802" spans="1:19" x14ac:dyDescent="0.25">
      <c r="A3802" s="1">
        <v>3800</v>
      </c>
      <c r="B3802" t="str">
        <f>HYPERLINK("https://www.dasschnelle.at/treuhand-union-salzburg-steuerberatungs-gmbh-und-co-kg-unterach-see-am-mondsee","Website")</f>
        <v>Website</v>
      </c>
      <c r="C3802" t="str">
        <f>HYPERLINK("http://www.treuhand-union.com","Website")</f>
        <v>Website</v>
      </c>
      <c r="D3802" t="str">
        <f>HYPERLINK("http://www.google.com/maps/place/47.80588,13.45137","Location")</f>
        <v>Location</v>
      </c>
      <c r="E3802" t="s">
        <v>32882</v>
      </c>
      <c r="F3802" t="s">
        <v>32883</v>
      </c>
      <c r="G3802" t="s">
        <v>10978</v>
      </c>
      <c r="H3802" t="s">
        <v>10979</v>
      </c>
      <c r="I3802" t="s">
        <v>85</v>
      </c>
      <c r="J3802" t="s">
        <v>22</v>
      </c>
      <c r="K3802" t="s">
        <v>32884</v>
      </c>
      <c r="L3802" t="s">
        <v>32887</v>
      </c>
      <c r="M3802" t="s">
        <v>25</v>
      </c>
      <c r="N3802" t="s">
        <v>32888</v>
      </c>
      <c r="O3802" t="s">
        <v>25</v>
      </c>
      <c r="P3802" t="s">
        <v>32889</v>
      </c>
      <c r="Q3802" t="s">
        <v>29</v>
      </c>
      <c r="R3802" t="s">
        <v>32885</v>
      </c>
      <c r="S3802" t="s">
        <v>32886</v>
      </c>
    </row>
    <row r="3803" spans="1:19" x14ac:dyDescent="0.25">
      <c r="A3803" s="1">
        <v>3801</v>
      </c>
      <c r="B3803" t="str">
        <f>HYPERLINK("https://www.dasschnelle.at/blumen-schlatter-zams-hauptstraße","Website")</f>
        <v>Website</v>
      </c>
      <c r="C3803" t="str">
        <f>HYPERLINK("https://www.dasschnelle.at/blumen-schlatter-zams-hauptstra%C3%9Fe","Website")</f>
        <v>Website</v>
      </c>
      <c r="D3803" t="str">
        <f>HYPERLINK("http://www.google.com/maps/place/47.15948,10.58826","Location")</f>
        <v>Location</v>
      </c>
      <c r="E3803" t="s">
        <v>32890</v>
      </c>
      <c r="F3803" t="s">
        <v>32891</v>
      </c>
      <c r="G3803" t="s">
        <v>26421</v>
      </c>
      <c r="H3803" t="s">
        <v>26422</v>
      </c>
      <c r="I3803" t="s">
        <v>21</v>
      </c>
      <c r="J3803" t="s">
        <v>22</v>
      </c>
      <c r="K3803" t="s">
        <v>32892</v>
      </c>
      <c r="L3803" t="s">
        <v>32895</v>
      </c>
      <c r="M3803" t="s">
        <v>25</v>
      </c>
      <c r="N3803" t="s">
        <v>32896</v>
      </c>
      <c r="O3803" t="s">
        <v>25</v>
      </c>
      <c r="P3803" t="s">
        <v>32897</v>
      </c>
      <c r="Q3803" t="s">
        <v>29</v>
      </c>
      <c r="R3803" t="s">
        <v>32893</v>
      </c>
      <c r="S3803" t="s">
        <v>32894</v>
      </c>
    </row>
    <row r="3804" spans="1:19" x14ac:dyDescent="0.25">
      <c r="A3804" s="1">
        <v>3802</v>
      </c>
      <c r="B3804" t="str">
        <f>HYPERLINK("https://www.dasschnelle.at/glaserei-aldrian-andreas-gratwein-judendorfer-straße","Website")</f>
        <v>Website</v>
      </c>
      <c r="C3804" t="str">
        <f>HYPERLINK("http://www.glaserei-aldrian.at","Website")</f>
        <v>Website</v>
      </c>
      <c r="D3804" t="str">
        <f>HYPERLINK("http://www.google.com/maps/place/47.12906,15.31903","Location")</f>
        <v>Location</v>
      </c>
      <c r="E3804" t="s">
        <v>32898</v>
      </c>
      <c r="F3804" t="s">
        <v>32899</v>
      </c>
      <c r="G3804" t="s">
        <v>7864</v>
      </c>
      <c r="H3804" t="s">
        <v>7865</v>
      </c>
      <c r="I3804" t="s">
        <v>451</v>
      </c>
      <c r="J3804" t="s">
        <v>22</v>
      </c>
      <c r="K3804" t="s">
        <v>32900</v>
      </c>
      <c r="L3804" t="s">
        <v>32903</v>
      </c>
      <c r="M3804" t="s">
        <v>25</v>
      </c>
      <c r="N3804" t="s">
        <v>32904</v>
      </c>
      <c r="O3804" t="s">
        <v>32905</v>
      </c>
      <c r="P3804" t="s">
        <v>32906</v>
      </c>
      <c r="Q3804" t="s">
        <v>29</v>
      </c>
      <c r="R3804" t="s">
        <v>32901</v>
      </c>
      <c r="S3804" t="s">
        <v>32902</v>
      </c>
    </row>
    <row r="3805" spans="1:19" x14ac:dyDescent="0.25">
      <c r="A3805" s="1">
        <v>3803</v>
      </c>
      <c r="B3805" t="str">
        <f>HYPERLINK("https://www.dasschnelle.at/wagner-og-groß-gerungs-bahnhofstraße","Website")</f>
        <v>Website</v>
      </c>
      <c r="C3805" t="str">
        <f>HYPERLINK("https://www.dasschnelle.at/wagner-og-gro%C3%9F-gerungs-bahnhofstra%C3%9Fe","Website")</f>
        <v>Website</v>
      </c>
      <c r="D3805" t="str">
        <f>HYPERLINK("http://www.google.com/maps/place/48.57212,14.95826","Location")</f>
        <v>Location</v>
      </c>
      <c r="E3805" t="s">
        <v>32907</v>
      </c>
      <c r="F3805" t="s">
        <v>32908</v>
      </c>
      <c r="G3805" t="s">
        <v>11242</v>
      </c>
      <c r="H3805" t="s">
        <v>11252</v>
      </c>
      <c r="I3805" t="s">
        <v>177</v>
      </c>
      <c r="J3805" t="s">
        <v>22</v>
      </c>
      <c r="K3805" t="s">
        <v>32909</v>
      </c>
      <c r="L3805" t="s">
        <v>32912</v>
      </c>
      <c r="M3805" t="s">
        <v>25</v>
      </c>
      <c r="N3805" t="s">
        <v>32913</v>
      </c>
      <c r="O3805" t="s">
        <v>25</v>
      </c>
      <c r="P3805" t="s">
        <v>32914</v>
      </c>
      <c r="Q3805" t="s">
        <v>29</v>
      </c>
      <c r="R3805" t="s">
        <v>32910</v>
      </c>
      <c r="S3805" t="s">
        <v>32911</v>
      </c>
    </row>
    <row r="3806" spans="1:19" x14ac:dyDescent="0.25">
      <c r="A3806" s="1">
        <v>3804</v>
      </c>
      <c r="B3806" t="str">
        <f>HYPERLINK("https://www.dasschnelle.at/keplinger-gesmbh-und-co-kg-freistadt-graben","Website")</f>
        <v>Website</v>
      </c>
      <c r="C3806" t="str">
        <f>HYPERLINK("http://www.spenglerei-keplinger.at","Website")</f>
        <v>Website</v>
      </c>
      <c r="D3806" t="str">
        <f>HYPERLINK("http://www.google.com/maps/place/48.52037,14.51905","Location")</f>
        <v>Location</v>
      </c>
      <c r="E3806" t="s">
        <v>32915</v>
      </c>
      <c r="F3806" t="s">
        <v>32916</v>
      </c>
      <c r="G3806" t="s">
        <v>6891</v>
      </c>
      <c r="H3806" t="s">
        <v>6892</v>
      </c>
      <c r="I3806" t="s">
        <v>85</v>
      </c>
      <c r="J3806" t="s">
        <v>22</v>
      </c>
      <c r="K3806" t="s">
        <v>32917</v>
      </c>
      <c r="L3806" t="s">
        <v>32920</v>
      </c>
      <c r="M3806" t="s">
        <v>32921</v>
      </c>
      <c r="N3806" t="s">
        <v>32922</v>
      </c>
      <c r="O3806" t="s">
        <v>25</v>
      </c>
      <c r="P3806" t="s">
        <v>32923</v>
      </c>
      <c r="Q3806" t="s">
        <v>29</v>
      </c>
      <c r="R3806" t="s">
        <v>32918</v>
      </c>
      <c r="S3806" t="s">
        <v>32919</v>
      </c>
    </row>
    <row r="3807" spans="1:19" x14ac:dyDescent="0.25">
      <c r="A3807" s="1">
        <v>3805</v>
      </c>
      <c r="B3807" t="str">
        <f>HYPERLINK("https://www.dasschnelle.at/gasthof-haslinger-pregarten-gutauerstrasse","Website")</f>
        <v>Website</v>
      </c>
      <c r="C3807" t="str">
        <f>HYPERLINK("http://www.gasthofhaslinger.at","Website")</f>
        <v>Website</v>
      </c>
      <c r="D3807" t="str">
        <f>HYPERLINK("http://www.google.com/maps/place/48.3569,14.53047","Location")</f>
        <v>Location</v>
      </c>
      <c r="E3807" t="s">
        <v>32924</v>
      </c>
      <c r="F3807" t="s">
        <v>32925</v>
      </c>
      <c r="G3807" t="s">
        <v>25297</v>
      </c>
      <c r="H3807" t="s">
        <v>25298</v>
      </c>
      <c r="I3807" t="s">
        <v>85</v>
      </c>
      <c r="J3807" t="s">
        <v>22</v>
      </c>
      <c r="K3807" t="s">
        <v>32926</v>
      </c>
      <c r="L3807" t="s">
        <v>32929</v>
      </c>
      <c r="M3807" t="s">
        <v>25</v>
      </c>
      <c r="N3807" t="s">
        <v>32930</v>
      </c>
      <c r="O3807" t="s">
        <v>25</v>
      </c>
      <c r="P3807" t="s">
        <v>32931</v>
      </c>
      <c r="Q3807" t="s">
        <v>29</v>
      </c>
      <c r="R3807" t="s">
        <v>32927</v>
      </c>
      <c r="S3807" t="s">
        <v>32928</v>
      </c>
    </row>
    <row r="3808" spans="1:19" x14ac:dyDescent="0.25">
      <c r="A3808" s="1">
        <v>3806</v>
      </c>
      <c r="B3808" t="str">
        <f>HYPERLINK("https://www.dasschnelle.at/cerenko-kg-freistadt-kaplanstraße","Website")</f>
        <v>Website</v>
      </c>
      <c r="C3808" t="str">
        <f>HYPERLINK("http://www.cerenko.at","Website")</f>
        <v>Website</v>
      </c>
      <c r="D3808" t="str">
        <f>HYPERLINK("http://www.google.com/maps/place/48.49452,14.50329","Location")</f>
        <v>Location</v>
      </c>
      <c r="E3808" t="s">
        <v>32932</v>
      </c>
      <c r="F3808" t="s">
        <v>32933</v>
      </c>
      <c r="G3808" t="s">
        <v>6891</v>
      </c>
      <c r="H3808" t="s">
        <v>6892</v>
      </c>
      <c r="I3808" t="s">
        <v>85</v>
      </c>
      <c r="J3808" t="s">
        <v>22</v>
      </c>
      <c r="K3808" t="s">
        <v>4008</v>
      </c>
      <c r="L3808" t="s">
        <v>32936</v>
      </c>
      <c r="M3808" t="s">
        <v>32937</v>
      </c>
      <c r="N3808" t="s">
        <v>32938</v>
      </c>
      <c r="O3808" t="s">
        <v>25</v>
      </c>
      <c r="P3808" t="s">
        <v>32939</v>
      </c>
      <c r="Q3808" t="s">
        <v>29</v>
      </c>
      <c r="R3808" t="s">
        <v>32934</v>
      </c>
      <c r="S3808" t="s">
        <v>32935</v>
      </c>
    </row>
    <row r="3809" spans="1:19" x14ac:dyDescent="0.25">
      <c r="A3809" s="1">
        <v>3807</v>
      </c>
      <c r="B3809" t="str">
        <f>HYPERLINK("https://www.dasschnelle.at/zenz-gerhard-dr-mondsee-rainerstraße","Website")</f>
        <v>Website</v>
      </c>
      <c r="C3809" t="str">
        <f>HYPERLINK("http://www.rechtsanwalt-zenz.at","Website")</f>
        <v>Website</v>
      </c>
      <c r="D3809" t="str">
        <f>HYPERLINK("http://www.google.com/maps/place/47.85452,13.34741","Location")</f>
        <v>Location</v>
      </c>
      <c r="E3809" t="s">
        <v>32940</v>
      </c>
      <c r="F3809" t="s">
        <v>32941</v>
      </c>
      <c r="G3809" t="s">
        <v>6543</v>
      </c>
      <c r="H3809" t="s">
        <v>6544</v>
      </c>
      <c r="I3809" t="s">
        <v>85</v>
      </c>
      <c r="J3809" t="s">
        <v>22</v>
      </c>
      <c r="K3809" t="s">
        <v>32942</v>
      </c>
      <c r="L3809" t="s">
        <v>32945</v>
      </c>
      <c r="M3809" t="s">
        <v>32946</v>
      </c>
      <c r="N3809" t="s">
        <v>32947</v>
      </c>
      <c r="O3809" t="s">
        <v>25</v>
      </c>
      <c r="P3809" t="s">
        <v>697</v>
      </c>
      <c r="Q3809" t="s">
        <v>29</v>
      </c>
      <c r="R3809" t="s">
        <v>32943</v>
      </c>
      <c r="S3809" t="s">
        <v>32944</v>
      </c>
    </row>
    <row r="3810" spans="1:19" x14ac:dyDescent="0.25">
      <c r="A3810" s="1">
        <v>3808</v>
      </c>
      <c r="B3810" t="str">
        <f>HYPERLINK("https://www.dasschnelle.at/taxi-krankentransporte-kastl-gerhard-sankt-oswald-bei-freistadt-am-steinhügel","Website")</f>
        <v>Website</v>
      </c>
      <c r="C3810" t="str">
        <f>HYPERLINK("http://www.taxigerhard.at","Website")</f>
        <v>Website</v>
      </c>
      <c r="D3810" t="str">
        <f>HYPERLINK("http://www.google.com/maps/place/48.50215,14.58288","Location")</f>
        <v>Location</v>
      </c>
      <c r="E3810" t="s">
        <v>32948</v>
      </c>
      <c r="F3810" t="s">
        <v>32949</v>
      </c>
      <c r="G3810" t="s">
        <v>26679</v>
      </c>
      <c r="H3810" t="s">
        <v>26680</v>
      </c>
      <c r="I3810" t="s">
        <v>85</v>
      </c>
      <c r="J3810" t="s">
        <v>22</v>
      </c>
      <c r="K3810" t="s">
        <v>32950</v>
      </c>
      <c r="L3810" t="s">
        <v>32953</v>
      </c>
      <c r="M3810" t="s">
        <v>25</v>
      </c>
      <c r="N3810" t="s">
        <v>32954</v>
      </c>
      <c r="O3810" t="s">
        <v>25</v>
      </c>
      <c r="P3810" t="s">
        <v>32955</v>
      </c>
      <c r="Q3810" t="s">
        <v>29</v>
      </c>
      <c r="R3810" t="s">
        <v>32951</v>
      </c>
      <c r="S3810" t="s">
        <v>32952</v>
      </c>
    </row>
    <row r="3811" spans="1:19" x14ac:dyDescent="0.25">
      <c r="A3811" s="1">
        <v>3809</v>
      </c>
      <c r="B3811" t="str">
        <f>HYPERLINK("https://www.dasschnelle.at/fahrschule-ing-franz-dieter-auböck-e-u-freistadt-linzer-straße","Website")</f>
        <v>Website</v>
      </c>
      <c r="C3811" t="str">
        <f>HYPERLINK("http://www.ps-academy.at","Website")</f>
        <v>Website</v>
      </c>
      <c r="D3811" t="str">
        <f>HYPERLINK("http://www.google.com/maps/place/48.50183,14.50247","Location")</f>
        <v>Location</v>
      </c>
      <c r="E3811" t="s">
        <v>32956</v>
      </c>
      <c r="F3811" t="s">
        <v>32957</v>
      </c>
      <c r="G3811" t="s">
        <v>6891</v>
      </c>
      <c r="H3811" t="s">
        <v>6892</v>
      </c>
      <c r="I3811" t="s">
        <v>85</v>
      </c>
      <c r="J3811" t="s">
        <v>22</v>
      </c>
      <c r="K3811" t="s">
        <v>32958</v>
      </c>
      <c r="L3811" t="s">
        <v>32961</v>
      </c>
      <c r="M3811" t="s">
        <v>25</v>
      </c>
      <c r="N3811" t="s">
        <v>32962</v>
      </c>
      <c r="O3811" t="s">
        <v>25</v>
      </c>
      <c r="P3811" t="s">
        <v>32963</v>
      </c>
      <c r="Q3811" t="s">
        <v>29</v>
      </c>
      <c r="R3811" t="s">
        <v>32959</v>
      </c>
      <c r="S3811" t="s">
        <v>32960</v>
      </c>
    </row>
    <row r="3812" spans="1:19" x14ac:dyDescent="0.25">
      <c r="A3812" s="1">
        <v>3810</v>
      </c>
      <c r="B3812" t="str">
        <f>HYPERLINK("https://www.dasschnelle.at/mayrhofer-elisabeth-innerschwand-loibichl","Website")</f>
        <v>Website</v>
      </c>
      <c r="C3812" t="str">
        <f>HYPERLINK("https://www.dasschnelle.at/mayrhofer-elisabeth-innerschwand-loibichl","Website")</f>
        <v>Website</v>
      </c>
      <c r="D3812" t="str">
        <f>HYPERLINK("http://www.google.com/maps/place/47.82976,13.40636","Location")</f>
        <v>Location</v>
      </c>
      <c r="E3812" t="s">
        <v>32964</v>
      </c>
      <c r="F3812" t="s">
        <v>32965</v>
      </c>
      <c r="G3812" t="s">
        <v>26711</v>
      </c>
      <c r="H3812" t="s">
        <v>26712</v>
      </c>
      <c r="I3812" t="s">
        <v>85</v>
      </c>
      <c r="J3812" t="s">
        <v>22</v>
      </c>
      <c r="K3812" t="s">
        <v>32966</v>
      </c>
      <c r="L3812" t="s">
        <v>32969</v>
      </c>
      <c r="M3812" t="s">
        <v>25</v>
      </c>
      <c r="N3812" t="s">
        <v>32970</v>
      </c>
      <c r="O3812" t="s">
        <v>25</v>
      </c>
      <c r="P3812" t="s">
        <v>32971</v>
      </c>
      <c r="Q3812" t="s">
        <v>29</v>
      </c>
      <c r="R3812" t="s">
        <v>32967</v>
      </c>
      <c r="S3812" t="s">
        <v>32968</v>
      </c>
    </row>
    <row r="3813" spans="1:19" x14ac:dyDescent="0.25">
      <c r="A3813" s="1">
        <v>3811</v>
      </c>
      <c r="B3813" t="str">
        <f>HYPERLINK("https://www.dasschnelle.at/mkb-fensterhandelsgesmbh-markt-übelbach-alter-markt","Website")</f>
        <v>Website</v>
      </c>
      <c r="C3813" t="str">
        <f>HYPERLINK("http://www.mkb-fenster.at","Website")</f>
        <v>Website</v>
      </c>
      <c r="D3813" t="str">
        <f>HYPERLINK("http://www.google.com/maps/place/47.22675,15.23476","Location")</f>
        <v>Location</v>
      </c>
      <c r="E3813" t="s">
        <v>32972</v>
      </c>
      <c r="F3813" t="s">
        <v>32973</v>
      </c>
      <c r="G3813" t="s">
        <v>24482</v>
      </c>
      <c r="H3813" t="s">
        <v>24483</v>
      </c>
      <c r="I3813" t="s">
        <v>451</v>
      </c>
      <c r="J3813" t="s">
        <v>22</v>
      </c>
      <c r="K3813" t="s">
        <v>32974</v>
      </c>
      <c r="L3813" t="s">
        <v>32977</v>
      </c>
      <c r="M3813" t="s">
        <v>25</v>
      </c>
      <c r="N3813" t="s">
        <v>32978</v>
      </c>
      <c r="O3813" t="s">
        <v>25</v>
      </c>
      <c r="P3813" t="s">
        <v>32979</v>
      </c>
      <c r="Q3813" t="s">
        <v>29</v>
      </c>
      <c r="R3813" t="s">
        <v>32975</v>
      </c>
      <c r="S3813" t="s">
        <v>32976</v>
      </c>
    </row>
    <row r="3814" spans="1:19" x14ac:dyDescent="0.25">
      <c r="A3814" s="1">
        <v>3812</v>
      </c>
      <c r="B3814" t="str">
        <f>HYPERLINK("https://www.dasschnelle.at/weberberger-uta-dr-mondsee-pflegerstraße","Website")</f>
        <v>Website</v>
      </c>
      <c r="C3814" t="str">
        <f>HYPERLINK("http://www.mondsee-zahnarzt.at","Website")</f>
        <v>Website</v>
      </c>
      <c r="D3814" t="str">
        <f>HYPERLINK("http://www.google.com/maps/place/47.8559100,13.3478800","Location")</f>
        <v>Location</v>
      </c>
      <c r="E3814" t="s">
        <v>32980</v>
      </c>
      <c r="F3814" t="s">
        <v>32981</v>
      </c>
      <c r="G3814" t="s">
        <v>6543</v>
      </c>
      <c r="H3814" t="s">
        <v>6544</v>
      </c>
      <c r="I3814" t="s">
        <v>85</v>
      </c>
      <c r="J3814" t="s">
        <v>22</v>
      </c>
      <c r="K3814" t="s">
        <v>32982</v>
      </c>
      <c r="L3814" t="s">
        <v>32985</v>
      </c>
      <c r="M3814" t="s">
        <v>25</v>
      </c>
      <c r="N3814" t="s">
        <v>32986</v>
      </c>
      <c r="O3814" t="s">
        <v>32987</v>
      </c>
      <c r="P3814" t="s">
        <v>32988</v>
      </c>
      <c r="Q3814" t="s">
        <v>29</v>
      </c>
      <c r="R3814" t="s">
        <v>32983</v>
      </c>
      <c r="S3814" t="s">
        <v>32984</v>
      </c>
    </row>
    <row r="3815" spans="1:19" x14ac:dyDescent="0.25">
      <c r="A3815" s="1">
        <v>3813</v>
      </c>
      <c r="B3815" t="str">
        <f>HYPERLINK("https://www.dasschnelle.at/sobitsch-bau-und-holz-handel-gmbh-semriach-schulstraße","Website")</f>
        <v>Website</v>
      </c>
      <c r="C3815" t="str">
        <f>HYPERLINK("http://www.sobi.at","Website")</f>
        <v>Website</v>
      </c>
      <c r="D3815" t="str">
        <f>HYPERLINK("http://www.google.com/maps/place/47.20367,15.37471","Location")</f>
        <v>Location</v>
      </c>
      <c r="E3815" t="s">
        <v>32989</v>
      </c>
      <c r="F3815" t="s">
        <v>32990</v>
      </c>
      <c r="G3815" t="s">
        <v>7920</v>
      </c>
      <c r="H3815" t="s">
        <v>32685</v>
      </c>
      <c r="I3815" t="s">
        <v>451</v>
      </c>
      <c r="J3815" t="s">
        <v>22</v>
      </c>
      <c r="K3815" t="s">
        <v>32991</v>
      </c>
      <c r="L3815" t="s">
        <v>32994</v>
      </c>
      <c r="M3815" t="s">
        <v>25</v>
      </c>
      <c r="N3815" t="s">
        <v>32995</v>
      </c>
      <c r="O3815" t="s">
        <v>32996</v>
      </c>
      <c r="P3815" t="s">
        <v>32997</v>
      </c>
      <c r="Q3815" t="s">
        <v>29</v>
      </c>
      <c r="R3815" t="s">
        <v>32992</v>
      </c>
      <c r="S3815" t="s">
        <v>32993</v>
      </c>
    </row>
    <row r="3816" spans="1:19" x14ac:dyDescent="0.25">
      <c r="A3816" s="1">
        <v>3814</v>
      </c>
      <c r="B3816" t="str">
        <f>HYPERLINK("https://www.dasschnelle.at/schmidt-günter-schärding-pramhöhe","Website")</f>
        <v>Website</v>
      </c>
      <c r="C3816" t="str">
        <f>HYPERLINK("http://www.gesundheitspraxis-schu00e4rding.at","Website")</f>
        <v>Website</v>
      </c>
      <c r="D3816" t="str">
        <f>HYPERLINK("http://www.google.com/maps/place/48.45663,13.43757","Location")</f>
        <v>Location</v>
      </c>
      <c r="E3816" t="s">
        <v>32998</v>
      </c>
      <c r="F3816" t="s">
        <v>32999</v>
      </c>
      <c r="G3816" t="s">
        <v>8850</v>
      </c>
      <c r="H3816" t="s">
        <v>8851</v>
      </c>
      <c r="I3816" t="s">
        <v>85</v>
      </c>
      <c r="J3816" t="s">
        <v>22</v>
      </c>
      <c r="K3816" t="s">
        <v>33000</v>
      </c>
      <c r="L3816" t="s">
        <v>33003</v>
      </c>
      <c r="M3816" t="s">
        <v>25</v>
      </c>
      <c r="N3816" t="s">
        <v>33004</v>
      </c>
      <c r="O3816" t="s">
        <v>25</v>
      </c>
      <c r="P3816" t="s">
        <v>33005</v>
      </c>
      <c r="Q3816" t="s">
        <v>29</v>
      </c>
      <c r="R3816" t="s">
        <v>33001</v>
      </c>
      <c r="S3816" t="s">
        <v>33002</v>
      </c>
    </row>
    <row r="3817" spans="1:19" x14ac:dyDescent="0.25">
      <c r="A3817" s="1">
        <v>3815</v>
      </c>
      <c r="B3817" t="str">
        <f>HYPERLINK("https://www.dasschnelle.at/textil-auer-josef-landeck-malserstraße","Website")</f>
        <v>Website</v>
      </c>
      <c r="C3817" t="str">
        <f>HYPERLINK("https://www.dasschnelle.at/textil-auer-josef-landeck-malserstra%C3%9Fe","Website")</f>
        <v>Website</v>
      </c>
      <c r="D3817" t="str">
        <f>HYPERLINK("http://www.google.com/maps/place/47.13821,10.56694","Location")</f>
        <v>Location</v>
      </c>
      <c r="E3817" t="s">
        <v>33006</v>
      </c>
      <c r="F3817" t="s">
        <v>33007</v>
      </c>
      <c r="G3817" t="s">
        <v>1279</v>
      </c>
      <c r="H3817" t="s">
        <v>1280</v>
      </c>
      <c r="I3817" t="s">
        <v>21</v>
      </c>
      <c r="J3817" t="s">
        <v>22</v>
      </c>
      <c r="K3817" t="s">
        <v>33008</v>
      </c>
      <c r="L3817" t="s">
        <v>33011</v>
      </c>
      <c r="M3817" t="s">
        <v>25</v>
      </c>
      <c r="N3817" t="s">
        <v>33012</v>
      </c>
      <c r="O3817" t="s">
        <v>25</v>
      </c>
      <c r="P3817" t="s">
        <v>33013</v>
      </c>
      <c r="Q3817" t="s">
        <v>29</v>
      </c>
      <c r="R3817" t="s">
        <v>33009</v>
      </c>
      <c r="S3817" t="s">
        <v>33010</v>
      </c>
    </row>
    <row r="3818" spans="1:19" x14ac:dyDescent="0.25">
      <c r="A3818" s="1">
        <v>3816</v>
      </c>
      <c r="B3818" t="str">
        <f>HYPERLINK("https://www.dasschnelle.at/hingsamer-gerhard-st-florian-am-inn-bubing","Website")</f>
        <v>Website</v>
      </c>
      <c r="C3818" t="str">
        <f>HYPERLINK("https://www.dasschnelle.at/hingsamer-gerhard-st-florian-am-inn-bubing","Website")</f>
        <v>Website</v>
      </c>
      <c r="D3818" t="str">
        <f>HYPERLINK("http://www.google.com/maps/place/48.4529680,13.4618204","Location")</f>
        <v>Location</v>
      </c>
      <c r="E3818" t="s">
        <v>33014</v>
      </c>
      <c r="F3818" t="s">
        <v>33015</v>
      </c>
      <c r="G3818" t="s">
        <v>24520</v>
      </c>
      <c r="H3818" t="s">
        <v>24521</v>
      </c>
      <c r="I3818" t="s">
        <v>85</v>
      </c>
      <c r="J3818" t="s">
        <v>22</v>
      </c>
      <c r="K3818" t="s">
        <v>33016</v>
      </c>
      <c r="L3818" t="s">
        <v>33019</v>
      </c>
      <c r="M3818" t="s">
        <v>25</v>
      </c>
      <c r="N3818" t="s">
        <v>25</v>
      </c>
      <c r="O3818" t="s">
        <v>25</v>
      </c>
      <c r="P3818" t="s">
        <v>33020</v>
      </c>
      <c r="Q3818" t="s">
        <v>29</v>
      </c>
      <c r="R3818" t="s">
        <v>33017</v>
      </c>
      <c r="S3818" t="s">
        <v>33018</v>
      </c>
    </row>
    <row r="3819" spans="1:19" x14ac:dyDescent="0.25">
      <c r="A3819" s="1">
        <v>3817</v>
      </c>
      <c r="B3819" t="str">
        <f>HYPERLINK("https://www.dasschnelle.at/putzenbacher-angelika-mag-med-vet-andorf-hauptstraße","Website")</f>
        <v>Website</v>
      </c>
      <c r="C3819" t="str">
        <f>HYPERLINK("http://www.kleintier-praxis.at","Website")</f>
        <v>Website</v>
      </c>
      <c r="D3819" t="str">
        <f>HYPERLINK("http://www.google.com/maps/place/48.36918,13.57029","Location")</f>
        <v>Location</v>
      </c>
      <c r="E3819" t="s">
        <v>33021</v>
      </c>
      <c r="F3819" t="s">
        <v>33022</v>
      </c>
      <c r="G3819" t="s">
        <v>26299</v>
      </c>
      <c r="H3819" t="s">
        <v>26300</v>
      </c>
      <c r="I3819" t="s">
        <v>85</v>
      </c>
      <c r="J3819" t="s">
        <v>22</v>
      </c>
      <c r="K3819" t="s">
        <v>6788</v>
      </c>
      <c r="L3819" t="s">
        <v>33025</v>
      </c>
      <c r="M3819" t="s">
        <v>25</v>
      </c>
      <c r="N3819" t="s">
        <v>33026</v>
      </c>
      <c r="O3819" t="s">
        <v>33027</v>
      </c>
      <c r="P3819" t="s">
        <v>33028</v>
      </c>
      <c r="Q3819" t="s">
        <v>29</v>
      </c>
      <c r="R3819" t="s">
        <v>33023</v>
      </c>
      <c r="S3819" t="s">
        <v>33024</v>
      </c>
    </row>
    <row r="3820" spans="1:19" x14ac:dyDescent="0.25">
      <c r="A3820" s="1">
        <v>3818</v>
      </c>
      <c r="B3820" t="str">
        <f>HYPERLINK("https://www.dasschnelle.at/geist-helmut-dr-med-unterach-hauptplatz","Website")</f>
        <v>Website</v>
      </c>
      <c r="C3820" t="str">
        <f>HYPERLINK("https://www.dasschnelle.at/geist-helmut-dr-med-unterach-hauptplatz","Website")</f>
        <v>Website</v>
      </c>
      <c r="D3820" t="str">
        <f>HYPERLINK("http://www.google.com/maps/place/47.8046000,13.4887800","Location")</f>
        <v>Location</v>
      </c>
      <c r="E3820" t="s">
        <v>33029</v>
      </c>
      <c r="F3820" t="s">
        <v>33030</v>
      </c>
      <c r="G3820" t="s">
        <v>10978</v>
      </c>
      <c r="H3820" t="s">
        <v>10979</v>
      </c>
      <c r="I3820" t="s">
        <v>85</v>
      </c>
      <c r="J3820" t="s">
        <v>22</v>
      </c>
      <c r="K3820" t="s">
        <v>1778</v>
      </c>
      <c r="L3820" t="s">
        <v>33033</v>
      </c>
      <c r="M3820" t="s">
        <v>25</v>
      </c>
      <c r="N3820" t="s">
        <v>33034</v>
      </c>
      <c r="O3820" t="s">
        <v>25</v>
      </c>
      <c r="P3820" t="s">
        <v>33035</v>
      </c>
      <c r="Q3820" t="s">
        <v>29</v>
      </c>
      <c r="R3820" t="s">
        <v>33031</v>
      </c>
      <c r="S3820" t="s">
        <v>33032</v>
      </c>
    </row>
    <row r="3821" spans="1:19" x14ac:dyDescent="0.25">
      <c r="A3821" s="1">
        <v>3819</v>
      </c>
      <c r="B3821" t="str">
        <f>HYPERLINK("https://www.dasschnelle.at/fill-metallbau-schärding-gmbh-schnelldorf-schnelldorf","Website")</f>
        <v>Website</v>
      </c>
      <c r="C3821" t="str">
        <f>HYPERLINK("http://www.fill-metallbau.at","Website")</f>
        <v>Website</v>
      </c>
      <c r="D3821" t="str">
        <f>HYPERLINK("http://www.google.com/maps/place/48.4200817,13.4381778","Location")</f>
        <v>Location</v>
      </c>
      <c r="E3821" t="s">
        <v>33036</v>
      </c>
      <c r="F3821" t="s">
        <v>33037</v>
      </c>
      <c r="G3821" t="s">
        <v>28484</v>
      </c>
      <c r="H3821" t="s">
        <v>33039</v>
      </c>
      <c r="I3821" t="s">
        <v>85</v>
      </c>
      <c r="J3821" t="s">
        <v>22</v>
      </c>
      <c r="K3821" t="s">
        <v>33038</v>
      </c>
      <c r="L3821" t="s">
        <v>33042</v>
      </c>
      <c r="M3821" t="s">
        <v>25</v>
      </c>
      <c r="N3821" t="s">
        <v>33043</v>
      </c>
      <c r="O3821" t="s">
        <v>25</v>
      </c>
      <c r="P3821" t="s">
        <v>33044</v>
      </c>
      <c r="Q3821" t="s">
        <v>29</v>
      </c>
      <c r="R3821" t="s">
        <v>33040</v>
      </c>
      <c r="S3821" t="s">
        <v>33041</v>
      </c>
    </row>
    <row r="3822" spans="1:19" x14ac:dyDescent="0.25">
      <c r="A3822" s="1">
        <v>3820</v>
      </c>
      <c r="B3822" t="str">
        <f>HYPERLINK("https://www.dasschnelle.at/apotheke-zum-schwarzen-adler-mag-hölzl-kg-zwettl-hauptplatz","Website")</f>
        <v>Website</v>
      </c>
      <c r="C3822" t="str">
        <f>HYPERLINK("http://www.apotheke-zwettl.at","Website")</f>
        <v>Website</v>
      </c>
      <c r="D3822" t="str">
        <f>HYPERLINK("http://www.google.com/maps/place/48.60381,15.16837","Location")</f>
        <v>Location</v>
      </c>
      <c r="E3822" t="s">
        <v>33045</v>
      </c>
      <c r="F3822" t="s">
        <v>33046</v>
      </c>
      <c r="G3822" t="s">
        <v>10518</v>
      </c>
      <c r="H3822" t="s">
        <v>10791</v>
      </c>
      <c r="I3822" t="s">
        <v>177</v>
      </c>
      <c r="J3822" t="s">
        <v>22</v>
      </c>
      <c r="K3822" t="s">
        <v>15441</v>
      </c>
      <c r="L3822" t="s">
        <v>33049</v>
      </c>
      <c r="M3822" t="s">
        <v>25</v>
      </c>
      <c r="N3822" t="s">
        <v>33050</v>
      </c>
      <c r="O3822" t="s">
        <v>25</v>
      </c>
      <c r="P3822" t="s">
        <v>33051</v>
      </c>
      <c r="Q3822" t="s">
        <v>29</v>
      </c>
      <c r="R3822" t="s">
        <v>33047</v>
      </c>
      <c r="S3822" t="s">
        <v>33048</v>
      </c>
    </row>
    <row r="3823" spans="1:19" x14ac:dyDescent="0.25">
      <c r="A3823" s="1">
        <v>3821</v>
      </c>
      <c r="B3823" t="str">
        <f>HYPERLINK("https://www.dasschnelle.at/fasthuber-gesmbh-sankt-florian-am-inn-sankt-florian","Website")</f>
        <v>Website</v>
      </c>
      <c r="C3823" t="str">
        <f>HYPERLINK("http://www.fasthuber.at","Website")</f>
        <v>Website</v>
      </c>
      <c r="D3823" t="str">
        <f>HYPERLINK("http://www.google.com/maps/place/48.4432800,13.4406961","Location")</f>
        <v>Location</v>
      </c>
      <c r="E3823" t="s">
        <v>33052</v>
      </c>
      <c r="F3823" t="s">
        <v>33053</v>
      </c>
      <c r="G3823" t="s">
        <v>24520</v>
      </c>
      <c r="H3823" t="s">
        <v>33055</v>
      </c>
      <c r="I3823" t="s">
        <v>85</v>
      </c>
      <c r="J3823" t="s">
        <v>22</v>
      </c>
      <c r="K3823" t="s">
        <v>33054</v>
      </c>
      <c r="L3823" t="s">
        <v>33058</v>
      </c>
      <c r="M3823" t="s">
        <v>25</v>
      </c>
      <c r="N3823" t="s">
        <v>33059</v>
      </c>
      <c r="O3823" t="s">
        <v>25</v>
      </c>
      <c r="P3823" t="s">
        <v>33060</v>
      </c>
      <c r="Q3823" t="s">
        <v>29</v>
      </c>
      <c r="R3823" t="s">
        <v>33056</v>
      </c>
      <c r="S3823" t="s">
        <v>33057</v>
      </c>
    </row>
    <row r="3824" spans="1:19" x14ac:dyDescent="0.25">
      <c r="A3824" s="1">
        <v>3822</v>
      </c>
      <c r="B3824" t="str">
        <f>HYPERLINK("https://www.dasschnelle.at/auto-stockinger-gmbh-mazda-vertragshändler-rainbach-im-mühlkreis-freistädter-straße","Website")</f>
        <v>Website</v>
      </c>
      <c r="C3824" t="str">
        <f>HYPERLINK("http://www.auto-stockinger.at","Website")</f>
        <v>Website</v>
      </c>
      <c r="D3824" t="str">
        <f>HYPERLINK("http://www.google.com/maps/place/48.55452,14.48001","Location")</f>
        <v>Location</v>
      </c>
      <c r="E3824" t="s">
        <v>33061</v>
      </c>
      <c r="F3824" t="s">
        <v>33062</v>
      </c>
      <c r="G3824" t="s">
        <v>10800</v>
      </c>
      <c r="H3824" t="s">
        <v>10801</v>
      </c>
      <c r="I3824" t="s">
        <v>85</v>
      </c>
      <c r="J3824" t="s">
        <v>22</v>
      </c>
      <c r="K3824" t="s">
        <v>33063</v>
      </c>
      <c r="L3824" t="s">
        <v>33066</v>
      </c>
      <c r="M3824" t="s">
        <v>33067</v>
      </c>
      <c r="N3824" t="s">
        <v>33068</v>
      </c>
      <c r="O3824" t="s">
        <v>25</v>
      </c>
      <c r="P3824" t="s">
        <v>33069</v>
      </c>
      <c r="Q3824" t="s">
        <v>29</v>
      </c>
      <c r="R3824" t="s">
        <v>33064</v>
      </c>
      <c r="S3824" t="s">
        <v>33065</v>
      </c>
    </row>
    <row r="3825" spans="1:19" x14ac:dyDescent="0.25">
      <c r="A3825" s="1">
        <v>3823</v>
      </c>
      <c r="B3825" t="str">
        <f>HYPERLINK("https://www.dasschnelle.at/biebl-bernhard-sandl-sandl","Website")</f>
        <v>Website</v>
      </c>
      <c r="C3825" t="str">
        <f>HYPERLINK("http://www.trauerberatung.at","Website")</f>
        <v>Website</v>
      </c>
      <c r="D3825" t="str">
        <f>HYPERLINK("http://www.google.com/maps/place/48.5603071,14.6439945","Location")</f>
        <v>Location</v>
      </c>
      <c r="E3825" t="s">
        <v>33070</v>
      </c>
      <c r="F3825" t="s">
        <v>33071</v>
      </c>
      <c r="G3825" t="s">
        <v>33073</v>
      </c>
      <c r="H3825" t="s">
        <v>33074</v>
      </c>
      <c r="I3825" t="s">
        <v>85</v>
      </c>
      <c r="J3825" t="s">
        <v>22</v>
      </c>
      <c r="K3825" t="s">
        <v>33072</v>
      </c>
      <c r="L3825" t="s">
        <v>33077</v>
      </c>
      <c r="M3825" t="s">
        <v>25</v>
      </c>
      <c r="N3825" t="s">
        <v>33078</v>
      </c>
      <c r="O3825" t="s">
        <v>25</v>
      </c>
      <c r="P3825" t="s">
        <v>33079</v>
      </c>
      <c r="Q3825" t="s">
        <v>29</v>
      </c>
      <c r="R3825" t="s">
        <v>33075</v>
      </c>
      <c r="S3825" t="s">
        <v>33076</v>
      </c>
    </row>
    <row r="3826" spans="1:19" x14ac:dyDescent="0.25">
      <c r="A3826" s="1">
        <v>3824</v>
      </c>
      <c r="B3826" t="str">
        <f>HYPERLINK("https://www.dasschnelle.at/yixiao-ma-freistadt-salzgasse","Website")</f>
        <v>Website</v>
      </c>
      <c r="C3826" t="str">
        <f>HYPERLINK("https://www.dasschnelle.at/yixiao-ma-freistadt-salzgasse","Website")</f>
        <v>Website</v>
      </c>
      <c r="D3826" t="str">
        <f>HYPERLINK("http://www.google.com/maps/place/48.5114700,14.5029800","Location")</f>
        <v>Location</v>
      </c>
      <c r="E3826" t="s">
        <v>33080</v>
      </c>
      <c r="F3826" t="s">
        <v>33081</v>
      </c>
      <c r="G3826" t="s">
        <v>6891</v>
      </c>
      <c r="H3826" t="s">
        <v>6892</v>
      </c>
      <c r="I3826" t="s">
        <v>85</v>
      </c>
      <c r="J3826" t="s">
        <v>22</v>
      </c>
      <c r="K3826" t="s">
        <v>33082</v>
      </c>
      <c r="L3826" t="s">
        <v>33085</v>
      </c>
      <c r="M3826" t="s">
        <v>25</v>
      </c>
      <c r="N3826" t="s">
        <v>33086</v>
      </c>
      <c r="O3826" t="s">
        <v>25</v>
      </c>
      <c r="P3826" t="s">
        <v>33087</v>
      </c>
      <c r="Q3826" t="s">
        <v>29</v>
      </c>
      <c r="R3826" t="s">
        <v>33083</v>
      </c>
      <c r="S3826" t="s">
        <v>33084</v>
      </c>
    </row>
    <row r="3827" spans="1:19" x14ac:dyDescent="0.25">
      <c r="A3827" s="1">
        <v>3825</v>
      </c>
      <c r="B3827" t="str">
        <f>HYPERLINK("https://www.dasschnelle.at/zeng-und-fischer-og-asia-restaurant-panda-freistadt-linzer-straße","Website")</f>
        <v>Website</v>
      </c>
      <c r="C3827" t="str">
        <f>HYPERLINK("http://www.chinarestaurant-freistadt.at","Website")</f>
        <v>Website</v>
      </c>
      <c r="D3827" t="str">
        <f>HYPERLINK("http://www.google.com/maps/place/48.49856,14.50427","Location")</f>
        <v>Location</v>
      </c>
      <c r="E3827" t="s">
        <v>33088</v>
      </c>
      <c r="F3827" t="s">
        <v>33089</v>
      </c>
      <c r="G3827" t="s">
        <v>6891</v>
      </c>
      <c r="H3827" t="s">
        <v>6892</v>
      </c>
      <c r="I3827" t="s">
        <v>85</v>
      </c>
      <c r="J3827" t="s">
        <v>22</v>
      </c>
      <c r="K3827" t="s">
        <v>33090</v>
      </c>
      <c r="L3827" t="s">
        <v>33093</v>
      </c>
      <c r="M3827" t="s">
        <v>25</v>
      </c>
      <c r="N3827" t="s">
        <v>33094</v>
      </c>
      <c r="O3827" t="s">
        <v>25</v>
      </c>
      <c r="P3827" t="s">
        <v>33095</v>
      </c>
      <c r="Q3827" t="s">
        <v>29</v>
      </c>
      <c r="R3827" t="s">
        <v>33091</v>
      </c>
      <c r="S3827" t="s">
        <v>33092</v>
      </c>
    </row>
    <row r="3828" spans="1:19" x14ac:dyDescent="0.25">
      <c r="A3828" s="1">
        <v>3826</v>
      </c>
      <c r="B3828" t="str">
        <f>HYPERLINK("https://www.dasschnelle.at/elektro-pachner-gesellschaft-m-b-h-freistadt-industriestraße","Website")</f>
        <v>Website</v>
      </c>
      <c r="C3828" t="str">
        <f>HYPERLINK("http://www.elektro-pachner.at","Website")</f>
        <v>Website</v>
      </c>
      <c r="D3828" t="str">
        <f>HYPERLINK("http://www.google.com/maps/place/48.49707,14.499","Location")</f>
        <v>Location</v>
      </c>
      <c r="E3828" t="s">
        <v>33096</v>
      </c>
      <c r="F3828" t="s">
        <v>33097</v>
      </c>
      <c r="G3828" t="s">
        <v>6891</v>
      </c>
      <c r="H3828" t="s">
        <v>6892</v>
      </c>
      <c r="I3828" t="s">
        <v>85</v>
      </c>
      <c r="J3828" t="s">
        <v>22</v>
      </c>
      <c r="K3828" t="s">
        <v>33098</v>
      </c>
      <c r="L3828" t="s">
        <v>33101</v>
      </c>
      <c r="M3828" t="s">
        <v>25</v>
      </c>
      <c r="N3828" t="s">
        <v>33102</v>
      </c>
      <c r="O3828" t="s">
        <v>33103</v>
      </c>
      <c r="P3828" t="s">
        <v>33104</v>
      </c>
      <c r="Q3828" t="s">
        <v>29</v>
      </c>
      <c r="R3828" t="s">
        <v>33099</v>
      </c>
      <c r="S3828" t="s">
        <v>33100</v>
      </c>
    </row>
    <row r="3829" spans="1:19" x14ac:dyDescent="0.25">
      <c r="A3829" s="1">
        <v>3827</v>
      </c>
      <c r="B3829" t="str">
        <f>HYPERLINK("https://www.dasschnelle.at/fruhmann-klaus-rein-hörgas","Website")</f>
        <v>Website</v>
      </c>
      <c r="C3829" t="str">
        <f>HYPERLINK("http://www.tischlerweltmeister.at","Website")</f>
        <v>Website</v>
      </c>
      <c r="D3829" t="str">
        <f>HYPERLINK("http://www.google.com/maps/place/47.1426075,15.2935104","Location")</f>
        <v>Location</v>
      </c>
      <c r="E3829" t="s">
        <v>33105</v>
      </c>
      <c r="F3829" t="s">
        <v>33106</v>
      </c>
      <c r="G3829" t="s">
        <v>33108</v>
      </c>
      <c r="H3829" t="s">
        <v>33109</v>
      </c>
      <c r="I3829" t="s">
        <v>451</v>
      </c>
      <c r="J3829" t="s">
        <v>22</v>
      </c>
      <c r="K3829" t="s">
        <v>33107</v>
      </c>
      <c r="L3829" t="s">
        <v>33112</v>
      </c>
      <c r="M3829" t="s">
        <v>25</v>
      </c>
      <c r="N3829" t="s">
        <v>33113</v>
      </c>
      <c r="O3829" t="s">
        <v>25</v>
      </c>
      <c r="P3829" t="s">
        <v>33114</v>
      </c>
      <c r="Q3829" t="s">
        <v>29</v>
      </c>
      <c r="R3829" t="s">
        <v>33110</v>
      </c>
      <c r="S3829" t="s">
        <v>33111</v>
      </c>
    </row>
    <row r="3830" spans="1:19" x14ac:dyDescent="0.25">
      <c r="A3830" s="1">
        <v>3828</v>
      </c>
      <c r="B3830" t="str">
        <f>HYPERLINK("https://www.dasschnelle.at/beranek-gmbh-gratwein-straßengel-tallak","Website")</f>
        <v>Website</v>
      </c>
      <c r="C3830" t="str">
        <f>HYPERLINK("http://www.beranek-gmbh.at","Website")</f>
        <v>Website</v>
      </c>
      <c r="D3830" t="str">
        <f>HYPERLINK("http://www.google.com/maps/place/47.13242,15.28807","Location")</f>
        <v>Location</v>
      </c>
      <c r="E3830" t="s">
        <v>33115</v>
      </c>
      <c r="F3830" t="s">
        <v>33116</v>
      </c>
      <c r="G3830" t="s">
        <v>33108</v>
      </c>
      <c r="H3830" t="s">
        <v>9287</v>
      </c>
      <c r="I3830" t="s">
        <v>451</v>
      </c>
      <c r="J3830" t="s">
        <v>22</v>
      </c>
      <c r="K3830" t="s">
        <v>33117</v>
      </c>
      <c r="L3830" t="s">
        <v>33120</v>
      </c>
      <c r="M3830" t="s">
        <v>25</v>
      </c>
      <c r="N3830" t="s">
        <v>33121</v>
      </c>
      <c r="O3830" t="s">
        <v>25</v>
      </c>
      <c r="P3830" t="s">
        <v>33122</v>
      </c>
      <c r="Q3830" t="s">
        <v>29</v>
      </c>
      <c r="R3830" t="s">
        <v>33118</v>
      </c>
      <c r="S3830" t="s">
        <v>33119</v>
      </c>
    </row>
    <row r="3831" spans="1:19" x14ac:dyDescent="0.25">
      <c r="A3831" s="1">
        <v>3829</v>
      </c>
      <c r="B3831" t="str">
        <f>HYPERLINK("https://www.dasschnelle.at/marchl-stahlbau-gesmbh-gratwein-reiner-straße","Website")</f>
        <v>Website</v>
      </c>
      <c r="C3831" t="str">
        <f>HYPERLINK("http://www.marchl-stahlbau.at","Website")</f>
        <v>Website</v>
      </c>
      <c r="D3831" t="str">
        <f>HYPERLINK("http://www.google.com/maps/place/47.13051,15.31204","Location")</f>
        <v>Location</v>
      </c>
      <c r="E3831" t="s">
        <v>33123</v>
      </c>
      <c r="F3831" t="s">
        <v>33124</v>
      </c>
      <c r="G3831" t="s">
        <v>7864</v>
      </c>
      <c r="H3831" t="s">
        <v>7865</v>
      </c>
      <c r="I3831" t="s">
        <v>451</v>
      </c>
      <c r="J3831" t="s">
        <v>22</v>
      </c>
      <c r="K3831" t="s">
        <v>33125</v>
      </c>
      <c r="L3831" t="s">
        <v>33128</v>
      </c>
      <c r="M3831" t="s">
        <v>33129</v>
      </c>
      <c r="N3831" t="s">
        <v>33130</v>
      </c>
      <c r="O3831" t="s">
        <v>25</v>
      </c>
      <c r="P3831" t="s">
        <v>33131</v>
      </c>
      <c r="Q3831" t="s">
        <v>29</v>
      </c>
      <c r="R3831" t="s">
        <v>33126</v>
      </c>
      <c r="S3831" t="s">
        <v>33127</v>
      </c>
    </row>
    <row r="3832" spans="1:19" x14ac:dyDescent="0.25">
      <c r="A3832" s="1">
        <v>3830</v>
      </c>
      <c r="B3832" t="str">
        <f>HYPERLINK("https://www.dasschnelle.at/winter-nikolaus-gratkorn-sankt-stefaner-straße","Website")</f>
        <v>Website</v>
      </c>
      <c r="C3832" t="str">
        <f>HYPERLINK("https://www.dasschnelle.at/winter-nikolaus-gratkorn-sankt-stefaner-stra%C3%9Fe","Website")</f>
        <v>Website</v>
      </c>
      <c r="D3832" t="str">
        <f>HYPERLINK("http://www.google.com/maps/place/47.13356,15.3512","Location")</f>
        <v>Location</v>
      </c>
      <c r="E3832" t="s">
        <v>33132</v>
      </c>
      <c r="F3832" t="s">
        <v>33133</v>
      </c>
      <c r="G3832" t="s">
        <v>7958</v>
      </c>
      <c r="H3832" t="s">
        <v>7959</v>
      </c>
      <c r="I3832" t="s">
        <v>451</v>
      </c>
      <c r="J3832" t="s">
        <v>22</v>
      </c>
      <c r="K3832" t="s">
        <v>33134</v>
      </c>
      <c r="L3832" t="s">
        <v>33137</v>
      </c>
      <c r="M3832" t="s">
        <v>25</v>
      </c>
      <c r="N3832" t="s">
        <v>33138</v>
      </c>
      <c r="O3832" t="s">
        <v>33139</v>
      </c>
      <c r="P3832" t="s">
        <v>33140</v>
      </c>
      <c r="Q3832" t="s">
        <v>29</v>
      </c>
      <c r="R3832" t="s">
        <v>33135</v>
      </c>
      <c r="S3832" t="s">
        <v>33136</v>
      </c>
    </row>
    <row r="3833" spans="1:19" x14ac:dyDescent="0.25">
      <c r="A3833" s="1">
        <v>3831</v>
      </c>
      <c r="B3833" t="str">
        <f>HYPERLINK("https://www.dasschnelle.at/optiker-kontaktlinsen-hörgeräteakustiker-wimmer-wolfgang-mondsee-herzog-odilo-straße","Website")</f>
        <v>Website</v>
      </c>
      <c r="C3833" t="str">
        <f>HYPERLINK("http://www.wimmeroptik.at","Website")</f>
        <v>Website</v>
      </c>
      <c r="D3833" t="str">
        <f>HYPERLINK("http://www.google.com/maps/place/47.8576,13.34845","Location")</f>
        <v>Location</v>
      </c>
      <c r="E3833" t="s">
        <v>33141</v>
      </c>
      <c r="F3833" t="s">
        <v>33142</v>
      </c>
      <c r="G3833" t="s">
        <v>6543</v>
      </c>
      <c r="H3833" t="s">
        <v>6544</v>
      </c>
      <c r="I3833" t="s">
        <v>85</v>
      </c>
      <c r="J3833" t="s">
        <v>22</v>
      </c>
      <c r="K3833" t="s">
        <v>33143</v>
      </c>
      <c r="L3833" t="s">
        <v>33145</v>
      </c>
      <c r="M3833" t="s">
        <v>33146</v>
      </c>
      <c r="N3833" t="s">
        <v>33147</v>
      </c>
      <c r="O3833" t="s">
        <v>25</v>
      </c>
      <c r="P3833" t="s">
        <v>33148</v>
      </c>
      <c r="Q3833" t="s">
        <v>29</v>
      </c>
      <c r="R3833" t="s">
        <v>6545</v>
      </c>
      <c r="S3833" t="s">
        <v>33144</v>
      </c>
    </row>
    <row r="3834" spans="1:19" x14ac:dyDescent="0.25">
      <c r="A3834" s="1">
        <v>3832</v>
      </c>
      <c r="B3834" t="str">
        <f>HYPERLINK("https://www.dasschnelle.at/sesser-alois-gmbh-zell-am-moos-mondseer-straße","Website")</f>
        <v>Website</v>
      </c>
      <c r="C3834" t="str">
        <f>HYPERLINK("http://www.sesser.at","Website")</f>
        <v>Website</v>
      </c>
      <c r="D3834" t="str">
        <f>HYPERLINK("http://www.google.com/maps/place/47.90469,13.31968","Location")</f>
        <v>Location</v>
      </c>
      <c r="E3834" t="s">
        <v>33149</v>
      </c>
      <c r="F3834" t="s">
        <v>33150</v>
      </c>
      <c r="G3834" t="s">
        <v>32852</v>
      </c>
      <c r="H3834" t="s">
        <v>32853</v>
      </c>
      <c r="I3834" t="s">
        <v>85</v>
      </c>
      <c r="J3834" t="s">
        <v>22</v>
      </c>
      <c r="K3834" t="s">
        <v>33151</v>
      </c>
      <c r="L3834" t="s">
        <v>33154</v>
      </c>
      <c r="M3834" t="s">
        <v>33155</v>
      </c>
      <c r="N3834" t="s">
        <v>33156</v>
      </c>
      <c r="O3834" t="s">
        <v>25</v>
      </c>
      <c r="P3834" t="s">
        <v>33157</v>
      </c>
      <c r="Q3834" t="s">
        <v>29</v>
      </c>
      <c r="R3834" t="s">
        <v>33152</v>
      </c>
      <c r="S3834" t="s">
        <v>33153</v>
      </c>
    </row>
    <row r="3835" spans="1:19" x14ac:dyDescent="0.25">
      <c r="A3835" s="1">
        <v>3833</v>
      </c>
      <c r="B3835" t="str">
        <f>HYPERLINK("https://www.dasschnelle.at/wögerer-albert-freistadt-fossenhofstraße","Website")</f>
        <v>Website</v>
      </c>
      <c r="C3835" t="str">
        <f>HYPERLINK("http://www.woegerer-tischlerei.at","Website")</f>
        <v>Website</v>
      </c>
      <c r="D3835" t="str">
        <f>HYPERLINK("http://www.google.com/maps/place/48.50838,14.49786","Location")</f>
        <v>Location</v>
      </c>
      <c r="E3835" t="s">
        <v>33158</v>
      </c>
      <c r="F3835" t="s">
        <v>33159</v>
      </c>
      <c r="G3835" t="s">
        <v>6891</v>
      </c>
      <c r="H3835" t="s">
        <v>6892</v>
      </c>
      <c r="I3835" t="s">
        <v>85</v>
      </c>
      <c r="J3835" t="s">
        <v>22</v>
      </c>
      <c r="K3835" t="s">
        <v>33160</v>
      </c>
      <c r="L3835" t="s">
        <v>33163</v>
      </c>
      <c r="M3835" t="s">
        <v>25</v>
      </c>
      <c r="N3835" t="s">
        <v>33164</v>
      </c>
      <c r="O3835" t="s">
        <v>25</v>
      </c>
      <c r="P3835" t="s">
        <v>33165</v>
      </c>
      <c r="Q3835" t="s">
        <v>29</v>
      </c>
      <c r="R3835" t="s">
        <v>33161</v>
      </c>
      <c r="S3835" t="s">
        <v>33162</v>
      </c>
    </row>
    <row r="3836" spans="1:19" x14ac:dyDescent="0.25">
      <c r="A3836" s="1">
        <v>3834</v>
      </c>
      <c r="B3836" t="str">
        <f>HYPERLINK("https://www.dasschnelle.at/hairstyling-andrea-pregarten-tragweiner-straße","Website")</f>
        <v>Website</v>
      </c>
      <c r="C3836" t="str">
        <f>HYPERLINK("http://www.andrea-hairstyling.at","Website")</f>
        <v>Website</v>
      </c>
      <c r="D3836" t="str">
        <f>HYPERLINK("http://www.google.com/maps/place/48.35382,14.53396","Location")</f>
        <v>Location</v>
      </c>
      <c r="E3836" t="s">
        <v>33166</v>
      </c>
      <c r="F3836" t="s">
        <v>33167</v>
      </c>
      <c r="G3836" t="s">
        <v>25297</v>
      </c>
      <c r="H3836" t="s">
        <v>25298</v>
      </c>
      <c r="I3836" t="s">
        <v>85</v>
      </c>
      <c r="J3836" t="s">
        <v>22</v>
      </c>
      <c r="K3836" t="s">
        <v>33168</v>
      </c>
      <c r="L3836" t="s">
        <v>33171</v>
      </c>
      <c r="M3836" t="s">
        <v>25</v>
      </c>
      <c r="N3836" t="s">
        <v>33172</v>
      </c>
      <c r="O3836" t="s">
        <v>25</v>
      </c>
      <c r="P3836" t="s">
        <v>33173</v>
      </c>
      <c r="Q3836" t="s">
        <v>29</v>
      </c>
      <c r="R3836" t="s">
        <v>33169</v>
      </c>
      <c r="S3836" t="s">
        <v>33170</v>
      </c>
    </row>
    <row r="3837" spans="1:19" x14ac:dyDescent="0.25">
      <c r="A3837" s="1">
        <v>3835</v>
      </c>
      <c r="B3837" t="str">
        <f>HYPERLINK("https://www.dasschnelle.at/busreisen-feichtinger-gmbh-mondsee-franz-kreutzberger-straße","Website")</f>
        <v>Website</v>
      </c>
      <c r="C3837" t="str">
        <f>HYPERLINK("http://www.reisen-feichtinger.at","Website")</f>
        <v>Website</v>
      </c>
      <c r="D3837" t="str">
        <f>HYPERLINK("http://www.google.com/maps/place/47.8534900,13.3490000","Location")</f>
        <v>Location</v>
      </c>
      <c r="E3837" t="s">
        <v>33174</v>
      </c>
      <c r="F3837" t="s">
        <v>33175</v>
      </c>
      <c r="G3837" t="s">
        <v>6543</v>
      </c>
      <c r="H3837" t="s">
        <v>6544</v>
      </c>
      <c r="I3837" t="s">
        <v>85</v>
      </c>
      <c r="J3837" t="s">
        <v>22</v>
      </c>
      <c r="K3837" t="s">
        <v>33176</v>
      </c>
      <c r="L3837" t="s">
        <v>33179</v>
      </c>
      <c r="M3837" t="s">
        <v>25</v>
      </c>
      <c r="N3837" t="s">
        <v>33180</v>
      </c>
      <c r="O3837" t="s">
        <v>25</v>
      </c>
      <c r="P3837" t="s">
        <v>33181</v>
      </c>
      <c r="Q3837" t="s">
        <v>29</v>
      </c>
      <c r="R3837" t="s">
        <v>33177</v>
      </c>
      <c r="S3837" t="s">
        <v>33178</v>
      </c>
    </row>
    <row r="3838" spans="1:19" x14ac:dyDescent="0.25">
      <c r="A3838" s="1">
        <v>3836</v>
      </c>
      <c r="B3838" t="str">
        <f>HYPERLINK("https://www.dasschnelle.at/gasthof-dorfwirt-frohnleiten-adriach","Website")</f>
        <v>Website</v>
      </c>
      <c r="C3838" t="str">
        <f>HYPERLINK("http://www.dorfwirt-adriach.at","Website")</f>
        <v>Website</v>
      </c>
      <c r="D3838" t="str">
        <f>HYPERLINK("http://www.google.com/maps/place/47.2657154,15.3079299","Location")</f>
        <v>Location</v>
      </c>
      <c r="E3838" t="s">
        <v>33182</v>
      </c>
      <c r="F3838" t="s">
        <v>33183</v>
      </c>
      <c r="G3838" t="s">
        <v>7874</v>
      </c>
      <c r="H3838" t="s">
        <v>7875</v>
      </c>
      <c r="I3838" t="s">
        <v>451</v>
      </c>
      <c r="J3838" t="s">
        <v>22</v>
      </c>
      <c r="K3838" t="s">
        <v>33184</v>
      </c>
      <c r="L3838" t="s">
        <v>33187</v>
      </c>
      <c r="M3838" t="s">
        <v>25</v>
      </c>
      <c r="N3838" t="s">
        <v>33188</v>
      </c>
      <c r="O3838" t="s">
        <v>25</v>
      </c>
      <c r="P3838" t="s">
        <v>33189</v>
      </c>
      <c r="Q3838" t="s">
        <v>29</v>
      </c>
      <c r="R3838" t="s">
        <v>33185</v>
      </c>
      <c r="S3838" t="s">
        <v>33186</v>
      </c>
    </row>
    <row r="3839" spans="1:19" x14ac:dyDescent="0.25">
      <c r="A3839" s="1">
        <v>3837</v>
      </c>
      <c r="B3839" t="str">
        <f>HYPERLINK("https://www.dasschnelle.at/tischlerei-litzlbauer-e-u-brunnenthal-eggersham","Website")</f>
        <v>Website</v>
      </c>
      <c r="C3839" t="str">
        <f>HYPERLINK("http://www.tischlerei-litzlbauer.at","Website")</f>
        <v>Website</v>
      </c>
      <c r="D3839" t="str">
        <f>HYPERLINK("http://www.google.com/maps/place/48.4839767,13.4879495","Location")</f>
        <v>Location</v>
      </c>
      <c r="E3839" t="s">
        <v>33190</v>
      </c>
      <c r="F3839" t="s">
        <v>33191</v>
      </c>
      <c r="G3839" t="s">
        <v>24318</v>
      </c>
      <c r="H3839" t="s">
        <v>24319</v>
      </c>
      <c r="I3839" t="s">
        <v>85</v>
      </c>
      <c r="J3839" t="s">
        <v>22</v>
      </c>
      <c r="K3839" t="s">
        <v>33192</v>
      </c>
      <c r="L3839" t="s">
        <v>33195</v>
      </c>
      <c r="M3839" t="s">
        <v>25</v>
      </c>
      <c r="N3839" t="s">
        <v>33196</v>
      </c>
      <c r="O3839" t="s">
        <v>25</v>
      </c>
      <c r="P3839" t="s">
        <v>33197</v>
      </c>
      <c r="Q3839" t="s">
        <v>29</v>
      </c>
      <c r="R3839" t="s">
        <v>33193</v>
      </c>
      <c r="S3839" t="s">
        <v>33194</v>
      </c>
    </row>
    <row r="3840" spans="1:19" x14ac:dyDescent="0.25">
      <c r="A3840" s="1">
        <v>3838</v>
      </c>
      <c r="B3840" t="str">
        <f>HYPERLINK("https://www.dasschnelle.at/baukeramik-fliesenfachgeschäft-gesmbh-brunnwies-bahnhofstraße","Website")</f>
        <v>Website</v>
      </c>
      <c r="C3840" t="str">
        <f>HYPERLINK("http://www.baukeramik.at","Website")</f>
        <v>Website</v>
      </c>
      <c r="D3840" t="str">
        <f>HYPERLINK("http://www.google.com/maps/place/48.45961,13.44305","Location")</f>
        <v>Location</v>
      </c>
      <c r="E3840" t="s">
        <v>33198</v>
      </c>
      <c r="F3840" t="s">
        <v>33199</v>
      </c>
      <c r="G3840" t="s">
        <v>8850</v>
      </c>
      <c r="H3840" t="s">
        <v>33201</v>
      </c>
      <c r="I3840" t="s">
        <v>85</v>
      </c>
      <c r="J3840" t="s">
        <v>22</v>
      </c>
      <c r="K3840" t="s">
        <v>33200</v>
      </c>
      <c r="L3840" t="s">
        <v>33204</v>
      </c>
      <c r="M3840" t="s">
        <v>33205</v>
      </c>
      <c r="N3840" t="s">
        <v>33206</v>
      </c>
      <c r="O3840" t="s">
        <v>25</v>
      </c>
      <c r="P3840" t="s">
        <v>33207</v>
      </c>
      <c r="Q3840" t="s">
        <v>29</v>
      </c>
      <c r="R3840" t="s">
        <v>33202</v>
      </c>
      <c r="S3840" t="s">
        <v>33203</v>
      </c>
    </row>
    <row r="3841" spans="1:19" x14ac:dyDescent="0.25">
      <c r="A3841" s="1">
        <v>3839</v>
      </c>
      <c r="B3841" t="str">
        <f>HYPERLINK("https://www.dasschnelle.at/fasching-steuerberatungsgesmbh-rainbach-im-innkreis-rainbach-im-innkreis","Website")</f>
        <v>Website</v>
      </c>
      <c r="C3841" t="str">
        <f>HYPERLINK("http://www.dersteuermann.at","Website")</f>
        <v>Website</v>
      </c>
      <c r="D3841" t="str">
        <f>HYPERLINK("http://www.google.com/maps/place/48.4556714,13.5348405","Location")</f>
        <v>Location</v>
      </c>
      <c r="E3841" t="s">
        <v>33208</v>
      </c>
      <c r="F3841" t="s">
        <v>33209</v>
      </c>
      <c r="G3841" t="s">
        <v>33211</v>
      </c>
      <c r="H3841" t="s">
        <v>33212</v>
      </c>
      <c r="I3841" t="s">
        <v>85</v>
      </c>
      <c r="J3841" t="s">
        <v>22</v>
      </c>
      <c r="K3841" t="s">
        <v>33210</v>
      </c>
      <c r="L3841" t="s">
        <v>33215</v>
      </c>
      <c r="M3841" t="s">
        <v>25</v>
      </c>
      <c r="N3841" t="s">
        <v>33216</v>
      </c>
      <c r="O3841" t="s">
        <v>33217</v>
      </c>
      <c r="P3841" t="s">
        <v>33218</v>
      </c>
      <c r="Q3841" t="s">
        <v>29</v>
      </c>
      <c r="R3841" t="s">
        <v>33213</v>
      </c>
      <c r="S3841" t="s">
        <v>33214</v>
      </c>
    </row>
    <row r="3842" spans="1:19" x14ac:dyDescent="0.25">
      <c r="A3842" s="1">
        <v>3840</v>
      </c>
      <c r="B3842" t="str">
        <f>HYPERLINK("https://www.dasschnelle.at/auinger-martin-taufkirchen-an-der-pram-laufenbach","Website")</f>
        <v>Website</v>
      </c>
      <c r="C3842" t="str">
        <f>HYPERLINK("http://www.seilerei.at","Website")</f>
        <v>Website</v>
      </c>
      <c r="D3842" t="str">
        <f>HYPERLINK("http://www.google.com/maps/place/48.3908417,13.5124526","Location")</f>
        <v>Location</v>
      </c>
      <c r="E3842" t="s">
        <v>33219</v>
      </c>
      <c r="F3842" t="s">
        <v>33220</v>
      </c>
      <c r="G3842" t="s">
        <v>13097</v>
      </c>
      <c r="H3842" t="s">
        <v>13098</v>
      </c>
      <c r="I3842" t="s">
        <v>85</v>
      </c>
      <c r="J3842" t="s">
        <v>22</v>
      </c>
      <c r="K3842" t="s">
        <v>33221</v>
      </c>
      <c r="L3842" t="s">
        <v>33224</v>
      </c>
      <c r="M3842" t="s">
        <v>25</v>
      </c>
      <c r="N3842" t="s">
        <v>33225</v>
      </c>
      <c r="O3842" t="s">
        <v>25</v>
      </c>
      <c r="P3842" t="s">
        <v>33226</v>
      </c>
      <c r="Q3842" t="s">
        <v>29</v>
      </c>
      <c r="R3842" t="s">
        <v>33222</v>
      </c>
      <c r="S3842" t="s">
        <v>33223</v>
      </c>
    </row>
    <row r="3843" spans="1:19" x14ac:dyDescent="0.25">
      <c r="A3843" s="1">
        <v>3841</v>
      </c>
      <c r="B3843" t="str">
        <f>HYPERLINK("https://www.dasschnelle.at/preßnitz-harald-arnfels-gewerbestraße","Website")</f>
        <v>Website</v>
      </c>
      <c r="C3843" t="str">
        <f>HYPERLINK("http://www.bestattung-pressnitz.at","Website")</f>
        <v>Website</v>
      </c>
      <c r="D3843" t="str">
        <f>HYPERLINK("http://www.google.com/maps/place/46.6799249,15.4002166","Location")</f>
        <v>Location</v>
      </c>
      <c r="E3843" t="s">
        <v>33227</v>
      </c>
      <c r="F3843" t="s">
        <v>33228</v>
      </c>
      <c r="G3843" t="s">
        <v>1040</v>
      </c>
      <c r="H3843" t="s">
        <v>1041</v>
      </c>
      <c r="I3843" t="s">
        <v>451</v>
      </c>
      <c r="J3843" t="s">
        <v>22</v>
      </c>
      <c r="K3843" t="s">
        <v>33229</v>
      </c>
      <c r="L3843" t="s">
        <v>33232</v>
      </c>
      <c r="M3843" t="s">
        <v>25</v>
      </c>
      <c r="N3843" t="s">
        <v>33233</v>
      </c>
      <c r="O3843" t="s">
        <v>25</v>
      </c>
      <c r="P3843" t="s">
        <v>33234</v>
      </c>
      <c r="Q3843" t="s">
        <v>29</v>
      </c>
      <c r="R3843" t="s">
        <v>33230</v>
      </c>
      <c r="S3843" t="s">
        <v>33231</v>
      </c>
    </row>
    <row r="3844" spans="1:19" x14ac:dyDescent="0.25">
      <c r="A3844" s="1">
        <v>3842</v>
      </c>
      <c r="B3844" t="str">
        <f>HYPERLINK("https://www.dasschnelle.at/ebenwalder-thomas-leibnitz-wasserwerkstraße","Website")</f>
        <v>Website</v>
      </c>
      <c r="C3844" t="str">
        <f>HYPERLINK("http://www.ebenwalder.at","Website")</f>
        <v>Website</v>
      </c>
      <c r="D3844" t="str">
        <f>HYPERLINK("http://www.google.com/maps/place/46.78866,15.54842","Location")</f>
        <v>Location</v>
      </c>
      <c r="E3844" t="s">
        <v>33235</v>
      </c>
      <c r="F3844" t="s">
        <v>33236</v>
      </c>
      <c r="G3844" t="s">
        <v>1013</v>
      </c>
      <c r="H3844" t="s">
        <v>1023</v>
      </c>
      <c r="I3844" t="s">
        <v>451</v>
      </c>
      <c r="J3844" t="s">
        <v>22</v>
      </c>
      <c r="K3844" t="s">
        <v>33237</v>
      </c>
      <c r="L3844" t="s">
        <v>33240</v>
      </c>
      <c r="M3844" t="s">
        <v>25</v>
      </c>
      <c r="N3844" t="s">
        <v>33241</v>
      </c>
      <c r="O3844" t="s">
        <v>25</v>
      </c>
      <c r="P3844" t="s">
        <v>33242</v>
      </c>
      <c r="Q3844" t="s">
        <v>29</v>
      </c>
      <c r="R3844" t="s">
        <v>33238</v>
      </c>
      <c r="S3844" t="s">
        <v>33239</v>
      </c>
    </row>
    <row r="3845" spans="1:19" x14ac:dyDescent="0.25">
      <c r="A3845" s="1">
        <v>3843</v>
      </c>
      <c r="B3845" t="str">
        <f>HYPERLINK("https://www.dasschnelle.at/bilek-michael-med-rat-ddr-hoheneich-bahnstraße","Website")</f>
        <v>Website</v>
      </c>
      <c r="C3845" t="str">
        <f>HYPERLINK("http://www.dr.bilek.hoheneich.at","Website")</f>
        <v>Website</v>
      </c>
      <c r="D3845" t="str">
        <f>HYPERLINK("http://www.google.com/maps/place/48.76978,15.02685","Location")</f>
        <v>Location</v>
      </c>
      <c r="E3845" t="s">
        <v>33243</v>
      </c>
      <c r="F3845" t="s">
        <v>33244</v>
      </c>
      <c r="G3845" t="s">
        <v>28707</v>
      </c>
      <c r="H3845" t="s">
        <v>28708</v>
      </c>
      <c r="I3845" t="s">
        <v>177</v>
      </c>
      <c r="J3845" t="s">
        <v>22</v>
      </c>
      <c r="K3845" t="s">
        <v>33245</v>
      </c>
      <c r="L3845" t="s">
        <v>33248</v>
      </c>
      <c r="M3845" t="s">
        <v>25</v>
      </c>
      <c r="N3845" t="s">
        <v>33249</v>
      </c>
      <c r="O3845" t="s">
        <v>25</v>
      </c>
      <c r="P3845" t="s">
        <v>33250</v>
      </c>
      <c r="Q3845" t="s">
        <v>29</v>
      </c>
      <c r="R3845" t="s">
        <v>33246</v>
      </c>
      <c r="S3845" t="s">
        <v>33247</v>
      </c>
    </row>
    <row r="3846" spans="1:19" x14ac:dyDescent="0.25">
      <c r="A3846" s="1">
        <v>3844</v>
      </c>
      <c r="B3846" t="str">
        <f>HYPERLINK("https://www.dasschnelle.at/könig-friedrich-prim-dr-waidhofen-an-der-thaya-moritz-schadekgasse","Website")</f>
        <v>Website</v>
      </c>
      <c r="C3846" t="str">
        <f>HYPERLINK("https://www.dasschnelle.at/k%C3%B6nig-friedrich-prim-dr-waidhofen-an-der-thaya-moritz-schadekgasse","Website")</f>
        <v>Website</v>
      </c>
      <c r="D3846" t="str">
        <f>HYPERLINK("http://www.google.com/maps/place/48.8127300,15.2841900","Location")</f>
        <v>Location</v>
      </c>
      <c r="E3846" t="s">
        <v>33251</v>
      </c>
      <c r="F3846" t="s">
        <v>33252</v>
      </c>
      <c r="G3846" t="s">
        <v>10987</v>
      </c>
      <c r="H3846" t="s">
        <v>10988</v>
      </c>
      <c r="I3846" t="s">
        <v>177</v>
      </c>
      <c r="J3846" t="s">
        <v>22</v>
      </c>
      <c r="K3846" t="s">
        <v>33253</v>
      </c>
      <c r="L3846" t="s">
        <v>33256</v>
      </c>
      <c r="M3846" t="s">
        <v>25</v>
      </c>
      <c r="N3846" t="s">
        <v>33257</v>
      </c>
      <c r="O3846" t="s">
        <v>25</v>
      </c>
      <c r="P3846" t="s">
        <v>33258</v>
      </c>
      <c r="Q3846" t="s">
        <v>29</v>
      </c>
      <c r="R3846" t="s">
        <v>33254</v>
      </c>
      <c r="S3846" t="s">
        <v>33255</v>
      </c>
    </row>
    <row r="3847" spans="1:19" x14ac:dyDescent="0.25">
      <c r="A3847" s="1">
        <v>3845</v>
      </c>
      <c r="B3847" t="str">
        <f>HYPERLINK("https://www.dasschnelle.at/raming-wolfgang-dr-waidhofen-an-der-thaya-hauptplatz","Website")</f>
        <v>Website</v>
      </c>
      <c r="C3847" t="str">
        <f>HYPERLINK("http://www.raming.org","Website")</f>
        <v>Website</v>
      </c>
      <c r="D3847" t="str">
        <f>HYPERLINK("http://www.google.com/maps/place/48.8152,15.28795","Location")</f>
        <v>Location</v>
      </c>
      <c r="E3847" t="s">
        <v>33259</v>
      </c>
      <c r="F3847" t="s">
        <v>33260</v>
      </c>
      <c r="G3847" t="s">
        <v>10987</v>
      </c>
      <c r="H3847" t="s">
        <v>10988</v>
      </c>
      <c r="I3847" t="s">
        <v>177</v>
      </c>
      <c r="J3847" t="s">
        <v>22</v>
      </c>
      <c r="K3847" t="s">
        <v>11223</v>
      </c>
      <c r="L3847" t="s">
        <v>33263</v>
      </c>
      <c r="M3847" t="s">
        <v>25</v>
      </c>
      <c r="N3847" t="s">
        <v>33264</v>
      </c>
      <c r="O3847" t="s">
        <v>25</v>
      </c>
      <c r="P3847" t="s">
        <v>33265</v>
      </c>
      <c r="Q3847" t="s">
        <v>29</v>
      </c>
      <c r="R3847" t="s">
        <v>33261</v>
      </c>
      <c r="S3847" t="s">
        <v>33262</v>
      </c>
    </row>
    <row r="3848" spans="1:19" x14ac:dyDescent="0.25">
      <c r="A3848" s="1">
        <v>3846</v>
      </c>
      <c r="B3848" t="str">
        <f>HYPERLINK("https://www.dasschnelle.at/könig-veronika-dr-waidhofen-an-der-thaya-moritz-schadekgasse","Website")</f>
        <v>Website</v>
      </c>
      <c r="C3848" t="str">
        <f>HYPERLINK("https://www.dasschnelle.at/k%C3%B6nig-veronika-dr-waidhofen-an-der-thaya-moritz-schadekgasse","Website")</f>
        <v>Website</v>
      </c>
      <c r="D3848" t="str">
        <f>HYPERLINK("http://www.google.com/maps/place/48.8127300,15.2841900","Location")</f>
        <v>Location</v>
      </c>
      <c r="E3848" t="s">
        <v>33266</v>
      </c>
      <c r="F3848" t="s">
        <v>33267</v>
      </c>
      <c r="G3848" t="s">
        <v>10987</v>
      </c>
      <c r="H3848" t="s">
        <v>10988</v>
      </c>
      <c r="I3848" t="s">
        <v>177</v>
      </c>
      <c r="J3848" t="s">
        <v>22</v>
      </c>
      <c r="K3848" t="s">
        <v>33253</v>
      </c>
      <c r="L3848" t="s">
        <v>33268</v>
      </c>
      <c r="M3848" t="s">
        <v>25</v>
      </c>
      <c r="N3848" t="s">
        <v>33269</v>
      </c>
      <c r="O3848" t="s">
        <v>25</v>
      </c>
      <c r="P3848" t="s">
        <v>33270</v>
      </c>
      <c r="Q3848" t="s">
        <v>29</v>
      </c>
      <c r="R3848" t="s">
        <v>33254</v>
      </c>
      <c r="S3848" t="s">
        <v>33255</v>
      </c>
    </row>
    <row r="3849" spans="1:19" x14ac:dyDescent="0.25">
      <c r="A3849" s="1">
        <v>3847</v>
      </c>
      <c r="B3849" t="str">
        <f>HYPERLINK("https://www.dasschnelle.at/reindl-gerald-gmbh-sankt-oswald-bei-freistadt-markt","Website")</f>
        <v>Website</v>
      </c>
      <c r="C3849" t="str">
        <f>HYPERLINK("http://www.autohaus-reindl.at","Website")</f>
        <v>Website</v>
      </c>
      <c r="D3849" t="str">
        <f>HYPERLINK("http://www.google.com/maps/place/48.50095,14.58997","Location")</f>
        <v>Location</v>
      </c>
      <c r="E3849" t="s">
        <v>33271</v>
      </c>
      <c r="F3849" t="s">
        <v>33272</v>
      </c>
      <c r="G3849" t="s">
        <v>26679</v>
      </c>
      <c r="H3849" t="s">
        <v>26680</v>
      </c>
      <c r="I3849" t="s">
        <v>85</v>
      </c>
      <c r="J3849" t="s">
        <v>22</v>
      </c>
      <c r="K3849" t="s">
        <v>33273</v>
      </c>
      <c r="L3849" t="s">
        <v>33276</v>
      </c>
      <c r="M3849" t="s">
        <v>33277</v>
      </c>
      <c r="N3849" t="s">
        <v>33278</v>
      </c>
      <c r="O3849" t="s">
        <v>25</v>
      </c>
      <c r="P3849" t="s">
        <v>33279</v>
      </c>
      <c r="Q3849" t="s">
        <v>29</v>
      </c>
      <c r="R3849" t="s">
        <v>33274</v>
      </c>
      <c r="S3849" t="s">
        <v>33275</v>
      </c>
    </row>
    <row r="3850" spans="1:19" x14ac:dyDescent="0.25">
      <c r="A3850" s="1">
        <v>3848</v>
      </c>
      <c r="B3850" t="str">
        <f>HYPERLINK("https://www.dasschnelle.at/leitner-herbert-walchshof","Website")</f>
        <v>Website</v>
      </c>
      <c r="C3850" t="str">
        <f>HYPERLINK("http://www.holzkompetenz-leitner.at","Website")</f>
        <v>Website</v>
      </c>
      <c r="D3850" t="str">
        <f>HYPERLINK("http://www.google.com/maps/place/48.4867065,14.5016285","Location")</f>
        <v>Location</v>
      </c>
      <c r="E3850" t="s">
        <v>33280</v>
      </c>
      <c r="F3850" t="s">
        <v>33281</v>
      </c>
      <c r="G3850" t="s">
        <v>6891</v>
      </c>
      <c r="H3850" t="s">
        <v>33282</v>
      </c>
      <c r="I3850" t="s">
        <v>85</v>
      </c>
      <c r="J3850" t="s">
        <v>22</v>
      </c>
      <c r="K3850" t="s">
        <v>25</v>
      </c>
      <c r="L3850" t="s">
        <v>33285</v>
      </c>
      <c r="M3850" t="s">
        <v>33286</v>
      </c>
      <c r="N3850" t="s">
        <v>33287</v>
      </c>
      <c r="O3850" t="s">
        <v>25</v>
      </c>
      <c r="P3850" t="s">
        <v>33288</v>
      </c>
      <c r="Q3850" t="s">
        <v>29</v>
      </c>
      <c r="R3850" t="s">
        <v>33283</v>
      </c>
      <c r="S3850" t="s">
        <v>33284</v>
      </c>
    </row>
    <row r="3851" spans="1:19" x14ac:dyDescent="0.25">
      <c r="A3851" s="1">
        <v>3849</v>
      </c>
      <c r="B3851" t="str">
        <f>HYPERLINK("https://www.dasschnelle.at/offenbacher-hannes-sankt-oswald-bei-plankenwarth-jaritzberg","Website")</f>
        <v>Website</v>
      </c>
      <c r="C3851" t="str">
        <f>HYPERLINK("https://www.dasschnelle.at/offenbacher-hannes-sankt-oswald-bei-plankenwarth-jaritzberg","Website")</f>
        <v>Website</v>
      </c>
      <c r="D3851" t="str">
        <f>HYPERLINK("http://www.google.com/maps/place/47.0720855,15.2769907","Location")</f>
        <v>Location</v>
      </c>
      <c r="E3851" t="s">
        <v>33289</v>
      </c>
      <c r="F3851" t="s">
        <v>33290</v>
      </c>
      <c r="G3851" t="s">
        <v>7884</v>
      </c>
      <c r="H3851" t="s">
        <v>7885</v>
      </c>
      <c r="I3851" t="s">
        <v>451</v>
      </c>
      <c r="J3851" t="s">
        <v>22</v>
      </c>
      <c r="K3851" t="s">
        <v>33291</v>
      </c>
      <c r="L3851" t="s">
        <v>33294</v>
      </c>
      <c r="M3851" t="s">
        <v>25</v>
      </c>
      <c r="N3851" t="s">
        <v>33295</v>
      </c>
      <c r="O3851" t="s">
        <v>25</v>
      </c>
      <c r="P3851" t="s">
        <v>33296</v>
      </c>
      <c r="Q3851" t="s">
        <v>29</v>
      </c>
      <c r="R3851" t="s">
        <v>33292</v>
      </c>
      <c r="S3851" t="s">
        <v>33293</v>
      </c>
    </row>
    <row r="3852" spans="1:19" x14ac:dyDescent="0.25">
      <c r="A3852" s="1">
        <v>3850</v>
      </c>
      <c r="B3852" t="str">
        <f>HYPERLINK("https://www.dasschnelle.at/hannesschläger-dr-und-dr-al-kattib-fachärzte-f-radiologie-og-freistadt-etrichstraße","Website")</f>
        <v>Website</v>
      </c>
      <c r="C3852" t="str">
        <f>HYPERLINK("http://www.radiologie-freistadt.at","Website")</f>
        <v>Website</v>
      </c>
      <c r="D3852" t="str">
        <f>HYPERLINK("http://www.google.com/maps/place/48.4916093,14.5034174","Location")</f>
        <v>Location</v>
      </c>
      <c r="E3852" t="s">
        <v>33297</v>
      </c>
      <c r="F3852" t="s">
        <v>33298</v>
      </c>
      <c r="G3852" t="s">
        <v>6891</v>
      </c>
      <c r="H3852" t="s">
        <v>6892</v>
      </c>
      <c r="I3852" t="s">
        <v>85</v>
      </c>
      <c r="J3852" t="s">
        <v>22</v>
      </c>
      <c r="K3852" t="s">
        <v>27836</v>
      </c>
      <c r="L3852" t="s">
        <v>33301</v>
      </c>
      <c r="M3852" t="s">
        <v>25</v>
      </c>
      <c r="N3852" t="s">
        <v>25</v>
      </c>
      <c r="O3852" t="s">
        <v>33302</v>
      </c>
      <c r="P3852" t="s">
        <v>33303</v>
      </c>
      <c r="Q3852" t="s">
        <v>29</v>
      </c>
      <c r="R3852" t="s">
        <v>33299</v>
      </c>
      <c r="S3852" t="s">
        <v>33300</v>
      </c>
    </row>
    <row r="3853" spans="1:19" x14ac:dyDescent="0.25">
      <c r="A3853" s="1">
        <v>3851</v>
      </c>
      <c r="B3853" t="str">
        <f>HYPERLINK("https://www.dasschnelle.at/feusthuber-walter-oberwang-oberwang","Website")</f>
        <v>Website</v>
      </c>
      <c r="C3853" t="str">
        <f>HYPERLINK("https://www.dasschnelle.at/feusthuber-walter-oberwang-oberwang","Website")</f>
        <v>Website</v>
      </c>
      <c r="D3853" t="str">
        <f>HYPERLINK("http://www.google.com/maps/place/47.8667159,13.4337552","Location")</f>
        <v>Location</v>
      </c>
      <c r="E3853" t="s">
        <v>33304</v>
      </c>
      <c r="F3853" t="s">
        <v>33305</v>
      </c>
      <c r="G3853" t="s">
        <v>6553</v>
      </c>
      <c r="H3853" t="s">
        <v>6554</v>
      </c>
      <c r="I3853" t="s">
        <v>85</v>
      </c>
      <c r="J3853" t="s">
        <v>22</v>
      </c>
      <c r="K3853" t="s">
        <v>33306</v>
      </c>
      <c r="L3853" t="s">
        <v>33309</v>
      </c>
      <c r="M3853" t="s">
        <v>25</v>
      </c>
      <c r="N3853" t="s">
        <v>33310</v>
      </c>
      <c r="O3853" t="s">
        <v>25</v>
      </c>
      <c r="P3853" t="s">
        <v>33311</v>
      </c>
      <c r="Q3853" t="s">
        <v>29</v>
      </c>
      <c r="R3853" t="s">
        <v>33307</v>
      </c>
      <c r="S3853" t="s">
        <v>33308</v>
      </c>
    </row>
    <row r="3854" spans="1:19" x14ac:dyDescent="0.25">
      <c r="A3854" s="1">
        <v>3852</v>
      </c>
      <c r="B3854" t="str">
        <f>HYPERLINK("https://www.dasschnelle.at/plattner-ursula-dr-oberrohrbach-waldstraße","Website")</f>
        <v>Website</v>
      </c>
      <c r="C3854" t="str">
        <f>HYPERLINK("http://www.plattner-tierarzt.at","Website")</f>
        <v>Website</v>
      </c>
      <c r="D3854" t="str">
        <f>HYPERLINK("http://www.google.com/maps/place/48.40579,16.30274","Location")</f>
        <v>Location</v>
      </c>
      <c r="E3854" t="s">
        <v>33312</v>
      </c>
      <c r="F3854" t="s">
        <v>33313</v>
      </c>
      <c r="G3854" t="s">
        <v>33315</v>
      </c>
      <c r="H3854" t="s">
        <v>33316</v>
      </c>
      <c r="I3854" t="s">
        <v>177</v>
      </c>
      <c r="J3854" t="s">
        <v>22</v>
      </c>
      <c r="K3854" t="s">
        <v>33314</v>
      </c>
      <c r="L3854" t="s">
        <v>33319</v>
      </c>
      <c r="M3854" t="s">
        <v>25</v>
      </c>
      <c r="N3854" t="s">
        <v>33320</v>
      </c>
      <c r="O3854" t="s">
        <v>25</v>
      </c>
      <c r="P3854" t="s">
        <v>33321</v>
      </c>
      <c r="Q3854" t="s">
        <v>29</v>
      </c>
      <c r="R3854" t="s">
        <v>33317</v>
      </c>
      <c r="S3854" t="s">
        <v>33318</v>
      </c>
    </row>
    <row r="3855" spans="1:19" x14ac:dyDescent="0.25">
      <c r="A3855" s="1">
        <v>3853</v>
      </c>
      <c r="B3855" t="str">
        <f>HYPERLINK("https://www.dasschnelle.at/koller-gmbh-pregarten-bahnhofstraße","Website")</f>
        <v>Website</v>
      </c>
      <c r="C3855" t="str">
        <f>HYPERLINK("http://www.koller-bad.at","Website")</f>
        <v>Website</v>
      </c>
      <c r="D3855" t="str">
        <f>HYPERLINK("http://www.google.com/maps/place/48.35407,14.5289","Location")</f>
        <v>Location</v>
      </c>
      <c r="E3855" t="s">
        <v>33322</v>
      </c>
      <c r="F3855" t="s">
        <v>33323</v>
      </c>
      <c r="G3855" t="s">
        <v>25297</v>
      </c>
      <c r="H3855" t="s">
        <v>25298</v>
      </c>
      <c r="I3855" t="s">
        <v>85</v>
      </c>
      <c r="J3855" t="s">
        <v>22</v>
      </c>
      <c r="K3855" t="s">
        <v>19283</v>
      </c>
      <c r="L3855" t="s">
        <v>33326</v>
      </c>
      <c r="M3855" t="s">
        <v>25</v>
      </c>
      <c r="N3855" t="s">
        <v>33327</v>
      </c>
      <c r="O3855" t="s">
        <v>33328</v>
      </c>
      <c r="P3855" t="s">
        <v>33329</v>
      </c>
      <c r="Q3855" t="s">
        <v>29</v>
      </c>
      <c r="R3855" t="s">
        <v>33324</v>
      </c>
      <c r="S3855" t="s">
        <v>33325</v>
      </c>
    </row>
    <row r="3856" spans="1:19" x14ac:dyDescent="0.25">
      <c r="A3856" s="1">
        <v>3854</v>
      </c>
      <c r="B3856" t="str">
        <f>HYPERLINK("https://www.dasschnelle.at/frauenhaus-vöcklabruck-stelzhamerstraße","Website")</f>
        <v>Website</v>
      </c>
      <c r="C3856" t="str">
        <f>HYPERLINK("http://www.frauenhaus-voecklabruck.at","Website")</f>
        <v>Website</v>
      </c>
      <c r="D3856" t="str">
        <f>HYPERLINK("http://www.google.com/maps/place/47.9906821,13.6880675","Location")</f>
        <v>Location</v>
      </c>
      <c r="E3856" t="s">
        <v>33330</v>
      </c>
      <c r="F3856" t="s">
        <v>33331</v>
      </c>
      <c r="G3856" t="s">
        <v>3749</v>
      </c>
      <c r="H3856" t="s">
        <v>3750</v>
      </c>
      <c r="I3856" t="s">
        <v>85</v>
      </c>
      <c r="J3856" t="s">
        <v>22</v>
      </c>
      <c r="K3856" t="s">
        <v>33332</v>
      </c>
      <c r="L3856" t="s">
        <v>33335</v>
      </c>
      <c r="M3856" t="s">
        <v>25</v>
      </c>
      <c r="N3856" t="s">
        <v>33336</v>
      </c>
      <c r="O3856" t="s">
        <v>33337</v>
      </c>
      <c r="P3856" t="s">
        <v>33338</v>
      </c>
      <c r="Q3856" t="s">
        <v>29</v>
      </c>
      <c r="R3856" t="s">
        <v>33333</v>
      </c>
      <c r="S3856" t="s">
        <v>33334</v>
      </c>
    </row>
    <row r="3857" spans="1:19" x14ac:dyDescent="0.25">
      <c r="A3857" s="1">
        <v>3855</v>
      </c>
      <c r="B3857" t="str">
        <f>HYPERLINK("https://www.dasschnelle.at/la-cucina-peggau-grazer-straße","Website")</f>
        <v>Website</v>
      </c>
      <c r="C3857" t="str">
        <f>HYPERLINK("http://www.lacucina-peggau.at","Website")</f>
        <v>Website</v>
      </c>
      <c r="D3857" t="str">
        <f>HYPERLINK("http://www.google.com/maps/place/47.20268,15.34477","Location")</f>
        <v>Location</v>
      </c>
      <c r="E3857" t="s">
        <v>33339</v>
      </c>
      <c r="F3857" t="s">
        <v>33340</v>
      </c>
      <c r="G3857" t="s">
        <v>7930</v>
      </c>
      <c r="H3857" t="s">
        <v>7931</v>
      </c>
      <c r="I3857" t="s">
        <v>451</v>
      </c>
      <c r="J3857" t="s">
        <v>22</v>
      </c>
      <c r="K3857" t="s">
        <v>33341</v>
      </c>
      <c r="L3857" t="s">
        <v>33344</v>
      </c>
      <c r="M3857" t="s">
        <v>25</v>
      </c>
      <c r="N3857" t="s">
        <v>33345</v>
      </c>
      <c r="O3857" t="s">
        <v>25</v>
      </c>
      <c r="P3857" t="s">
        <v>33346</v>
      </c>
      <c r="Q3857" t="s">
        <v>29</v>
      </c>
      <c r="R3857" t="s">
        <v>33342</v>
      </c>
      <c r="S3857" t="s">
        <v>33343</v>
      </c>
    </row>
    <row r="3858" spans="1:19" x14ac:dyDescent="0.25">
      <c r="A3858" s="1">
        <v>3856</v>
      </c>
      <c r="B3858" t="str">
        <f>HYPERLINK("https://www.dasschnelle.at/happy-flower-gratkorn-brucker-straße","Website")</f>
        <v>Website</v>
      </c>
      <c r="C3858" t="str">
        <f>HYPERLINK("https://www.dasschnelle.at/happy-flower-gratkorn-brucker-stra%C3%9Fe","Website")</f>
        <v>Website</v>
      </c>
      <c r="D3858" t="str">
        <f>HYPERLINK("http://www.google.com/maps/place/47.13702,15.32902","Location")</f>
        <v>Location</v>
      </c>
      <c r="E3858" t="s">
        <v>33347</v>
      </c>
      <c r="F3858" t="s">
        <v>33348</v>
      </c>
      <c r="G3858" t="s">
        <v>7958</v>
      </c>
      <c r="H3858" t="s">
        <v>7959</v>
      </c>
      <c r="I3858" t="s">
        <v>451</v>
      </c>
      <c r="J3858" t="s">
        <v>22</v>
      </c>
      <c r="K3858" t="s">
        <v>24458</v>
      </c>
      <c r="L3858" t="s">
        <v>24461</v>
      </c>
      <c r="M3858" t="s">
        <v>25</v>
      </c>
      <c r="N3858" t="s">
        <v>25</v>
      </c>
      <c r="O3858" t="s">
        <v>25</v>
      </c>
      <c r="P3858" t="s">
        <v>33349</v>
      </c>
      <c r="Q3858" t="s">
        <v>29</v>
      </c>
      <c r="R3858" t="s">
        <v>24459</v>
      </c>
      <c r="S3858" t="s">
        <v>24460</v>
      </c>
    </row>
    <row r="3859" spans="1:19" x14ac:dyDescent="0.25">
      <c r="A3859" s="1">
        <v>3857</v>
      </c>
      <c r="B3859" t="str">
        <f>HYPERLINK("https://www.dasschnelle.at/apotheke-zur-mariahilf-mondsee-herzog-odilo-straße","Website")</f>
        <v>Website</v>
      </c>
      <c r="C3859" t="str">
        <f>HYPERLINK("http://www.apothekemondsee.at","Website")</f>
        <v>Website</v>
      </c>
      <c r="D3859" t="str">
        <f>HYPERLINK("http://www.google.com/maps/place/47.85643,13.34895","Location")</f>
        <v>Location</v>
      </c>
      <c r="E3859" t="s">
        <v>33350</v>
      </c>
      <c r="F3859" t="s">
        <v>33351</v>
      </c>
      <c r="G3859" t="s">
        <v>6543</v>
      </c>
      <c r="H3859" t="s">
        <v>6544</v>
      </c>
      <c r="I3859" t="s">
        <v>85</v>
      </c>
      <c r="J3859" t="s">
        <v>22</v>
      </c>
      <c r="K3859" t="s">
        <v>33352</v>
      </c>
      <c r="L3859" t="s">
        <v>33355</v>
      </c>
      <c r="M3859" t="s">
        <v>25</v>
      </c>
      <c r="N3859" t="s">
        <v>33356</v>
      </c>
      <c r="O3859" t="s">
        <v>25</v>
      </c>
      <c r="P3859" t="s">
        <v>33357</v>
      </c>
      <c r="Q3859" t="s">
        <v>29</v>
      </c>
      <c r="R3859" t="s">
        <v>33353</v>
      </c>
      <c r="S3859" t="s">
        <v>33354</v>
      </c>
    </row>
    <row r="3860" spans="1:19" x14ac:dyDescent="0.25">
      <c r="A3860" s="1">
        <v>3858</v>
      </c>
      <c r="B3860" t="str">
        <f>HYPERLINK("https://www.dasschnelle.at/v-und-m-kfz-reparaturen-kg-prutz-sauersteinweg","Website")</f>
        <v>Website</v>
      </c>
      <c r="C3860" t="str">
        <f>HYPERLINK("http://www.vmkfz.at","Website")</f>
        <v>Website</v>
      </c>
      <c r="D3860" t="str">
        <f>HYPERLINK("http://www.google.com/maps/place/47.0766191,10.6633174","Location")</f>
        <v>Location</v>
      </c>
      <c r="E3860" t="s">
        <v>33358</v>
      </c>
      <c r="F3860" t="s">
        <v>33359</v>
      </c>
      <c r="G3860" t="s">
        <v>27742</v>
      </c>
      <c r="H3860" t="s">
        <v>27743</v>
      </c>
      <c r="I3860" t="s">
        <v>21</v>
      </c>
      <c r="J3860" t="s">
        <v>22</v>
      </c>
      <c r="K3860" t="s">
        <v>33360</v>
      </c>
      <c r="L3860" t="s">
        <v>33363</v>
      </c>
      <c r="M3860" t="s">
        <v>25</v>
      </c>
      <c r="N3860" t="s">
        <v>33364</v>
      </c>
      <c r="O3860" t="s">
        <v>25</v>
      </c>
      <c r="P3860" t="s">
        <v>33365</v>
      </c>
      <c r="Q3860" t="s">
        <v>29</v>
      </c>
      <c r="R3860" t="s">
        <v>33361</v>
      </c>
      <c r="S3860" t="s">
        <v>33362</v>
      </c>
    </row>
    <row r="3861" spans="1:19" x14ac:dyDescent="0.25">
      <c r="A3861" s="1">
        <v>3859</v>
      </c>
      <c r="B3861" t="str">
        <f>HYPERLINK("https://www.dasschnelle.at/minich-willi-dr-med-dent-mondsee-schlossweg","Website")</f>
        <v>Website</v>
      </c>
      <c r="C3861" t="str">
        <f>HYPERLINK("http://www.kieferorthopaedie-minich.at","Website")</f>
        <v>Website</v>
      </c>
      <c r="D3861" t="str">
        <f>HYPERLINK("http://www.google.com/maps/place/47.85764,13.34899","Location")</f>
        <v>Location</v>
      </c>
      <c r="E3861" t="s">
        <v>33366</v>
      </c>
      <c r="F3861" t="s">
        <v>33367</v>
      </c>
      <c r="G3861" t="s">
        <v>6543</v>
      </c>
      <c r="H3861" t="s">
        <v>6544</v>
      </c>
      <c r="I3861" t="s">
        <v>85</v>
      </c>
      <c r="J3861" t="s">
        <v>22</v>
      </c>
      <c r="K3861" t="s">
        <v>439</v>
      </c>
      <c r="L3861" t="s">
        <v>33370</v>
      </c>
      <c r="M3861" t="s">
        <v>33371</v>
      </c>
      <c r="N3861" t="s">
        <v>33372</v>
      </c>
      <c r="O3861" t="s">
        <v>25</v>
      </c>
      <c r="P3861" t="s">
        <v>33373</v>
      </c>
      <c r="Q3861" t="s">
        <v>29</v>
      </c>
      <c r="R3861" t="s">
        <v>33368</v>
      </c>
      <c r="S3861" t="s">
        <v>33369</v>
      </c>
    </row>
    <row r="3862" spans="1:19" x14ac:dyDescent="0.25">
      <c r="A3862" s="1">
        <v>3860</v>
      </c>
      <c r="B3862" t="str">
        <f>HYPERLINK("https://www.dasschnelle.at/brandmeier-helge-dr-mondsee-herzog-odilo-straße","Website")</f>
        <v>Website</v>
      </c>
      <c r="C3862" t="str">
        <f>HYPERLINK("http://www.dr-brandmeier.at","Website")</f>
        <v>Website</v>
      </c>
      <c r="D3862" t="str">
        <f>HYPERLINK("http://www.google.com/maps/place/47.85886,13.34664","Location")</f>
        <v>Location</v>
      </c>
      <c r="E3862" t="s">
        <v>33374</v>
      </c>
      <c r="F3862" t="s">
        <v>33375</v>
      </c>
      <c r="G3862" t="s">
        <v>6543</v>
      </c>
      <c r="H3862" t="s">
        <v>6544</v>
      </c>
      <c r="I3862" t="s">
        <v>85</v>
      </c>
      <c r="J3862" t="s">
        <v>22</v>
      </c>
      <c r="K3862" t="s">
        <v>24809</v>
      </c>
      <c r="L3862" t="s">
        <v>33376</v>
      </c>
      <c r="M3862" t="s">
        <v>25</v>
      </c>
      <c r="N3862" t="s">
        <v>33377</v>
      </c>
      <c r="O3862" t="s">
        <v>25</v>
      </c>
      <c r="P3862" t="s">
        <v>33378</v>
      </c>
      <c r="Q3862" t="s">
        <v>29</v>
      </c>
      <c r="R3862" t="s">
        <v>24810</v>
      </c>
      <c r="S3862" t="s">
        <v>24811</v>
      </c>
    </row>
    <row r="3863" spans="1:19" x14ac:dyDescent="0.25">
      <c r="A3863" s="1">
        <v>3861</v>
      </c>
      <c r="B3863" t="str">
        <f>HYPERLINK("https://www.dasschnelle.at/maier-installationen-josef-gesmbh-und-co-kg-kopfing-im-innkreis-hauptstraße","Website")</f>
        <v>Website</v>
      </c>
      <c r="C3863" t="str">
        <f>HYPERLINK("http://www.maier.kopfing.info","Website")</f>
        <v>Website</v>
      </c>
      <c r="D3863" t="str">
        <f>HYPERLINK("http://www.google.com/maps/place/48.43836,13.65913","Location")</f>
        <v>Location</v>
      </c>
      <c r="E3863" t="s">
        <v>33379</v>
      </c>
      <c r="F3863" t="s">
        <v>33380</v>
      </c>
      <c r="G3863" t="s">
        <v>28300</v>
      </c>
      <c r="H3863" t="s">
        <v>28301</v>
      </c>
      <c r="I3863" t="s">
        <v>85</v>
      </c>
      <c r="J3863" t="s">
        <v>22</v>
      </c>
      <c r="K3863" t="s">
        <v>33381</v>
      </c>
      <c r="L3863" t="s">
        <v>33384</v>
      </c>
      <c r="M3863" t="s">
        <v>33385</v>
      </c>
      <c r="N3863" t="s">
        <v>33386</v>
      </c>
      <c r="O3863" t="s">
        <v>25</v>
      </c>
      <c r="P3863" t="s">
        <v>33387</v>
      </c>
      <c r="Q3863" t="s">
        <v>29</v>
      </c>
      <c r="R3863" t="s">
        <v>33382</v>
      </c>
      <c r="S3863" t="s">
        <v>33383</v>
      </c>
    </row>
    <row r="3864" spans="1:19" x14ac:dyDescent="0.25">
      <c r="A3864" s="1">
        <v>3862</v>
      </c>
      <c r="B3864" t="str">
        <f>HYPERLINK("https://www.dasschnelle.at/marek-jarmil-dr-med-dent-weitersfelden-markt","Website")</f>
        <v>Website</v>
      </c>
      <c r="C3864" t="str">
        <f>HYPERLINK("http://www.marek-zahnarzt.at","Website")</f>
        <v>Website</v>
      </c>
      <c r="D3864" t="str">
        <f>HYPERLINK("http://www.google.com/maps/place/48.4777650,14.7207170","Location")</f>
        <v>Location</v>
      </c>
      <c r="E3864" t="s">
        <v>33388</v>
      </c>
      <c r="F3864" t="s">
        <v>33389</v>
      </c>
      <c r="G3864" t="s">
        <v>33391</v>
      </c>
      <c r="H3864" t="s">
        <v>33392</v>
      </c>
      <c r="I3864" t="s">
        <v>85</v>
      </c>
      <c r="J3864" t="s">
        <v>22</v>
      </c>
      <c r="K3864" t="s">
        <v>33390</v>
      </c>
      <c r="L3864" t="s">
        <v>33395</v>
      </c>
      <c r="M3864" t="s">
        <v>25</v>
      </c>
      <c r="N3864" t="s">
        <v>33396</v>
      </c>
      <c r="O3864" t="s">
        <v>25</v>
      </c>
      <c r="P3864" t="s">
        <v>33397</v>
      </c>
      <c r="Q3864" t="s">
        <v>29</v>
      </c>
      <c r="R3864" t="s">
        <v>33393</v>
      </c>
      <c r="S3864" t="s">
        <v>33394</v>
      </c>
    </row>
    <row r="3865" spans="1:19" x14ac:dyDescent="0.25">
      <c r="A3865" s="1">
        <v>3863</v>
      </c>
      <c r="B3865" t="str">
        <f>HYPERLINK("https://www.dasschnelle.at/rabl-andreas-zwettl-propsteigasse","Website")</f>
        <v>Website</v>
      </c>
      <c r="C3865" t="str">
        <f>HYPERLINK("http://www.rabltischler.at","Website")</f>
        <v>Website</v>
      </c>
      <c r="D3865" t="str">
        <f>HYPERLINK("http://www.google.com/maps/place/48.60324,15.16379","Location")</f>
        <v>Location</v>
      </c>
      <c r="E3865" t="s">
        <v>33398</v>
      </c>
      <c r="F3865" t="s">
        <v>33399</v>
      </c>
      <c r="G3865" t="s">
        <v>10518</v>
      </c>
      <c r="H3865" t="s">
        <v>10791</v>
      </c>
      <c r="I3865" t="s">
        <v>177</v>
      </c>
      <c r="J3865" t="s">
        <v>22</v>
      </c>
      <c r="K3865" t="s">
        <v>33400</v>
      </c>
      <c r="L3865" t="s">
        <v>33403</v>
      </c>
      <c r="M3865" t="s">
        <v>25</v>
      </c>
      <c r="N3865" t="s">
        <v>33404</v>
      </c>
      <c r="O3865" t="s">
        <v>25</v>
      </c>
      <c r="P3865" t="s">
        <v>33405</v>
      </c>
      <c r="Q3865" t="s">
        <v>29</v>
      </c>
      <c r="R3865" t="s">
        <v>33401</v>
      </c>
      <c r="S3865" t="s">
        <v>33402</v>
      </c>
    </row>
    <row r="3866" spans="1:19" x14ac:dyDescent="0.25">
      <c r="A3866" s="1">
        <v>3864</v>
      </c>
      <c r="B3866" t="str">
        <f>HYPERLINK("https://www.dasschnelle.at/leithner-bau-gmbh-st-florian-am-inn-haid","Website")</f>
        <v>Website</v>
      </c>
      <c r="C3866" t="str">
        <f>HYPERLINK("http://www.leithner-bau.at","Website")</f>
        <v>Website</v>
      </c>
      <c r="D3866" t="str">
        <f>HYPERLINK("http://www.google.com/maps/place/48.4252736,13.4496976","Location")</f>
        <v>Location</v>
      </c>
      <c r="E3866" t="s">
        <v>33406</v>
      </c>
      <c r="F3866" t="s">
        <v>33407</v>
      </c>
      <c r="G3866" t="s">
        <v>24520</v>
      </c>
      <c r="H3866" t="s">
        <v>24521</v>
      </c>
      <c r="I3866" t="s">
        <v>85</v>
      </c>
      <c r="J3866" t="s">
        <v>22</v>
      </c>
      <c r="K3866" t="s">
        <v>33408</v>
      </c>
      <c r="L3866" t="s">
        <v>33411</v>
      </c>
      <c r="M3866" t="s">
        <v>25</v>
      </c>
      <c r="N3866" t="s">
        <v>33412</v>
      </c>
      <c r="O3866" t="s">
        <v>33413</v>
      </c>
      <c r="P3866" t="s">
        <v>33414</v>
      </c>
      <c r="Q3866" t="s">
        <v>29</v>
      </c>
      <c r="R3866" t="s">
        <v>33409</v>
      </c>
      <c r="S3866" t="s">
        <v>33410</v>
      </c>
    </row>
    <row r="3867" spans="1:19" x14ac:dyDescent="0.25">
      <c r="A3867" s="1">
        <v>3865</v>
      </c>
      <c r="B3867" t="str">
        <f>HYPERLINK("https://www.dasschnelle.at/pum-wilhelm-kachelöfen-u-fliesen-gmbh-freistadt-linzer-straße","Website")</f>
        <v>Website</v>
      </c>
      <c r="C3867" t="str">
        <f>HYPERLINK("http://www.kachelofen-pum.at","Website")</f>
        <v>Website</v>
      </c>
      <c r="D3867" t="str">
        <f>HYPERLINK("http://www.google.com/maps/place/48.50608,14.50374","Location")</f>
        <v>Location</v>
      </c>
      <c r="E3867" t="s">
        <v>33415</v>
      </c>
      <c r="F3867" t="s">
        <v>33416</v>
      </c>
      <c r="G3867" t="s">
        <v>6891</v>
      </c>
      <c r="H3867" t="s">
        <v>6892</v>
      </c>
      <c r="I3867" t="s">
        <v>85</v>
      </c>
      <c r="J3867" t="s">
        <v>22</v>
      </c>
      <c r="K3867" t="s">
        <v>5963</v>
      </c>
      <c r="L3867" t="s">
        <v>33419</v>
      </c>
      <c r="M3867" t="s">
        <v>33420</v>
      </c>
      <c r="N3867" t="s">
        <v>33421</v>
      </c>
      <c r="O3867" t="s">
        <v>25</v>
      </c>
      <c r="P3867" t="s">
        <v>33422</v>
      </c>
      <c r="Q3867" t="s">
        <v>29</v>
      </c>
      <c r="R3867" t="s">
        <v>33417</v>
      </c>
      <c r="S3867" t="s">
        <v>33418</v>
      </c>
    </row>
    <row r="3868" spans="1:19" x14ac:dyDescent="0.25">
      <c r="A3868" s="1">
        <v>3866</v>
      </c>
      <c r="B3868" t="str">
        <f>HYPERLINK("https://www.dasschnelle.at/hörbst-harald-freistadt-makovskystraße","Website")</f>
        <v>Website</v>
      </c>
      <c r="C3868" t="str">
        <f>HYPERLINK("http://www.h-hoerbst.at","Website")</f>
        <v>Website</v>
      </c>
      <c r="D3868" t="str">
        <f>HYPERLINK("http://www.google.com/maps/place/48.50116,14.49996","Location")</f>
        <v>Location</v>
      </c>
      <c r="E3868" t="s">
        <v>33423</v>
      </c>
      <c r="F3868" t="s">
        <v>33424</v>
      </c>
      <c r="G3868" t="s">
        <v>6891</v>
      </c>
      <c r="H3868" t="s">
        <v>6892</v>
      </c>
      <c r="I3868" t="s">
        <v>85</v>
      </c>
      <c r="J3868" t="s">
        <v>22</v>
      </c>
      <c r="K3868" t="s">
        <v>33425</v>
      </c>
      <c r="L3868" t="s">
        <v>33428</v>
      </c>
      <c r="M3868" t="s">
        <v>25</v>
      </c>
      <c r="N3868" t="s">
        <v>33429</v>
      </c>
      <c r="O3868" t="s">
        <v>33430</v>
      </c>
      <c r="P3868" t="s">
        <v>33431</v>
      </c>
      <c r="Q3868" t="s">
        <v>29</v>
      </c>
      <c r="R3868" t="s">
        <v>33426</v>
      </c>
      <c r="S3868" t="s">
        <v>33427</v>
      </c>
    </row>
    <row r="3869" spans="1:19" x14ac:dyDescent="0.25">
      <c r="A3869" s="1">
        <v>3867</v>
      </c>
      <c r="B3869" t="str">
        <f>HYPERLINK("https://www.dasschnelle.at/handler-thomas-deutschfeistritz-übelbacherstraße","Website")</f>
        <v>Website</v>
      </c>
      <c r="C3869" t="str">
        <f>HYPERLINK("http://www.raumausstatter-handler.at","Website")</f>
        <v>Website</v>
      </c>
      <c r="D3869" t="str">
        <f>HYPERLINK("http://www.google.com/maps/place/47.19503,15.34094","Location")</f>
        <v>Location</v>
      </c>
      <c r="E3869" t="s">
        <v>33432</v>
      </c>
      <c r="F3869" t="s">
        <v>33433</v>
      </c>
      <c r="G3869" t="s">
        <v>24423</v>
      </c>
      <c r="H3869" t="s">
        <v>24424</v>
      </c>
      <c r="I3869" t="s">
        <v>451</v>
      </c>
      <c r="J3869" t="s">
        <v>22</v>
      </c>
      <c r="K3869" t="s">
        <v>33434</v>
      </c>
      <c r="L3869" t="s">
        <v>33437</v>
      </c>
      <c r="M3869" t="s">
        <v>25</v>
      </c>
      <c r="N3869" t="s">
        <v>33438</v>
      </c>
      <c r="O3869" t="s">
        <v>25</v>
      </c>
      <c r="P3869" t="s">
        <v>33439</v>
      </c>
      <c r="Q3869" t="s">
        <v>29</v>
      </c>
      <c r="R3869" t="s">
        <v>33435</v>
      </c>
      <c r="S3869" t="s">
        <v>33436</v>
      </c>
    </row>
    <row r="3870" spans="1:19" x14ac:dyDescent="0.25">
      <c r="A3870" s="1">
        <v>3868</v>
      </c>
      <c r="B3870" t="str">
        <f>HYPERLINK("https://www.dasschnelle.at/hollegger-regina-semriach-markt","Website")</f>
        <v>Website</v>
      </c>
      <c r="C3870" t="str">
        <f>HYPERLINK("https://www.dasschnelle.at/hollegger-regina-semriach-markt","Website")</f>
        <v>Website</v>
      </c>
      <c r="D3870" t="str">
        <f>HYPERLINK("http://www.google.com/maps/place/47.21725,15.40476","Location")</f>
        <v>Location</v>
      </c>
      <c r="E3870" t="s">
        <v>33440</v>
      </c>
      <c r="F3870" t="s">
        <v>33441</v>
      </c>
      <c r="G3870" t="s">
        <v>7920</v>
      </c>
      <c r="H3870" t="s">
        <v>32685</v>
      </c>
      <c r="I3870" t="s">
        <v>451</v>
      </c>
      <c r="J3870" t="s">
        <v>22</v>
      </c>
      <c r="K3870" t="s">
        <v>33442</v>
      </c>
      <c r="L3870" t="s">
        <v>33445</v>
      </c>
      <c r="M3870" t="s">
        <v>25</v>
      </c>
      <c r="N3870" t="s">
        <v>33446</v>
      </c>
      <c r="O3870" t="s">
        <v>25</v>
      </c>
      <c r="P3870" t="s">
        <v>33447</v>
      </c>
      <c r="Q3870" t="s">
        <v>29</v>
      </c>
      <c r="R3870" t="s">
        <v>33443</v>
      </c>
      <c r="S3870" t="s">
        <v>33444</v>
      </c>
    </row>
    <row r="3871" spans="1:19" x14ac:dyDescent="0.25">
      <c r="A3871" s="1">
        <v>3869</v>
      </c>
      <c r="B3871" t="str">
        <f>HYPERLINK("https://www.dasschnelle.at/bockau-wirt-fam-larndorfer-kg-freistadt-pfadfinderweg","Website")</f>
        <v>Website</v>
      </c>
      <c r="C3871" t="str">
        <f>HYPERLINK("http://www.bockauwirt.at","Website")</f>
        <v>Website</v>
      </c>
      <c r="D3871" t="str">
        <f>HYPERLINK("http://www.google.com/maps/place/48.52124,14.49209","Location")</f>
        <v>Location</v>
      </c>
      <c r="E3871" t="s">
        <v>33448</v>
      </c>
      <c r="F3871" t="s">
        <v>33449</v>
      </c>
      <c r="G3871" t="s">
        <v>6891</v>
      </c>
      <c r="H3871" t="s">
        <v>6892</v>
      </c>
      <c r="I3871" t="s">
        <v>85</v>
      </c>
      <c r="J3871" t="s">
        <v>22</v>
      </c>
      <c r="K3871" t="s">
        <v>33450</v>
      </c>
      <c r="L3871" t="s">
        <v>33453</v>
      </c>
      <c r="M3871" t="s">
        <v>25</v>
      </c>
      <c r="N3871" t="s">
        <v>33454</v>
      </c>
      <c r="O3871" t="s">
        <v>25</v>
      </c>
      <c r="P3871" t="s">
        <v>33455</v>
      </c>
      <c r="Q3871" t="s">
        <v>29</v>
      </c>
      <c r="R3871" t="s">
        <v>33451</v>
      </c>
      <c r="S3871" t="s">
        <v>33452</v>
      </c>
    </row>
    <row r="3872" spans="1:19" x14ac:dyDescent="0.25">
      <c r="A3872" s="1">
        <v>3870</v>
      </c>
      <c r="B3872" t="str">
        <f>HYPERLINK("https://www.dasschnelle.at/hirzer-manuela-kirchenviertel-dr-karl-renner-straße","Website")</f>
        <v>Website</v>
      </c>
      <c r="C3872" t="str">
        <f>HYPERLINK("http://www.elektro-hirzer.at","Website")</f>
        <v>Website</v>
      </c>
      <c r="D3872" t="str">
        <f>HYPERLINK("http://www.google.com/maps/place/47.13664,15.34767","Location")</f>
        <v>Location</v>
      </c>
      <c r="E3872" t="s">
        <v>33456</v>
      </c>
      <c r="F3872" t="s">
        <v>33457</v>
      </c>
      <c r="G3872" t="s">
        <v>7958</v>
      </c>
      <c r="H3872" t="s">
        <v>30669</v>
      </c>
      <c r="I3872" t="s">
        <v>451</v>
      </c>
      <c r="J3872" t="s">
        <v>22</v>
      </c>
      <c r="K3872" t="s">
        <v>33458</v>
      </c>
      <c r="L3872" t="s">
        <v>33461</v>
      </c>
      <c r="M3872" t="s">
        <v>25</v>
      </c>
      <c r="N3872" t="s">
        <v>33462</v>
      </c>
      <c r="O3872" t="s">
        <v>33463</v>
      </c>
      <c r="P3872" t="s">
        <v>33464</v>
      </c>
      <c r="Q3872" t="s">
        <v>29</v>
      </c>
      <c r="R3872" t="s">
        <v>33459</v>
      </c>
      <c r="S3872" t="s">
        <v>33460</v>
      </c>
    </row>
    <row r="3873" spans="1:19" x14ac:dyDescent="0.25">
      <c r="A3873" s="1">
        <v>3871</v>
      </c>
      <c r="B3873" t="str">
        <f>HYPERLINK("https://www.dasschnelle.at/haarmonie-naturfrisör-untermaurer-und-partner-og-klosterneuburg-hofkirchnergasse","Website")</f>
        <v>Website</v>
      </c>
      <c r="C3873" t="str">
        <f>HYPERLINK("http://www.haarmonie.at","Website")</f>
        <v>Website</v>
      </c>
      <c r="D3873" t="str">
        <f>HYPERLINK("http://www.google.com/maps/place/48.3078631,16.3221719","Location")</f>
        <v>Location</v>
      </c>
      <c r="E3873" t="s">
        <v>33465</v>
      </c>
      <c r="F3873" t="s">
        <v>33466</v>
      </c>
      <c r="G3873" t="s">
        <v>10308</v>
      </c>
      <c r="H3873" t="s">
        <v>10317</v>
      </c>
      <c r="I3873" t="s">
        <v>177</v>
      </c>
      <c r="J3873" t="s">
        <v>22</v>
      </c>
      <c r="K3873" t="s">
        <v>33467</v>
      </c>
      <c r="L3873" t="s">
        <v>33470</v>
      </c>
      <c r="M3873" t="s">
        <v>25</v>
      </c>
      <c r="N3873" t="s">
        <v>33471</v>
      </c>
      <c r="O3873" t="s">
        <v>25</v>
      </c>
      <c r="P3873" t="s">
        <v>33472</v>
      </c>
      <c r="Q3873" t="s">
        <v>29</v>
      </c>
      <c r="R3873" t="s">
        <v>33468</v>
      </c>
      <c r="S3873" t="s">
        <v>33469</v>
      </c>
    </row>
    <row r="3874" spans="1:19" x14ac:dyDescent="0.25">
      <c r="A3874" s="1">
        <v>3872</v>
      </c>
      <c r="B3874" t="str">
        <f>HYPERLINK("https://www.dasschnelle.at/autohaus-widlroither-gmbh-und-co-kg-mondsee-südtiroler-straße","Website")</f>
        <v>Website</v>
      </c>
      <c r="C3874" t="str">
        <f>HYPERLINK("http://www.wildroither.at","Website")</f>
        <v>Website</v>
      </c>
      <c r="D3874" t="str">
        <f>HYPERLINK("http://www.google.com/maps/place/47.86034,13.34312","Location")</f>
        <v>Location</v>
      </c>
      <c r="E3874" t="s">
        <v>33473</v>
      </c>
      <c r="F3874" t="s">
        <v>33474</v>
      </c>
      <c r="G3874" t="s">
        <v>6543</v>
      </c>
      <c r="H3874" t="s">
        <v>6544</v>
      </c>
      <c r="I3874" t="s">
        <v>85</v>
      </c>
      <c r="J3874" t="s">
        <v>22</v>
      </c>
      <c r="K3874" t="s">
        <v>33475</v>
      </c>
      <c r="L3874" t="s">
        <v>33478</v>
      </c>
      <c r="M3874" t="s">
        <v>25</v>
      </c>
      <c r="N3874" t="s">
        <v>33479</v>
      </c>
      <c r="O3874" t="s">
        <v>25</v>
      </c>
      <c r="P3874" t="s">
        <v>33480</v>
      </c>
      <c r="Q3874" t="s">
        <v>29</v>
      </c>
      <c r="R3874" t="s">
        <v>33476</v>
      </c>
      <c r="S3874" t="s">
        <v>33477</v>
      </c>
    </row>
    <row r="3875" spans="1:19" x14ac:dyDescent="0.25">
      <c r="A3875" s="1">
        <v>3873</v>
      </c>
      <c r="B3875" t="str">
        <f>HYPERLINK("https://www.dasschnelle.at/stadler-und-kudler-gmbh-freistadt-zaglaustraße","Website")</f>
        <v>Website</v>
      </c>
      <c r="C3875" t="str">
        <f>HYPERLINK("http://www.allesumsbauen.at","Website")</f>
        <v>Website</v>
      </c>
      <c r="D3875" t="str">
        <f>HYPERLINK("http://www.google.com/maps/place/48.50639,14.50665","Location")</f>
        <v>Location</v>
      </c>
      <c r="E3875" t="s">
        <v>33481</v>
      </c>
      <c r="F3875" t="s">
        <v>33482</v>
      </c>
      <c r="G3875" t="s">
        <v>6891</v>
      </c>
      <c r="H3875" t="s">
        <v>6892</v>
      </c>
      <c r="I3875" t="s">
        <v>85</v>
      </c>
      <c r="J3875" t="s">
        <v>22</v>
      </c>
      <c r="K3875" t="s">
        <v>33483</v>
      </c>
      <c r="L3875" t="s">
        <v>33486</v>
      </c>
      <c r="M3875" t="s">
        <v>25</v>
      </c>
      <c r="N3875" t="s">
        <v>33487</v>
      </c>
      <c r="O3875" t="s">
        <v>25</v>
      </c>
      <c r="P3875" t="s">
        <v>33488</v>
      </c>
      <c r="Q3875" t="s">
        <v>29</v>
      </c>
      <c r="R3875" t="s">
        <v>33484</v>
      </c>
      <c r="S3875" t="s">
        <v>33485</v>
      </c>
    </row>
    <row r="3876" spans="1:19" x14ac:dyDescent="0.25">
      <c r="A3876" s="1">
        <v>3874</v>
      </c>
      <c r="B3876" t="str">
        <f>HYPERLINK("https://www.dasschnelle.at/bücher-papier-wolfsgruber-freistadt-pfarrgasse","Website")</f>
        <v>Website</v>
      </c>
      <c r="C3876" t="str">
        <f>HYPERLINK("http://www.wolfsgruber-buch.at","Website")</f>
        <v>Website</v>
      </c>
      <c r="D3876" t="str">
        <f>HYPERLINK("http://www.google.com/maps/place/48.51118,14.50339","Location")</f>
        <v>Location</v>
      </c>
      <c r="E3876" t="s">
        <v>33489</v>
      </c>
      <c r="F3876" t="s">
        <v>33490</v>
      </c>
      <c r="G3876" t="s">
        <v>6891</v>
      </c>
      <c r="H3876" t="s">
        <v>6892</v>
      </c>
      <c r="I3876" t="s">
        <v>85</v>
      </c>
      <c r="J3876" t="s">
        <v>22</v>
      </c>
      <c r="K3876" t="s">
        <v>33491</v>
      </c>
      <c r="L3876" t="s">
        <v>33494</v>
      </c>
      <c r="M3876" t="s">
        <v>25</v>
      </c>
      <c r="N3876" t="s">
        <v>33495</v>
      </c>
      <c r="O3876" t="s">
        <v>33496</v>
      </c>
      <c r="P3876" t="s">
        <v>33497</v>
      </c>
      <c r="Q3876" t="s">
        <v>29</v>
      </c>
      <c r="R3876" t="s">
        <v>33492</v>
      </c>
      <c r="S3876" t="s">
        <v>33493</v>
      </c>
    </row>
    <row r="3877" spans="1:19" x14ac:dyDescent="0.25">
      <c r="A3877" s="1">
        <v>3875</v>
      </c>
      <c r="B3877" t="str">
        <f>HYPERLINK("https://www.dasschnelle.at/fliesen-christof-gmbh-freistadt-werndlstraße","Website")</f>
        <v>Website</v>
      </c>
      <c r="C3877" t="str">
        <f>HYPERLINK("http://www.fliesen-christof.at","Website")</f>
        <v>Website</v>
      </c>
      <c r="D3877" t="str">
        <f>HYPERLINK("http://www.google.com/maps/place/48.49854,14.49884","Location")</f>
        <v>Location</v>
      </c>
      <c r="E3877" t="s">
        <v>33498</v>
      </c>
      <c r="F3877" t="s">
        <v>33499</v>
      </c>
      <c r="G3877" t="s">
        <v>6891</v>
      </c>
      <c r="H3877" t="s">
        <v>6892</v>
      </c>
      <c r="I3877" t="s">
        <v>85</v>
      </c>
      <c r="J3877" t="s">
        <v>22</v>
      </c>
      <c r="K3877" t="s">
        <v>33500</v>
      </c>
      <c r="L3877" t="s">
        <v>33503</v>
      </c>
      <c r="M3877" t="s">
        <v>25</v>
      </c>
      <c r="N3877" t="s">
        <v>33504</v>
      </c>
      <c r="O3877" t="s">
        <v>25</v>
      </c>
      <c r="P3877" t="s">
        <v>33505</v>
      </c>
      <c r="Q3877" t="s">
        <v>29</v>
      </c>
      <c r="R3877" t="s">
        <v>33501</v>
      </c>
      <c r="S3877" t="s">
        <v>33502</v>
      </c>
    </row>
    <row r="3878" spans="1:19" x14ac:dyDescent="0.25">
      <c r="A3878" s="1">
        <v>3876</v>
      </c>
      <c r="B3878" t="str">
        <f>HYPERLINK("https://www.dasschnelle.at/kienesberger-und-co-kg-mondsee-herzog-odilo-str","Website")</f>
        <v>Website</v>
      </c>
      <c r="C3878" t="str">
        <f>HYPERLINK("http://www.kienesberger.co.at","Website")</f>
        <v>Website</v>
      </c>
      <c r="D3878" t="str">
        <f>HYPERLINK("http://www.google.com/maps/place/47.85741,13.34817","Location")</f>
        <v>Location</v>
      </c>
      <c r="E3878" t="s">
        <v>33506</v>
      </c>
      <c r="F3878" t="s">
        <v>33507</v>
      </c>
      <c r="G3878" t="s">
        <v>6543</v>
      </c>
      <c r="H3878" t="s">
        <v>6544</v>
      </c>
      <c r="I3878" t="s">
        <v>85</v>
      </c>
      <c r="J3878" t="s">
        <v>22</v>
      </c>
      <c r="K3878" t="s">
        <v>33508</v>
      </c>
      <c r="L3878" t="s">
        <v>33511</v>
      </c>
      <c r="M3878" t="s">
        <v>25</v>
      </c>
      <c r="N3878" t="s">
        <v>33512</v>
      </c>
      <c r="O3878" t="s">
        <v>33513</v>
      </c>
      <c r="P3878" t="s">
        <v>33514</v>
      </c>
      <c r="Q3878" t="s">
        <v>29</v>
      </c>
      <c r="R3878" t="s">
        <v>33509</v>
      </c>
      <c r="S3878" t="s">
        <v>33510</v>
      </c>
    </row>
    <row r="3879" spans="1:19" x14ac:dyDescent="0.25">
      <c r="A3879" s="1">
        <v>3877</v>
      </c>
      <c r="B3879" t="str">
        <f>HYPERLINK("https://www.dasschnelle.at/foitik-christine-mag-r-groß-gerungs-zwettler-straße","Website")</f>
        <v>Website</v>
      </c>
      <c r="C3879" t="str">
        <f>HYPERLINK("http://www.foitik.at","Website")</f>
        <v>Website</v>
      </c>
      <c r="D3879" t="str">
        <f>HYPERLINK("http://www.google.com/maps/place/48.57294,14.96378","Location")</f>
        <v>Location</v>
      </c>
      <c r="E3879" t="s">
        <v>33515</v>
      </c>
      <c r="F3879" t="s">
        <v>33516</v>
      </c>
      <c r="G3879" t="s">
        <v>11242</v>
      </c>
      <c r="H3879" t="s">
        <v>11252</v>
      </c>
      <c r="I3879" t="s">
        <v>177</v>
      </c>
      <c r="J3879" t="s">
        <v>22</v>
      </c>
      <c r="K3879" t="s">
        <v>33517</v>
      </c>
      <c r="L3879" t="s">
        <v>33520</v>
      </c>
      <c r="M3879" t="s">
        <v>33521</v>
      </c>
      <c r="N3879" t="s">
        <v>33522</v>
      </c>
      <c r="O3879" t="s">
        <v>25</v>
      </c>
      <c r="P3879" t="s">
        <v>33523</v>
      </c>
      <c r="Q3879" t="s">
        <v>29</v>
      </c>
      <c r="R3879" t="s">
        <v>33518</v>
      </c>
      <c r="S3879" t="s">
        <v>33519</v>
      </c>
    </row>
    <row r="3880" spans="1:19" x14ac:dyDescent="0.25">
      <c r="A3880" s="1">
        <v>3878</v>
      </c>
      <c r="B3880" t="str">
        <f>HYPERLINK("https://www.dasschnelle.at/schlewitz-martin-schärding-innere-stadt-ludwig-pfliegl-gasse","Website")</f>
        <v>Website</v>
      </c>
      <c r="C3880" t="str">
        <f>HYPERLINK("http://www.radsport.schlewitz.com","Website")</f>
        <v>Website</v>
      </c>
      <c r="D3880" t="str">
        <f>HYPERLINK("http://www.google.com/maps/place/48.45525,13.43178","Location")</f>
        <v>Location</v>
      </c>
      <c r="E3880" t="s">
        <v>33524</v>
      </c>
      <c r="F3880" t="s">
        <v>33525</v>
      </c>
      <c r="G3880" t="s">
        <v>8850</v>
      </c>
      <c r="H3880" t="s">
        <v>8859</v>
      </c>
      <c r="I3880" t="s">
        <v>85</v>
      </c>
      <c r="J3880" t="s">
        <v>22</v>
      </c>
      <c r="K3880" t="s">
        <v>33526</v>
      </c>
      <c r="L3880" t="s">
        <v>33529</v>
      </c>
      <c r="M3880" t="s">
        <v>25</v>
      </c>
      <c r="N3880" t="s">
        <v>33530</v>
      </c>
      <c r="O3880" t="s">
        <v>25</v>
      </c>
      <c r="P3880" t="s">
        <v>33531</v>
      </c>
      <c r="Q3880" t="s">
        <v>29</v>
      </c>
      <c r="R3880" t="s">
        <v>33527</v>
      </c>
      <c r="S3880" t="s">
        <v>33528</v>
      </c>
    </row>
    <row r="3881" spans="1:19" x14ac:dyDescent="0.25">
      <c r="A3881" s="1">
        <v>3879</v>
      </c>
      <c r="B3881" t="str">
        <f>HYPERLINK("https://www.dasschnelle.at/haberl-brunnenthal-otterbacher-straße","Website")</f>
        <v>Website</v>
      </c>
      <c r="C3881" t="str">
        <f>HYPERLINK("https://www.dasschnelle.at/haberl-brunnenthal-otterbacher-stra%C3%9Fe","Website")</f>
        <v>Website</v>
      </c>
      <c r="D3881" t="str">
        <f>HYPERLINK("http://www.google.com/maps/place/48.4600100,13.4503500","Location")</f>
        <v>Location</v>
      </c>
      <c r="E3881" t="s">
        <v>33532</v>
      </c>
      <c r="F3881" t="s">
        <v>33533</v>
      </c>
      <c r="G3881" t="s">
        <v>24318</v>
      </c>
      <c r="H3881" t="s">
        <v>24319</v>
      </c>
      <c r="I3881" t="s">
        <v>85</v>
      </c>
      <c r="J3881" t="s">
        <v>22</v>
      </c>
      <c r="K3881" t="s">
        <v>33534</v>
      </c>
      <c r="L3881" t="s">
        <v>33537</v>
      </c>
      <c r="M3881" t="s">
        <v>25</v>
      </c>
      <c r="N3881" t="s">
        <v>33538</v>
      </c>
      <c r="O3881" t="s">
        <v>25</v>
      </c>
      <c r="P3881" t="s">
        <v>33539</v>
      </c>
      <c r="Q3881" t="s">
        <v>29</v>
      </c>
      <c r="R3881" t="s">
        <v>33535</v>
      </c>
      <c r="S3881" t="s">
        <v>33536</v>
      </c>
    </row>
    <row r="3882" spans="1:19" x14ac:dyDescent="0.25">
      <c r="A3882" s="1">
        <v>3880</v>
      </c>
      <c r="B3882" t="str">
        <f>HYPERLINK("https://www.dasschnelle.at/braumann-haustechnik-gmbh-schärding-linzer-straße","Website")</f>
        <v>Website</v>
      </c>
      <c r="C3882" t="str">
        <f>HYPERLINK("http://www.braumann-haustechnik.at","Website")</f>
        <v>Website</v>
      </c>
      <c r="D3882" t="str">
        <f>HYPERLINK("http://www.google.com/maps/place/48.44803,13.43766","Location")</f>
        <v>Location</v>
      </c>
      <c r="E3882" t="s">
        <v>33540</v>
      </c>
      <c r="F3882" t="s">
        <v>33541</v>
      </c>
      <c r="G3882" t="s">
        <v>8850</v>
      </c>
      <c r="H3882" t="s">
        <v>8851</v>
      </c>
      <c r="I3882" t="s">
        <v>85</v>
      </c>
      <c r="J3882" t="s">
        <v>22</v>
      </c>
      <c r="K3882" t="s">
        <v>33542</v>
      </c>
      <c r="L3882" t="s">
        <v>33545</v>
      </c>
      <c r="M3882" t="s">
        <v>25</v>
      </c>
      <c r="N3882" t="s">
        <v>33546</v>
      </c>
      <c r="O3882" t="s">
        <v>25</v>
      </c>
      <c r="P3882" t="s">
        <v>33547</v>
      </c>
      <c r="Q3882" t="s">
        <v>29</v>
      </c>
      <c r="R3882" t="s">
        <v>33543</v>
      </c>
      <c r="S3882" t="s">
        <v>33544</v>
      </c>
    </row>
    <row r="3883" spans="1:19" x14ac:dyDescent="0.25">
      <c r="A3883" s="1">
        <v>3881</v>
      </c>
      <c r="B3883" t="str">
        <f>HYPERLINK("https://www.dasschnelle.at/mag-ruth-vejvar-j-haunschmid-kg-freistadt-manzenreith","Website")</f>
        <v>Website</v>
      </c>
      <c r="C3883" t="str">
        <f>HYPERLINK("http://www.jhsteuer.at","Website")</f>
        <v>Website</v>
      </c>
      <c r="D3883" t="str">
        <f>HYPERLINK("http://www.google.com/maps/place/48.5095744,14.5080394","Location")</f>
        <v>Location</v>
      </c>
      <c r="E3883" t="s">
        <v>33548</v>
      </c>
      <c r="F3883" t="s">
        <v>33549</v>
      </c>
      <c r="G3883" t="s">
        <v>6891</v>
      </c>
      <c r="H3883" t="s">
        <v>6892</v>
      </c>
      <c r="I3883" t="s">
        <v>85</v>
      </c>
      <c r="J3883" t="s">
        <v>22</v>
      </c>
      <c r="K3883" t="s">
        <v>33550</v>
      </c>
      <c r="L3883" t="s">
        <v>33553</v>
      </c>
      <c r="M3883" t="s">
        <v>25</v>
      </c>
      <c r="N3883" t="s">
        <v>33554</v>
      </c>
      <c r="O3883" t="s">
        <v>25</v>
      </c>
      <c r="P3883" t="s">
        <v>33555</v>
      </c>
      <c r="Q3883" t="s">
        <v>29</v>
      </c>
      <c r="R3883" t="s">
        <v>33551</v>
      </c>
      <c r="S3883" t="s">
        <v>33552</v>
      </c>
    </row>
    <row r="3884" spans="1:19" x14ac:dyDescent="0.25">
      <c r="A3884" s="1">
        <v>3882</v>
      </c>
      <c r="B3884" t="str">
        <f>HYPERLINK("https://www.dasschnelle.at/ruhaltinger-installations-gesmbh-und-co-kg-weitersfelden-weitersfelden","Website")</f>
        <v>Website</v>
      </c>
      <c r="C3884" t="str">
        <f>HYPERLINK("http://www.ruhaltinger.com","Website")</f>
        <v>Website</v>
      </c>
      <c r="D3884" t="str">
        <f>HYPERLINK("http://www.google.com/maps/place/48.4772014,14.7279141","Location")</f>
        <v>Location</v>
      </c>
      <c r="E3884" t="s">
        <v>33556</v>
      </c>
      <c r="F3884" t="s">
        <v>33557</v>
      </c>
      <c r="G3884" t="s">
        <v>33391</v>
      </c>
      <c r="H3884" t="s">
        <v>33392</v>
      </c>
      <c r="I3884" t="s">
        <v>85</v>
      </c>
      <c r="J3884" t="s">
        <v>22</v>
      </c>
      <c r="K3884" t="s">
        <v>33558</v>
      </c>
      <c r="L3884" t="s">
        <v>33561</v>
      </c>
      <c r="M3884" t="s">
        <v>25</v>
      </c>
      <c r="N3884" t="s">
        <v>33562</v>
      </c>
      <c r="O3884" t="s">
        <v>25</v>
      </c>
      <c r="P3884" t="s">
        <v>33563</v>
      </c>
      <c r="Q3884" t="s">
        <v>29</v>
      </c>
      <c r="R3884" t="s">
        <v>33559</v>
      </c>
      <c r="S3884" t="s">
        <v>33560</v>
      </c>
    </row>
    <row r="3885" spans="1:19" x14ac:dyDescent="0.25">
      <c r="A3885" s="1">
        <v>3883</v>
      </c>
      <c r="B3885" t="str">
        <f>HYPERLINK("https://www.dasschnelle.at/puchner-thomas-dr-med-schärding-alfred-kubin-straße","Website")</f>
        <v>Website</v>
      </c>
      <c r="C3885" t="str">
        <f>HYPERLINK("http://www.puchner-thomas-dr-prim.stadtausstellung.at/","Website")</f>
        <v>Website</v>
      </c>
      <c r="D3885" t="str">
        <f>HYPERLINK("http://www.google.com/maps/place/48.4556127,13.4360568","Location")</f>
        <v>Location</v>
      </c>
      <c r="E3885" t="s">
        <v>33564</v>
      </c>
      <c r="F3885" t="s">
        <v>33565</v>
      </c>
      <c r="G3885" t="s">
        <v>8850</v>
      </c>
      <c r="H3885" t="s">
        <v>8851</v>
      </c>
      <c r="I3885" t="s">
        <v>85</v>
      </c>
      <c r="J3885" t="s">
        <v>22</v>
      </c>
      <c r="K3885" t="s">
        <v>33566</v>
      </c>
      <c r="L3885" t="s">
        <v>33569</v>
      </c>
      <c r="M3885" t="s">
        <v>25</v>
      </c>
      <c r="N3885" t="s">
        <v>33570</v>
      </c>
      <c r="O3885" t="s">
        <v>25</v>
      </c>
      <c r="P3885" t="s">
        <v>33571</v>
      </c>
      <c r="Q3885" t="s">
        <v>29</v>
      </c>
      <c r="R3885" t="s">
        <v>33567</v>
      </c>
      <c r="S3885" t="s">
        <v>33568</v>
      </c>
    </row>
    <row r="3886" spans="1:19" x14ac:dyDescent="0.25">
      <c r="A3886" s="1">
        <v>3884</v>
      </c>
      <c r="B3886" t="str">
        <f>HYPERLINK("https://www.dasschnelle.at/grosser-dachdecker-spengler-gmbh-unterweißenbach-almstraße","Website")</f>
        <v>Website</v>
      </c>
      <c r="C3886" t="str">
        <f>HYPERLINK("http://www.grosser.at","Website")</f>
        <v>Website</v>
      </c>
      <c r="D3886" t="str">
        <f>HYPERLINK("http://www.google.com/maps/place/48.4341,14.78062","Location")</f>
        <v>Location</v>
      </c>
      <c r="E3886" t="s">
        <v>33572</v>
      </c>
      <c r="F3886" t="s">
        <v>33573</v>
      </c>
      <c r="G3886" t="s">
        <v>26623</v>
      </c>
      <c r="H3886" t="s">
        <v>26735</v>
      </c>
      <c r="I3886" t="s">
        <v>85</v>
      </c>
      <c r="J3886" t="s">
        <v>22</v>
      </c>
      <c r="K3886" t="s">
        <v>33574</v>
      </c>
      <c r="L3886" t="s">
        <v>33577</v>
      </c>
      <c r="M3886" t="s">
        <v>25</v>
      </c>
      <c r="N3886" t="s">
        <v>33578</v>
      </c>
      <c r="O3886" t="s">
        <v>25</v>
      </c>
      <c r="P3886" t="s">
        <v>33579</v>
      </c>
      <c r="Q3886" t="s">
        <v>29</v>
      </c>
      <c r="R3886" t="s">
        <v>33575</v>
      </c>
      <c r="S3886" t="s">
        <v>33576</v>
      </c>
    </row>
    <row r="3887" spans="1:19" x14ac:dyDescent="0.25">
      <c r="A3887" s="1">
        <v>3885</v>
      </c>
      <c r="B3887" t="str">
        <f>HYPERLINK("https://www.dasschnelle.at/magerl-erich-dorf-leopoldschlag-dorf-leopoldschlag","Website")</f>
        <v>Website</v>
      </c>
      <c r="C3887" t="str">
        <f>HYPERLINK("http://www.magerl.co.at","Website")</f>
        <v>Website</v>
      </c>
      <c r="D3887" t="str">
        <f>HYPERLINK("http://www.google.com/maps/place/48.6102307,14.4742519","Location")</f>
        <v>Location</v>
      </c>
      <c r="E3887" t="s">
        <v>33580</v>
      </c>
      <c r="F3887" t="s">
        <v>33581</v>
      </c>
      <c r="G3887" t="s">
        <v>33583</v>
      </c>
      <c r="H3887" t="s">
        <v>33584</v>
      </c>
      <c r="I3887" t="s">
        <v>85</v>
      </c>
      <c r="J3887" t="s">
        <v>22</v>
      </c>
      <c r="K3887" t="s">
        <v>33582</v>
      </c>
      <c r="L3887" t="s">
        <v>33587</v>
      </c>
      <c r="M3887" t="s">
        <v>33588</v>
      </c>
      <c r="N3887" t="s">
        <v>33589</v>
      </c>
      <c r="O3887" t="s">
        <v>25</v>
      </c>
      <c r="P3887" t="s">
        <v>33590</v>
      </c>
      <c r="Q3887" t="s">
        <v>29</v>
      </c>
      <c r="R3887" t="s">
        <v>33585</v>
      </c>
      <c r="S3887" t="s">
        <v>33586</v>
      </c>
    </row>
    <row r="3888" spans="1:19" x14ac:dyDescent="0.25">
      <c r="A3888" s="1">
        <v>3886</v>
      </c>
      <c r="B3888" t="str">
        <f>HYPERLINK("https://www.dasschnelle.at/frankl-gmbh-gratkorn-harter-straße","Website")</f>
        <v>Website</v>
      </c>
      <c r="C3888" t="str">
        <f>HYPERLINK("https://www.dasschnelle.at/frankl-gmbh-gratkorn-harter-stra%C3%9Fe","Website")</f>
        <v>Website</v>
      </c>
      <c r="D3888" t="str">
        <f>HYPERLINK("http://www.google.com/maps/place/47.12225,15.36191","Location")</f>
        <v>Location</v>
      </c>
      <c r="E3888" t="s">
        <v>33591</v>
      </c>
      <c r="F3888" t="s">
        <v>33592</v>
      </c>
      <c r="G3888" t="s">
        <v>7958</v>
      </c>
      <c r="H3888" t="s">
        <v>7959</v>
      </c>
      <c r="I3888" t="s">
        <v>451</v>
      </c>
      <c r="J3888" t="s">
        <v>22</v>
      </c>
      <c r="K3888" t="s">
        <v>33593</v>
      </c>
      <c r="L3888" t="s">
        <v>33596</v>
      </c>
      <c r="M3888" t="s">
        <v>25</v>
      </c>
      <c r="N3888" t="s">
        <v>33597</v>
      </c>
      <c r="O3888" t="s">
        <v>25</v>
      </c>
      <c r="P3888" t="s">
        <v>33598</v>
      </c>
      <c r="Q3888" t="s">
        <v>29</v>
      </c>
      <c r="R3888" t="s">
        <v>33594</v>
      </c>
      <c r="S3888" t="s">
        <v>33595</v>
      </c>
    </row>
    <row r="3889" spans="1:19" x14ac:dyDescent="0.25">
      <c r="A3889" s="1">
        <v>3887</v>
      </c>
      <c r="B3889" t="str">
        <f>HYPERLINK("https://www.dasschnelle.at/gitterle-steine-gmbh-landeck-nesselgarten","Website")</f>
        <v>Website</v>
      </c>
      <c r="C3889" t="str">
        <f>HYPERLINK("http://www.gitterle-steine.at","Website")</f>
        <v>Website</v>
      </c>
      <c r="D3889" t="str">
        <f>HYPERLINK("http://www.google.com/maps/place/47.11622,10.61647","Location")</f>
        <v>Location</v>
      </c>
      <c r="E3889" t="s">
        <v>33599</v>
      </c>
      <c r="F3889" t="s">
        <v>33600</v>
      </c>
      <c r="G3889" t="s">
        <v>1279</v>
      </c>
      <c r="H3889" t="s">
        <v>1280</v>
      </c>
      <c r="I3889" t="s">
        <v>21</v>
      </c>
      <c r="J3889" t="s">
        <v>22</v>
      </c>
      <c r="K3889" t="s">
        <v>33601</v>
      </c>
      <c r="L3889" t="s">
        <v>33604</v>
      </c>
      <c r="M3889" t="s">
        <v>33605</v>
      </c>
      <c r="N3889" t="s">
        <v>33606</v>
      </c>
      <c r="O3889" t="s">
        <v>25</v>
      </c>
      <c r="P3889" t="s">
        <v>33607</v>
      </c>
      <c r="Q3889" t="s">
        <v>29</v>
      </c>
      <c r="R3889" t="s">
        <v>33602</v>
      </c>
      <c r="S3889" t="s">
        <v>33603</v>
      </c>
    </row>
    <row r="3890" spans="1:19" x14ac:dyDescent="0.25">
      <c r="A3890" s="1">
        <v>3888</v>
      </c>
      <c r="B3890" t="str">
        <f>HYPERLINK("https://www.dasschnelle.at/tollinger-gmbh-landeck-urichstraße","Website")</f>
        <v>Website</v>
      </c>
      <c r="C3890" t="str">
        <f>HYPERLINK("http://www.tollinger.org","Website")</f>
        <v>Website</v>
      </c>
      <c r="D3890" t="str">
        <f>HYPERLINK("http://www.google.com/maps/place/47.14803,10.58003","Location")</f>
        <v>Location</v>
      </c>
      <c r="E3890" t="s">
        <v>33608</v>
      </c>
      <c r="F3890" t="s">
        <v>33609</v>
      </c>
      <c r="G3890" t="s">
        <v>1279</v>
      </c>
      <c r="H3890" t="s">
        <v>1280</v>
      </c>
      <c r="I3890" t="s">
        <v>21</v>
      </c>
      <c r="J3890" t="s">
        <v>22</v>
      </c>
      <c r="K3890" t="s">
        <v>33610</v>
      </c>
      <c r="L3890" t="s">
        <v>33613</v>
      </c>
      <c r="M3890" t="s">
        <v>33614</v>
      </c>
      <c r="N3890" t="s">
        <v>33615</v>
      </c>
      <c r="O3890" t="s">
        <v>25</v>
      </c>
      <c r="P3890" t="s">
        <v>33616</v>
      </c>
      <c r="Q3890" t="s">
        <v>29</v>
      </c>
      <c r="R3890" t="s">
        <v>33611</v>
      </c>
      <c r="S3890" t="s">
        <v>33612</v>
      </c>
    </row>
    <row r="3891" spans="1:19" x14ac:dyDescent="0.25">
      <c r="A3891" s="1">
        <v>3889</v>
      </c>
      <c r="B3891" t="str">
        <f>HYPERLINK("https://www.dasschnelle.at/mittendorfer-peter-gesmbh-und-co-kg-st-oswald-bei-freistadt-wippl","Website")</f>
        <v>Website</v>
      </c>
      <c r="C3891" t="str">
        <f>HYPERLINK("http://www.saegewerk-mittendorf.at","Website")</f>
        <v>Website</v>
      </c>
      <c r="D3891" t="str">
        <f>HYPERLINK("http://www.google.com/maps/place/48.5070375,14.6050127","Location")</f>
        <v>Location</v>
      </c>
      <c r="E3891" t="s">
        <v>33617</v>
      </c>
      <c r="F3891" t="s">
        <v>33618</v>
      </c>
      <c r="G3891" t="s">
        <v>26679</v>
      </c>
      <c r="H3891" t="s">
        <v>33620</v>
      </c>
      <c r="I3891" t="s">
        <v>85</v>
      </c>
      <c r="J3891" t="s">
        <v>22</v>
      </c>
      <c r="K3891" t="s">
        <v>33619</v>
      </c>
      <c r="L3891" t="s">
        <v>33623</v>
      </c>
      <c r="M3891" t="s">
        <v>25</v>
      </c>
      <c r="N3891" t="s">
        <v>33624</v>
      </c>
      <c r="O3891" t="s">
        <v>25</v>
      </c>
      <c r="P3891" t="s">
        <v>33625</v>
      </c>
      <c r="Q3891" t="s">
        <v>29</v>
      </c>
      <c r="R3891" t="s">
        <v>33621</v>
      </c>
      <c r="S3891" t="s">
        <v>33622</v>
      </c>
    </row>
    <row r="3892" spans="1:19" x14ac:dyDescent="0.25">
      <c r="A3892" s="1">
        <v>3890</v>
      </c>
      <c r="B3892" t="str">
        <f>HYPERLINK("https://www.dasschnelle.at/walter-gruber-bau-gesmbh-rainbach-im-mühlkreis-summerauer-straße","Website")</f>
        <v>Website</v>
      </c>
      <c r="C3892" t="str">
        <f>HYPERLINK("http://www.gruberbau.at","Website")</f>
        <v>Website</v>
      </c>
      <c r="D3892" t="str">
        <f>HYPERLINK("http://www.google.com/maps/place/48.55701,14.46616","Location")</f>
        <v>Location</v>
      </c>
      <c r="E3892" t="s">
        <v>33626</v>
      </c>
      <c r="F3892" t="s">
        <v>33627</v>
      </c>
      <c r="G3892" t="s">
        <v>10800</v>
      </c>
      <c r="H3892" t="s">
        <v>10801</v>
      </c>
      <c r="I3892" t="s">
        <v>85</v>
      </c>
      <c r="J3892" t="s">
        <v>22</v>
      </c>
      <c r="K3892" t="s">
        <v>33628</v>
      </c>
      <c r="L3892" t="s">
        <v>33631</v>
      </c>
      <c r="M3892" t="s">
        <v>25</v>
      </c>
      <c r="N3892" t="s">
        <v>33632</v>
      </c>
      <c r="O3892" t="s">
        <v>25</v>
      </c>
      <c r="P3892" t="s">
        <v>33633</v>
      </c>
      <c r="Q3892" t="s">
        <v>29</v>
      </c>
      <c r="R3892" t="s">
        <v>33629</v>
      </c>
      <c r="S3892" t="s">
        <v>33630</v>
      </c>
    </row>
    <row r="3893" spans="1:19" x14ac:dyDescent="0.25">
      <c r="A3893" s="1">
        <v>3891</v>
      </c>
      <c r="B3893" t="str">
        <f>HYPERLINK("https://www.dasschnelle.at/christoph-buxbaum-gmbh-langschlag-neusiedlung","Website")</f>
        <v>Website</v>
      </c>
      <c r="C3893" t="str">
        <f>HYPERLINK("http://www.buxbaum-dach.at","Website")</f>
        <v>Website</v>
      </c>
      <c r="D3893" t="str">
        <f>HYPERLINK("http://www.google.com/maps/place/48.57273,14.88015","Location")</f>
        <v>Location</v>
      </c>
      <c r="E3893" t="s">
        <v>33634</v>
      </c>
      <c r="F3893" t="s">
        <v>33635</v>
      </c>
      <c r="G3893" t="s">
        <v>24356</v>
      </c>
      <c r="H3893" t="s">
        <v>24357</v>
      </c>
      <c r="I3893" t="s">
        <v>177</v>
      </c>
      <c r="J3893" t="s">
        <v>22</v>
      </c>
      <c r="K3893" t="s">
        <v>33636</v>
      </c>
      <c r="L3893" t="s">
        <v>33639</v>
      </c>
      <c r="M3893" t="s">
        <v>25</v>
      </c>
      <c r="N3893" t="s">
        <v>33640</v>
      </c>
      <c r="O3893" t="s">
        <v>25</v>
      </c>
      <c r="P3893" t="s">
        <v>33641</v>
      </c>
      <c r="Q3893" t="s">
        <v>29</v>
      </c>
      <c r="R3893" t="s">
        <v>33637</v>
      </c>
      <c r="S3893" t="s">
        <v>33638</v>
      </c>
    </row>
    <row r="3894" spans="1:19" x14ac:dyDescent="0.25">
      <c r="A3894" s="1">
        <v>3892</v>
      </c>
      <c r="B3894" t="str">
        <f>HYPERLINK("https://www.dasschnelle.at/installationen-franz-rentenberger-e-u-langschlag-franz-diebl-straße","Website")</f>
        <v>Website</v>
      </c>
      <c r="C3894" t="str">
        <f>HYPERLINK("http://www.rentenberger.co.at","Website")</f>
        <v>Website</v>
      </c>
      <c r="D3894" t="str">
        <f>HYPERLINK("http://www.google.com/maps/place/48.57416,14.88608","Location")</f>
        <v>Location</v>
      </c>
      <c r="E3894" t="s">
        <v>33642</v>
      </c>
      <c r="F3894" t="s">
        <v>33643</v>
      </c>
      <c r="G3894" t="s">
        <v>24356</v>
      </c>
      <c r="H3894" t="s">
        <v>24357</v>
      </c>
      <c r="I3894" t="s">
        <v>177</v>
      </c>
      <c r="J3894" t="s">
        <v>22</v>
      </c>
      <c r="K3894" t="s">
        <v>33644</v>
      </c>
      <c r="L3894" t="s">
        <v>33647</v>
      </c>
      <c r="M3894" t="s">
        <v>25</v>
      </c>
      <c r="N3894" t="s">
        <v>33648</v>
      </c>
      <c r="O3894" t="s">
        <v>25</v>
      </c>
      <c r="P3894" t="s">
        <v>33649</v>
      </c>
      <c r="Q3894" t="s">
        <v>29</v>
      </c>
      <c r="R3894" t="s">
        <v>33645</v>
      </c>
      <c r="S3894" t="s">
        <v>33646</v>
      </c>
    </row>
    <row r="3895" spans="1:19" x14ac:dyDescent="0.25">
      <c r="A3895" s="1">
        <v>3893</v>
      </c>
      <c r="B3895" t="str">
        <f>HYPERLINK("https://www.dasschnelle.at/halbmayer-martin-tulln-an-der-donau-karl-metz-gasse","Website")</f>
        <v>Website</v>
      </c>
      <c r="C3895" t="str">
        <f>HYPERLINK("http://www.ortho-halbmayer.at","Website")</f>
        <v>Website</v>
      </c>
      <c r="D3895" t="str">
        <f>HYPERLINK("http://www.google.com/maps/place/48.33209,16.06147","Location")</f>
        <v>Location</v>
      </c>
      <c r="E3895" t="s">
        <v>33650</v>
      </c>
      <c r="F3895" t="s">
        <v>33651</v>
      </c>
      <c r="G3895" t="s">
        <v>9499</v>
      </c>
      <c r="H3895" t="s">
        <v>9500</v>
      </c>
      <c r="I3895" t="s">
        <v>177</v>
      </c>
      <c r="J3895" t="s">
        <v>22</v>
      </c>
      <c r="K3895" t="s">
        <v>33652</v>
      </c>
      <c r="L3895" t="s">
        <v>33655</v>
      </c>
      <c r="M3895" t="s">
        <v>33656</v>
      </c>
      <c r="N3895" t="s">
        <v>33657</v>
      </c>
      <c r="O3895" t="s">
        <v>25</v>
      </c>
      <c r="P3895" t="s">
        <v>33658</v>
      </c>
      <c r="Q3895" t="s">
        <v>29</v>
      </c>
      <c r="R3895" t="s">
        <v>33653</v>
      </c>
      <c r="S3895" t="s">
        <v>33654</v>
      </c>
    </row>
    <row r="3896" spans="1:19" x14ac:dyDescent="0.25">
      <c r="A3896" s="1">
        <v>3894</v>
      </c>
      <c r="B3896" t="str">
        <f>HYPERLINK("https://www.dasschnelle.at/mörzinger-franz-gmünd-emerich-berger-straße","Website")</f>
        <v>Website</v>
      </c>
      <c r="C3896" t="str">
        <f>HYPERLINK("http://www.moerzinger.at","Website")</f>
        <v>Website</v>
      </c>
      <c r="D3896" t="str">
        <f>HYPERLINK("http://www.google.com/maps/place/48.76539,14.98329","Location")</f>
        <v>Location</v>
      </c>
      <c r="E3896" t="s">
        <v>33659</v>
      </c>
      <c r="F3896" t="s">
        <v>33660</v>
      </c>
      <c r="G3896" t="s">
        <v>13116</v>
      </c>
      <c r="H3896" t="s">
        <v>13117</v>
      </c>
      <c r="I3896" t="s">
        <v>177</v>
      </c>
      <c r="J3896" t="s">
        <v>22</v>
      </c>
      <c r="K3896" t="s">
        <v>33661</v>
      </c>
      <c r="L3896" t="s">
        <v>33664</v>
      </c>
      <c r="M3896" t="s">
        <v>25</v>
      </c>
      <c r="N3896" t="s">
        <v>33665</v>
      </c>
      <c r="O3896" t="s">
        <v>25</v>
      </c>
      <c r="P3896" t="s">
        <v>33666</v>
      </c>
      <c r="Q3896" t="s">
        <v>29</v>
      </c>
      <c r="R3896" t="s">
        <v>33662</v>
      </c>
      <c r="S3896" t="s">
        <v>33663</v>
      </c>
    </row>
    <row r="3897" spans="1:19" x14ac:dyDescent="0.25">
      <c r="A3897" s="1">
        <v>3895</v>
      </c>
      <c r="B3897" t="str">
        <f>HYPERLINK("https://www.dasschnelle.at/reischl-haustechnik-ges-mbh-undco-kg-frankenmarkt-auleitenstraße","Website")</f>
        <v>Website</v>
      </c>
      <c r="C3897" t="str">
        <f>HYPERLINK("http://www.reischl.co.at","Website")</f>
        <v>Website</v>
      </c>
      <c r="D3897" t="str">
        <f>HYPERLINK("http://www.google.com/maps/place/47.98518,13.41528","Location")</f>
        <v>Location</v>
      </c>
      <c r="E3897" t="s">
        <v>33667</v>
      </c>
      <c r="F3897" t="s">
        <v>33668</v>
      </c>
      <c r="G3897" t="s">
        <v>13301</v>
      </c>
      <c r="H3897" t="s">
        <v>13311</v>
      </c>
      <c r="I3897" t="s">
        <v>85</v>
      </c>
      <c r="J3897" t="s">
        <v>22</v>
      </c>
      <c r="K3897" t="s">
        <v>33669</v>
      </c>
      <c r="L3897" t="s">
        <v>33672</v>
      </c>
      <c r="M3897" t="s">
        <v>25</v>
      </c>
      <c r="N3897" t="s">
        <v>33673</v>
      </c>
      <c r="O3897" t="s">
        <v>25</v>
      </c>
      <c r="P3897" t="s">
        <v>33674</v>
      </c>
      <c r="Q3897" t="s">
        <v>29</v>
      </c>
      <c r="R3897" t="s">
        <v>33670</v>
      </c>
      <c r="S3897" t="s">
        <v>33671</v>
      </c>
    </row>
    <row r="3898" spans="1:19" x14ac:dyDescent="0.25">
      <c r="A3898" s="1">
        <v>3896</v>
      </c>
      <c r="B3898" t="str">
        <f>HYPERLINK("https://www.dasschnelle.at/strobl-maler-und-bodenleger-gmbh-thalgau-franz-schoosleitner-straße","Website")</f>
        <v>Website</v>
      </c>
      <c r="C3898" t="str">
        <f>HYPERLINK("http://www.malerei-strobl.at","Website")</f>
        <v>Website</v>
      </c>
      <c r="D3898" t="str">
        <f>HYPERLINK("http://www.google.com/maps/place/47.84185,13.25142","Location")</f>
        <v>Location</v>
      </c>
      <c r="E3898" t="s">
        <v>33675</v>
      </c>
      <c r="F3898" t="s">
        <v>33676</v>
      </c>
      <c r="G3898" t="s">
        <v>26904</v>
      </c>
      <c r="H3898" t="s">
        <v>26905</v>
      </c>
      <c r="I3898" t="s">
        <v>2239</v>
      </c>
      <c r="J3898" t="s">
        <v>22</v>
      </c>
      <c r="K3898" t="s">
        <v>33677</v>
      </c>
      <c r="L3898" t="s">
        <v>33680</v>
      </c>
      <c r="M3898" t="s">
        <v>25</v>
      </c>
      <c r="N3898" t="s">
        <v>33681</v>
      </c>
      <c r="O3898" t="s">
        <v>25</v>
      </c>
      <c r="P3898" t="s">
        <v>33682</v>
      </c>
      <c r="Q3898" t="s">
        <v>29</v>
      </c>
      <c r="R3898" t="s">
        <v>33678</v>
      </c>
      <c r="S3898" t="s">
        <v>33679</v>
      </c>
    </row>
    <row r="3899" spans="1:19" x14ac:dyDescent="0.25">
      <c r="A3899" s="1">
        <v>3897</v>
      </c>
      <c r="B3899" t="str">
        <f>HYPERLINK("https://www.dasschnelle.at/lasinger-franz-sankt-leonhard-bei-freistadt-hauptstraße","Website")</f>
        <v>Website</v>
      </c>
      <c r="C3899" t="str">
        <f>HYPERLINK("http://www.autohaus-lasinger.at","Website")</f>
        <v>Website</v>
      </c>
      <c r="D3899" t="str">
        <f>HYPERLINK("http://www.google.com/maps/place/48.44558,14.68319","Location")</f>
        <v>Location</v>
      </c>
      <c r="E3899" t="s">
        <v>33683</v>
      </c>
      <c r="F3899" t="s">
        <v>33684</v>
      </c>
      <c r="G3899" t="s">
        <v>9313</v>
      </c>
      <c r="H3899" t="s">
        <v>9314</v>
      </c>
      <c r="I3899" t="s">
        <v>85</v>
      </c>
      <c r="J3899" t="s">
        <v>22</v>
      </c>
      <c r="K3899" t="s">
        <v>33685</v>
      </c>
      <c r="L3899" t="s">
        <v>33688</v>
      </c>
      <c r="M3899" t="s">
        <v>25</v>
      </c>
      <c r="N3899" t="s">
        <v>33689</v>
      </c>
      <c r="O3899" t="s">
        <v>25</v>
      </c>
      <c r="P3899" t="s">
        <v>33690</v>
      </c>
      <c r="Q3899" t="s">
        <v>29</v>
      </c>
      <c r="R3899" t="s">
        <v>33686</v>
      </c>
      <c r="S3899" t="s">
        <v>33687</v>
      </c>
    </row>
    <row r="3900" spans="1:19" x14ac:dyDescent="0.25">
      <c r="A3900" s="1">
        <v>3898</v>
      </c>
      <c r="B3900" t="str">
        <f>HYPERLINK("https://www.dasschnelle.at/autohaus-aumayr-gmbh-schönau-im-mühlkreis-almstraße","Website")</f>
        <v>Website</v>
      </c>
      <c r="C3900" t="str">
        <f>HYPERLINK("http://www.ford-aumayr.at","Website")</f>
        <v>Website</v>
      </c>
      <c r="D3900" t="str">
        <f>HYPERLINK("http://www.google.com/maps/place/48.39921,14.73298","Location")</f>
        <v>Location</v>
      </c>
      <c r="E3900" t="s">
        <v>33691</v>
      </c>
      <c r="F3900" t="s">
        <v>33692</v>
      </c>
      <c r="G3900" t="s">
        <v>13087</v>
      </c>
      <c r="H3900" t="s">
        <v>13088</v>
      </c>
      <c r="I3900" t="s">
        <v>85</v>
      </c>
      <c r="J3900" t="s">
        <v>22</v>
      </c>
      <c r="K3900" t="s">
        <v>33693</v>
      </c>
      <c r="L3900" t="s">
        <v>33696</v>
      </c>
      <c r="M3900" t="s">
        <v>33697</v>
      </c>
      <c r="N3900" t="s">
        <v>33698</v>
      </c>
      <c r="O3900" t="s">
        <v>25</v>
      </c>
      <c r="P3900" t="s">
        <v>33699</v>
      </c>
      <c r="Q3900" t="s">
        <v>29</v>
      </c>
      <c r="R3900" t="s">
        <v>33694</v>
      </c>
      <c r="S3900" t="s">
        <v>33695</v>
      </c>
    </row>
    <row r="3901" spans="1:19" x14ac:dyDescent="0.25">
      <c r="A3901" s="1">
        <v>3899</v>
      </c>
      <c r="B3901" t="str">
        <f>HYPERLINK("https://www.dasschnelle.at/mohik-wertholz-gmbh-frohnleiten-frohnleiten","Website")</f>
        <v>Website</v>
      </c>
      <c r="C3901" t="str">
        <f>HYPERLINK("http://www.mohik.at","Website")</f>
        <v>Website</v>
      </c>
      <c r="D3901" t="str">
        <f>HYPERLINK("http://www.google.com/maps/place/47.2429160,15.3208670","Location")</f>
        <v>Location</v>
      </c>
      <c r="E3901" t="s">
        <v>33700</v>
      </c>
      <c r="F3901" t="s">
        <v>33701</v>
      </c>
      <c r="G3901" t="s">
        <v>7874</v>
      </c>
      <c r="H3901" t="s">
        <v>7875</v>
      </c>
      <c r="I3901" t="s">
        <v>451</v>
      </c>
      <c r="J3901" t="s">
        <v>22</v>
      </c>
      <c r="K3901" t="s">
        <v>33702</v>
      </c>
      <c r="L3901" t="s">
        <v>33705</v>
      </c>
      <c r="M3901" t="s">
        <v>25</v>
      </c>
      <c r="N3901" t="s">
        <v>33706</v>
      </c>
      <c r="O3901" t="s">
        <v>25</v>
      </c>
      <c r="P3901" t="s">
        <v>33707</v>
      </c>
      <c r="Q3901" t="s">
        <v>29</v>
      </c>
      <c r="R3901" t="s">
        <v>33703</v>
      </c>
      <c r="S3901" t="s">
        <v>33704</v>
      </c>
    </row>
    <row r="3902" spans="1:19" x14ac:dyDescent="0.25">
      <c r="A3902" s="1">
        <v>3900</v>
      </c>
      <c r="B3902" t="str">
        <f>HYPERLINK("https://www.dasschnelle.at/elektrotechnik-deutschmann-hitzendorf-höllberg","Website")</f>
        <v>Website</v>
      </c>
      <c r="C3902" t="str">
        <f>HYPERLINK("http://www.elektrotechnik-deutschmann.at","Website")</f>
        <v>Website</v>
      </c>
      <c r="D3902" t="str">
        <f>HYPERLINK("http://www.google.com/maps/place/47.0167300,15.3013900","Location")</f>
        <v>Location</v>
      </c>
      <c r="E3902" t="s">
        <v>33708</v>
      </c>
      <c r="F3902" t="s">
        <v>33709</v>
      </c>
      <c r="G3902" t="s">
        <v>7844</v>
      </c>
      <c r="H3902" t="s">
        <v>7845</v>
      </c>
      <c r="I3902" t="s">
        <v>451</v>
      </c>
      <c r="J3902" t="s">
        <v>22</v>
      </c>
      <c r="K3902" t="s">
        <v>33710</v>
      </c>
      <c r="L3902" t="s">
        <v>33713</v>
      </c>
      <c r="M3902" t="s">
        <v>25</v>
      </c>
      <c r="N3902" t="s">
        <v>33714</v>
      </c>
      <c r="O3902" t="s">
        <v>33715</v>
      </c>
      <c r="P3902" t="s">
        <v>33716</v>
      </c>
      <c r="Q3902" t="s">
        <v>29</v>
      </c>
      <c r="R3902" t="s">
        <v>33711</v>
      </c>
      <c r="S3902" t="s">
        <v>33712</v>
      </c>
    </row>
    <row r="3903" spans="1:19" x14ac:dyDescent="0.25">
      <c r="A3903" s="1">
        <v>3901</v>
      </c>
      <c r="B3903" t="str">
        <f>HYPERLINK("https://www.dasschnelle.at/gärtnerei-falch-schnann-gewerbegebiet","Website")</f>
        <v>Website</v>
      </c>
      <c r="C3903" t="str">
        <f>HYPERLINK("https://www.dasschnelle.at/g%C3%A4rtnerei-falch-schnann-gewerbegebiet","Website")</f>
        <v>Website</v>
      </c>
      <c r="D3903" t="str">
        <f>HYPERLINK("http://www.google.com/maps/place/47.1494881,10.3745697","Location")</f>
        <v>Location</v>
      </c>
      <c r="E3903" t="s">
        <v>33717</v>
      </c>
      <c r="F3903" t="s">
        <v>33718</v>
      </c>
      <c r="G3903" t="s">
        <v>11911</v>
      </c>
      <c r="H3903" t="s">
        <v>33720</v>
      </c>
      <c r="I3903" t="s">
        <v>21</v>
      </c>
      <c r="J3903" t="s">
        <v>22</v>
      </c>
      <c r="K3903" t="s">
        <v>33719</v>
      </c>
      <c r="L3903" t="s">
        <v>33723</v>
      </c>
      <c r="M3903" t="s">
        <v>25</v>
      </c>
      <c r="N3903" t="s">
        <v>33724</v>
      </c>
      <c r="O3903" t="s">
        <v>25</v>
      </c>
      <c r="P3903" t="s">
        <v>33725</v>
      </c>
      <c r="Q3903" t="s">
        <v>29</v>
      </c>
      <c r="R3903" t="s">
        <v>33721</v>
      </c>
      <c r="S3903" t="s">
        <v>33722</v>
      </c>
    </row>
    <row r="3904" spans="1:19" x14ac:dyDescent="0.25">
      <c r="A3904" s="1">
        <v>3902</v>
      </c>
      <c r="B3904" t="str">
        <f>HYPERLINK("https://www.dasschnelle.at/sonnenschutz-jungwirth-rainbach-im-mühlkreis-apfoltern","Website")</f>
        <v>Website</v>
      </c>
      <c r="C3904" t="str">
        <f>HYPERLINK("https://www.dasschnelle.at/sonnenschutz-jungwirth-rainbach-im-m%C3%BChlkreis-apfoltern","Website")</f>
        <v>Website</v>
      </c>
      <c r="D3904" t="str">
        <f>HYPERLINK("http://www.google.com/maps/place/48.54363,14.48804","Location")</f>
        <v>Location</v>
      </c>
      <c r="E3904" t="s">
        <v>33726</v>
      </c>
      <c r="F3904" t="s">
        <v>33727</v>
      </c>
      <c r="G3904" t="s">
        <v>10800</v>
      </c>
      <c r="H3904" t="s">
        <v>10801</v>
      </c>
      <c r="I3904" t="s">
        <v>85</v>
      </c>
      <c r="J3904" t="s">
        <v>22</v>
      </c>
      <c r="K3904" t="s">
        <v>33728</v>
      </c>
      <c r="L3904" t="s">
        <v>33731</v>
      </c>
      <c r="M3904" t="s">
        <v>25</v>
      </c>
      <c r="N3904" t="s">
        <v>33732</v>
      </c>
      <c r="O3904" t="s">
        <v>25</v>
      </c>
      <c r="P3904" t="s">
        <v>33733</v>
      </c>
      <c r="Q3904" t="s">
        <v>29</v>
      </c>
      <c r="R3904" t="s">
        <v>33729</v>
      </c>
      <c r="S3904" t="s">
        <v>33730</v>
      </c>
    </row>
    <row r="3905" spans="1:19" x14ac:dyDescent="0.25">
      <c r="A3905" s="1">
        <v>3903</v>
      </c>
      <c r="B3905" t="str">
        <f>HYPERLINK("https://www.dasschnelle.at/feichtmayr-karl-gmbh-freistadt-linzerstraße","Website")</f>
        <v>Website</v>
      </c>
      <c r="C3905" t="str">
        <f>HYPERLINK("http://www.toyota-feichtmayr.at","Website")</f>
        <v>Website</v>
      </c>
      <c r="D3905" t="str">
        <f>HYPERLINK("http://www.google.com/maps/place/48.49584,14.50357","Location")</f>
        <v>Location</v>
      </c>
      <c r="E3905" t="s">
        <v>33734</v>
      </c>
      <c r="F3905" t="s">
        <v>33735</v>
      </c>
      <c r="G3905" t="s">
        <v>6891</v>
      </c>
      <c r="H3905" t="s">
        <v>6892</v>
      </c>
      <c r="I3905" t="s">
        <v>85</v>
      </c>
      <c r="J3905" t="s">
        <v>22</v>
      </c>
      <c r="K3905" t="s">
        <v>11064</v>
      </c>
      <c r="L3905" t="s">
        <v>33738</v>
      </c>
      <c r="M3905" t="s">
        <v>25</v>
      </c>
      <c r="N3905" t="s">
        <v>33739</v>
      </c>
      <c r="O3905" t="s">
        <v>33740</v>
      </c>
      <c r="P3905" t="s">
        <v>33741</v>
      </c>
      <c r="Q3905" t="s">
        <v>29</v>
      </c>
      <c r="R3905" t="s">
        <v>33736</v>
      </c>
      <c r="S3905" t="s">
        <v>33737</v>
      </c>
    </row>
    <row r="3906" spans="1:19" x14ac:dyDescent="0.25">
      <c r="A3906" s="1">
        <v>3904</v>
      </c>
      <c r="B3906" t="str">
        <f>HYPERLINK("https://www.dasschnelle.at/jachs-reinhard-sägewerk-reinhard-windhaag-bei-freistadt-felberbachstraße","Website")</f>
        <v>Website</v>
      </c>
      <c r="C3906" t="str">
        <f>HYPERLINK("http://www.saegewerk-jachs.at","Website")</f>
        <v>Website</v>
      </c>
      <c r="D3906" t="str">
        <f>HYPERLINK("http://www.google.com/maps/place/48.59114,14.56294","Location")</f>
        <v>Location</v>
      </c>
      <c r="E3906" t="s">
        <v>33742</v>
      </c>
      <c r="F3906" t="s">
        <v>33743</v>
      </c>
      <c r="G3906" t="s">
        <v>26946</v>
      </c>
      <c r="H3906" t="s">
        <v>33745</v>
      </c>
      <c r="I3906" t="s">
        <v>85</v>
      </c>
      <c r="J3906" t="s">
        <v>22</v>
      </c>
      <c r="K3906" t="s">
        <v>33744</v>
      </c>
      <c r="L3906" t="s">
        <v>33748</v>
      </c>
      <c r="M3906" t="s">
        <v>25</v>
      </c>
      <c r="N3906" t="s">
        <v>33749</v>
      </c>
      <c r="O3906" t="s">
        <v>25</v>
      </c>
      <c r="P3906" t="s">
        <v>33750</v>
      </c>
      <c r="Q3906" t="s">
        <v>29</v>
      </c>
      <c r="R3906" t="s">
        <v>33746</v>
      </c>
      <c r="S3906" t="s">
        <v>33747</v>
      </c>
    </row>
    <row r="3907" spans="1:19" x14ac:dyDescent="0.25">
      <c r="A3907" s="1">
        <v>3905</v>
      </c>
      <c r="B3907" t="str">
        <f>HYPERLINK("https://www.dasschnelle.at/pölz-gerhard-sandl-sandl","Website")</f>
        <v>Website</v>
      </c>
      <c r="C3907" t="str">
        <f>HYPERLINK("http://www.holzwaren-poelz.at","Website")</f>
        <v>Website</v>
      </c>
      <c r="D3907" t="str">
        <f>HYPERLINK("http://www.google.com/maps/place/48.5508247,14.6230463","Location")</f>
        <v>Location</v>
      </c>
      <c r="E3907" t="s">
        <v>33751</v>
      </c>
      <c r="F3907" t="s">
        <v>33752</v>
      </c>
      <c r="G3907" t="s">
        <v>33073</v>
      </c>
      <c r="H3907" t="s">
        <v>33074</v>
      </c>
      <c r="I3907" t="s">
        <v>85</v>
      </c>
      <c r="J3907" t="s">
        <v>22</v>
      </c>
      <c r="K3907" t="s">
        <v>33753</v>
      </c>
      <c r="L3907" t="s">
        <v>33756</v>
      </c>
      <c r="M3907" t="s">
        <v>25</v>
      </c>
      <c r="N3907" t="s">
        <v>33757</v>
      </c>
      <c r="O3907" t="s">
        <v>25</v>
      </c>
      <c r="P3907" t="s">
        <v>33758</v>
      </c>
      <c r="Q3907" t="s">
        <v>29</v>
      </c>
      <c r="R3907" t="s">
        <v>33754</v>
      </c>
      <c r="S3907" t="s">
        <v>33755</v>
      </c>
    </row>
    <row r="3908" spans="1:19" x14ac:dyDescent="0.25">
      <c r="A3908" s="1">
        <v>3906</v>
      </c>
      <c r="B3908" t="str">
        <f>HYPERLINK("https://www.dasschnelle.at/grasserbauer-daniel-bad-zell-hirtlhof","Website")</f>
        <v>Website</v>
      </c>
      <c r="C3908" t="str">
        <f>HYPERLINK("http://www.kunstschlosserei-daniel.at","Website")</f>
        <v>Website</v>
      </c>
      <c r="D3908" t="str">
        <f>HYPERLINK("http://www.google.com/maps/place/48.3609204,14.6714259","Location")</f>
        <v>Location</v>
      </c>
      <c r="E3908" t="s">
        <v>33759</v>
      </c>
      <c r="F3908" t="s">
        <v>33760</v>
      </c>
      <c r="G3908" t="s">
        <v>6930</v>
      </c>
      <c r="H3908" t="s">
        <v>6931</v>
      </c>
      <c r="I3908" t="s">
        <v>85</v>
      </c>
      <c r="J3908" t="s">
        <v>22</v>
      </c>
      <c r="K3908" t="s">
        <v>33761</v>
      </c>
      <c r="L3908" t="s">
        <v>33764</v>
      </c>
      <c r="M3908" t="s">
        <v>25</v>
      </c>
      <c r="N3908" t="s">
        <v>33765</v>
      </c>
      <c r="O3908" t="s">
        <v>33766</v>
      </c>
      <c r="P3908" t="s">
        <v>33767</v>
      </c>
      <c r="Q3908" t="s">
        <v>29</v>
      </c>
      <c r="R3908" t="s">
        <v>33762</v>
      </c>
      <c r="S3908" t="s">
        <v>33763</v>
      </c>
    </row>
    <row r="3909" spans="1:19" x14ac:dyDescent="0.25">
      <c r="A3909" s="1">
        <v>3907</v>
      </c>
      <c r="B3909" t="str">
        <f>HYPERLINK("https://www.dasschnelle.at/sammer-willi-graz-wiener-straße","Website")</f>
        <v>Website</v>
      </c>
      <c r="C3909" t="str">
        <f>HYPERLINK("http://www.sicher-sammer.com","Website")</f>
        <v>Website</v>
      </c>
      <c r="D3909" t="str">
        <f>HYPERLINK("http://www.google.com/maps/place/47.0812,15.42159","Location")</f>
        <v>Location</v>
      </c>
      <c r="E3909" t="s">
        <v>33768</v>
      </c>
      <c r="F3909" t="s">
        <v>33769</v>
      </c>
      <c r="G3909" t="s">
        <v>20285</v>
      </c>
      <c r="H3909" t="s">
        <v>13542</v>
      </c>
      <c r="I3909" t="s">
        <v>451</v>
      </c>
      <c r="J3909" t="s">
        <v>22</v>
      </c>
      <c r="K3909" t="s">
        <v>33770</v>
      </c>
      <c r="L3909" t="s">
        <v>33773</v>
      </c>
      <c r="M3909" t="s">
        <v>25</v>
      </c>
      <c r="N3909" t="s">
        <v>33774</v>
      </c>
      <c r="O3909" t="s">
        <v>25</v>
      </c>
      <c r="P3909" t="s">
        <v>33775</v>
      </c>
      <c r="Q3909" t="s">
        <v>29</v>
      </c>
      <c r="R3909" t="s">
        <v>33771</v>
      </c>
      <c r="S3909" t="s">
        <v>33772</v>
      </c>
    </row>
    <row r="3910" spans="1:19" x14ac:dyDescent="0.25">
      <c r="A3910" s="1">
        <v>3908</v>
      </c>
      <c r="B3910" t="str">
        <f>HYPERLINK("https://www.dasschnelle.at/auto-partoll-see-labebene-au","Website")</f>
        <v>Website</v>
      </c>
      <c r="C3910" t="str">
        <f>HYPERLINK("http://www.autopartoll.at","Website")</f>
        <v>Website</v>
      </c>
      <c r="D3910" t="str">
        <f>HYPERLINK("http://www.google.com/maps/place/47.06297,10.38184","Location")</f>
        <v>Location</v>
      </c>
      <c r="E3910" t="s">
        <v>33776</v>
      </c>
      <c r="F3910" t="s">
        <v>33777</v>
      </c>
      <c r="G3910" t="s">
        <v>31092</v>
      </c>
      <c r="H3910" t="s">
        <v>31093</v>
      </c>
      <c r="I3910" t="s">
        <v>21</v>
      </c>
      <c r="J3910" t="s">
        <v>22</v>
      </c>
      <c r="K3910" t="s">
        <v>33778</v>
      </c>
      <c r="L3910" t="s">
        <v>33781</v>
      </c>
      <c r="M3910" t="s">
        <v>25</v>
      </c>
      <c r="N3910" t="s">
        <v>33782</v>
      </c>
      <c r="O3910" t="s">
        <v>25</v>
      </c>
      <c r="P3910" t="s">
        <v>33783</v>
      </c>
      <c r="Q3910" t="s">
        <v>29</v>
      </c>
      <c r="R3910" t="s">
        <v>33779</v>
      </c>
      <c r="S3910" t="s">
        <v>33780</v>
      </c>
    </row>
    <row r="3911" spans="1:19" x14ac:dyDescent="0.25">
      <c r="A3911" s="1">
        <v>3909</v>
      </c>
      <c r="B3911" t="str">
        <f>HYPERLINK("https://www.dasschnelle.at/kessaris-vassilios-dr-pregarten-tragweiner-straße","Website")</f>
        <v>Website</v>
      </c>
      <c r="C3911" t="str">
        <f>HYPERLINK("http://www.drkessaris.at","Website")</f>
        <v>Website</v>
      </c>
      <c r="D3911" t="str">
        <f>HYPERLINK("http://www.google.com/maps/place/48.3547,14.53132","Location")</f>
        <v>Location</v>
      </c>
      <c r="E3911" t="s">
        <v>33784</v>
      </c>
      <c r="F3911" t="s">
        <v>33785</v>
      </c>
      <c r="G3911" t="s">
        <v>25297</v>
      </c>
      <c r="H3911" t="s">
        <v>25298</v>
      </c>
      <c r="I3911" t="s">
        <v>85</v>
      </c>
      <c r="J3911" t="s">
        <v>22</v>
      </c>
      <c r="K3911" t="s">
        <v>33786</v>
      </c>
      <c r="L3911" t="s">
        <v>33789</v>
      </c>
      <c r="M3911" t="s">
        <v>25</v>
      </c>
      <c r="N3911" t="s">
        <v>33790</v>
      </c>
      <c r="O3911" t="s">
        <v>25</v>
      </c>
      <c r="P3911" t="s">
        <v>33791</v>
      </c>
      <c r="Q3911" t="s">
        <v>29</v>
      </c>
      <c r="R3911" t="s">
        <v>33787</v>
      </c>
      <c r="S3911" t="s">
        <v>33788</v>
      </c>
    </row>
    <row r="3912" spans="1:19" x14ac:dyDescent="0.25">
      <c r="A3912" s="1">
        <v>3910</v>
      </c>
      <c r="B3912" t="str">
        <f>HYPERLINK("https://www.dasschnelle.at/johanna-pachler-sankt-georgen-im-attergau-attergaustraße","Website")</f>
        <v>Website</v>
      </c>
      <c r="C3912" t="str">
        <f>HYPERLINK("http://www.physiotherapie-pachler.at","Website")</f>
        <v>Website</v>
      </c>
      <c r="D3912" t="str">
        <f>HYPERLINK("http://www.google.com/maps/place/47.9524127,13.4858603","Location")</f>
        <v>Location</v>
      </c>
      <c r="E3912" t="s">
        <v>33792</v>
      </c>
      <c r="F3912" t="s">
        <v>33793</v>
      </c>
      <c r="G3912" t="s">
        <v>3833</v>
      </c>
      <c r="H3912" t="s">
        <v>26014</v>
      </c>
      <c r="I3912" t="s">
        <v>85</v>
      </c>
      <c r="J3912" t="s">
        <v>22</v>
      </c>
      <c r="K3912" t="s">
        <v>33794</v>
      </c>
      <c r="L3912" t="s">
        <v>33797</v>
      </c>
      <c r="M3912" t="s">
        <v>25</v>
      </c>
      <c r="N3912" t="s">
        <v>33798</v>
      </c>
      <c r="O3912" t="s">
        <v>33799</v>
      </c>
      <c r="P3912" t="s">
        <v>33800</v>
      </c>
      <c r="Q3912" t="s">
        <v>29</v>
      </c>
      <c r="R3912" t="s">
        <v>33795</v>
      </c>
      <c r="S3912" t="s">
        <v>33796</v>
      </c>
    </row>
    <row r="3913" spans="1:19" x14ac:dyDescent="0.25">
      <c r="A3913" s="1">
        <v>3911</v>
      </c>
      <c r="B3913" t="str">
        <f>HYPERLINK("https://www.dasschnelle.at/kauer-thomas-dr-med-dent-regau-betriebsstraße","Website")</f>
        <v>Website</v>
      </c>
      <c r="C3913" t="str">
        <f>HYPERLINK("http://zahnarzt-kauer.at","Website")</f>
        <v>Website</v>
      </c>
      <c r="D3913" t="str">
        <f>HYPERLINK("http://www.google.com/maps/place/47.99007,13.6841","Location")</f>
        <v>Location</v>
      </c>
      <c r="E3913" t="s">
        <v>33801</v>
      </c>
      <c r="F3913" t="s">
        <v>33802</v>
      </c>
      <c r="G3913" t="s">
        <v>3773</v>
      </c>
      <c r="H3913" t="s">
        <v>3774</v>
      </c>
      <c r="I3913" t="s">
        <v>85</v>
      </c>
      <c r="J3913" t="s">
        <v>22</v>
      </c>
      <c r="K3913" t="s">
        <v>33803</v>
      </c>
      <c r="L3913" t="s">
        <v>33806</v>
      </c>
      <c r="M3913" t="s">
        <v>25</v>
      </c>
      <c r="N3913" t="s">
        <v>33807</v>
      </c>
      <c r="O3913" t="s">
        <v>25</v>
      </c>
      <c r="P3913" t="s">
        <v>33808</v>
      </c>
      <c r="Q3913" t="s">
        <v>29</v>
      </c>
      <c r="R3913" t="s">
        <v>33804</v>
      </c>
      <c r="S3913" t="s">
        <v>33805</v>
      </c>
    </row>
    <row r="3914" spans="1:19" x14ac:dyDescent="0.25">
      <c r="A3914" s="1">
        <v>3912</v>
      </c>
      <c r="B3914" t="str">
        <f>HYPERLINK("https://www.dasschnelle.at/pirklbauer-massagen-hagenberg-hauptstraße","Website")</f>
        <v>Website</v>
      </c>
      <c r="C3914" t="str">
        <f>HYPERLINK("http://www.pirklbauer-massagen.at","Website")</f>
        <v>Website</v>
      </c>
      <c r="D3914" t="str">
        <f>HYPERLINK("http://www.google.com/maps/place/48.3672400,14.5169000","Location")</f>
        <v>Location</v>
      </c>
      <c r="E3914" t="s">
        <v>33809</v>
      </c>
      <c r="F3914" t="s">
        <v>33810</v>
      </c>
      <c r="G3914" t="s">
        <v>33812</v>
      </c>
      <c r="H3914" t="s">
        <v>33813</v>
      </c>
      <c r="I3914" t="s">
        <v>85</v>
      </c>
      <c r="J3914" t="s">
        <v>22</v>
      </c>
      <c r="K3914" t="s">
        <v>33811</v>
      </c>
      <c r="L3914" t="s">
        <v>33816</v>
      </c>
      <c r="M3914" t="s">
        <v>25</v>
      </c>
      <c r="N3914" t="s">
        <v>33817</v>
      </c>
      <c r="O3914" t="s">
        <v>25</v>
      </c>
      <c r="P3914" t="s">
        <v>33818</v>
      </c>
      <c r="Q3914" t="s">
        <v>29</v>
      </c>
      <c r="R3914" t="s">
        <v>33814</v>
      </c>
      <c r="S3914" t="s">
        <v>33815</v>
      </c>
    </row>
    <row r="3915" spans="1:19" x14ac:dyDescent="0.25">
      <c r="A3915" s="1">
        <v>3913</v>
      </c>
      <c r="B3915" t="str">
        <f>HYPERLINK("https://www.dasschnelle.at/haberreiter-und-fida-og-eletro-zeller-schrems-budweiser-straße","Website")</f>
        <v>Website</v>
      </c>
      <c r="C3915" t="str">
        <f>HYPERLINK("http://www.elektrozeller.at","Website")</f>
        <v>Website</v>
      </c>
      <c r="D3915" t="str">
        <f>HYPERLINK("http://www.google.com/maps/place/48.79642,15.06299","Location")</f>
        <v>Location</v>
      </c>
      <c r="E3915" t="s">
        <v>33819</v>
      </c>
      <c r="F3915" t="s">
        <v>33820</v>
      </c>
      <c r="G3915" t="s">
        <v>7200</v>
      </c>
      <c r="H3915" t="s">
        <v>7201</v>
      </c>
      <c r="I3915" t="s">
        <v>177</v>
      </c>
      <c r="J3915" t="s">
        <v>22</v>
      </c>
      <c r="K3915" t="s">
        <v>33821</v>
      </c>
      <c r="L3915" t="s">
        <v>33824</v>
      </c>
      <c r="M3915" t="s">
        <v>25</v>
      </c>
      <c r="N3915" t="s">
        <v>33825</v>
      </c>
      <c r="O3915" t="s">
        <v>25</v>
      </c>
      <c r="P3915" t="s">
        <v>33826</v>
      </c>
      <c r="Q3915" t="s">
        <v>29</v>
      </c>
      <c r="R3915" t="s">
        <v>33822</v>
      </c>
      <c r="S3915" t="s">
        <v>33823</v>
      </c>
    </row>
    <row r="3916" spans="1:19" x14ac:dyDescent="0.25">
      <c r="A3916" s="1">
        <v>3914</v>
      </c>
      <c r="B3916" t="str">
        <f>HYPERLINK("https://www.dasschnelle.at/simsalik-walter-gmünd-lagerstraße","Website")</f>
        <v>Website</v>
      </c>
      <c r="C3916" t="str">
        <f>HYPERLINK("http://www.simsalik.at","Website")</f>
        <v>Website</v>
      </c>
      <c r="D3916" t="str">
        <f>HYPERLINK("http://www.google.com/maps/place/48.76022,14.97908","Location")</f>
        <v>Location</v>
      </c>
      <c r="E3916" t="s">
        <v>33827</v>
      </c>
      <c r="F3916" t="s">
        <v>33828</v>
      </c>
      <c r="G3916" t="s">
        <v>13116</v>
      </c>
      <c r="H3916" t="s">
        <v>13117</v>
      </c>
      <c r="I3916" t="s">
        <v>177</v>
      </c>
      <c r="J3916" t="s">
        <v>22</v>
      </c>
      <c r="K3916" t="s">
        <v>33829</v>
      </c>
      <c r="L3916" t="s">
        <v>33832</v>
      </c>
      <c r="M3916" t="s">
        <v>25</v>
      </c>
      <c r="N3916" t="s">
        <v>33833</v>
      </c>
      <c r="O3916" t="s">
        <v>25</v>
      </c>
      <c r="P3916" t="s">
        <v>33834</v>
      </c>
      <c r="Q3916" t="s">
        <v>29</v>
      </c>
      <c r="R3916" t="s">
        <v>33830</v>
      </c>
      <c r="S3916" t="s">
        <v>33831</v>
      </c>
    </row>
    <row r="3917" spans="1:19" x14ac:dyDescent="0.25">
      <c r="A3917" s="1">
        <v>3915</v>
      </c>
      <c r="B3917" t="str">
        <f>HYPERLINK("https://www.dasschnelle.at/baumann-petra-dr-med-st-oswald-bei-freistadt-freistädterstraße","Website")</f>
        <v>Website</v>
      </c>
      <c r="C3917" t="str">
        <f>HYPERLINK("https://www.dasschnelle.at/baumann-petra-dr-med-st-oswald-bei-freistadt-freist%C3%A4dterstra%C3%9Fe","Website")</f>
        <v>Website</v>
      </c>
      <c r="D3917" t="str">
        <f>HYPERLINK("http://www.google.com/maps/place/48.50125,14.57478","Location")</f>
        <v>Location</v>
      </c>
      <c r="E3917" t="s">
        <v>33835</v>
      </c>
      <c r="F3917" t="s">
        <v>33836</v>
      </c>
      <c r="G3917" t="s">
        <v>26679</v>
      </c>
      <c r="H3917" t="s">
        <v>33620</v>
      </c>
      <c r="I3917" t="s">
        <v>85</v>
      </c>
      <c r="J3917" t="s">
        <v>22</v>
      </c>
      <c r="K3917" t="s">
        <v>33837</v>
      </c>
      <c r="L3917" t="s">
        <v>33840</v>
      </c>
      <c r="M3917" t="s">
        <v>25</v>
      </c>
      <c r="N3917" t="s">
        <v>25</v>
      </c>
      <c r="O3917" t="s">
        <v>25</v>
      </c>
      <c r="P3917" t="s">
        <v>33841</v>
      </c>
      <c r="Q3917" t="s">
        <v>29</v>
      </c>
      <c r="R3917" t="s">
        <v>33838</v>
      </c>
      <c r="S3917" t="s">
        <v>33839</v>
      </c>
    </row>
    <row r="3918" spans="1:19" x14ac:dyDescent="0.25">
      <c r="A3918" s="1">
        <v>3916</v>
      </c>
      <c r="B3918" t="str">
        <f>HYPERLINK("https://www.dasschnelle.at/sailer-werner-günther-gmbh-landeck-urgen","Website")</f>
        <v>Website</v>
      </c>
      <c r="C3918" t="str">
        <f>HYPERLINK("http://www.sailer.co.at","Website")</f>
        <v>Website</v>
      </c>
      <c r="D3918" t="str">
        <f>HYPERLINK("http://www.google.com/maps/place/47.11843,10.60582","Location")</f>
        <v>Location</v>
      </c>
      <c r="E3918" t="s">
        <v>33842</v>
      </c>
      <c r="F3918" t="s">
        <v>33843</v>
      </c>
      <c r="G3918" t="s">
        <v>1279</v>
      </c>
      <c r="H3918" t="s">
        <v>1280</v>
      </c>
      <c r="I3918" t="s">
        <v>21</v>
      </c>
      <c r="J3918" t="s">
        <v>22</v>
      </c>
      <c r="K3918" t="s">
        <v>33844</v>
      </c>
      <c r="L3918" t="s">
        <v>33847</v>
      </c>
      <c r="M3918" t="s">
        <v>25</v>
      </c>
      <c r="N3918" t="s">
        <v>33848</v>
      </c>
      <c r="O3918" t="s">
        <v>25</v>
      </c>
      <c r="P3918" t="s">
        <v>33849</v>
      </c>
      <c r="Q3918" t="s">
        <v>29</v>
      </c>
      <c r="R3918" t="s">
        <v>33845</v>
      </c>
      <c r="S3918" t="s">
        <v>33846</v>
      </c>
    </row>
    <row r="3919" spans="1:19" x14ac:dyDescent="0.25">
      <c r="A3919" s="1">
        <v>3917</v>
      </c>
      <c r="B3919" t="str">
        <f>HYPERLINK("https://www.dasschnelle.at/reifen-böhm-heidenreichstein-hinterzeile","Website")</f>
        <v>Website</v>
      </c>
      <c r="C3919" t="str">
        <f>HYPERLINK("http://www.reifen-boehm.at","Website")</f>
        <v>Website</v>
      </c>
      <c r="D3919" t="str">
        <f>HYPERLINK("http://www.google.com/maps/place/48.8664,15.12266","Location")</f>
        <v>Location</v>
      </c>
      <c r="E3919" t="s">
        <v>33850</v>
      </c>
      <c r="F3919" t="s">
        <v>33851</v>
      </c>
      <c r="G3919" t="s">
        <v>24771</v>
      </c>
      <c r="H3919" t="s">
        <v>24772</v>
      </c>
      <c r="I3919" t="s">
        <v>177</v>
      </c>
      <c r="J3919" t="s">
        <v>22</v>
      </c>
      <c r="K3919" t="s">
        <v>33852</v>
      </c>
      <c r="L3919" t="s">
        <v>33855</v>
      </c>
      <c r="M3919" t="s">
        <v>25</v>
      </c>
      <c r="N3919" t="s">
        <v>33856</v>
      </c>
      <c r="O3919" t="s">
        <v>25</v>
      </c>
      <c r="P3919" t="s">
        <v>33857</v>
      </c>
      <c r="Q3919" t="s">
        <v>29</v>
      </c>
      <c r="R3919" t="s">
        <v>33853</v>
      </c>
      <c r="S3919" t="s">
        <v>33854</v>
      </c>
    </row>
    <row r="3920" spans="1:19" x14ac:dyDescent="0.25">
      <c r="A3920" s="1">
        <v>3918</v>
      </c>
      <c r="B3920" t="str">
        <f>HYPERLINK("https://www.dasschnelle.at/schulmeister-gmbh-zwettl-gerungser-straße","Website")</f>
        <v>Website</v>
      </c>
      <c r="C3920" t="str">
        <f>HYPERLINK("http://www.ortho-schulmeister.at","Website")</f>
        <v>Website</v>
      </c>
      <c r="D3920" t="str">
        <f>HYPERLINK("http://www.google.com/maps/place/48.60333,15.15896","Location")</f>
        <v>Location</v>
      </c>
      <c r="E3920" t="s">
        <v>33858</v>
      </c>
      <c r="F3920" t="s">
        <v>33859</v>
      </c>
      <c r="G3920" t="s">
        <v>10518</v>
      </c>
      <c r="H3920" t="s">
        <v>10791</v>
      </c>
      <c r="I3920" t="s">
        <v>177</v>
      </c>
      <c r="J3920" t="s">
        <v>22</v>
      </c>
      <c r="K3920" t="s">
        <v>33860</v>
      </c>
      <c r="L3920" t="s">
        <v>33863</v>
      </c>
      <c r="M3920" t="s">
        <v>25</v>
      </c>
      <c r="N3920" t="s">
        <v>33864</v>
      </c>
      <c r="O3920" t="s">
        <v>25</v>
      </c>
      <c r="P3920" t="s">
        <v>33865</v>
      </c>
      <c r="Q3920" t="s">
        <v>29</v>
      </c>
      <c r="R3920" t="s">
        <v>33861</v>
      </c>
      <c r="S3920" t="s">
        <v>33862</v>
      </c>
    </row>
    <row r="3921" spans="1:19" x14ac:dyDescent="0.25">
      <c r="A3921" s="1">
        <v>3919</v>
      </c>
      <c r="B3921" t="str">
        <f>HYPERLINK("https://www.dasschnelle.at/zankl-gmbh-großgöttfritz-engelbrechts","Website")</f>
        <v>Website</v>
      </c>
      <c r="C3921" t="str">
        <f>HYPERLINK("http://www.zankldach.eu","Website")</f>
        <v>Website</v>
      </c>
      <c r="D3921" t="str">
        <f>HYPERLINK("http://www.google.com/maps/place/48.5258342,15.2029923","Location")</f>
        <v>Location</v>
      </c>
      <c r="E3921" t="s">
        <v>33866</v>
      </c>
      <c r="F3921" t="s">
        <v>33867</v>
      </c>
      <c r="G3921" t="s">
        <v>33869</v>
      </c>
      <c r="H3921" t="s">
        <v>33870</v>
      </c>
      <c r="I3921" t="s">
        <v>177</v>
      </c>
      <c r="J3921" t="s">
        <v>22</v>
      </c>
      <c r="K3921" t="s">
        <v>33868</v>
      </c>
      <c r="L3921" t="s">
        <v>33873</v>
      </c>
      <c r="M3921" t="s">
        <v>25</v>
      </c>
      <c r="N3921" t="s">
        <v>33874</v>
      </c>
      <c r="O3921" t="s">
        <v>25</v>
      </c>
      <c r="P3921" t="s">
        <v>33875</v>
      </c>
      <c r="Q3921" t="s">
        <v>29</v>
      </c>
      <c r="R3921" t="s">
        <v>33871</v>
      </c>
      <c r="S3921" t="s">
        <v>33872</v>
      </c>
    </row>
    <row r="3922" spans="1:19" x14ac:dyDescent="0.25">
      <c r="A3922" s="1">
        <v>3920</v>
      </c>
      <c r="B3922" t="str">
        <f>HYPERLINK("https://www.dasschnelle.at/putz-eduard-oberwang-gessenschwandt","Website")</f>
        <v>Website</v>
      </c>
      <c r="C3922" t="str">
        <f>HYPERLINK("http://www.saegewerk-putz.at","Website")</f>
        <v>Website</v>
      </c>
      <c r="D3922" t="str">
        <f>HYPERLINK("http://www.google.com/maps/place/47.8506939,13.4360411","Location")</f>
        <v>Location</v>
      </c>
      <c r="E3922" t="s">
        <v>33876</v>
      </c>
      <c r="F3922" t="s">
        <v>33877</v>
      </c>
      <c r="G3922" t="s">
        <v>6553</v>
      </c>
      <c r="H3922" t="s">
        <v>6554</v>
      </c>
      <c r="I3922" t="s">
        <v>85</v>
      </c>
      <c r="J3922" t="s">
        <v>22</v>
      </c>
      <c r="K3922" t="s">
        <v>33878</v>
      </c>
      <c r="L3922" t="s">
        <v>33881</v>
      </c>
      <c r="M3922" t="s">
        <v>25</v>
      </c>
      <c r="N3922" t="s">
        <v>33882</v>
      </c>
      <c r="O3922" t="s">
        <v>25</v>
      </c>
      <c r="P3922" t="s">
        <v>33883</v>
      </c>
      <c r="Q3922" t="s">
        <v>29</v>
      </c>
      <c r="R3922" t="s">
        <v>33879</v>
      </c>
      <c r="S3922" t="s">
        <v>33880</v>
      </c>
    </row>
    <row r="3923" spans="1:19" x14ac:dyDescent="0.25">
      <c r="A3923" s="1">
        <v>3921</v>
      </c>
      <c r="B3923" t="str">
        <f>HYPERLINK("https://www.dasschnelle.at/hroch-zbynek-restaurant-böhmischer-hof-harmannsdorf-laaer-straße","Website")</f>
        <v>Website</v>
      </c>
      <c r="C3923" t="str">
        <f>HYPERLINK("http://www.hroch.at","Website")</f>
        <v>Website</v>
      </c>
      <c r="D3923" t="str">
        <f>HYPERLINK("http://www.google.com/maps/place/48.3969,16.37196","Location")</f>
        <v>Location</v>
      </c>
      <c r="E3923" t="s">
        <v>33884</v>
      </c>
      <c r="F3923" t="s">
        <v>33885</v>
      </c>
      <c r="G3923" t="s">
        <v>24873</v>
      </c>
      <c r="H3923" t="s">
        <v>24899</v>
      </c>
      <c r="I3923" t="s">
        <v>177</v>
      </c>
      <c r="J3923" t="s">
        <v>22</v>
      </c>
      <c r="K3923" t="s">
        <v>33886</v>
      </c>
      <c r="L3923" t="s">
        <v>33889</v>
      </c>
      <c r="M3923" t="s">
        <v>25</v>
      </c>
      <c r="N3923" t="s">
        <v>33890</v>
      </c>
      <c r="O3923" t="s">
        <v>25</v>
      </c>
      <c r="P3923" t="s">
        <v>33891</v>
      </c>
      <c r="Q3923" t="s">
        <v>29</v>
      </c>
      <c r="R3923" t="s">
        <v>33887</v>
      </c>
      <c r="S3923" t="s">
        <v>33888</v>
      </c>
    </row>
    <row r="3924" spans="1:19" x14ac:dyDescent="0.25">
      <c r="A3924" s="1">
        <v>3922</v>
      </c>
      <c r="B3924" t="str">
        <f>HYPERLINK("https://www.dasschnelle.at/dax-franz-gmbh-frankenmarkt-hauptstraße","Website")</f>
        <v>Website</v>
      </c>
      <c r="C3924" t="str">
        <f>HYPERLINK("http://www.tvweb.at","Website")</f>
        <v>Website</v>
      </c>
      <c r="D3924" t="str">
        <f>HYPERLINK("http://www.google.com/maps/place/47.98549,13.41845","Location")</f>
        <v>Location</v>
      </c>
      <c r="E3924" t="s">
        <v>33892</v>
      </c>
      <c r="F3924" t="s">
        <v>33893</v>
      </c>
      <c r="G3924" t="s">
        <v>13301</v>
      </c>
      <c r="H3924" t="s">
        <v>13311</v>
      </c>
      <c r="I3924" t="s">
        <v>85</v>
      </c>
      <c r="J3924" t="s">
        <v>22</v>
      </c>
      <c r="K3924" t="s">
        <v>33894</v>
      </c>
      <c r="L3924" t="s">
        <v>33897</v>
      </c>
      <c r="M3924" t="s">
        <v>25</v>
      </c>
      <c r="N3924" t="s">
        <v>33898</v>
      </c>
      <c r="O3924" t="s">
        <v>33899</v>
      </c>
      <c r="P3924" t="s">
        <v>33900</v>
      </c>
      <c r="Q3924" t="s">
        <v>29</v>
      </c>
      <c r="R3924" t="s">
        <v>33895</v>
      </c>
      <c r="S3924" t="s">
        <v>33896</v>
      </c>
    </row>
    <row r="3925" spans="1:19" x14ac:dyDescent="0.25">
      <c r="A3925" s="1">
        <v>3923</v>
      </c>
      <c r="B3925" t="str">
        <f>HYPERLINK("https://www.dasschnelle.at/honeder-christian-grafenschlag-grafenschlag","Website")</f>
        <v>Website</v>
      </c>
      <c r="C3925" t="str">
        <f>HYPERLINK("http://www.spengler-honeder.at","Website")</f>
        <v>Website</v>
      </c>
      <c r="D3925" t="str">
        <f>HYPERLINK("http://www.google.com/maps/place/48.5004178,15.1747840","Location")</f>
        <v>Location</v>
      </c>
      <c r="E3925" t="s">
        <v>33901</v>
      </c>
      <c r="F3925" t="s">
        <v>33902</v>
      </c>
      <c r="G3925" t="s">
        <v>11213</v>
      </c>
      <c r="H3925" t="s">
        <v>11214</v>
      </c>
      <c r="I3925" t="s">
        <v>177</v>
      </c>
      <c r="J3925" t="s">
        <v>22</v>
      </c>
      <c r="K3925" t="s">
        <v>33903</v>
      </c>
      <c r="L3925" t="s">
        <v>33906</v>
      </c>
      <c r="M3925" t="s">
        <v>25</v>
      </c>
      <c r="N3925" t="s">
        <v>33907</v>
      </c>
      <c r="O3925" t="s">
        <v>25</v>
      </c>
      <c r="P3925" t="s">
        <v>33908</v>
      </c>
      <c r="Q3925" t="s">
        <v>29</v>
      </c>
      <c r="R3925" t="s">
        <v>33904</v>
      </c>
      <c r="S3925" t="s">
        <v>33905</v>
      </c>
    </row>
    <row r="3926" spans="1:19" x14ac:dyDescent="0.25">
      <c r="A3926" s="1">
        <v>3924</v>
      </c>
      <c r="B3926" t="str">
        <f>HYPERLINK("https://www.dasschnelle.at/sturm-und-kurz-og-frauendorf","Website")</f>
        <v>Website</v>
      </c>
      <c r="C3926" t="str">
        <f>HYPERLINK("http://www.sturmundkurz.at","Website")</f>
        <v>Website</v>
      </c>
      <c r="D3926" t="str">
        <f>HYPERLINK("http://www.google.com/maps/place/48.5522940,14.9696879","Location")</f>
        <v>Location</v>
      </c>
      <c r="E3926" t="s">
        <v>33909</v>
      </c>
      <c r="F3926" t="s">
        <v>33910</v>
      </c>
      <c r="G3926" t="s">
        <v>11242</v>
      </c>
      <c r="H3926" t="s">
        <v>33911</v>
      </c>
      <c r="I3926" t="s">
        <v>177</v>
      </c>
      <c r="J3926" t="s">
        <v>22</v>
      </c>
      <c r="K3926" t="s">
        <v>25</v>
      </c>
      <c r="L3926" t="s">
        <v>33914</v>
      </c>
      <c r="M3926" t="s">
        <v>25</v>
      </c>
      <c r="N3926" t="s">
        <v>33915</v>
      </c>
      <c r="O3926" t="s">
        <v>25</v>
      </c>
      <c r="P3926" t="s">
        <v>33916</v>
      </c>
      <c r="Q3926" t="s">
        <v>29</v>
      </c>
      <c r="R3926" t="s">
        <v>33912</v>
      </c>
      <c r="S3926" t="s">
        <v>33913</v>
      </c>
    </row>
    <row r="3927" spans="1:19" x14ac:dyDescent="0.25">
      <c r="A3927" s="1">
        <v>3925</v>
      </c>
      <c r="B3927" t="str">
        <f>HYPERLINK("https://www.dasschnelle.at/sägewerk-dax-kg-straßwalchen-angern","Website")</f>
        <v>Website</v>
      </c>
      <c r="C3927" t="str">
        <f>HYPERLINK("http://www.saegewerk-dax.at","Website")</f>
        <v>Website</v>
      </c>
      <c r="D3927" t="str">
        <f>HYPERLINK("http://www.google.com/maps/place/47.94634,13.36273","Location")</f>
        <v>Location</v>
      </c>
      <c r="E3927" t="s">
        <v>33917</v>
      </c>
      <c r="F3927" t="s">
        <v>33918</v>
      </c>
      <c r="G3927" t="s">
        <v>10545</v>
      </c>
      <c r="H3927" t="s">
        <v>10546</v>
      </c>
      <c r="I3927" t="s">
        <v>2239</v>
      </c>
      <c r="J3927" t="s">
        <v>22</v>
      </c>
      <c r="K3927" t="s">
        <v>33919</v>
      </c>
      <c r="L3927" t="s">
        <v>33921</v>
      </c>
      <c r="M3927" t="s">
        <v>25</v>
      </c>
      <c r="N3927" t="s">
        <v>33922</v>
      </c>
      <c r="O3927" t="s">
        <v>25</v>
      </c>
      <c r="P3927" t="s">
        <v>33923</v>
      </c>
      <c r="Q3927" t="s">
        <v>29</v>
      </c>
      <c r="R3927" t="s">
        <v>27129</v>
      </c>
      <c r="S3927" t="s">
        <v>33920</v>
      </c>
    </row>
    <row r="3928" spans="1:19" x14ac:dyDescent="0.25">
      <c r="A3928" s="1">
        <v>3926</v>
      </c>
      <c r="B3928" t="str">
        <f>HYPERLINK("https://www.dasschnelle.at/orthopädie-schuhtechnik-huber-gmbh-straß-im-attergau-dachsenberg","Website")</f>
        <v>Website</v>
      </c>
      <c r="C3928" t="str">
        <f>HYPERLINK("http://www.ortho-huber.at","Website")</f>
        <v>Website</v>
      </c>
      <c r="D3928" t="str">
        <f>HYPERLINK("http://www.google.com/maps/place/47.9099817,13.5001088","Location")</f>
        <v>Location</v>
      </c>
      <c r="E3928" t="s">
        <v>33924</v>
      </c>
      <c r="F3928" t="s">
        <v>33925</v>
      </c>
      <c r="G3928" t="s">
        <v>3906</v>
      </c>
      <c r="H3928" t="s">
        <v>3907</v>
      </c>
      <c r="I3928" t="s">
        <v>85</v>
      </c>
      <c r="J3928" t="s">
        <v>22</v>
      </c>
      <c r="K3928" t="s">
        <v>33926</v>
      </c>
      <c r="L3928" t="s">
        <v>33929</v>
      </c>
      <c r="M3928" t="s">
        <v>25</v>
      </c>
      <c r="N3928" t="s">
        <v>33930</v>
      </c>
      <c r="O3928" t="s">
        <v>25</v>
      </c>
      <c r="P3928" t="s">
        <v>33931</v>
      </c>
      <c r="Q3928" t="s">
        <v>29</v>
      </c>
      <c r="R3928" t="s">
        <v>33927</v>
      </c>
      <c r="S3928" t="s">
        <v>33928</v>
      </c>
    </row>
    <row r="3929" spans="1:19" x14ac:dyDescent="0.25">
      <c r="A3929" s="1">
        <v>3927</v>
      </c>
      <c r="B3929" t="str">
        <f>HYPERLINK("https://www.dasschnelle.at/pichler-martin-semriach-panoramaweg","Website")</f>
        <v>Website</v>
      </c>
      <c r="C3929" t="str">
        <f>HYPERLINK("http://www.e-mp.at","Website")</f>
        <v>Website</v>
      </c>
      <c r="D3929" t="str">
        <f>HYPERLINK("http://www.google.com/maps/place/47.22228,15.41506","Location")</f>
        <v>Location</v>
      </c>
      <c r="E3929" t="s">
        <v>33932</v>
      </c>
      <c r="F3929" t="s">
        <v>33933</v>
      </c>
      <c r="G3929" t="s">
        <v>7920</v>
      </c>
      <c r="H3929" t="s">
        <v>32685</v>
      </c>
      <c r="I3929" t="s">
        <v>451</v>
      </c>
      <c r="J3929" t="s">
        <v>22</v>
      </c>
      <c r="K3929" t="s">
        <v>33934</v>
      </c>
      <c r="L3929" t="s">
        <v>33937</v>
      </c>
      <c r="M3929" t="s">
        <v>25</v>
      </c>
      <c r="N3929" t="s">
        <v>33938</v>
      </c>
      <c r="O3929" t="s">
        <v>33939</v>
      </c>
      <c r="P3929" t="s">
        <v>33940</v>
      </c>
      <c r="Q3929" t="s">
        <v>29</v>
      </c>
      <c r="R3929" t="s">
        <v>33935</v>
      </c>
      <c r="S3929" t="s">
        <v>33936</v>
      </c>
    </row>
    <row r="3930" spans="1:19" x14ac:dyDescent="0.25">
      <c r="A3930" s="1">
        <v>3928</v>
      </c>
      <c r="B3930" t="str">
        <f>HYPERLINK("https://www.dasschnelle.at/stockner-peter-gratwein-straßengel-roseggerallee","Website")</f>
        <v>Website</v>
      </c>
      <c r="C3930" t="str">
        <f>HYPERLINK("https://www.dasschnelle.at/stockner-peter-gratwein-stra%C3%9Fengel-roseggerallee","Website")</f>
        <v>Website</v>
      </c>
      <c r="D3930" t="str">
        <f>HYPERLINK("http://www.google.com/maps/place/47.11592,15.34634","Location")</f>
        <v>Location</v>
      </c>
      <c r="E3930" t="s">
        <v>33941</v>
      </c>
      <c r="F3930" t="s">
        <v>33942</v>
      </c>
      <c r="G3930" t="s">
        <v>7854</v>
      </c>
      <c r="H3930" t="s">
        <v>9287</v>
      </c>
      <c r="I3930" t="s">
        <v>451</v>
      </c>
      <c r="J3930" t="s">
        <v>22</v>
      </c>
      <c r="K3930" t="s">
        <v>33943</v>
      </c>
      <c r="L3930" t="s">
        <v>33946</v>
      </c>
      <c r="M3930" t="s">
        <v>25</v>
      </c>
      <c r="N3930" t="s">
        <v>33947</v>
      </c>
      <c r="O3930" t="s">
        <v>25</v>
      </c>
      <c r="P3930" t="s">
        <v>33948</v>
      </c>
      <c r="Q3930" t="s">
        <v>29</v>
      </c>
      <c r="R3930" t="s">
        <v>33944</v>
      </c>
      <c r="S3930" t="s">
        <v>33945</v>
      </c>
    </row>
    <row r="3931" spans="1:19" x14ac:dyDescent="0.25">
      <c r="A3931" s="1">
        <v>3929</v>
      </c>
      <c r="B3931" t="str">
        <f>HYPERLINK("https://www.dasschnelle.at/elektro-system-technik-graupner-hitzendorf-berndorf","Website")</f>
        <v>Website</v>
      </c>
      <c r="C3931" t="str">
        <f>HYPERLINK("http://www.est-graupner.at","Website")</f>
        <v>Website</v>
      </c>
      <c r="D3931" t="str">
        <f>HYPERLINK("http://www.google.com/maps/place/47.0241690,15.2691314","Location")</f>
        <v>Location</v>
      </c>
      <c r="E3931" t="s">
        <v>33949</v>
      </c>
      <c r="F3931" t="s">
        <v>33950</v>
      </c>
      <c r="G3931" t="s">
        <v>7844</v>
      </c>
      <c r="H3931" t="s">
        <v>7845</v>
      </c>
      <c r="I3931" t="s">
        <v>451</v>
      </c>
      <c r="J3931" t="s">
        <v>22</v>
      </c>
      <c r="K3931" t="s">
        <v>33951</v>
      </c>
      <c r="L3931" t="s">
        <v>33954</v>
      </c>
      <c r="M3931" t="s">
        <v>25</v>
      </c>
      <c r="N3931" t="s">
        <v>33955</v>
      </c>
      <c r="O3931" t="s">
        <v>33956</v>
      </c>
      <c r="P3931" t="s">
        <v>33957</v>
      </c>
      <c r="Q3931" t="s">
        <v>29</v>
      </c>
      <c r="R3931" t="s">
        <v>33952</v>
      </c>
      <c r="S3931" t="s">
        <v>33953</v>
      </c>
    </row>
    <row r="3932" spans="1:19" x14ac:dyDescent="0.25">
      <c r="A3932" s="1">
        <v>3930</v>
      </c>
      <c r="B3932" t="str">
        <f>HYPERLINK("https://www.dasschnelle.at/thurner-josef-gesmbh-und-co-kg-grins-graf","Website")</f>
        <v>Website</v>
      </c>
      <c r="C3932" t="str">
        <f>HYPERLINK("http://www.thurner.co.at","Website")</f>
        <v>Website</v>
      </c>
      <c r="D3932" t="str">
        <f>HYPERLINK("http://www.google.com/maps/place/47.13936,10.53166","Location")</f>
        <v>Location</v>
      </c>
      <c r="E3932" t="s">
        <v>33958</v>
      </c>
      <c r="F3932" t="s">
        <v>33959</v>
      </c>
      <c r="G3932" t="s">
        <v>1279</v>
      </c>
      <c r="H3932" t="s">
        <v>27535</v>
      </c>
      <c r="I3932" t="s">
        <v>21</v>
      </c>
      <c r="J3932" t="s">
        <v>22</v>
      </c>
      <c r="K3932" t="s">
        <v>33960</v>
      </c>
      <c r="L3932" t="s">
        <v>33963</v>
      </c>
      <c r="M3932" t="s">
        <v>25</v>
      </c>
      <c r="N3932" t="s">
        <v>33964</v>
      </c>
      <c r="O3932" t="s">
        <v>25</v>
      </c>
      <c r="P3932" t="s">
        <v>33965</v>
      </c>
      <c r="Q3932" t="s">
        <v>29</v>
      </c>
      <c r="R3932" t="s">
        <v>33961</v>
      </c>
      <c r="S3932" t="s">
        <v>33962</v>
      </c>
    </row>
    <row r="3933" spans="1:19" x14ac:dyDescent="0.25">
      <c r="A3933" s="1">
        <v>3931</v>
      </c>
      <c r="B3933" t="str">
        <f>HYPERLINK("https://www.dasschnelle.at/kassar-johannes-gratkorn-dultstraße","Website")</f>
        <v>Website</v>
      </c>
      <c r="C3933" t="str">
        <f>HYPERLINK("http://www.kassar.at","Website")</f>
        <v>Website</v>
      </c>
      <c r="D3933" t="str">
        <f>HYPERLINK("http://www.google.com/maps/place/47.1359,15.37048","Location")</f>
        <v>Location</v>
      </c>
      <c r="E3933" t="s">
        <v>33966</v>
      </c>
      <c r="F3933" t="s">
        <v>33967</v>
      </c>
      <c r="G3933" t="s">
        <v>7958</v>
      </c>
      <c r="H3933" t="s">
        <v>7959</v>
      </c>
      <c r="I3933" t="s">
        <v>451</v>
      </c>
      <c r="J3933" t="s">
        <v>22</v>
      </c>
      <c r="K3933" t="s">
        <v>33968</v>
      </c>
      <c r="L3933" t="s">
        <v>33970</v>
      </c>
      <c r="M3933" t="s">
        <v>25</v>
      </c>
      <c r="N3933" t="s">
        <v>33971</v>
      </c>
      <c r="O3933" t="s">
        <v>25</v>
      </c>
      <c r="P3933" t="s">
        <v>33972</v>
      </c>
      <c r="Q3933" t="s">
        <v>29</v>
      </c>
      <c r="R3933" t="s">
        <v>12183</v>
      </c>
      <c r="S3933" t="s">
        <v>33969</v>
      </c>
    </row>
    <row r="3934" spans="1:19" x14ac:dyDescent="0.25">
      <c r="A3934" s="1">
        <v>3932</v>
      </c>
      <c r="B3934" t="str">
        <f>HYPERLINK("https://www.dasschnelle.at/ofenbau-tschiderer-gmbh-und-cokg-pians-pians","Website")</f>
        <v>Website</v>
      </c>
      <c r="C3934" t="str">
        <f>HYPERLINK("http://www.ofenbau-tschiderer.at","Website")</f>
        <v>Website</v>
      </c>
      <c r="D3934" t="str">
        <f>HYPERLINK("http://www.google.com/maps/place/47.1347692,10.5179434","Location")</f>
        <v>Location</v>
      </c>
      <c r="E3934" t="s">
        <v>33973</v>
      </c>
      <c r="F3934" t="s">
        <v>33974</v>
      </c>
      <c r="G3934" t="s">
        <v>27403</v>
      </c>
      <c r="H3934" t="s">
        <v>27404</v>
      </c>
      <c r="I3934" t="s">
        <v>21</v>
      </c>
      <c r="J3934" t="s">
        <v>22</v>
      </c>
      <c r="K3934" t="s">
        <v>33975</v>
      </c>
      <c r="L3934" t="s">
        <v>33978</v>
      </c>
      <c r="M3934" t="s">
        <v>33979</v>
      </c>
      <c r="N3934" t="s">
        <v>33980</v>
      </c>
      <c r="O3934" t="s">
        <v>25</v>
      </c>
      <c r="P3934" t="s">
        <v>33981</v>
      </c>
      <c r="Q3934" t="s">
        <v>29</v>
      </c>
      <c r="R3934" t="s">
        <v>33976</v>
      </c>
      <c r="S3934" t="s">
        <v>33977</v>
      </c>
    </row>
    <row r="3935" spans="1:19" x14ac:dyDescent="0.25">
      <c r="A3935" s="1">
        <v>3933</v>
      </c>
      <c r="B3935" t="str">
        <f>HYPERLINK("https://www.dasschnelle.at/stadler-franz-münzkirchen-friedhofweg","Website")</f>
        <v>Website</v>
      </c>
      <c r="C3935" t="str">
        <f>HYPERLINK("https://www.dasschnelle.at/stadler-franz-m%C3%BCnzkirchen-friedhofweg","Website")</f>
        <v>Website</v>
      </c>
      <c r="D3935" t="str">
        <f>HYPERLINK("http://www.google.com/maps/place/48.48686,13.56814","Location")</f>
        <v>Location</v>
      </c>
      <c r="E3935" t="s">
        <v>33982</v>
      </c>
      <c r="F3935" t="s">
        <v>33983</v>
      </c>
      <c r="G3935" t="s">
        <v>11983</v>
      </c>
      <c r="H3935" t="s">
        <v>24220</v>
      </c>
      <c r="I3935" t="s">
        <v>85</v>
      </c>
      <c r="J3935" t="s">
        <v>22</v>
      </c>
      <c r="K3935" t="s">
        <v>33984</v>
      </c>
      <c r="L3935" t="s">
        <v>33987</v>
      </c>
      <c r="M3935" t="s">
        <v>25</v>
      </c>
      <c r="N3935" t="s">
        <v>33988</v>
      </c>
      <c r="O3935" t="s">
        <v>25</v>
      </c>
      <c r="P3935" t="s">
        <v>33989</v>
      </c>
      <c r="Q3935" t="s">
        <v>29</v>
      </c>
      <c r="R3935" t="s">
        <v>33985</v>
      </c>
      <c r="S3935" t="s">
        <v>33986</v>
      </c>
    </row>
    <row r="3936" spans="1:19" x14ac:dyDescent="0.25">
      <c r="A3936" s="1">
        <v>3934</v>
      </c>
      <c r="B3936" t="str">
        <f>HYPERLINK("https://www.dasschnelle.at/lomotion-gmbh-st-florian-am-inn-gopperding","Website")</f>
        <v>Website</v>
      </c>
      <c r="C3936" t="str">
        <f>HYPERLINK("http://www.lo-motion.at","Website")</f>
        <v>Website</v>
      </c>
      <c r="D3936" t="str">
        <f>HYPERLINK("http://www.google.com/maps/place/48.4476071,13.4590958","Location")</f>
        <v>Location</v>
      </c>
      <c r="E3936" t="s">
        <v>33990</v>
      </c>
      <c r="F3936" t="s">
        <v>33991</v>
      </c>
      <c r="G3936" t="s">
        <v>24520</v>
      </c>
      <c r="H3936" t="s">
        <v>24521</v>
      </c>
      <c r="I3936" t="s">
        <v>85</v>
      </c>
      <c r="J3936" t="s">
        <v>22</v>
      </c>
      <c r="K3936" t="s">
        <v>33992</v>
      </c>
      <c r="L3936" t="s">
        <v>33995</v>
      </c>
      <c r="M3936" t="s">
        <v>25</v>
      </c>
      <c r="N3936" t="s">
        <v>33996</v>
      </c>
      <c r="O3936" t="s">
        <v>25</v>
      </c>
      <c r="P3936" t="s">
        <v>33997</v>
      </c>
      <c r="Q3936" t="s">
        <v>29</v>
      </c>
      <c r="R3936" t="s">
        <v>33993</v>
      </c>
      <c r="S3936" t="s">
        <v>33994</v>
      </c>
    </row>
    <row r="3937" spans="1:19" x14ac:dyDescent="0.25">
      <c r="A3937" s="1">
        <v>3935</v>
      </c>
      <c r="B3937" t="str">
        <f>HYPERLINK("https://www.dasschnelle.at/grünberger-matthias-gmbh-münzkirchen-englhaming","Website")</f>
        <v>Website</v>
      </c>
      <c r="C3937" t="str">
        <f>HYPERLINK("http://www.kiesgrube.at","Website")</f>
        <v>Website</v>
      </c>
      <c r="D3937" t="str">
        <f>HYPERLINK("http://www.google.com/maps/place/48.4882896,13.5432918","Location")</f>
        <v>Location</v>
      </c>
      <c r="E3937" t="s">
        <v>33998</v>
      </c>
      <c r="F3937" t="s">
        <v>33999</v>
      </c>
      <c r="G3937" t="s">
        <v>11983</v>
      </c>
      <c r="H3937" t="s">
        <v>24220</v>
      </c>
      <c r="I3937" t="s">
        <v>85</v>
      </c>
      <c r="J3937" t="s">
        <v>22</v>
      </c>
      <c r="K3937" t="s">
        <v>34000</v>
      </c>
      <c r="L3937" t="s">
        <v>34003</v>
      </c>
      <c r="M3937" t="s">
        <v>34004</v>
      </c>
      <c r="N3937" t="s">
        <v>34005</v>
      </c>
      <c r="O3937" t="s">
        <v>25</v>
      </c>
      <c r="P3937" t="s">
        <v>34006</v>
      </c>
      <c r="Q3937" t="s">
        <v>29</v>
      </c>
      <c r="R3937" t="s">
        <v>34001</v>
      </c>
      <c r="S3937" t="s">
        <v>34002</v>
      </c>
    </row>
    <row r="3938" spans="1:19" x14ac:dyDescent="0.25">
      <c r="A3938" s="1">
        <v>3936</v>
      </c>
      <c r="B3938" t="str">
        <f>HYPERLINK("https://www.dasschnelle.at/heininger-kühlanlagen-gmbh-schärding-herbert-wöhl-straße","Website")</f>
        <v>Website</v>
      </c>
      <c r="C3938" t="str">
        <f>HYPERLINK("http://www.heininger-kaelte.com","Website")</f>
        <v>Website</v>
      </c>
      <c r="D3938" t="str">
        <f>HYPERLINK("http://www.google.com/maps/place/48.44535,13.44556","Location")</f>
        <v>Location</v>
      </c>
      <c r="E3938" t="s">
        <v>34007</v>
      </c>
      <c r="F3938" t="s">
        <v>34008</v>
      </c>
      <c r="G3938" t="s">
        <v>8850</v>
      </c>
      <c r="H3938" t="s">
        <v>8851</v>
      </c>
      <c r="I3938" t="s">
        <v>85</v>
      </c>
      <c r="J3938" t="s">
        <v>22</v>
      </c>
      <c r="K3938" t="s">
        <v>34009</v>
      </c>
      <c r="L3938" t="s">
        <v>34012</v>
      </c>
      <c r="M3938" t="s">
        <v>25</v>
      </c>
      <c r="N3938" t="s">
        <v>34013</v>
      </c>
      <c r="O3938" t="s">
        <v>25</v>
      </c>
      <c r="P3938" t="s">
        <v>34014</v>
      </c>
      <c r="Q3938" t="s">
        <v>29</v>
      </c>
      <c r="R3938" t="s">
        <v>34010</v>
      </c>
      <c r="S3938" t="s">
        <v>34011</v>
      </c>
    </row>
    <row r="3939" spans="1:19" x14ac:dyDescent="0.25">
      <c r="A3939" s="1">
        <v>3937</v>
      </c>
      <c r="B3939" t="str">
        <f>HYPERLINK("https://www.dasschnelle.at/bestattung-schärding-rakaseder-galos-gmbh-schärding-vorstadt-friedhofweg","Website")</f>
        <v>Website</v>
      </c>
      <c r="C3939" t="str">
        <f>HYPERLINK("http://www.bestattung-schaerding.com","Website")</f>
        <v>Website</v>
      </c>
      <c r="D3939" t="str">
        <f>HYPERLINK("http://www.google.com/maps/place/48.46186,13.43226","Location")</f>
        <v>Location</v>
      </c>
      <c r="E3939" t="s">
        <v>34015</v>
      </c>
      <c r="F3939" t="s">
        <v>34016</v>
      </c>
      <c r="G3939" t="s">
        <v>8850</v>
      </c>
      <c r="H3939" t="s">
        <v>28475</v>
      </c>
      <c r="I3939" t="s">
        <v>85</v>
      </c>
      <c r="J3939" t="s">
        <v>22</v>
      </c>
      <c r="K3939" t="s">
        <v>34017</v>
      </c>
      <c r="L3939" t="s">
        <v>34020</v>
      </c>
      <c r="M3939" t="s">
        <v>25</v>
      </c>
      <c r="N3939" t="s">
        <v>34021</v>
      </c>
      <c r="O3939" t="s">
        <v>25</v>
      </c>
      <c r="P3939" t="s">
        <v>34022</v>
      </c>
      <c r="Q3939" t="s">
        <v>29</v>
      </c>
      <c r="R3939" t="s">
        <v>34018</v>
      </c>
      <c r="S3939" t="s">
        <v>34019</v>
      </c>
    </row>
    <row r="3940" spans="1:19" x14ac:dyDescent="0.25">
      <c r="A3940" s="1">
        <v>3938</v>
      </c>
      <c r="B3940" t="str">
        <f>HYPERLINK("https://www.dasschnelle.at/zahnarztpraxen-dr-büscher-schärding-ludwig-pfliegl-gasse","Website")</f>
        <v>Website</v>
      </c>
      <c r="C3940" t="str">
        <f>HYPERLINK("http://www.drbuescher.net","Website")</f>
        <v>Website</v>
      </c>
      <c r="D3940" t="str">
        <f>HYPERLINK("http://www.google.com/maps/place/48.45491,13.43153","Location")</f>
        <v>Location</v>
      </c>
      <c r="E3940" t="s">
        <v>34023</v>
      </c>
      <c r="F3940" t="s">
        <v>34024</v>
      </c>
      <c r="G3940" t="s">
        <v>8850</v>
      </c>
      <c r="H3940" t="s">
        <v>8851</v>
      </c>
      <c r="I3940" t="s">
        <v>85</v>
      </c>
      <c r="J3940" t="s">
        <v>22</v>
      </c>
      <c r="K3940" t="s">
        <v>25899</v>
      </c>
      <c r="L3940" t="s">
        <v>34027</v>
      </c>
      <c r="M3940" t="s">
        <v>25</v>
      </c>
      <c r="N3940" t="s">
        <v>34028</v>
      </c>
      <c r="O3940" t="s">
        <v>34029</v>
      </c>
      <c r="P3940" t="s">
        <v>34030</v>
      </c>
      <c r="Q3940" t="s">
        <v>29</v>
      </c>
      <c r="R3940" t="s">
        <v>34025</v>
      </c>
      <c r="S3940" t="s">
        <v>34026</v>
      </c>
    </row>
    <row r="3941" spans="1:19" x14ac:dyDescent="0.25">
      <c r="A3941" s="1">
        <v>3939</v>
      </c>
      <c r="B3941" t="str">
        <f>HYPERLINK("https://www.dasschnelle.at/physiotherapie-alfred-u-katharina-bayer-straß-im-attergau-sagerer","Website")</f>
        <v>Website</v>
      </c>
      <c r="C3941" t="str">
        <f>HYPERLINK("http://www.physiotherapiebayer.at","Website")</f>
        <v>Website</v>
      </c>
      <c r="D3941" t="str">
        <f>HYPERLINK("http://www.google.com/maps/place/47.9073077,13.4615685","Location")</f>
        <v>Location</v>
      </c>
      <c r="E3941" t="s">
        <v>34031</v>
      </c>
      <c r="F3941" t="s">
        <v>34032</v>
      </c>
      <c r="G3941" t="s">
        <v>3906</v>
      </c>
      <c r="H3941" t="s">
        <v>3907</v>
      </c>
      <c r="I3941" t="s">
        <v>85</v>
      </c>
      <c r="J3941" t="s">
        <v>22</v>
      </c>
      <c r="K3941" t="s">
        <v>34033</v>
      </c>
      <c r="L3941" t="s">
        <v>34036</v>
      </c>
      <c r="M3941" t="s">
        <v>25</v>
      </c>
      <c r="N3941" t="s">
        <v>34037</v>
      </c>
      <c r="O3941" t="s">
        <v>25</v>
      </c>
      <c r="P3941" t="s">
        <v>34038</v>
      </c>
      <c r="Q3941" t="s">
        <v>29</v>
      </c>
      <c r="R3941" t="s">
        <v>34034</v>
      </c>
      <c r="S3941" t="s">
        <v>34035</v>
      </c>
    </row>
    <row r="3942" spans="1:19" x14ac:dyDescent="0.25">
      <c r="A3942" s="1">
        <v>3940</v>
      </c>
      <c r="B3942" t="str">
        <f>HYPERLINK("https://www.dasschnelle.at/foto-gugerbauer-schärding-innere-stadt-innbruckstraße","Website")</f>
        <v>Website</v>
      </c>
      <c r="C3942" t="str">
        <f>HYPERLINK("http://www.foto-gugerbauer.at","Website")</f>
        <v>Website</v>
      </c>
      <c r="D3942" t="str">
        <f>HYPERLINK("http://www.google.com/maps/place/48.45593,13.43049","Location")</f>
        <v>Location</v>
      </c>
      <c r="E3942" t="s">
        <v>34039</v>
      </c>
      <c r="F3942" t="s">
        <v>34040</v>
      </c>
      <c r="G3942" t="s">
        <v>8850</v>
      </c>
      <c r="H3942" t="s">
        <v>8859</v>
      </c>
      <c r="I3942" t="s">
        <v>85</v>
      </c>
      <c r="J3942" t="s">
        <v>22</v>
      </c>
      <c r="K3942" t="s">
        <v>8849</v>
      </c>
      <c r="L3942" t="s">
        <v>34041</v>
      </c>
      <c r="M3942" t="s">
        <v>25</v>
      </c>
      <c r="N3942" t="s">
        <v>34042</v>
      </c>
      <c r="O3942" t="s">
        <v>25</v>
      </c>
      <c r="P3942" t="s">
        <v>697</v>
      </c>
      <c r="Q3942" t="s">
        <v>29</v>
      </c>
      <c r="R3942" t="s">
        <v>8852</v>
      </c>
      <c r="S3942" t="s">
        <v>8853</v>
      </c>
    </row>
    <row r="3943" spans="1:19" x14ac:dyDescent="0.25">
      <c r="A3943" s="1">
        <v>3941</v>
      </c>
      <c r="B3943" t="str">
        <f>HYPERLINK("https://www.dasschnelle.at/tumler-helmut-gmbh-schärding-innere-stadt-kirchengasse","Website")</f>
        <v>Website</v>
      </c>
      <c r="C3943" t="str">
        <f>HYPERLINK("http://www.tumler.at","Website")</f>
        <v>Website</v>
      </c>
      <c r="D3943" t="str">
        <f>HYPERLINK("http://www.google.com/maps/place/48.45879,13.43021","Location")</f>
        <v>Location</v>
      </c>
      <c r="E3943" t="s">
        <v>34043</v>
      </c>
      <c r="F3943" t="s">
        <v>34044</v>
      </c>
      <c r="G3943" t="s">
        <v>8850</v>
      </c>
      <c r="H3943" t="s">
        <v>8859</v>
      </c>
      <c r="I3943" t="s">
        <v>85</v>
      </c>
      <c r="J3943" t="s">
        <v>22</v>
      </c>
      <c r="K3943" t="s">
        <v>34045</v>
      </c>
      <c r="L3943" t="s">
        <v>34048</v>
      </c>
      <c r="M3943" t="s">
        <v>25</v>
      </c>
      <c r="N3943" t="s">
        <v>34049</v>
      </c>
      <c r="O3943" t="s">
        <v>34050</v>
      </c>
      <c r="P3943" t="s">
        <v>34051</v>
      </c>
      <c r="Q3943" t="s">
        <v>29</v>
      </c>
      <c r="R3943" t="s">
        <v>34046</v>
      </c>
      <c r="S3943" t="s">
        <v>34047</v>
      </c>
    </row>
    <row r="3944" spans="1:19" x14ac:dyDescent="0.25">
      <c r="A3944" s="1">
        <v>3942</v>
      </c>
      <c r="B3944" t="str">
        <f>HYPERLINK("https://www.dasschnelle.at/transporte-erdbau-hanslauer-e-u-schärding-kainzbauernweg","Website")</f>
        <v>Website</v>
      </c>
      <c r="C3944" t="str">
        <f>HYPERLINK("http://www.hanslauer.at","Website")</f>
        <v>Website</v>
      </c>
      <c r="D3944" t="str">
        <f>HYPERLINK("http://www.google.com/maps/place/48.46751,13.4391","Location")</f>
        <v>Location</v>
      </c>
      <c r="E3944" t="s">
        <v>34052</v>
      </c>
      <c r="F3944" t="s">
        <v>34053</v>
      </c>
      <c r="G3944" t="s">
        <v>8850</v>
      </c>
      <c r="H3944" t="s">
        <v>8851</v>
      </c>
      <c r="I3944" t="s">
        <v>85</v>
      </c>
      <c r="J3944" t="s">
        <v>22</v>
      </c>
      <c r="K3944" t="s">
        <v>34054</v>
      </c>
      <c r="L3944" t="s">
        <v>34057</v>
      </c>
      <c r="M3944" t="s">
        <v>25</v>
      </c>
      <c r="N3944" t="s">
        <v>34058</v>
      </c>
      <c r="O3944" t="s">
        <v>25</v>
      </c>
      <c r="P3944" t="s">
        <v>34059</v>
      </c>
      <c r="Q3944" t="s">
        <v>29</v>
      </c>
      <c r="R3944" t="s">
        <v>34055</v>
      </c>
      <c r="S3944" t="s">
        <v>34056</v>
      </c>
    </row>
    <row r="3945" spans="1:19" x14ac:dyDescent="0.25">
      <c r="A3945" s="1">
        <v>3943</v>
      </c>
      <c r="B3945" t="str">
        <f>HYPERLINK("https://www.dasschnelle.at/valentin-gudrun-ing-schärding-passauer-straße","Website")</f>
        <v>Website</v>
      </c>
      <c r="C3945" t="str">
        <f>HYPERLINK("http://www.hemdenmacher.at","Website")</f>
        <v>Website</v>
      </c>
      <c r="D3945" t="str">
        <f>HYPERLINK("http://www.google.com/maps/place/48.46765,13.44149","Location")</f>
        <v>Location</v>
      </c>
      <c r="E3945" t="s">
        <v>34060</v>
      </c>
      <c r="F3945" t="s">
        <v>34061</v>
      </c>
      <c r="G3945" t="s">
        <v>8850</v>
      </c>
      <c r="H3945" t="s">
        <v>8851</v>
      </c>
      <c r="I3945" t="s">
        <v>85</v>
      </c>
      <c r="J3945" t="s">
        <v>22</v>
      </c>
      <c r="K3945" t="s">
        <v>34062</v>
      </c>
      <c r="L3945" t="s">
        <v>34065</v>
      </c>
      <c r="M3945" t="s">
        <v>25</v>
      </c>
      <c r="N3945" t="s">
        <v>34066</v>
      </c>
      <c r="O3945" t="s">
        <v>25</v>
      </c>
      <c r="P3945" t="s">
        <v>34067</v>
      </c>
      <c r="Q3945" t="s">
        <v>29</v>
      </c>
      <c r="R3945" t="s">
        <v>34063</v>
      </c>
      <c r="S3945" t="s">
        <v>34064</v>
      </c>
    </row>
    <row r="3946" spans="1:19" x14ac:dyDescent="0.25">
      <c r="A3946" s="1">
        <v>3944</v>
      </c>
      <c r="B3946" t="str">
        <f>HYPERLINK("https://www.dasschnelle.at/blumencenter-roland-e-u-gmünd-conrathstraße","Website")</f>
        <v>Website</v>
      </c>
      <c r="C3946" t="str">
        <f>HYPERLINK("http://www.blumencenter-roland.at","Website")</f>
        <v>Website</v>
      </c>
      <c r="D3946" t="str">
        <f>HYPERLINK("http://www.google.com/maps/place/48.76212,14.97579","Location")</f>
        <v>Location</v>
      </c>
      <c r="E3946" t="s">
        <v>34068</v>
      </c>
      <c r="F3946" t="s">
        <v>34069</v>
      </c>
      <c r="G3946" t="s">
        <v>13116</v>
      </c>
      <c r="H3946" t="s">
        <v>13117</v>
      </c>
      <c r="I3946" t="s">
        <v>177</v>
      </c>
      <c r="J3946" t="s">
        <v>22</v>
      </c>
      <c r="K3946" t="s">
        <v>34070</v>
      </c>
      <c r="L3946" t="s">
        <v>34073</v>
      </c>
      <c r="M3946" t="s">
        <v>25</v>
      </c>
      <c r="N3946" t="s">
        <v>34074</v>
      </c>
      <c r="O3946" t="s">
        <v>25</v>
      </c>
      <c r="P3946" t="s">
        <v>34075</v>
      </c>
      <c r="Q3946" t="s">
        <v>29</v>
      </c>
      <c r="R3946" t="s">
        <v>34071</v>
      </c>
      <c r="S3946" t="s">
        <v>34072</v>
      </c>
    </row>
    <row r="3947" spans="1:19" x14ac:dyDescent="0.25">
      <c r="A3947" s="1">
        <v>3945</v>
      </c>
      <c r="B3947" t="str">
        <f>HYPERLINK("https://www.dasschnelle.at/schachinger-buchhandlung-schärding-unterer-stadtplatz","Website")</f>
        <v>Website</v>
      </c>
      <c r="C3947" t="str">
        <f>HYPERLINK("http://www.buchhandlung-schachinger.at","Website")</f>
        <v>Website</v>
      </c>
      <c r="D3947" t="str">
        <f>HYPERLINK("http://www.google.com/maps/place/48.45794,13.43074","Location")</f>
        <v>Location</v>
      </c>
      <c r="E3947" t="s">
        <v>34076</v>
      </c>
      <c r="F3947" t="s">
        <v>34077</v>
      </c>
      <c r="G3947" t="s">
        <v>8850</v>
      </c>
      <c r="H3947" t="s">
        <v>8851</v>
      </c>
      <c r="I3947" t="s">
        <v>85</v>
      </c>
      <c r="J3947" t="s">
        <v>22</v>
      </c>
      <c r="K3947" t="s">
        <v>34078</v>
      </c>
      <c r="L3947" t="s">
        <v>34081</v>
      </c>
      <c r="M3947" t="s">
        <v>25</v>
      </c>
      <c r="N3947" t="s">
        <v>34082</v>
      </c>
      <c r="O3947" t="s">
        <v>25</v>
      </c>
      <c r="P3947" t="s">
        <v>34083</v>
      </c>
      <c r="Q3947" t="s">
        <v>29</v>
      </c>
      <c r="R3947" t="s">
        <v>34079</v>
      </c>
      <c r="S3947" t="s">
        <v>34080</v>
      </c>
    </row>
    <row r="3948" spans="1:19" x14ac:dyDescent="0.25">
      <c r="A3948" s="1">
        <v>3946</v>
      </c>
      <c r="B3948" t="str">
        <f>HYPERLINK("https://www.dasschnelle.at/autohaus-eder-gmünd-schubertplatz","Website")</f>
        <v>Website</v>
      </c>
      <c r="C3948" t="str">
        <f>HYPERLINK("http://www.citroen-partner.at/eder","Website")</f>
        <v>Website</v>
      </c>
      <c r="D3948" t="str">
        <f>HYPERLINK("http://www.google.com/maps/place/48.76265,14.97127","Location")</f>
        <v>Location</v>
      </c>
      <c r="E3948" t="s">
        <v>34084</v>
      </c>
      <c r="F3948" t="s">
        <v>34085</v>
      </c>
      <c r="G3948" t="s">
        <v>13116</v>
      </c>
      <c r="H3948" t="s">
        <v>13117</v>
      </c>
      <c r="I3948" t="s">
        <v>177</v>
      </c>
      <c r="J3948" t="s">
        <v>22</v>
      </c>
      <c r="K3948" t="s">
        <v>34086</v>
      </c>
      <c r="L3948" t="s">
        <v>34089</v>
      </c>
      <c r="M3948" t="s">
        <v>25</v>
      </c>
      <c r="N3948" t="s">
        <v>34090</v>
      </c>
      <c r="O3948" t="s">
        <v>25</v>
      </c>
      <c r="P3948" t="s">
        <v>34091</v>
      </c>
      <c r="Q3948" t="s">
        <v>29</v>
      </c>
      <c r="R3948" t="s">
        <v>34087</v>
      </c>
      <c r="S3948" t="s">
        <v>34088</v>
      </c>
    </row>
    <row r="3949" spans="1:19" x14ac:dyDescent="0.25">
      <c r="A3949" s="1">
        <v>3947</v>
      </c>
      <c r="B3949" t="str">
        <f>HYPERLINK("https://www.dasschnelle.at/klang-josef-echsenbach-marktplatz","Website")</f>
        <v>Website</v>
      </c>
      <c r="C3949" t="str">
        <f>HYPERLINK("http://www.gasthof-klang.at","Website")</f>
        <v>Website</v>
      </c>
      <c r="D3949" t="str">
        <f>HYPERLINK("http://www.google.com/maps/place/48.71812,15.21774","Location")</f>
        <v>Location</v>
      </c>
      <c r="E3949" t="s">
        <v>34092</v>
      </c>
      <c r="F3949" t="s">
        <v>34093</v>
      </c>
      <c r="G3949" t="s">
        <v>34094</v>
      </c>
      <c r="H3949" t="s">
        <v>34095</v>
      </c>
      <c r="I3949" t="s">
        <v>177</v>
      </c>
      <c r="J3949" t="s">
        <v>22</v>
      </c>
      <c r="K3949" t="s">
        <v>23322</v>
      </c>
      <c r="L3949" t="s">
        <v>34098</v>
      </c>
      <c r="M3949" t="s">
        <v>34099</v>
      </c>
      <c r="N3949" t="s">
        <v>34100</v>
      </c>
      <c r="O3949" t="s">
        <v>25</v>
      </c>
      <c r="P3949" t="s">
        <v>34101</v>
      </c>
      <c r="Q3949" t="s">
        <v>29</v>
      </c>
      <c r="R3949" t="s">
        <v>34096</v>
      </c>
      <c r="S3949" t="s">
        <v>34097</v>
      </c>
    </row>
    <row r="3950" spans="1:19" x14ac:dyDescent="0.25">
      <c r="A3950" s="1">
        <v>3948</v>
      </c>
      <c r="B3950" t="str">
        <f>HYPERLINK("https://www.dasschnelle.at/team-sanos-schärding-vorstadt-pramhöhe","Website")</f>
        <v>Website</v>
      </c>
      <c r="C3950" t="str">
        <f>HYPERLINK("http://www.team-sanos.at","Website")</f>
        <v>Website</v>
      </c>
      <c r="D3950" t="str">
        <f>HYPERLINK("http://www.google.com/maps/place/48.45663,13.43757","Location")</f>
        <v>Location</v>
      </c>
      <c r="E3950" t="s">
        <v>34102</v>
      </c>
      <c r="F3950" t="s">
        <v>34103</v>
      </c>
      <c r="G3950" t="s">
        <v>8850</v>
      </c>
      <c r="H3950" t="s">
        <v>28475</v>
      </c>
      <c r="I3950" t="s">
        <v>85</v>
      </c>
      <c r="J3950" t="s">
        <v>22</v>
      </c>
      <c r="K3950" t="s">
        <v>33000</v>
      </c>
      <c r="L3950" t="s">
        <v>34104</v>
      </c>
      <c r="M3950" t="s">
        <v>25</v>
      </c>
      <c r="N3950" t="s">
        <v>34105</v>
      </c>
      <c r="O3950" t="s">
        <v>34106</v>
      </c>
      <c r="P3950" t="s">
        <v>34107</v>
      </c>
      <c r="Q3950" t="s">
        <v>29</v>
      </c>
      <c r="R3950" t="s">
        <v>33001</v>
      </c>
      <c r="S3950" t="s">
        <v>33002</v>
      </c>
    </row>
    <row r="3951" spans="1:19" x14ac:dyDescent="0.25">
      <c r="A3951" s="1">
        <v>3949</v>
      </c>
      <c r="B3951" t="str">
        <f>HYPERLINK("https://www.dasschnelle.at/dr-med-dent-agnes-nemeth-schärding-passauer-str","Website")</f>
        <v>Website</v>
      </c>
      <c r="C3951" t="str">
        <f>HYPERLINK("http://www.zahnarztpraxis-schaerding.at","Website")</f>
        <v>Website</v>
      </c>
      <c r="D3951" t="str">
        <f>HYPERLINK("http://www.google.com/maps/place/48.46007,13.43189","Location")</f>
        <v>Location</v>
      </c>
      <c r="E3951" t="s">
        <v>34108</v>
      </c>
      <c r="F3951" t="s">
        <v>34109</v>
      </c>
      <c r="G3951" t="s">
        <v>8850</v>
      </c>
      <c r="H3951" t="s">
        <v>8851</v>
      </c>
      <c r="I3951" t="s">
        <v>85</v>
      </c>
      <c r="J3951" t="s">
        <v>22</v>
      </c>
      <c r="K3951" t="s">
        <v>34110</v>
      </c>
      <c r="L3951" t="s">
        <v>34113</v>
      </c>
      <c r="M3951" t="s">
        <v>25</v>
      </c>
      <c r="N3951" t="s">
        <v>34114</v>
      </c>
      <c r="O3951" t="s">
        <v>34115</v>
      </c>
      <c r="P3951" t="s">
        <v>34116</v>
      </c>
      <c r="Q3951" t="s">
        <v>29</v>
      </c>
      <c r="R3951" t="s">
        <v>34111</v>
      </c>
      <c r="S3951" t="s">
        <v>34112</v>
      </c>
    </row>
    <row r="3952" spans="1:19" x14ac:dyDescent="0.25">
      <c r="A3952" s="1">
        <v>3950</v>
      </c>
      <c r="B3952" t="str">
        <f>HYPERLINK("https://www.dasschnelle.at/schauer-günther-mag-raab-marktstraße","Website")</f>
        <v>Website</v>
      </c>
      <c r="C3952" t="str">
        <f>HYPERLINK("http://www.notar-schauer.at","Website")</f>
        <v>Website</v>
      </c>
      <c r="D3952" t="str">
        <f>HYPERLINK("http://www.google.com/maps/place/48.3522,13.6472","Location")</f>
        <v>Location</v>
      </c>
      <c r="E3952" t="s">
        <v>34117</v>
      </c>
      <c r="F3952" t="s">
        <v>34118</v>
      </c>
      <c r="G3952" t="s">
        <v>8869</v>
      </c>
      <c r="H3952" t="s">
        <v>8870</v>
      </c>
      <c r="I3952" t="s">
        <v>85</v>
      </c>
      <c r="J3952" t="s">
        <v>22</v>
      </c>
      <c r="K3952" t="s">
        <v>34119</v>
      </c>
      <c r="L3952" t="s">
        <v>34122</v>
      </c>
      <c r="M3952" t="s">
        <v>25</v>
      </c>
      <c r="N3952" t="s">
        <v>34123</v>
      </c>
      <c r="O3952" t="s">
        <v>34124</v>
      </c>
      <c r="P3952" t="s">
        <v>34125</v>
      </c>
      <c r="Q3952" t="s">
        <v>29</v>
      </c>
      <c r="R3952" t="s">
        <v>34120</v>
      </c>
      <c r="S3952" t="s">
        <v>34121</v>
      </c>
    </row>
    <row r="3953" spans="1:19" x14ac:dyDescent="0.25">
      <c r="A3953" s="1">
        <v>3951</v>
      </c>
      <c r="B3953" t="str">
        <f>HYPERLINK("https://www.dasschnelle.at/bartl-andreas-langegg-hauptstraße","Website")</f>
        <v>Website</v>
      </c>
      <c r="C3953" t="str">
        <f>HYPERLINK("http://www.glas-bartl.at","Website")</f>
        <v>Website</v>
      </c>
      <c r="D3953" t="str">
        <f>HYPERLINK("http://www.google.com/maps/place/48.83625,15.09275","Location")</f>
        <v>Location</v>
      </c>
      <c r="E3953" t="s">
        <v>34126</v>
      </c>
      <c r="F3953" t="s">
        <v>34127</v>
      </c>
      <c r="G3953" t="s">
        <v>24953</v>
      </c>
      <c r="H3953" t="s">
        <v>25009</v>
      </c>
      <c r="I3953" t="s">
        <v>177</v>
      </c>
      <c r="J3953" t="s">
        <v>22</v>
      </c>
      <c r="K3953" t="s">
        <v>25008</v>
      </c>
      <c r="L3953" t="s">
        <v>34130</v>
      </c>
      <c r="M3953" t="s">
        <v>25</v>
      </c>
      <c r="N3953" t="s">
        <v>34131</v>
      </c>
      <c r="O3953" t="s">
        <v>25</v>
      </c>
      <c r="P3953" t="s">
        <v>34132</v>
      </c>
      <c r="Q3953" t="s">
        <v>29</v>
      </c>
      <c r="R3953" t="s">
        <v>34128</v>
      </c>
      <c r="S3953" t="s">
        <v>34129</v>
      </c>
    </row>
    <row r="3954" spans="1:19" x14ac:dyDescent="0.25">
      <c r="A3954" s="1">
        <v>3952</v>
      </c>
      <c r="B3954" t="str">
        <f>HYPERLINK("https://www.dasschnelle.at/fußpflege-müllner-balacs-tulln-an-der-donau-albrechtsgasse","Website")</f>
        <v>Website</v>
      </c>
      <c r="C3954" t="str">
        <f>HYPERLINK("http://www.allesgeht.at","Website")</f>
        <v>Website</v>
      </c>
      <c r="D3954" t="str">
        <f>HYPERLINK("http://www.google.com/maps/place/48.3318800,16.0507800","Location")</f>
        <v>Location</v>
      </c>
      <c r="E3954" t="s">
        <v>34133</v>
      </c>
      <c r="F3954" t="s">
        <v>34134</v>
      </c>
      <c r="G3954" t="s">
        <v>9499</v>
      </c>
      <c r="H3954" t="s">
        <v>9500</v>
      </c>
      <c r="I3954" t="s">
        <v>177</v>
      </c>
      <c r="J3954" t="s">
        <v>22</v>
      </c>
      <c r="K3954" t="s">
        <v>34135</v>
      </c>
      <c r="L3954" t="s">
        <v>24232</v>
      </c>
      <c r="M3954" t="s">
        <v>25</v>
      </c>
      <c r="N3954" t="s">
        <v>24233</v>
      </c>
      <c r="O3954" t="s">
        <v>25</v>
      </c>
      <c r="P3954" t="s">
        <v>34138</v>
      </c>
      <c r="Q3954" t="s">
        <v>29</v>
      </c>
      <c r="R3954" t="s">
        <v>34136</v>
      </c>
      <c r="S3954" t="s">
        <v>34137</v>
      </c>
    </row>
    <row r="3955" spans="1:19" x14ac:dyDescent="0.25">
      <c r="A3955" s="1">
        <v>3953</v>
      </c>
      <c r="B3955" t="str">
        <f>HYPERLINK("https://www.dasschnelle.at/lendl-josef-korneuburg-stockerauer-straße","Website")</f>
        <v>Website</v>
      </c>
      <c r="C3955" t="str">
        <f>HYPERLINK("http://www.schlosserei-lendl.at","Website")</f>
        <v>Website</v>
      </c>
      <c r="D3955" t="str">
        <f>HYPERLINK("http://www.google.com/maps/place/48.38782,16.23407","Location")</f>
        <v>Location</v>
      </c>
      <c r="E3955" t="s">
        <v>34139</v>
      </c>
      <c r="F3955" t="s">
        <v>34140</v>
      </c>
      <c r="G3955" t="s">
        <v>440</v>
      </c>
      <c r="H3955" t="s">
        <v>441</v>
      </c>
      <c r="I3955" t="s">
        <v>177</v>
      </c>
      <c r="J3955" t="s">
        <v>22</v>
      </c>
      <c r="K3955" t="s">
        <v>34141</v>
      </c>
      <c r="L3955" t="s">
        <v>34144</v>
      </c>
      <c r="M3955" t="s">
        <v>25</v>
      </c>
      <c r="N3955" t="s">
        <v>34145</v>
      </c>
      <c r="O3955" t="s">
        <v>34146</v>
      </c>
      <c r="P3955" t="s">
        <v>34147</v>
      </c>
      <c r="Q3955" t="s">
        <v>29</v>
      </c>
      <c r="R3955" t="s">
        <v>34142</v>
      </c>
      <c r="S3955" t="s">
        <v>34143</v>
      </c>
    </row>
    <row r="3956" spans="1:19" x14ac:dyDescent="0.25">
      <c r="A3956" s="1">
        <v>3954</v>
      </c>
      <c r="B3956" t="str">
        <f>HYPERLINK("https://www.dasschnelle.at/autohaus-pfeffer-untermallebarn-untermallebarn","Website")</f>
        <v>Website</v>
      </c>
      <c r="C3956" t="str">
        <f>HYPERLINK("http://www.autohaus-pfeffer.at","Website")</f>
        <v>Website</v>
      </c>
      <c r="D3956" t="str">
        <f>HYPERLINK("http://www.google.com/maps/place/48.4609062,16.1711476","Location")</f>
        <v>Location</v>
      </c>
      <c r="E3956" t="s">
        <v>34148</v>
      </c>
      <c r="F3956" t="s">
        <v>34149</v>
      </c>
      <c r="G3956" t="s">
        <v>34151</v>
      </c>
      <c r="H3956" t="s">
        <v>34152</v>
      </c>
      <c r="I3956" t="s">
        <v>177</v>
      </c>
      <c r="J3956" t="s">
        <v>22</v>
      </c>
      <c r="K3956" t="s">
        <v>34150</v>
      </c>
      <c r="L3956" t="s">
        <v>34155</v>
      </c>
      <c r="M3956" t="s">
        <v>25</v>
      </c>
      <c r="N3956" t="s">
        <v>34156</v>
      </c>
      <c r="O3956" t="s">
        <v>25</v>
      </c>
      <c r="P3956" t="s">
        <v>34157</v>
      </c>
      <c r="Q3956" t="s">
        <v>29</v>
      </c>
      <c r="R3956" t="s">
        <v>34153</v>
      </c>
      <c r="S3956" t="s">
        <v>34154</v>
      </c>
    </row>
    <row r="3957" spans="1:19" x14ac:dyDescent="0.25">
      <c r="A3957" s="1">
        <v>3955</v>
      </c>
      <c r="B3957" t="str">
        <f>HYPERLINK("https://www.dasschnelle.at/karl-molzer-e-u-korneuburg-stockerauer-straße","Website")</f>
        <v>Website</v>
      </c>
      <c r="C3957" t="str">
        <f>HYPERLINK("http://www.taximolzer.at","Website")</f>
        <v>Website</v>
      </c>
      <c r="D3957" t="str">
        <f>HYPERLINK("http://www.google.com/maps/place/48.34758,16.32912","Location")</f>
        <v>Location</v>
      </c>
      <c r="E3957" t="s">
        <v>34158</v>
      </c>
      <c r="F3957" t="s">
        <v>34159</v>
      </c>
      <c r="G3957" t="s">
        <v>440</v>
      </c>
      <c r="H3957" t="s">
        <v>441</v>
      </c>
      <c r="I3957" t="s">
        <v>177</v>
      </c>
      <c r="J3957" t="s">
        <v>22</v>
      </c>
      <c r="K3957" t="s">
        <v>34160</v>
      </c>
      <c r="L3957" t="s">
        <v>34163</v>
      </c>
      <c r="M3957" t="s">
        <v>25</v>
      </c>
      <c r="N3957" t="s">
        <v>34164</v>
      </c>
      <c r="O3957" t="s">
        <v>25</v>
      </c>
      <c r="P3957" t="s">
        <v>34165</v>
      </c>
      <c r="Q3957" t="s">
        <v>29</v>
      </c>
      <c r="R3957" t="s">
        <v>34161</v>
      </c>
      <c r="S3957" t="s">
        <v>34162</v>
      </c>
    </row>
    <row r="3958" spans="1:19" x14ac:dyDescent="0.25">
      <c r="A3958" s="1">
        <v>3956</v>
      </c>
      <c r="B3958" t="str">
        <f>HYPERLINK("https://www.dasschnelle.at/robier-stefan-ing-leibnitz-grazergasse","Website")</f>
        <v>Website</v>
      </c>
      <c r="C3958" t="str">
        <f>HYPERLINK("http://www.robier.at","Website")</f>
        <v>Website</v>
      </c>
      <c r="D3958" t="str">
        <f>HYPERLINK("http://www.google.com/maps/place/46.78497,15.53885","Location")</f>
        <v>Location</v>
      </c>
      <c r="E3958" t="s">
        <v>34166</v>
      </c>
      <c r="F3958" t="s">
        <v>34167</v>
      </c>
      <c r="G3958" t="s">
        <v>1013</v>
      </c>
      <c r="H3958" t="s">
        <v>1023</v>
      </c>
      <c r="I3958" t="s">
        <v>451</v>
      </c>
      <c r="J3958" t="s">
        <v>22</v>
      </c>
      <c r="K3958" t="s">
        <v>34168</v>
      </c>
      <c r="L3958" t="s">
        <v>34171</v>
      </c>
      <c r="M3958" t="s">
        <v>25</v>
      </c>
      <c r="N3958" t="s">
        <v>34172</v>
      </c>
      <c r="O3958" t="s">
        <v>25</v>
      </c>
      <c r="P3958" t="s">
        <v>34173</v>
      </c>
      <c r="Q3958" t="s">
        <v>29</v>
      </c>
      <c r="R3958" t="s">
        <v>34169</v>
      </c>
      <c r="S3958" t="s">
        <v>34170</v>
      </c>
    </row>
    <row r="3959" spans="1:19" x14ac:dyDescent="0.25">
      <c r="A3959" s="1">
        <v>3957</v>
      </c>
      <c r="B3959" t="str">
        <f>HYPERLINK("https://www.dasschnelle.at/guggermeier-hans-kaindorf-sulmhofsiedlung","Website")</f>
        <v>Website</v>
      </c>
      <c r="C3959" t="str">
        <f>HYPERLINK("http://www.wohlfuehloase.org","Website")</f>
        <v>Website</v>
      </c>
      <c r="D3959" t="str">
        <f>HYPERLINK("http://www.google.com/maps/place/46.79255,15.54124","Location")</f>
        <v>Location</v>
      </c>
      <c r="E3959" t="s">
        <v>34174</v>
      </c>
      <c r="F3959" t="s">
        <v>34175</v>
      </c>
      <c r="G3959" t="s">
        <v>1013</v>
      </c>
      <c r="H3959" t="s">
        <v>1014</v>
      </c>
      <c r="I3959" t="s">
        <v>451</v>
      </c>
      <c r="J3959" t="s">
        <v>22</v>
      </c>
      <c r="K3959" t="s">
        <v>34176</v>
      </c>
      <c r="L3959" t="s">
        <v>34179</v>
      </c>
      <c r="M3959" t="s">
        <v>25</v>
      </c>
      <c r="N3959" t="s">
        <v>34180</v>
      </c>
      <c r="O3959" t="s">
        <v>25</v>
      </c>
      <c r="P3959" t="s">
        <v>34181</v>
      </c>
      <c r="Q3959" t="s">
        <v>29</v>
      </c>
      <c r="R3959" t="s">
        <v>34177</v>
      </c>
      <c r="S3959" t="s">
        <v>34178</v>
      </c>
    </row>
    <row r="3960" spans="1:19" x14ac:dyDescent="0.25">
      <c r="A3960" s="1">
        <v>3958</v>
      </c>
      <c r="B3960" t="str">
        <f>HYPERLINK("https://www.dasschnelle.at/bestattung-kada-e-u-leibnitz-schmiedgasse","Website")</f>
        <v>Website</v>
      </c>
      <c r="C3960" t="str">
        <f>HYPERLINK("http://www.bestattungkada.at","Website")</f>
        <v>Website</v>
      </c>
      <c r="D3960" t="str">
        <f>HYPERLINK("http://www.google.com/maps/place/46.77923,15.5404","Location")</f>
        <v>Location</v>
      </c>
      <c r="E3960" t="s">
        <v>34182</v>
      </c>
      <c r="F3960" t="s">
        <v>34183</v>
      </c>
      <c r="G3960" t="s">
        <v>1013</v>
      </c>
      <c r="H3960" t="s">
        <v>1023</v>
      </c>
      <c r="I3960" t="s">
        <v>451</v>
      </c>
      <c r="J3960" t="s">
        <v>22</v>
      </c>
      <c r="K3960" t="s">
        <v>34184</v>
      </c>
      <c r="L3960" t="s">
        <v>34187</v>
      </c>
      <c r="M3960" t="s">
        <v>25</v>
      </c>
      <c r="N3960" t="s">
        <v>34188</v>
      </c>
      <c r="O3960" t="s">
        <v>25</v>
      </c>
      <c r="P3960" t="s">
        <v>697</v>
      </c>
      <c r="Q3960" t="s">
        <v>29</v>
      </c>
      <c r="R3960" t="s">
        <v>34185</v>
      </c>
      <c r="S3960" t="s">
        <v>34186</v>
      </c>
    </row>
    <row r="3961" spans="1:19" x14ac:dyDescent="0.25">
      <c r="A3961" s="1">
        <v>3959</v>
      </c>
      <c r="B3961" t="str">
        <f>HYPERLINK("https://www.dasschnelle.at/armbrust-gmbh-tillmitsch-paulweg","Website")</f>
        <v>Website</v>
      </c>
      <c r="C3961" t="str">
        <f>HYPERLINK("http://www.btl.at","Website")</f>
        <v>Website</v>
      </c>
      <c r="D3961" t="str">
        <f>HYPERLINK("http://www.google.com/maps/place/46.80787,15.52949","Location")</f>
        <v>Location</v>
      </c>
      <c r="E3961" t="s">
        <v>34189</v>
      </c>
      <c r="F3961" t="s">
        <v>34190</v>
      </c>
      <c r="G3961" t="s">
        <v>1003</v>
      </c>
      <c r="H3961" t="s">
        <v>1004</v>
      </c>
      <c r="I3961" t="s">
        <v>451</v>
      </c>
      <c r="J3961" t="s">
        <v>22</v>
      </c>
      <c r="K3961" t="s">
        <v>34191</v>
      </c>
      <c r="L3961" t="s">
        <v>34194</v>
      </c>
      <c r="M3961" t="s">
        <v>25</v>
      </c>
      <c r="N3961" t="s">
        <v>34195</v>
      </c>
      <c r="O3961" t="s">
        <v>25</v>
      </c>
      <c r="P3961" t="s">
        <v>697</v>
      </c>
      <c r="Q3961" t="s">
        <v>29</v>
      </c>
      <c r="R3961" t="s">
        <v>34192</v>
      </c>
      <c r="S3961" t="s">
        <v>34193</v>
      </c>
    </row>
    <row r="3962" spans="1:19" x14ac:dyDescent="0.25">
      <c r="A3962" s="1">
        <v>3960</v>
      </c>
      <c r="B3962" t="str">
        <f>HYPERLINK("https://www.dasschnelle.at/mitteregger-franz-leibnitz-haltackerried","Website")</f>
        <v>Website</v>
      </c>
      <c r="C3962" t="str">
        <f>HYPERLINK("http://www.schlosserei-mitteregger.at","Website")</f>
        <v>Website</v>
      </c>
      <c r="D3962" t="str">
        <f>HYPERLINK("http://www.google.com/maps/place/46.79935,15.56257","Location")</f>
        <v>Location</v>
      </c>
      <c r="E3962" t="s">
        <v>34196</v>
      </c>
      <c r="F3962" t="s">
        <v>34197</v>
      </c>
      <c r="G3962" t="s">
        <v>1013</v>
      </c>
      <c r="H3962" t="s">
        <v>1023</v>
      </c>
      <c r="I3962" t="s">
        <v>451</v>
      </c>
      <c r="J3962" t="s">
        <v>22</v>
      </c>
      <c r="K3962" t="s">
        <v>34198</v>
      </c>
      <c r="L3962" t="s">
        <v>34201</v>
      </c>
      <c r="M3962" t="s">
        <v>34202</v>
      </c>
      <c r="N3962" t="s">
        <v>34203</v>
      </c>
      <c r="O3962" t="s">
        <v>25</v>
      </c>
      <c r="P3962" t="s">
        <v>34204</v>
      </c>
      <c r="Q3962" t="s">
        <v>29</v>
      </c>
      <c r="R3962" t="s">
        <v>34199</v>
      </c>
      <c r="S3962" t="s">
        <v>34200</v>
      </c>
    </row>
    <row r="3963" spans="1:19" x14ac:dyDescent="0.25">
      <c r="A3963" s="1">
        <v>3961</v>
      </c>
      <c r="B3963" t="str">
        <f>HYPERLINK("https://www.dasschnelle.at/haselbacher-alois-gesmbh-tillmitsch-gemeindestraße","Website")</f>
        <v>Website</v>
      </c>
      <c r="C3963" t="str">
        <f>HYPERLINK("http://www.haselbacher.at","Website")</f>
        <v>Website</v>
      </c>
      <c r="D3963" t="str">
        <f>HYPERLINK("http://www.google.com/maps/place/46.8106000,15.5206000","Location")</f>
        <v>Location</v>
      </c>
      <c r="E3963" t="s">
        <v>34205</v>
      </c>
      <c r="F3963" t="s">
        <v>34206</v>
      </c>
      <c r="G3963" t="s">
        <v>1003</v>
      </c>
      <c r="H3963" t="s">
        <v>1004</v>
      </c>
      <c r="I3963" t="s">
        <v>451</v>
      </c>
      <c r="J3963" t="s">
        <v>22</v>
      </c>
      <c r="K3963" t="s">
        <v>34207</v>
      </c>
      <c r="L3963" t="s">
        <v>34210</v>
      </c>
      <c r="M3963" t="s">
        <v>25</v>
      </c>
      <c r="N3963" t="s">
        <v>34211</v>
      </c>
      <c r="O3963" t="s">
        <v>25</v>
      </c>
      <c r="P3963" t="s">
        <v>34212</v>
      </c>
      <c r="Q3963" t="s">
        <v>29</v>
      </c>
      <c r="R3963" t="s">
        <v>34208</v>
      </c>
      <c r="S3963" t="s">
        <v>34209</v>
      </c>
    </row>
    <row r="3964" spans="1:19" x14ac:dyDescent="0.25">
      <c r="A3964" s="1">
        <v>3962</v>
      </c>
      <c r="B3964" t="str">
        <f>HYPERLINK("https://www.dasschnelle.at/schweighofer-stefanie-bsc-fuschl-am-see-dorfplatz","Website")</f>
        <v>Website</v>
      </c>
      <c r="C3964" t="str">
        <f>HYPERLINK("https://www.dasschnelle.at/schweighofer-stefanie-bsc-fuschl-am-see-dorfplatz","Website")</f>
        <v>Website</v>
      </c>
      <c r="D3964" t="str">
        <f>HYPERLINK("http://www.google.com/maps/place/47.8369454,13.2979940","Location")</f>
        <v>Location</v>
      </c>
      <c r="E3964" t="s">
        <v>34213</v>
      </c>
      <c r="F3964" t="s">
        <v>34214</v>
      </c>
      <c r="G3964" t="s">
        <v>29319</v>
      </c>
      <c r="H3964" t="s">
        <v>29320</v>
      </c>
      <c r="I3964" t="s">
        <v>85</v>
      </c>
      <c r="J3964" t="s">
        <v>22</v>
      </c>
      <c r="K3964" t="s">
        <v>10428</v>
      </c>
      <c r="L3964" t="s">
        <v>34217</v>
      </c>
      <c r="M3964" t="s">
        <v>25</v>
      </c>
      <c r="N3964" t="s">
        <v>25</v>
      </c>
      <c r="O3964" t="s">
        <v>25</v>
      </c>
      <c r="P3964" t="s">
        <v>34218</v>
      </c>
      <c r="Q3964" t="s">
        <v>29</v>
      </c>
      <c r="R3964" t="s">
        <v>34215</v>
      </c>
      <c r="S3964" t="s">
        <v>34216</v>
      </c>
    </row>
    <row r="3965" spans="1:19" x14ac:dyDescent="0.25">
      <c r="A3965" s="1">
        <v>3963</v>
      </c>
      <c r="B3965" t="str">
        <f>HYPERLINK("https://www.dasschnelle.at/rosenmayr-christian-vr-dr-zwettl-gerungser-straße","Website")</f>
        <v>Website</v>
      </c>
      <c r="C3965" t="str">
        <f>HYPERLINK("http://www.tierarztpraxis-zwettl.at","Website")</f>
        <v>Website</v>
      </c>
      <c r="D3965" t="str">
        <f>HYPERLINK("http://www.google.com/maps/place/48.6057,15.16353","Location")</f>
        <v>Location</v>
      </c>
      <c r="E3965" t="s">
        <v>34219</v>
      </c>
      <c r="F3965" t="s">
        <v>34220</v>
      </c>
      <c r="G3965" t="s">
        <v>10518</v>
      </c>
      <c r="H3965" t="s">
        <v>10791</v>
      </c>
      <c r="I3965" t="s">
        <v>177</v>
      </c>
      <c r="J3965" t="s">
        <v>22</v>
      </c>
      <c r="K3965" t="s">
        <v>34221</v>
      </c>
      <c r="L3965" t="s">
        <v>34224</v>
      </c>
      <c r="M3965" t="s">
        <v>25</v>
      </c>
      <c r="N3965" t="s">
        <v>34225</v>
      </c>
      <c r="O3965" t="s">
        <v>25</v>
      </c>
      <c r="P3965" t="s">
        <v>34226</v>
      </c>
      <c r="Q3965" t="s">
        <v>29</v>
      </c>
      <c r="R3965" t="s">
        <v>34222</v>
      </c>
      <c r="S3965" t="s">
        <v>34223</v>
      </c>
    </row>
    <row r="3966" spans="1:19" x14ac:dyDescent="0.25">
      <c r="A3966" s="1">
        <v>3964</v>
      </c>
      <c r="B3966" t="str">
        <f>HYPERLINK("https://www.dasschnelle.at/traxler-s-moderne-vergnügungsbetriebe-apfoltern-apfoltern","Website")</f>
        <v>Website</v>
      </c>
      <c r="C3966" t="str">
        <f>HYPERLINK("http://www.traxler.schausteller.at.tt","Website")</f>
        <v>Website</v>
      </c>
      <c r="D3966" t="str">
        <f>HYPERLINK("http://www.google.com/maps/place/48.5429804,14.4878180","Location")</f>
        <v>Location</v>
      </c>
      <c r="E3966" t="s">
        <v>34227</v>
      </c>
      <c r="F3966" t="s">
        <v>34228</v>
      </c>
      <c r="G3966" t="s">
        <v>10800</v>
      </c>
      <c r="H3966" t="s">
        <v>34230</v>
      </c>
      <c r="I3966" t="s">
        <v>85</v>
      </c>
      <c r="J3966" t="s">
        <v>22</v>
      </c>
      <c r="K3966" t="s">
        <v>34229</v>
      </c>
      <c r="L3966" t="s">
        <v>34233</v>
      </c>
      <c r="M3966" t="s">
        <v>25</v>
      </c>
      <c r="N3966" t="s">
        <v>34234</v>
      </c>
      <c r="O3966" t="s">
        <v>25</v>
      </c>
      <c r="P3966" t="s">
        <v>34235</v>
      </c>
      <c r="Q3966" t="s">
        <v>29</v>
      </c>
      <c r="R3966" t="s">
        <v>34231</v>
      </c>
      <c r="S3966" t="s">
        <v>34232</v>
      </c>
    </row>
    <row r="3967" spans="1:19" x14ac:dyDescent="0.25">
      <c r="A3967" s="1">
        <v>3965</v>
      </c>
      <c r="B3967" t="str">
        <f>HYPERLINK("https://www.dasschnelle.at/kreindl-gmbh-sankt-oswald-bei-freistadt-simerlweg","Website")</f>
        <v>Website</v>
      </c>
      <c r="C3967" t="str">
        <f>HYPERLINK("http://www.kreindl-entsorgung.at","Website")</f>
        <v>Website</v>
      </c>
      <c r="D3967" t="str">
        <f>HYPERLINK("http://www.google.com/maps/place/48.49632,14.59178","Location")</f>
        <v>Location</v>
      </c>
      <c r="E3967" t="s">
        <v>34236</v>
      </c>
      <c r="F3967" t="s">
        <v>34237</v>
      </c>
      <c r="G3967" t="s">
        <v>26679</v>
      </c>
      <c r="H3967" t="s">
        <v>26680</v>
      </c>
      <c r="I3967" t="s">
        <v>85</v>
      </c>
      <c r="J3967" t="s">
        <v>22</v>
      </c>
      <c r="K3967" t="s">
        <v>34238</v>
      </c>
      <c r="L3967" t="s">
        <v>34241</v>
      </c>
      <c r="M3967" t="s">
        <v>34242</v>
      </c>
      <c r="N3967" t="s">
        <v>34243</v>
      </c>
      <c r="O3967" t="s">
        <v>25</v>
      </c>
      <c r="P3967" t="s">
        <v>34244</v>
      </c>
      <c r="Q3967" t="s">
        <v>29</v>
      </c>
      <c r="R3967" t="s">
        <v>34239</v>
      </c>
      <c r="S3967" t="s">
        <v>34240</v>
      </c>
    </row>
    <row r="3968" spans="1:19" x14ac:dyDescent="0.25">
      <c r="A3968" s="1">
        <v>3966</v>
      </c>
      <c r="B3968" t="str">
        <f>HYPERLINK("https://www.dasschnelle.at/leutgeb-gmbh-liebenau-monegg","Website")</f>
        <v>Website</v>
      </c>
      <c r="C3968" t="str">
        <f>HYPERLINK("http://www.leutgeb.at","Website")</f>
        <v>Website</v>
      </c>
      <c r="D3968" t="str">
        <f>HYPERLINK("http://www.google.com/maps/place/48.5279458,14.7544779","Location")</f>
        <v>Location</v>
      </c>
      <c r="E3968" t="s">
        <v>34245</v>
      </c>
      <c r="F3968" t="s">
        <v>34246</v>
      </c>
      <c r="G3968" t="s">
        <v>26187</v>
      </c>
      <c r="H3968" t="s">
        <v>26188</v>
      </c>
      <c r="I3968" t="s">
        <v>85</v>
      </c>
      <c r="J3968" t="s">
        <v>22</v>
      </c>
      <c r="K3968" t="s">
        <v>34247</v>
      </c>
      <c r="L3968" t="s">
        <v>34250</v>
      </c>
      <c r="M3968" t="s">
        <v>25</v>
      </c>
      <c r="N3968" t="s">
        <v>34251</v>
      </c>
      <c r="O3968" t="s">
        <v>25</v>
      </c>
      <c r="P3968" t="s">
        <v>34252</v>
      </c>
      <c r="Q3968" t="s">
        <v>29</v>
      </c>
      <c r="R3968" t="s">
        <v>34248</v>
      </c>
      <c r="S3968" t="s">
        <v>34249</v>
      </c>
    </row>
    <row r="3969" spans="1:19" x14ac:dyDescent="0.25">
      <c r="A3969" s="1">
        <v>3967</v>
      </c>
      <c r="B3969" t="str">
        <f>HYPERLINK("https://www.dasschnelle.at/strauss-franz-dipl-ing-schärding-bahnhofstraße","Website")</f>
        <v>Website</v>
      </c>
      <c r="C3969" t="str">
        <f>HYPERLINK("https://www.dasschnelle.at/strauss-franz-dipl-ing-sch%C3%A4rding-bahnhofstra%C3%9Fe","Website")</f>
        <v>Website</v>
      </c>
      <c r="D3969" t="str">
        <f>HYPERLINK("http://www.google.com/maps/place/48.4577500,13.4345800","Location")</f>
        <v>Location</v>
      </c>
      <c r="E3969" t="s">
        <v>34253</v>
      </c>
      <c r="F3969" t="s">
        <v>34254</v>
      </c>
      <c r="G3969" t="s">
        <v>8850</v>
      </c>
      <c r="H3969" t="s">
        <v>8851</v>
      </c>
      <c r="I3969" t="s">
        <v>85</v>
      </c>
      <c r="J3969" t="s">
        <v>22</v>
      </c>
      <c r="K3969" t="s">
        <v>12947</v>
      </c>
      <c r="L3969" t="s">
        <v>34257</v>
      </c>
      <c r="M3969" t="s">
        <v>25</v>
      </c>
      <c r="N3969" t="s">
        <v>34258</v>
      </c>
      <c r="O3969" t="s">
        <v>25</v>
      </c>
      <c r="P3969" t="s">
        <v>34259</v>
      </c>
      <c r="Q3969" t="s">
        <v>29</v>
      </c>
      <c r="R3969" t="s">
        <v>34255</v>
      </c>
      <c r="S3969" t="s">
        <v>34256</v>
      </c>
    </row>
    <row r="3970" spans="1:19" x14ac:dyDescent="0.25">
      <c r="A3970" s="1">
        <v>3968</v>
      </c>
      <c r="B3970" t="str">
        <f>HYPERLINK("https://www.dasschnelle.at/inreiter-gerhard-pregarten-halmenberg","Website")</f>
        <v>Website</v>
      </c>
      <c r="C3970" t="str">
        <f>HYPERLINK("https://www.dasschnelle.at/inreiter-gerhard-pregarten-halmenberg","Website")</f>
        <v>Website</v>
      </c>
      <c r="D3970" t="str">
        <f>HYPERLINK("http://www.google.com/maps/place/48.3420699,14.5690017","Location")</f>
        <v>Location</v>
      </c>
      <c r="E3970" t="s">
        <v>34260</v>
      </c>
      <c r="F3970" t="s">
        <v>34261</v>
      </c>
      <c r="G3970" t="s">
        <v>25297</v>
      </c>
      <c r="H3970" t="s">
        <v>25298</v>
      </c>
      <c r="I3970" t="s">
        <v>85</v>
      </c>
      <c r="J3970" t="s">
        <v>22</v>
      </c>
      <c r="K3970" t="s">
        <v>34262</v>
      </c>
      <c r="L3970" t="s">
        <v>34265</v>
      </c>
      <c r="M3970" t="s">
        <v>25</v>
      </c>
      <c r="N3970" t="s">
        <v>34266</v>
      </c>
      <c r="O3970" t="s">
        <v>25</v>
      </c>
      <c r="P3970" t="s">
        <v>34267</v>
      </c>
      <c r="Q3970" t="s">
        <v>29</v>
      </c>
      <c r="R3970" t="s">
        <v>34263</v>
      </c>
      <c r="S3970" t="s">
        <v>34264</v>
      </c>
    </row>
    <row r="3971" spans="1:19" x14ac:dyDescent="0.25">
      <c r="A3971" s="1">
        <v>3969</v>
      </c>
      <c r="B3971" t="str">
        <f>HYPERLINK("https://www.dasschnelle.at/gärtner-gmbh-der-öko-installateur-grünbach-heinrichschlag","Website")</f>
        <v>Website</v>
      </c>
      <c r="C3971" t="str">
        <f>HYPERLINK("http://www.oeko-installateur.com","Website")</f>
        <v>Website</v>
      </c>
      <c r="D3971" t="str">
        <f>HYPERLINK("http://www.google.com/maps/place/48.5432734,14.5610511","Location")</f>
        <v>Location</v>
      </c>
      <c r="E3971" t="s">
        <v>34268</v>
      </c>
      <c r="F3971" t="s">
        <v>34269</v>
      </c>
      <c r="G3971" t="s">
        <v>12991</v>
      </c>
      <c r="H3971" t="s">
        <v>12992</v>
      </c>
      <c r="I3971" t="s">
        <v>85</v>
      </c>
      <c r="J3971" t="s">
        <v>22</v>
      </c>
      <c r="K3971" t="s">
        <v>34270</v>
      </c>
      <c r="L3971" t="s">
        <v>34273</v>
      </c>
      <c r="M3971" t="s">
        <v>25</v>
      </c>
      <c r="N3971" t="s">
        <v>34274</v>
      </c>
      <c r="O3971" t="s">
        <v>25</v>
      </c>
      <c r="P3971" t="s">
        <v>34275</v>
      </c>
      <c r="Q3971" t="s">
        <v>29</v>
      </c>
      <c r="R3971" t="s">
        <v>34271</v>
      </c>
      <c r="S3971" t="s">
        <v>34272</v>
      </c>
    </row>
    <row r="3972" spans="1:19" x14ac:dyDescent="0.25">
      <c r="A3972" s="1">
        <v>3970</v>
      </c>
      <c r="B3972" t="str">
        <f>HYPERLINK("https://www.dasschnelle.at/herger-weilguny-steuerberatung-wirtschaftsprüfung-gmbh-amstetten-reichsstraße","Website")</f>
        <v>Website</v>
      </c>
      <c r="C3972" t="str">
        <f>HYPERLINK("http://www.hw-sw.at","Website")</f>
        <v>Website</v>
      </c>
      <c r="D3972" t="str">
        <f>HYPERLINK("http://www.google.com/maps/place/48.11897,14.89791","Location")</f>
        <v>Location</v>
      </c>
      <c r="E3972" t="s">
        <v>34276</v>
      </c>
      <c r="F3972" t="s">
        <v>34277</v>
      </c>
      <c r="G3972" t="s">
        <v>1474</v>
      </c>
      <c r="H3972" t="s">
        <v>1475</v>
      </c>
      <c r="I3972" t="s">
        <v>177</v>
      </c>
      <c r="J3972" t="s">
        <v>22</v>
      </c>
      <c r="K3972" t="s">
        <v>34278</v>
      </c>
      <c r="L3972" t="s">
        <v>34281</v>
      </c>
      <c r="M3972" t="s">
        <v>25</v>
      </c>
      <c r="N3972" t="s">
        <v>34282</v>
      </c>
      <c r="O3972" t="s">
        <v>25</v>
      </c>
      <c r="P3972" t="s">
        <v>34283</v>
      </c>
      <c r="Q3972" t="s">
        <v>29</v>
      </c>
      <c r="R3972" t="s">
        <v>34279</v>
      </c>
      <c r="S3972" t="s">
        <v>34280</v>
      </c>
    </row>
    <row r="3973" spans="1:19" x14ac:dyDescent="0.25">
      <c r="A3973" s="1">
        <v>3971</v>
      </c>
      <c r="B3973" t="str">
        <f>HYPERLINK("https://www.dasschnelle.at/poller-gerhard-ing-pians-hauptstraße","Website")</f>
        <v>Website</v>
      </c>
      <c r="C3973" t="str">
        <f>HYPERLINK("http://www.gerhardpoller.at","Website")</f>
        <v>Website</v>
      </c>
      <c r="D3973" t="str">
        <f>HYPERLINK("http://www.google.com/maps/place/47.1347692,10.5179434","Location")</f>
        <v>Location</v>
      </c>
      <c r="E3973" t="s">
        <v>34284</v>
      </c>
      <c r="F3973" t="s">
        <v>34285</v>
      </c>
      <c r="G3973" t="s">
        <v>27403</v>
      </c>
      <c r="H3973" t="s">
        <v>27404</v>
      </c>
      <c r="I3973" t="s">
        <v>21</v>
      </c>
      <c r="J3973" t="s">
        <v>22</v>
      </c>
      <c r="K3973" t="s">
        <v>34286</v>
      </c>
      <c r="L3973" t="s">
        <v>34287</v>
      </c>
      <c r="M3973" t="s">
        <v>34288</v>
      </c>
      <c r="N3973" t="s">
        <v>34289</v>
      </c>
      <c r="O3973" t="s">
        <v>25</v>
      </c>
      <c r="P3973" t="s">
        <v>34290</v>
      </c>
      <c r="Q3973" t="s">
        <v>29</v>
      </c>
      <c r="R3973" t="s">
        <v>33976</v>
      </c>
      <c r="S3973" t="s">
        <v>33977</v>
      </c>
    </row>
    <row r="3974" spans="1:19" x14ac:dyDescent="0.25">
      <c r="A3974" s="1">
        <v>3972</v>
      </c>
      <c r="B3974" t="str">
        <f>HYPERLINK("https://www.dasschnelle.at/silbernagel-metalltechnik-gmbh-hoheneich-schremser-straße","Website")</f>
        <v>Website</v>
      </c>
      <c r="C3974" t="str">
        <f>HYPERLINK("http://www.silbernagel.at","Website")</f>
        <v>Website</v>
      </c>
      <c r="D3974" t="str">
        <f>HYPERLINK("http://www.google.com/maps/place/48.774,15.02343","Location")</f>
        <v>Location</v>
      </c>
      <c r="E3974" t="s">
        <v>34291</v>
      </c>
      <c r="F3974" t="s">
        <v>34292</v>
      </c>
      <c r="G3974" t="s">
        <v>28707</v>
      </c>
      <c r="H3974" t="s">
        <v>28708</v>
      </c>
      <c r="I3974" t="s">
        <v>177</v>
      </c>
      <c r="J3974" t="s">
        <v>22</v>
      </c>
      <c r="K3974" t="s">
        <v>34293</v>
      </c>
      <c r="L3974" t="s">
        <v>34296</v>
      </c>
      <c r="M3974" t="s">
        <v>34297</v>
      </c>
      <c r="N3974" t="s">
        <v>34298</v>
      </c>
      <c r="O3974" t="s">
        <v>25</v>
      </c>
      <c r="P3974" t="s">
        <v>34299</v>
      </c>
      <c r="Q3974" t="s">
        <v>29</v>
      </c>
      <c r="R3974" t="s">
        <v>34294</v>
      </c>
      <c r="S3974" t="s">
        <v>34295</v>
      </c>
    </row>
    <row r="3975" spans="1:19" x14ac:dyDescent="0.25">
      <c r="A3975" s="1">
        <v>3973</v>
      </c>
      <c r="B3975" t="str">
        <f>HYPERLINK("https://www.dasschnelle.at/jaro-bau-gmbh-strengberg-ramsau","Website")</f>
        <v>Website</v>
      </c>
      <c r="C3975" t="str">
        <f>HYPERLINK("https://www.jarobau.at","Website")</f>
        <v>Website</v>
      </c>
      <c r="D3975" t="str">
        <f>HYPERLINK("http://www.google.com/maps/place/48.1270722,14.6680201","Location")</f>
        <v>Location</v>
      </c>
      <c r="E3975" t="s">
        <v>34300</v>
      </c>
      <c r="F3975" t="s">
        <v>34301</v>
      </c>
      <c r="G3975" t="s">
        <v>9476</v>
      </c>
      <c r="H3975" t="s">
        <v>9477</v>
      </c>
      <c r="I3975" t="s">
        <v>177</v>
      </c>
      <c r="J3975" t="s">
        <v>22</v>
      </c>
      <c r="K3975" t="s">
        <v>34302</v>
      </c>
      <c r="L3975" t="s">
        <v>34305</v>
      </c>
      <c r="M3975" t="s">
        <v>25</v>
      </c>
      <c r="N3975" t="s">
        <v>34306</v>
      </c>
      <c r="O3975" t="s">
        <v>34307</v>
      </c>
      <c r="P3975" t="s">
        <v>34308</v>
      </c>
      <c r="Q3975" t="s">
        <v>29</v>
      </c>
      <c r="R3975" t="s">
        <v>34303</v>
      </c>
      <c r="S3975" t="s">
        <v>34304</v>
      </c>
    </row>
    <row r="3976" spans="1:19" x14ac:dyDescent="0.25">
      <c r="A3976" s="1">
        <v>3974</v>
      </c>
      <c r="B3976" t="str">
        <f>HYPERLINK("https://www.dasschnelle.at/stockinger-andreas-dr-schärding-schulstraße","Website")</f>
        <v>Website</v>
      </c>
      <c r="C3976" t="str">
        <f>HYPERLINK("http://www.trauma-schaerding.at","Website")</f>
        <v>Website</v>
      </c>
      <c r="D3976" t="str">
        <f>HYPERLINK("http://www.google.com/maps/place/48.45459,13.4367","Location")</f>
        <v>Location</v>
      </c>
      <c r="E3976" t="s">
        <v>34309</v>
      </c>
      <c r="F3976" t="s">
        <v>34310</v>
      </c>
      <c r="G3976" t="s">
        <v>8850</v>
      </c>
      <c r="H3976" t="s">
        <v>8851</v>
      </c>
      <c r="I3976" t="s">
        <v>85</v>
      </c>
      <c r="J3976" t="s">
        <v>22</v>
      </c>
      <c r="K3976" t="s">
        <v>34311</v>
      </c>
      <c r="L3976" t="s">
        <v>34314</v>
      </c>
      <c r="M3976" t="s">
        <v>25</v>
      </c>
      <c r="N3976" t="s">
        <v>34315</v>
      </c>
      <c r="O3976" t="s">
        <v>25</v>
      </c>
      <c r="P3976" t="s">
        <v>34316</v>
      </c>
      <c r="Q3976" t="s">
        <v>29</v>
      </c>
      <c r="R3976" t="s">
        <v>34312</v>
      </c>
      <c r="S3976" t="s">
        <v>34313</v>
      </c>
    </row>
    <row r="3977" spans="1:19" x14ac:dyDescent="0.25">
      <c r="A3977" s="1">
        <v>3975</v>
      </c>
      <c r="B3977" t="str">
        <f>HYPERLINK("https://www.dasschnelle.at/elektro-beichler-rohrbach-rohrbach","Website")</f>
        <v>Website</v>
      </c>
      <c r="C3977" t="str">
        <f>HYPERLINK("https://www.dasschnelle.at/elektro-beichler-rohrbach-rohrbach","Website")</f>
        <v>Website</v>
      </c>
      <c r="D3977" t="str">
        <f>HYPERLINK("http://www.google.com/maps/place/47.0765535,15.2953593","Location")</f>
        <v>Location</v>
      </c>
      <c r="E3977" t="s">
        <v>34317</v>
      </c>
      <c r="F3977" t="s">
        <v>34318</v>
      </c>
      <c r="G3977" t="s">
        <v>7884</v>
      </c>
      <c r="H3977" t="s">
        <v>8562</v>
      </c>
      <c r="I3977" t="s">
        <v>451</v>
      </c>
      <c r="J3977" t="s">
        <v>22</v>
      </c>
      <c r="K3977" t="s">
        <v>34319</v>
      </c>
      <c r="L3977" t="s">
        <v>34322</v>
      </c>
      <c r="M3977" t="s">
        <v>25</v>
      </c>
      <c r="N3977" t="s">
        <v>34323</v>
      </c>
      <c r="O3977" t="s">
        <v>25</v>
      </c>
      <c r="P3977" t="s">
        <v>34324</v>
      </c>
      <c r="Q3977" t="s">
        <v>29</v>
      </c>
      <c r="R3977" t="s">
        <v>34320</v>
      </c>
      <c r="S3977" t="s">
        <v>34321</v>
      </c>
    </row>
    <row r="3978" spans="1:19" x14ac:dyDescent="0.25">
      <c r="A3978" s="1">
        <v>3976</v>
      </c>
      <c r="B3978" t="str">
        <f>HYPERLINK("https://www.dasschnelle.at/hofer-thomas-bramberg-dorf","Website")</f>
        <v>Website</v>
      </c>
      <c r="C3978" t="str">
        <f>HYPERLINK("http://www.thomas-hofer.co.at","Website")</f>
        <v>Website</v>
      </c>
      <c r="D3978" t="str">
        <f>HYPERLINK("http://www.google.com/maps/place/47.2796900,12.3874000","Location")</f>
        <v>Location</v>
      </c>
      <c r="E3978" t="s">
        <v>34325</v>
      </c>
      <c r="F3978" t="s">
        <v>34326</v>
      </c>
      <c r="G3978" t="s">
        <v>32183</v>
      </c>
      <c r="H3978" t="s">
        <v>34328</v>
      </c>
      <c r="I3978" t="s">
        <v>2239</v>
      </c>
      <c r="J3978" t="s">
        <v>22</v>
      </c>
      <c r="K3978" t="s">
        <v>34327</v>
      </c>
      <c r="L3978" t="s">
        <v>34331</v>
      </c>
      <c r="M3978" t="s">
        <v>25</v>
      </c>
      <c r="N3978" t="s">
        <v>34332</v>
      </c>
      <c r="O3978" t="s">
        <v>25</v>
      </c>
      <c r="P3978" t="s">
        <v>697</v>
      </c>
      <c r="Q3978" t="s">
        <v>29</v>
      </c>
      <c r="R3978" t="s">
        <v>34329</v>
      </c>
      <c r="S3978" t="s">
        <v>34330</v>
      </c>
    </row>
    <row r="3979" spans="1:19" x14ac:dyDescent="0.25">
      <c r="A3979" s="1">
        <v>3977</v>
      </c>
      <c r="B3979" t="str">
        <f>HYPERLINK("https://www.dasschnelle.at/pollak-rausch-silvia-weitra-sparkasseplatz","Website")</f>
        <v>Website</v>
      </c>
      <c r="C3979" t="str">
        <f>HYPERLINK("http://www.silviasmobilefusspflege.at","Website")</f>
        <v>Website</v>
      </c>
      <c r="D3979" t="str">
        <f>HYPERLINK("http://www.google.com/maps/place/48.7012000,14.8963100","Location")</f>
        <v>Location</v>
      </c>
      <c r="E3979" t="s">
        <v>34333</v>
      </c>
      <c r="F3979" t="s">
        <v>34334</v>
      </c>
      <c r="G3979" t="s">
        <v>11931</v>
      </c>
      <c r="H3979" t="s">
        <v>11932</v>
      </c>
      <c r="I3979" t="s">
        <v>177</v>
      </c>
      <c r="J3979" t="s">
        <v>22</v>
      </c>
      <c r="K3979" t="s">
        <v>25068</v>
      </c>
      <c r="L3979" t="s">
        <v>25071</v>
      </c>
      <c r="M3979" t="s">
        <v>25</v>
      </c>
      <c r="N3979" t="s">
        <v>25072</v>
      </c>
      <c r="O3979" t="s">
        <v>25</v>
      </c>
      <c r="P3979" t="s">
        <v>34335</v>
      </c>
      <c r="Q3979" t="s">
        <v>29</v>
      </c>
      <c r="R3979" t="s">
        <v>25069</v>
      </c>
      <c r="S3979" t="s">
        <v>25070</v>
      </c>
    </row>
    <row r="3980" spans="1:19" x14ac:dyDescent="0.25">
      <c r="A3980" s="1">
        <v>3978</v>
      </c>
      <c r="B3980" t="str">
        <f>HYPERLINK("https://www.dasschnelle.at/autohaus-bauer-gmbh-zwettl-moidrams","Website")</f>
        <v>Website</v>
      </c>
      <c r="C3980" t="str">
        <f>HYPERLINK("http://www.toyota-bauer.at","Website")</f>
        <v>Website</v>
      </c>
      <c r="D3980" t="str">
        <f>HYPERLINK("http://www.google.com/maps/place/48.5981132,15.1529371","Location")</f>
        <v>Location</v>
      </c>
      <c r="E3980" t="s">
        <v>34336</v>
      </c>
      <c r="F3980" t="s">
        <v>34337</v>
      </c>
      <c r="G3980" t="s">
        <v>10518</v>
      </c>
      <c r="H3980" t="s">
        <v>10791</v>
      </c>
      <c r="I3980" t="s">
        <v>177</v>
      </c>
      <c r="J3980" t="s">
        <v>22</v>
      </c>
      <c r="K3980" t="s">
        <v>25978</v>
      </c>
      <c r="L3980" t="s">
        <v>25981</v>
      </c>
      <c r="M3980" t="s">
        <v>25</v>
      </c>
      <c r="N3980" t="s">
        <v>25982</v>
      </c>
      <c r="O3980" t="s">
        <v>25</v>
      </c>
      <c r="P3980" t="s">
        <v>34338</v>
      </c>
      <c r="Q3980" t="s">
        <v>29</v>
      </c>
      <c r="R3980" t="s">
        <v>25979</v>
      </c>
      <c r="S3980" t="s">
        <v>25980</v>
      </c>
    </row>
    <row r="3981" spans="1:19" x14ac:dyDescent="0.25">
      <c r="A3981" s="1">
        <v>3979</v>
      </c>
      <c r="B3981" t="str">
        <f>HYPERLINK("https://www.dasschnelle.at/leitner-transporte-taufkirchen-an-der-pram-kinosiedlung","Website")</f>
        <v>Website</v>
      </c>
      <c r="C3981" t="str">
        <f>HYPERLINK("http://www.leitner-transporte.at","Website")</f>
        <v>Website</v>
      </c>
      <c r="D3981" t="str">
        <f>HYPERLINK("http://www.google.com/maps/place/48.41198,13.52783","Location")</f>
        <v>Location</v>
      </c>
      <c r="E3981" t="s">
        <v>34339</v>
      </c>
      <c r="F3981" t="s">
        <v>34340</v>
      </c>
      <c r="G3981" t="s">
        <v>13097</v>
      </c>
      <c r="H3981" t="s">
        <v>13098</v>
      </c>
      <c r="I3981" t="s">
        <v>85</v>
      </c>
      <c r="J3981" t="s">
        <v>22</v>
      </c>
      <c r="K3981" t="s">
        <v>34341</v>
      </c>
      <c r="L3981" t="s">
        <v>34344</v>
      </c>
      <c r="M3981" t="s">
        <v>25</v>
      </c>
      <c r="N3981" t="s">
        <v>34345</v>
      </c>
      <c r="O3981" t="s">
        <v>25</v>
      </c>
      <c r="P3981" t="s">
        <v>34346</v>
      </c>
      <c r="Q3981" t="s">
        <v>29</v>
      </c>
      <c r="R3981" t="s">
        <v>34342</v>
      </c>
      <c r="S3981" t="s">
        <v>34343</v>
      </c>
    </row>
    <row r="3982" spans="1:19" x14ac:dyDescent="0.25">
      <c r="A3982" s="1">
        <v>3980</v>
      </c>
      <c r="B3982" t="str">
        <f>HYPERLINK("https://www.dasschnelle.at/gruber-anton-furth-pfaffing-furth-pfaffing","Website")</f>
        <v>Website</v>
      </c>
      <c r="C3982" t="str">
        <f>HYPERLINK("http://www.gruber-saege.at","Website")</f>
        <v>Website</v>
      </c>
      <c r="D3982" t="str">
        <f>HYPERLINK("http://www.google.com/maps/place/48.4354416,13.5441070","Location")</f>
        <v>Location</v>
      </c>
      <c r="E3982" t="s">
        <v>34347</v>
      </c>
      <c r="F3982" t="s">
        <v>34348</v>
      </c>
      <c r="G3982" t="s">
        <v>13097</v>
      </c>
      <c r="H3982" t="s">
        <v>34350</v>
      </c>
      <c r="I3982" t="s">
        <v>85</v>
      </c>
      <c r="J3982" t="s">
        <v>22</v>
      </c>
      <c r="K3982" t="s">
        <v>34349</v>
      </c>
      <c r="L3982" t="s">
        <v>34353</v>
      </c>
      <c r="M3982" t="s">
        <v>34354</v>
      </c>
      <c r="N3982" t="s">
        <v>34355</v>
      </c>
      <c r="O3982" t="s">
        <v>25</v>
      </c>
      <c r="P3982" t="s">
        <v>34356</v>
      </c>
      <c r="Q3982" t="s">
        <v>29</v>
      </c>
      <c r="R3982" t="s">
        <v>34351</v>
      </c>
      <c r="S3982" t="s">
        <v>34352</v>
      </c>
    </row>
    <row r="3983" spans="1:19" x14ac:dyDescent="0.25">
      <c r="A3983" s="1">
        <v>3981</v>
      </c>
      <c r="B3983" t="str">
        <f>HYPERLINK("https://www.dasschnelle.at/sentimento-taufkirchen-an-der-pram-schärdinger-straße","Website")</f>
        <v>Website</v>
      </c>
      <c r="C3983" t="str">
        <f>HYPERLINK("http://www.sentimento.at","Website")</f>
        <v>Website</v>
      </c>
      <c r="D3983" t="str">
        <f>HYPERLINK("http://www.google.com/maps/place/48.41064,13.53626","Location")</f>
        <v>Location</v>
      </c>
      <c r="E3983" t="s">
        <v>34357</v>
      </c>
      <c r="F3983" t="s">
        <v>34358</v>
      </c>
      <c r="G3983" t="s">
        <v>13097</v>
      </c>
      <c r="H3983" t="s">
        <v>13098</v>
      </c>
      <c r="I3983" t="s">
        <v>85</v>
      </c>
      <c r="J3983" t="s">
        <v>22</v>
      </c>
      <c r="K3983" t="s">
        <v>34359</v>
      </c>
      <c r="L3983" t="s">
        <v>34362</v>
      </c>
      <c r="M3983" t="s">
        <v>25</v>
      </c>
      <c r="N3983" t="s">
        <v>34363</v>
      </c>
      <c r="O3983" t="s">
        <v>25</v>
      </c>
      <c r="P3983" t="s">
        <v>34364</v>
      </c>
      <c r="Q3983" t="s">
        <v>29</v>
      </c>
      <c r="R3983" t="s">
        <v>34360</v>
      </c>
      <c r="S3983" t="s">
        <v>34361</v>
      </c>
    </row>
    <row r="3984" spans="1:19" x14ac:dyDescent="0.25">
      <c r="A3984" s="1">
        <v>3982</v>
      </c>
      <c r="B3984" t="str">
        <f>HYPERLINK("https://www.dasschnelle.at/schöller-manfred-zwettl-landstraße","Website")</f>
        <v>Website</v>
      </c>
      <c r="C3984" t="str">
        <f>HYPERLINK("http://www.dan-zwettl.at","Website")</f>
        <v>Website</v>
      </c>
      <c r="D3984" t="str">
        <f>HYPERLINK("http://www.google.com/maps/place/48.60571,15.16614","Location")</f>
        <v>Location</v>
      </c>
      <c r="E3984" t="s">
        <v>34365</v>
      </c>
      <c r="F3984" t="s">
        <v>34366</v>
      </c>
      <c r="G3984" t="s">
        <v>10518</v>
      </c>
      <c r="H3984" t="s">
        <v>10791</v>
      </c>
      <c r="I3984" t="s">
        <v>177</v>
      </c>
      <c r="J3984" t="s">
        <v>22</v>
      </c>
      <c r="K3984" t="s">
        <v>34367</v>
      </c>
      <c r="L3984" t="s">
        <v>34370</v>
      </c>
      <c r="M3984" t="s">
        <v>34371</v>
      </c>
      <c r="N3984" t="s">
        <v>34372</v>
      </c>
      <c r="O3984" t="s">
        <v>25</v>
      </c>
      <c r="P3984" t="s">
        <v>34373</v>
      </c>
      <c r="Q3984" t="s">
        <v>29</v>
      </c>
      <c r="R3984" t="s">
        <v>34368</v>
      </c>
      <c r="S3984" t="s">
        <v>34369</v>
      </c>
    </row>
    <row r="3985" spans="1:19" x14ac:dyDescent="0.25">
      <c r="A3985" s="1">
        <v>3983</v>
      </c>
      <c r="B3985" t="str">
        <f>HYPERLINK("https://www.dasschnelle.at/hörmanseder-transporte-niederham-niederham","Website")</f>
        <v>Website</v>
      </c>
      <c r="C3985" t="str">
        <f>HYPERLINK("https://www.dasschnelle.at/h%C3%B6rmanseder-transporte-niederham-niederham","Website")</f>
        <v>Website</v>
      </c>
      <c r="D3985" t="str">
        <f>HYPERLINK("http://www.google.com/maps/place/48.3947747,13.4486677","Location")</f>
        <v>Location</v>
      </c>
      <c r="E3985" t="s">
        <v>34374</v>
      </c>
      <c r="F3985" t="s">
        <v>34375</v>
      </c>
      <c r="G3985" t="s">
        <v>10846</v>
      </c>
      <c r="H3985" t="s">
        <v>34377</v>
      </c>
      <c r="I3985" t="s">
        <v>85</v>
      </c>
      <c r="J3985" t="s">
        <v>22</v>
      </c>
      <c r="K3985" t="s">
        <v>34376</v>
      </c>
      <c r="L3985" t="s">
        <v>34380</v>
      </c>
      <c r="M3985" t="s">
        <v>25</v>
      </c>
      <c r="N3985" t="s">
        <v>34381</v>
      </c>
      <c r="O3985" t="s">
        <v>25</v>
      </c>
      <c r="P3985" t="s">
        <v>34382</v>
      </c>
      <c r="Q3985" t="s">
        <v>29</v>
      </c>
      <c r="R3985" t="s">
        <v>34378</v>
      </c>
      <c r="S3985" t="s">
        <v>34379</v>
      </c>
    </row>
    <row r="3986" spans="1:19" x14ac:dyDescent="0.25">
      <c r="A3986" s="1">
        <v>3984</v>
      </c>
      <c r="B3986" t="str">
        <f>HYPERLINK("https://www.dasschnelle.at/tischlerei-edtmayer-gmbh-innerschwand-wangau","Website")</f>
        <v>Website</v>
      </c>
      <c r="C3986" t="str">
        <f>HYPERLINK("http://www.tischlerei-edtmayer.at","Website")</f>
        <v>Website</v>
      </c>
      <c r="D3986" t="str">
        <f>HYPERLINK("http://www.google.com/maps/place/47.82947,13.40459","Location")</f>
        <v>Location</v>
      </c>
      <c r="E3986" t="s">
        <v>34383</v>
      </c>
      <c r="F3986" t="s">
        <v>34384</v>
      </c>
      <c r="G3986" t="s">
        <v>26711</v>
      </c>
      <c r="H3986" t="s">
        <v>26712</v>
      </c>
      <c r="I3986" t="s">
        <v>85</v>
      </c>
      <c r="J3986" t="s">
        <v>22</v>
      </c>
      <c r="K3986" t="s">
        <v>34385</v>
      </c>
      <c r="L3986" t="s">
        <v>34388</v>
      </c>
      <c r="M3986" t="s">
        <v>25</v>
      </c>
      <c r="N3986" t="s">
        <v>34389</v>
      </c>
      <c r="O3986" t="s">
        <v>34390</v>
      </c>
      <c r="P3986" t="s">
        <v>34391</v>
      </c>
      <c r="Q3986" t="s">
        <v>29</v>
      </c>
      <c r="R3986" t="s">
        <v>34386</v>
      </c>
      <c r="S3986" t="s">
        <v>34387</v>
      </c>
    </row>
    <row r="3987" spans="1:19" x14ac:dyDescent="0.25">
      <c r="A3987" s="1">
        <v>3985</v>
      </c>
      <c r="B3987" t="str">
        <f>HYPERLINK("https://www.dasschnelle.at/rainer-alexander-dr-zwettl-landstraße","Website")</f>
        <v>Website</v>
      </c>
      <c r="C3987" t="str">
        <f>HYPERLINK("http://www.diagnose-zentrum-rainer.at","Website")</f>
        <v>Website</v>
      </c>
      <c r="D3987" t="str">
        <f>HYPERLINK("http://www.google.com/maps/place/48.60603,15.16521","Location")</f>
        <v>Location</v>
      </c>
      <c r="E3987" t="s">
        <v>34392</v>
      </c>
      <c r="F3987" t="s">
        <v>34393</v>
      </c>
      <c r="G3987" t="s">
        <v>10518</v>
      </c>
      <c r="H3987" t="s">
        <v>10791</v>
      </c>
      <c r="I3987" t="s">
        <v>177</v>
      </c>
      <c r="J3987" t="s">
        <v>22</v>
      </c>
      <c r="K3987" t="s">
        <v>34394</v>
      </c>
      <c r="L3987" t="s">
        <v>34397</v>
      </c>
      <c r="M3987" t="s">
        <v>25</v>
      </c>
      <c r="N3987" t="s">
        <v>34398</v>
      </c>
      <c r="O3987" t="s">
        <v>25</v>
      </c>
      <c r="P3987" t="s">
        <v>34399</v>
      </c>
      <c r="Q3987" t="s">
        <v>29</v>
      </c>
      <c r="R3987" t="s">
        <v>34395</v>
      </c>
      <c r="S3987" t="s">
        <v>34396</v>
      </c>
    </row>
    <row r="3988" spans="1:19" x14ac:dyDescent="0.25">
      <c r="A3988" s="1">
        <v>3986</v>
      </c>
      <c r="B3988" t="str">
        <f>HYPERLINK("https://www.dasschnelle.at/karl-heinz-hörbst-karl-heinz-apfoltern-apfoltern","Website")</f>
        <v>Website</v>
      </c>
      <c r="C3988" t="str">
        <f>HYPERLINK("https://www.dasschnelle.at/karl-heinz-h%C3%B6rbst-karl-heinz-apfoltern-apfoltern","Website")</f>
        <v>Website</v>
      </c>
      <c r="D3988" t="str">
        <f>HYPERLINK("http://www.google.com/maps/place/48.5454734,14.4847914","Location")</f>
        <v>Location</v>
      </c>
      <c r="E3988" t="s">
        <v>34400</v>
      </c>
      <c r="F3988" t="s">
        <v>34401</v>
      </c>
      <c r="G3988" t="s">
        <v>10800</v>
      </c>
      <c r="H3988" t="s">
        <v>34230</v>
      </c>
      <c r="I3988" t="s">
        <v>85</v>
      </c>
      <c r="J3988" t="s">
        <v>22</v>
      </c>
      <c r="K3988" t="s">
        <v>34402</v>
      </c>
      <c r="L3988" t="s">
        <v>34405</v>
      </c>
      <c r="M3988" t="s">
        <v>25</v>
      </c>
      <c r="N3988" t="s">
        <v>34406</v>
      </c>
      <c r="O3988" t="s">
        <v>25</v>
      </c>
      <c r="P3988" t="s">
        <v>34407</v>
      </c>
      <c r="Q3988" t="s">
        <v>29</v>
      </c>
      <c r="R3988" t="s">
        <v>34403</v>
      </c>
      <c r="S3988" t="s">
        <v>34404</v>
      </c>
    </row>
    <row r="3989" spans="1:19" x14ac:dyDescent="0.25">
      <c r="A3989" s="1">
        <v>3987</v>
      </c>
      <c r="B3989" t="str">
        <f>HYPERLINK("https://www.dasschnelle.at/veit-otmar-gmbh-straß-in-steiermark-sankt-veiter-straße","Website")</f>
        <v>Website</v>
      </c>
      <c r="C3989" t="str">
        <f>HYPERLINK("https://www.dasschnelle.at/veit-otmar-gmbh-stra%C3%9F-in-steiermark-sankt-veiter-stra%C3%9Fe","Website")</f>
        <v>Website</v>
      </c>
      <c r="D3989" t="str">
        <f>HYPERLINK("http://www.google.com/maps/place/46.73367,15.62239","Location")</f>
        <v>Location</v>
      </c>
      <c r="E3989" t="s">
        <v>34408</v>
      </c>
      <c r="F3989" t="s">
        <v>34409</v>
      </c>
      <c r="G3989" t="s">
        <v>25216</v>
      </c>
      <c r="H3989" t="s">
        <v>25217</v>
      </c>
      <c r="I3989" t="s">
        <v>451</v>
      </c>
      <c r="J3989" t="s">
        <v>22</v>
      </c>
      <c r="K3989" t="s">
        <v>34410</v>
      </c>
      <c r="L3989" t="s">
        <v>34413</v>
      </c>
      <c r="M3989" t="s">
        <v>25</v>
      </c>
      <c r="N3989" t="s">
        <v>34414</v>
      </c>
      <c r="O3989" t="s">
        <v>25</v>
      </c>
      <c r="P3989" t="s">
        <v>34415</v>
      </c>
      <c r="Q3989" t="s">
        <v>29</v>
      </c>
      <c r="R3989" t="s">
        <v>34411</v>
      </c>
      <c r="S3989" t="s">
        <v>34412</v>
      </c>
    </row>
    <row r="3990" spans="1:19" x14ac:dyDescent="0.25">
      <c r="A3990" s="1">
        <v>3988</v>
      </c>
      <c r="B3990" t="str">
        <f>HYPERLINK("https://www.dasschnelle.at/autohaus-klingler-gmbh-straß-in-steiermark-bundesstraße","Website")</f>
        <v>Website</v>
      </c>
      <c r="C3990" t="str">
        <f>HYPERLINK("http://www.autohausklingler.at","Website")</f>
        <v>Website</v>
      </c>
      <c r="D3990" t="str">
        <f>HYPERLINK("http://www.google.com/maps/place/46.7083110,15.6342970","Location")</f>
        <v>Location</v>
      </c>
      <c r="E3990" t="s">
        <v>34416</v>
      </c>
      <c r="F3990" t="s">
        <v>34417</v>
      </c>
      <c r="G3990" t="s">
        <v>25216</v>
      </c>
      <c r="H3990" t="s">
        <v>25217</v>
      </c>
      <c r="I3990" t="s">
        <v>451</v>
      </c>
      <c r="J3990" t="s">
        <v>22</v>
      </c>
      <c r="K3990" t="s">
        <v>25215</v>
      </c>
      <c r="L3990" t="s">
        <v>25220</v>
      </c>
      <c r="M3990" t="s">
        <v>25</v>
      </c>
      <c r="N3990" t="s">
        <v>25221</v>
      </c>
      <c r="O3990" t="s">
        <v>25</v>
      </c>
      <c r="P3990" t="s">
        <v>34418</v>
      </c>
      <c r="Q3990" t="s">
        <v>29</v>
      </c>
      <c r="R3990" t="s">
        <v>25218</v>
      </c>
      <c r="S3990" t="s">
        <v>25219</v>
      </c>
    </row>
    <row r="3991" spans="1:19" x14ac:dyDescent="0.25">
      <c r="A3991" s="1">
        <v>3989</v>
      </c>
      <c r="B3991" t="str">
        <f>HYPERLINK("https://www.dasschnelle.at/rpw-riedl-und-pircher-steuerberatungs-gmbh-korneuburg-sudetendeutschestraße","Website")</f>
        <v>Website</v>
      </c>
      <c r="C3991" t="str">
        <f>HYPERLINK("http://www.rpw.at","Website")</f>
        <v>Website</v>
      </c>
      <c r="D3991" t="str">
        <f>HYPERLINK("http://www.google.com/maps/place/48.34015,16.34083","Location")</f>
        <v>Location</v>
      </c>
      <c r="E3991" t="s">
        <v>34419</v>
      </c>
      <c r="F3991" t="s">
        <v>34420</v>
      </c>
      <c r="G3991" t="s">
        <v>440</v>
      </c>
      <c r="H3991" t="s">
        <v>441</v>
      </c>
      <c r="I3991" t="s">
        <v>177</v>
      </c>
      <c r="J3991" t="s">
        <v>22</v>
      </c>
      <c r="K3991" t="s">
        <v>34421</v>
      </c>
      <c r="L3991" t="s">
        <v>34424</v>
      </c>
      <c r="M3991" t="s">
        <v>25</v>
      </c>
      <c r="N3991" t="s">
        <v>34425</v>
      </c>
      <c r="O3991" t="s">
        <v>25</v>
      </c>
      <c r="P3991" t="s">
        <v>34426</v>
      </c>
      <c r="Q3991" t="s">
        <v>29</v>
      </c>
      <c r="R3991" t="s">
        <v>34422</v>
      </c>
      <c r="S3991" t="s">
        <v>34423</v>
      </c>
    </row>
    <row r="3992" spans="1:19" x14ac:dyDescent="0.25">
      <c r="A3992" s="1">
        <v>3990</v>
      </c>
      <c r="B3992" t="str">
        <f>HYPERLINK("https://www.dasschnelle.at/univ-doz-dr-stephan-grampp-und-univ-doz-dr-henk-gruppenpraxis-stockerau-lenaustraße","Website")</f>
        <v>Website</v>
      </c>
      <c r="C3992" t="str">
        <f>HYPERLINK("http://www.roentgen-stockerau.at","Website")</f>
        <v>Website</v>
      </c>
      <c r="D3992" t="str">
        <f>HYPERLINK("http://www.google.com/maps/place/48.3864700,16.2018500","Location")</f>
        <v>Location</v>
      </c>
      <c r="E3992" t="s">
        <v>34427</v>
      </c>
      <c r="F3992" t="s">
        <v>34428</v>
      </c>
      <c r="G3992" t="s">
        <v>13026</v>
      </c>
      <c r="H3992" t="s">
        <v>13027</v>
      </c>
      <c r="I3992" t="s">
        <v>177</v>
      </c>
      <c r="J3992" t="s">
        <v>22</v>
      </c>
      <c r="K3992" t="s">
        <v>34429</v>
      </c>
      <c r="L3992" t="s">
        <v>34432</v>
      </c>
      <c r="M3992" t="s">
        <v>25</v>
      </c>
      <c r="N3992" t="s">
        <v>34433</v>
      </c>
      <c r="O3992" t="s">
        <v>25</v>
      </c>
      <c r="P3992" t="s">
        <v>34434</v>
      </c>
      <c r="Q3992" t="s">
        <v>29</v>
      </c>
      <c r="R3992" t="s">
        <v>34430</v>
      </c>
      <c r="S3992" t="s">
        <v>34431</v>
      </c>
    </row>
    <row r="3993" spans="1:19" x14ac:dyDescent="0.25">
      <c r="A3993" s="1">
        <v>3991</v>
      </c>
      <c r="B3993" t="str">
        <f>HYPERLINK("https://www.dasschnelle.at/ehc-wirtschaftstreuhand-gesmbh-stockerau-schulgasse","Website")</f>
        <v>Website</v>
      </c>
      <c r="C3993" t="str">
        <f>HYPERLINK("http://www.ehc-wt.com","Website")</f>
        <v>Website</v>
      </c>
      <c r="D3993" t="str">
        <f>HYPERLINK("http://www.google.com/maps/place/48.38668,16.21072","Location")</f>
        <v>Location</v>
      </c>
      <c r="E3993" t="s">
        <v>34435</v>
      </c>
      <c r="F3993" t="s">
        <v>34436</v>
      </c>
      <c r="G3993" t="s">
        <v>13026</v>
      </c>
      <c r="H3993" t="s">
        <v>13027</v>
      </c>
      <c r="I3993" t="s">
        <v>177</v>
      </c>
      <c r="J3993" t="s">
        <v>22</v>
      </c>
      <c r="K3993" t="s">
        <v>25700</v>
      </c>
      <c r="L3993" t="s">
        <v>34437</v>
      </c>
      <c r="M3993" t="s">
        <v>25</v>
      </c>
      <c r="N3993" t="s">
        <v>25704</v>
      </c>
      <c r="O3993" t="s">
        <v>25</v>
      </c>
      <c r="P3993" t="s">
        <v>34438</v>
      </c>
      <c r="Q3993" t="s">
        <v>29</v>
      </c>
      <c r="R3993" t="s">
        <v>25701</v>
      </c>
      <c r="S3993" t="s">
        <v>25702</v>
      </c>
    </row>
    <row r="3994" spans="1:19" x14ac:dyDescent="0.25">
      <c r="A3994" s="1">
        <v>3992</v>
      </c>
      <c r="B3994" t="str">
        <f>HYPERLINK("https://www.dasschnelle.at/dr-dieter-preindl-biber-gmünd-stadtplatz","Website")</f>
        <v>Website</v>
      </c>
      <c r="C3994" t="str">
        <f>HYPERLINK("https://www.dasschnelle.at/dr-dieter-preindl-biber-gm%C3%BCnd-stadtplatz","Website")</f>
        <v>Website</v>
      </c>
      <c r="D3994" t="str">
        <f>HYPERLINK("http://www.google.com/maps/place/48.77264,14.98447","Location")</f>
        <v>Location</v>
      </c>
      <c r="E3994" t="s">
        <v>34439</v>
      </c>
      <c r="F3994" t="s">
        <v>34440</v>
      </c>
      <c r="G3994" t="s">
        <v>13116</v>
      </c>
      <c r="H3994" t="s">
        <v>13117</v>
      </c>
      <c r="I3994" t="s">
        <v>177</v>
      </c>
      <c r="J3994" t="s">
        <v>22</v>
      </c>
      <c r="K3994" t="s">
        <v>27136</v>
      </c>
      <c r="L3994" t="s">
        <v>27139</v>
      </c>
      <c r="M3994" t="s">
        <v>25</v>
      </c>
      <c r="N3994" t="s">
        <v>27140</v>
      </c>
      <c r="O3994" t="s">
        <v>25</v>
      </c>
      <c r="P3994" t="s">
        <v>34441</v>
      </c>
      <c r="Q3994" t="s">
        <v>29</v>
      </c>
      <c r="R3994" t="s">
        <v>27137</v>
      </c>
      <c r="S3994" t="s">
        <v>27138</v>
      </c>
    </row>
    <row r="3995" spans="1:19" x14ac:dyDescent="0.25">
      <c r="A3995" s="1">
        <v>3993</v>
      </c>
      <c r="B3995" t="str">
        <f>HYPERLINK("https://www.dasschnelle.at/bäuml-wolfgang-dr-korneuburg-hauptplatz","Website")</f>
        <v>Website</v>
      </c>
      <c r="C3995" t="str">
        <f>HYPERLINK("http://www.notariat-baeuml.at","Website")</f>
        <v>Website</v>
      </c>
      <c r="D3995" t="str">
        <f>HYPERLINK("http://www.google.com/maps/place/48.34383,16.3338","Location")</f>
        <v>Location</v>
      </c>
      <c r="E3995" t="s">
        <v>34442</v>
      </c>
      <c r="F3995" t="s">
        <v>34443</v>
      </c>
      <c r="G3995" t="s">
        <v>440</v>
      </c>
      <c r="H3995" t="s">
        <v>441</v>
      </c>
      <c r="I3995" t="s">
        <v>177</v>
      </c>
      <c r="J3995" t="s">
        <v>22</v>
      </c>
      <c r="K3995" t="s">
        <v>34444</v>
      </c>
      <c r="L3995" t="s">
        <v>34447</v>
      </c>
      <c r="M3995" t="s">
        <v>34448</v>
      </c>
      <c r="N3995" t="s">
        <v>34449</v>
      </c>
      <c r="O3995" t="s">
        <v>25</v>
      </c>
      <c r="P3995" t="s">
        <v>34450</v>
      </c>
      <c r="Q3995" t="s">
        <v>29</v>
      </c>
      <c r="R3995" t="s">
        <v>34445</v>
      </c>
      <c r="S3995" t="s">
        <v>34446</v>
      </c>
    </row>
    <row r="3996" spans="1:19" x14ac:dyDescent="0.25">
      <c r="A3996" s="1">
        <v>3994</v>
      </c>
      <c r="B3996" t="str">
        <f>HYPERLINK("https://www.dasschnelle.at/scherrerbauer-haustechnik-gmbh-brunnenthal-passauer-straße","Website")</f>
        <v>Website</v>
      </c>
      <c r="C3996" t="str">
        <f>HYPERLINK("http://www.haustechnik-schaerding.at","Website")</f>
        <v>Website</v>
      </c>
      <c r="D3996" t="str">
        <f>HYPERLINK("http://www.google.com/maps/place/48.47096,13.44571","Location")</f>
        <v>Location</v>
      </c>
      <c r="E3996" t="s">
        <v>34451</v>
      </c>
      <c r="F3996" t="s">
        <v>34452</v>
      </c>
      <c r="G3996" t="s">
        <v>24318</v>
      </c>
      <c r="H3996" t="s">
        <v>24319</v>
      </c>
      <c r="I3996" t="s">
        <v>85</v>
      </c>
      <c r="J3996" t="s">
        <v>22</v>
      </c>
      <c r="K3996" t="s">
        <v>34453</v>
      </c>
      <c r="L3996" t="s">
        <v>34456</v>
      </c>
      <c r="M3996" t="s">
        <v>25</v>
      </c>
      <c r="N3996" t="s">
        <v>34457</v>
      </c>
      <c r="O3996" t="s">
        <v>25</v>
      </c>
      <c r="P3996" t="s">
        <v>34458</v>
      </c>
      <c r="Q3996" t="s">
        <v>29</v>
      </c>
      <c r="R3996" t="s">
        <v>34454</v>
      </c>
      <c r="S3996" t="s">
        <v>34455</v>
      </c>
    </row>
    <row r="3997" spans="1:19" x14ac:dyDescent="0.25">
      <c r="A3997" s="1">
        <v>3995</v>
      </c>
      <c r="B3997" t="str">
        <f>HYPERLINK("https://www.dasschnelle.at/elektro-haas-gmbh-brunnenthal-lindenweg","Website")</f>
        <v>Website</v>
      </c>
      <c r="C3997" t="str">
        <f>HYPERLINK("http://www.ep-haas.at","Website")</f>
        <v>Website</v>
      </c>
      <c r="D3997" t="str">
        <f>HYPERLINK("http://www.google.com/maps/place/48.47466,13.45133","Location")</f>
        <v>Location</v>
      </c>
      <c r="E3997" t="s">
        <v>34459</v>
      </c>
      <c r="F3997" t="s">
        <v>34460</v>
      </c>
      <c r="G3997" t="s">
        <v>24318</v>
      </c>
      <c r="H3997" t="s">
        <v>24319</v>
      </c>
      <c r="I3997" t="s">
        <v>85</v>
      </c>
      <c r="J3997" t="s">
        <v>22</v>
      </c>
      <c r="K3997" t="s">
        <v>34461</v>
      </c>
      <c r="L3997" t="s">
        <v>34464</v>
      </c>
      <c r="M3997" t="s">
        <v>25</v>
      </c>
      <c r="N3997" t="s">
        <v>34465</v>
      </c>
      <c r="O3997" t="s">
        <v>25</v>
      </c>
      <c r="P3997" t="s">
        <v>34466</v>
      </c>
      <c r="Q3997" t="s">
        <v>29</v>
      </c>
      <c r="R3997" t="s">
        <v>34462</v>
      </c>
      <c r="S3997" t="s">
        <v>34463</v>
      </c>
    </row>
    <row r="3998" spans="1:19" x14ac:dyDescent="0.25">
      <c r="A3998" s="1">
        <v>3996</v>
      </c>
      <c r="B3998" t="str">
        <f>HYPERLINK("https://www.dasschnelle.at/habertl-elektrotechnik-gmbh-taufkirchen-an-der-pram-leoprechting","Website")</f>
        <v>Website</v>
      </c>
      <c r="C3998" t="str">
        <f>HYPERLINK("http://www.elektrotechnik-haberl.at","Website")</f>
        <v>Website</v>
      </c>
      <c r="D3998" t="str">
        <f>HYPERLINK("http://www.google.com/maps/place/48.40775,13.55052","Location")</f>
        <v>Location</v>
      </c>
      <c r="E3998" t="s">
        <v>34467</v>
      </c>
      <c r="F3998" t="s">
        <v>34468</v>
      </c>
      <c r="G3998" t="s">
        <v>13097</v>
      </c>
      <c r="H3998" t="s">
        <v>13098</v>
      </c>
      <c r="I3998" t="s">
        <v>85</v>
      </c>
      <c r="J3998" t="s">
        <v>22</v>
      </c>
      <c r="K3998" t="s">
        <v>34469</v>
      </c>
      <c r="L3998" t="s">
        <v>34472</v>
      </c>
      <c r="M3998" t="s">
        <v>25</v>
      </c>
      <c r="N3998" t="s">
        <v>34473</v>
      </c>
      <c r="O3998" t="s">
        <v>25</v>
      </c>
      <c r="P3998" t="s">
        <v>34474</v>
      </c>
      <c r="Q3998" t="s">
        <v>29</v>
      </c>
      <c r="R3998" t="s">
        <v>34470</v>
      </c>
      <c r="S3998" t="s">
        <v>34471</v>
      </c>
    </row>
    <row r="3999" spans="1:19" x14ac:dyDescent="0.25">
      <c r="A3999" s="1">
        <v>3997</v>
      </c>
      <c r="B3999" t="str">
        <f>HYPERLINK("https://www.dasschnelle.at/schiller-ges-m-b-h-grafenschlag-grafenschlag","Website")</f>
        <v>Website</v>
      </c>
      <c r="C3999" t="str">
        <f>HYPERLINK("http://www.schiller-bau.at","Website")</f>
        <v>Website</v>
      </c>
      <c r="D3999" t="str">
        <f>HYPERLINK("http://www.google.com/maps/place/48.5001711,15.1720266","Location")</f>
        <v>Location</v>
      </c>
      <c r="E3999" t="s">
        <v>34475</v>
      </c>
      <c r="F3999" t="s">
        <v>34476</v>
      </c>
      <c r="G3999" t="s">
        <v>11213</v>
      </c>
      <c r="H3999" t="s">
        <v>11214</v>
      </c>
      <c r="I3999" t="s">
        <v>177</v>
      </c>
      <c r="J3999" t="s">
        <v>22</v>
      </c>
      <c r="K3999" t="s">
        <v>34477</v>
      </c>
      <c r="L3999" t="s">
        <v>34480</v>
      </c>
      <c r="M3999" t="s">
        <v>25</v>
      </c>
      <c r="N3999" t="s">
        <v>34481</v>
      </c>
      <c r="O3999" t="s">
        <v>25</v>
      </c>
      <c r="P3999" t="s">
        <v>34482</v>
      </c>
      <c r="Q3999" t="s">
        <v>29</v>
      </c>
      <c r="R3999" t="s">
        <v>34478</v>
      </c>
      <c r="S3999" t="s">
        <v>34479</v>
      </c>
    </row>
    <row r="4000" spans="1:19" x14ac:dyDescent="0.25">
      <c r="A4000" s="1">
        <v>3998</v>
      </c>
      <c r="B4000" t="str">
        <f>HYPERLINK("https://www.dasschnelle.at/bestattung-allentsteig-walter-irschik-allentsteig-hauptstraße","Website")</f>
        <v>Website</v>
      </c>
      <c r="C4000" t="str">
        <f>HYPERLINK("http://www.bestattung-allentsteig.at","Website")</f>
        <v>Website</v>
      </c>
      <c r="D4000" t="str">
        <f>HYPERLINK("http://www.google.com/maps/place/48.69568,15.32815","Location")</f>
        <v>Location</v>
      </c>
      <c r="E4000" t="s">
        <v>34483</v>
      </c>
      <c r="F4000" t="s">
        <v>34484</v>
      </c>
      <c r="G4000" t="s">
        <v>34486</v>
      </c>
      <c r="H4000" t="s">
        <v>34487</v>
      </c>
      <c r="I4000" t="s">
        <v>177</v>
      </c>
      <c r="J4000" t="s">
        <v>22</v>
      </c>
      <c r="K4000" t="s">
        <v>34485</v>
      </c>
      <c r="L4000" t="s">
        <v>34490</v>
      </c>
      <c r="M4000" t="s">
        <v>25</v>
      </c>
      <c r="N4000" t="s">
        <v>34491</v>
      </c>
      <c r="O4000" t="s">
        <v>25</v>
      </c>
      <c r="P4000" t="s">
        <v>34492</v>
      </c>
      <c r="Q4000" t="s">
        <v>29</v>
      </c>
      <c r="R4000" t="s">
        <v>34488</v>
      </c>
      <c r="S4000" t="s">
        <v>34489</v>
      </c>
    </row>
    <row r="4001" spans="1:19" x14ac:dyDescent="0.25">
      <c r="A4001" s="1">
        <v>3999</v>
      </c>
      <c r="B4001" t="str">
        <f>HYPERLINK("https://www.dasschnelle.at/giendl-gesmbh-korneuburg-wiener-straße","Website")</f>
        <v>Website</v>
      </c>
      <c r="C4001" t="str">
        <f>HYPERLINK("http://www.orthopaedie-giendl.at","Website")</f>
        <v>Website</v>
      </c>
      <c r="D4001" t="str">
        <f>HYPERLINK("http://www.google.com/maps/place/48.34243,16.3345","Location")</f>
        <v>Location</v>
      </c>
      <c r="E4001" t="s">
        <v>34493</v>
      </c>
      <c r="F4001" t="s">
        <v>34494</v>
      </c>
      <c r="G4001" t="s">
        <v>440</v>
      </c>
      <c r="H4001" t="s">
        <v>441</v>
      </c>
      <c r="I4001" t="s">
        <v>177</v>
      </c>
      <c r="J4001" t="s">
        <v>22</v>
      </c>
      <c r="K4001" t="s">
        <v>34495</v>
      </c>
      <c r="L4001" t="s">
        <v>34498</v>
      </c>
      <c r="M4001" t="s">
        <v>25</v>
      </c>
      <c r="N4001" t="s">
        <v>34499</v>
      </c>
      <c r="O4001" t="s">
        <v>25</v>
      </c>
      <c r="P4001" t="s">
        <v>34500</v>
      </c>
      <c r="Q4001" t="s">
        <v>29</v>
      </c>
      <c r="R4001" t="s">
        <v>34496</v>
      </c>
      <c r="S4001" t="s">
        <v>34497</v>
      </c>
    </row>
    <row r="4002" spans="1:19" x14ac:dyDescent="0.25">
      <c r="A4002" s="1">
        <v>4000</v>
      </c>
      <c r="B4002" t="str">
        <f>HYPERLINK("https://www.dasschnelle.at/bayer-glasverarbeitungs-und-handelsgesmbh-langenzersdorf-pappelstraße","Website")</f>
        <v>Website</v>
      </c>
      <c r="C4002" t="str">
        <f>HYPERLINK("http://www.bayer-glas.at","Website")</f>
        <v>Website</v>
      </c>
      <c r="D4002" t="str">
        <f>HYPERLINK("http://www.google.com/maps/place/48.2844923,16.364723","Location")</f>
        <v>Location</v>
      </c>
      <c r="E4002" t="s">
        <v>34501</v>
      </c>
      <c r="F4002" t="s">
        <v>34502</v>
      </c>
      <c r="G4002" t="s">
        <v>13262</v>
      </c>
      <c r="H4002" t="s">
        <v>13263</v>
      </c>
      <c r="I4002" t="s">
        <v>177</v>
      </c>
      <c r="J4002" t="s">
        <v>22</v>
      </c>
      <c r="K4002" t="s">
        <v>34503</v>
      </c>
      <c r="L4002" t="s">
        <v>34506</v>
      </c>
      <c r="M4002" t="s">
        <v>25</v>
      </c>
      <c r="N4002" t="s">
        <v>34507</v>
      </c>
      <c r="O4002" t="s">
        <v>34508</v>
      </c>
      <c r="P4002" t="s">
        <v>34509</v>
      </c>
      <c r="Q4002" t="s">
        <v>29</v>
      </c>
      <c r="R4002" t="s">
        <v>34504</v>
      </c>
      <c r="S4002" t="s">
        <v>34505</v>
      </c>
    </row>
    <row r="4003" spans="1:19" x14ac:dyDescent="0.25">
      <c r="A4003" s="1">
        <v>4001</v>
      </c>
      <c r="B4003" t="str">
        <f>HYPERLINK("https://www.dasschnelle.at/johann-schneeberger-gmbh-pernitsch-pernitsch","Website")</f>
        <v>Website</v>
      </c>
      <c r="C4003" t="str">
        <f>HYPERLINK("http://www.weingut-schneeberger.at","Website")</f>
        <v>Website</v>
      </c>
      <c r="D4003" t="str">
        <f>HYPERLINK("http://www.google.com/maps/place/46.7794600,15.4874900","Location")</f>
        <v>Location</v>
      </c>
      <c r="E4003" t="s">
        <v>34510</v>
      </c>
      <c r="F4003" t="s">
        <v>34511</v>
      </c>
      <c r="G4003" t="s">
        <v>25847</v>
      </c>
      <c r="H4003" t="s">
        <v>25848</v>
      </c>
      <c r="I4003" t="s">
        <v>451</v>
      </c>
      <c r="J4003" t="s">
        <v>22</v>
      </c>
      <c r="K4003" t="s">
        <v>25846</v>
      </c>
      <c r="L4003" t="s">
        <v>25851</v>
      </c>
      <c r="M4003" t="s">
        <v>25</v>
      </c>
      <c r="N4003" t="s">
        <v>25852</v>
      </c>
      <c r="O4003" t="s">
        <v>25</v>
      </c>
      <c r="P4003" t="s">
        <v>34512</v>
      </c>
      <c r="Q4003" t="s">
        <v>29</v>
      </c>
      <c r="R4003" t="s">
        <v>25849</v>
      </c>
      <c r="S4003" t="s">
        <v>25850</v>
      </c>
    </row>
    <row r="4004" spans="1:19" x14ac:dyDescent="0.25">
      <c r="A4004" s="1">
        <v>4002</v>
      </c>
      <c r="B4004" t="str">
        <f>HYPERLINK("https://www.dasschnelle.at/dingsleder-peter-tillmitsch-gemeindestraße","Website")</f>
        <v>Website</v>
      </c>
      <c r="C4004" t="str">
        <f>HYPERLINK("http://www.dingsleder.at","Website")</f>
        <v>Website</v>
      </c>
      <c r="D4004" t="str">
        <f>HYPERLINK("http://www.google.com/maps/place/46.81294,15.52299","Location")</f>
        <v>Location</v>
      </c>
      <c r="E4004" t="s">
        <v>34513</v>
      </c>
      <c r="F4004" t="s">
        <v>34514</v>
      </c>
      <c r="G4004" t="s">
        <v>1003</v>
      </c>
      <c r="H4004" t="s">
        <v>1004</v>
      </c>
      <c r="I4004" t="s">
        <v>451</v>
      </c>
      <c r="J4004" t="s">
        <v>22</v>
      </c>
      <c r="K4004" t="s">
        <v>34515</v>
      </c>
      <c r="L4004" t="s">
        <v>34518</v>
      </c>
      <c r="M4004" t="s">
        <v>25</v>
      </c>
      <c r="N4004" t="s">
        <v>34519</v>
      </c>
      <c r="O4004" t="s">
        <v>25</v>
      </c>
      <c r="P4004" t="s">
        <v>34520</v>
      </c>
      <c r="Q4004" t="s">
        <v>29</v>
      </c>
      <c r="R4004" t="s">
        <v>34516</v>
      </c>
      <c r="S4004" t="s">
        <v>34517</v>
      </c>
    </row>
    <row r="4005" spans="1:19" x14ac:dyDescent="0.25">
      <c r="A4005" s="1">
        <v>4003</v>
      </c>
      <c r="B4005" t="str">
        <f>HYPERLINK("https://www.dasschnelle.at/held-jennifer-mattelsberg-mattelsberg","Website")</f>
        <v>Website</v>
      </c>
      <c r="C4005" t="str">
        <f>HYPERLINK("http://www.blumen-held.at","Website")</f>
        <v>Website</v>
      </c>
      <c r="D4005" t="str">
        <f>HYPERLINK("http://www.google.com/maps/place/46.7332216,15.4397639","Location")</f>
        <v>Location</v>
      </c>
      <c r="E4005" t="s">
        <v>34521</v>
      </c>
      <c r="F4005" t="s">
        <v>34522</v>
      </c>
      <c r="G4005" t="s">
        <v>34524</v>
      </c>
      <c r="H4005" t="s">
        <v>34525</v>
      </c>
      <c r="I4005" t="s">
        <v>451</v>
      </c>
      <c r="J4005" t="s">
        <v>22</v>
      </c>
      <c r="K4005" t="s">
        <v>34523</v>
      </c>
      <c r="L4005" t="s">
        <v>34528</v>
      </c>
      <c r="M4005" t="s">
        <v>25</v>
      </c>
      <c r="N4005" t="s">
        <v>34529</v>
      </c>
      <c r="O4005" t="s">
        <v>25</v>
      </c>
      <c r="P4005" t="s">
        <v>34530</v>
      </c>
      <c r="Q4005" t="s">
        <v>29</v>
      </c>
      <c r="R4005" t="s">
        <v>34526</v>
      </c>
      <c r="S4005" t="s">
        <v>34527</v>
      </c>
    </row>
    <row r="4006" spans="1:19" x14ac:dyDescent="0.25">
      <c r="A4006" s="1">
        <v>4004</v>
      </c>
      <c r="B4006" t="str">
        <f>HYPERLINK("https://www.dasschnelle.at/spenglerei-oberbauer-gmbh-schärding-innere-stadt-passauer-straße","Website")</f>
        <v>Website</v>
      </c>
      <c r="C4006" t="str">
        <f>HYPERLINK("https://www.dasschnelle.at/spenglerei-oberbauer-gmbh-sch%C3%A4rding-innere-stadt-passauer-stra%C3%9Fe","Website")</f>
        <v>Website</v>
      </c>
      <c r="D4006" t="str">
        <f>HYPERLINK("http://www.google.com/maps/place/48.4631700,13.4331000","Location")</f>
        <v>Location</v>
      </c>
      <c r="E4006" t="s">
        <v>34531</v>
      </c>
      <c r="F4006" t="s">
        <v>34532</v>
      </c>
      <c r="G4006" t="s">
        <v>8850</v>
      </c>
      <c r="H4006" t="s">
        <v>8859</v>
      </c>
      <c r="I4006" t="s">
        <v>85</v>
      </c>
      <c r="J4006" t="s">
        <v>22</v>
      </c>
      <c r="K4006" t="s">
        <v>34533</v>
      </c>
      <c r="L4006" t="s">
        <v>34536</v>
      </c>
      <c r="M4006" t="s">
        <v>25</v>
      </c>
      <c r="N4006" t="s">
        <v>34537</v>
      </c>
      <c r="O4006" t="s">
        <v>25</v>
      </c>
      <c r="P4006" t="s">
        <v>34538</v>
      </c>
      <c r="Q4006" t="s">
        <v>29</v>
      </c>
      <c r="R4006" t="s">
        <v>34534</v>
      </c>
      <c r="S4006" t="s">
        <v>34535</v>
      </c>
    </row>
    <row r="4007" spans="1:19" x14ac:dyDescent="0.25">
      <c r="A4007" s="1">
        <v>4005</v>
      </c>
      <c r="B4007" t="str">
        <f>HYPERLINK("https://www.dasschnelle.at/scherrer-christian-schardenberg-adalbert-stifter-weg","Website")</f>
        <v>Website</v>
      </c>
      <c r="C4007" t="str">
        <f>HYPERLINK("http://www.scherrer-lebenmitholz.at","Website")</f>
        <v>Website</v>
      </c>
      <c r="D4007" t="str">
        <f>HYPERLINK("http://www.google.com/maps/place/48.51726,13.49657","Location")</f>
        <v>Location</v>
      </c>
      <c r="E4007" t="s">
        <v>34539</v>
      </c>
      <c r="F4007" t="s">
        <v>34540</v>
      </c>
      <c r="G4007" t="s">
        <v>10951</v>
      </c>
      <c r="H4007" t="s">
        <v>10952</v>
      </c>
      <c r="I4007" t="s">
        <v>85</v>
      </c>
      <c r="J4007" t="s">
        <v>22</v>
      </c>
      <c r="K4007" t="s">
        <v>34541</v>
      </c>
      <c r="L4007" t="s">
        <v>34544</v>
      </c>
      <c r="M4007" t="s">
        <v>25</v>
      </c>
      <c r="N4007" t="s">
        <v>34545</v>
      </c>
      <c r="O4007" t="s">
        <v>25</v>
      </c>
      <c r="P4007" t="s">
        <v>34546</v>
      </c>
      <c r="Q4007" t="s">
        <v>29</v>
      </c>
      <c r="R4007" t="s">
        <v>34542</v>
      </c>
      <c r="S4007" t="s">
        <v>34543</v>
      </c>
    </row>
    <row r="4008" spans="1:19" x14ac:dyDescent="0.25">
      <c r="A4008" s="1">
        <v>4006</v>
      </c>
      <c r="B4008" t="str">
        <f>HYPERLINK("https://www.dasschnelle.at/josef-hauer-ranseredt-ranseredt","Website")</f>
        <v>Website</v>
      </c>
      <c r="C4008" t="str">
        <f>HYPERLINK("http://www.gartengestaltung-hauer.at","Website")</f>
        <v>Website</v>
      </c>
      <c r="D4008" t="str">
        <f>HYPERLINK("http://www.google.com/maps/place/48.3727743,13.5220064","Location")</f>
        <v>Location</v>
      </c>
      <c r="E4008" t="s">
        <v>34547</v>
      </c>
      <c r="F4008" t="s">
        <v>34548</v>
      </c>
      <c r="G4008" t="s">
        <v>28534</v>
      </c>
      <c r="H4008" t="s">
        <v>34550</v>
      </c>
      <c r="I4008" t="s">
        <v>85</v>
      </c>
      <c r="J4008" t="s">
        <v>22</v>
      </c>
      <c r="K4008" t="s">
        <v>34549</v>
      </c>
      <c r="L4008" t="s">
        <v>34553</v>
      </c>
      <c r="M4008" t="s">
        <v>25</v>
      </c>
      <c r="N4008" t="s">
        <v>34554</v>
      </c>
      <c r="O4008" t="s">
        <v>25</v>
      </c>
      <c r="P4008" t="s">
        <v>34555</v>
      </c>
      <c r="Q4008" t="s">
        <v>29</v>
      </c>
      <c r="R4008" t="s">
        <v>34551</v>
      </c>
      <c r="S4008" t="s">
        <v>34552</v>
      </c>
    </row>
    <row r="4009" spans="1:19" x14ac:dyDescent="0.25">
      <c r="A4009" s="1">
        <v>4007</v>
      </c>
      <c r="B4009" t="str">
        <f>HYPERLINK("https://www.dasschnelle.at/bäckerei-redl-erich-heidenreichstein-schremser-straße","Website")</f>
        <v>Website</v>
      </c>
      <c r="C4009" t="str">
        <f>HYPERLINK("https://www.dasschnelle.at/b%C3%A4ckerei-redl-erich-heidenreichstein-schremser-stra%C3%9Fe","Website")</f>
        <v>Website</v>
      </c>
      <c r="D4009" t="str">
        <f>HYPERLINK("http://www.google.com/maps/place/48.86447,15.11981","Location")</f>
        <v>Location</v>
      </c>
      <c r="E4009" t="s">
        <v>34556</v>
      </c>
      <c r="F4009" t="s">
        <v>34557</v>
      </c>
      <c r="G4009" t="s">
        <v>24771</v>
      </c>
      <c r="H4009" t="s">
        <v>24772</v>
      </c>
      <c r="I4009" t="s">
        <v>177</v>
      </c>
      <c r="J4009" t="s">
        <v>22</v>
      </c>
      <c r="K4009" t="s">
        <v>34558</v>
      </c>
      <c r="L4009" t="s">
        <v>34561</v>
      </c>
      <c r="M4009" t="s">
        <v>25</v>
      </c>
      <c r="N4009" t="s">
        <v>34562</v>
      </c>
      <c r="O4009" t="s">
        <v>25</v>
      </c>
      <c r="P4009" t="s">
        <v>34563</v>
      </c>
      <c r="Q4009" t="s">
        <v>29</v>
      </c>
      <c r="R4009" t="s">
        <v>34559</v>
      </c>
      <c r="S4009" t="s">
        <v>34560</v>
      </c>
    </row>
    <row r="4010" spans="1:19" x14ac:dyDescent="0.25">
      <c r="A4010" s="1">
        <v>4008</v>
      </c>
      <c r="B4010" t="str">
        <f>HYPERLINK("https://www.dasschnelle.at/apfelthaler-haustechnik-gesmbh-heidenreichstein-kautzener-straße","Website")</f>
        <v>Website</v>
      </c>
      <c r="C4010" t="str">
        <f>HYPERLINK("http://www.haustechnik-apfelthaler.at","Website")</f>
        <v>Website</v>
      </c>
      <c r="D4010" t="str">
        <f>HYPERLINK("http://www.google.com/maps/place/48.86928,15.1243","Location")</f>
        <v>Location</v>
      </c>
      <c r="E4010" t="s">
        <v>34564</v>
      </c>
      <c r="F4010" t="s">
        <v>34565</v>
      </c>
      <c r="G4010" t="s">
        <v>24771</v>
      </c>
      <c r="H4010" t="s">
        <v>24772</v>
      </c>
      <c r="I4010" t="s">
        <v>177</v>
      </c>
      <c r="J4010" t="s">
        <v>22</v>
      </c>
      <c r="K4010" t="s">
        <v>34566</v>
      </c>
      <c r="L4010" t="s">
        <v>34569</v>
      </c>
      <c r="M4010" t="s">
        <v>25</v>
      </c>
      <c r="N4010" t="s">
        <v>34570</v>
      </c>
      <c r="O4010" t="s">
        <v>25</v>
      </c>
      <c r="P4010" t="s">
        <v>697</v>
      </c>
      <c r="Q4010" t="s">
        <v>29</v>
      </c>
      <c r="R4010" t="s">
        <v>34567</v>
      </c>
      <c r="S4010" t="s">
        <v>34568</v>
      </c>
    </row>
    <row r="4011" spans="1:19" x14ac:dyDescent="0.25">
      <c r="A4011" s="1">
        <v>4009</v>
      </c>
      <c r="B4011" t="str">
        <f>HYPERLINK("https://www.dasschnelle.at/kremer-harald-stockerau-sparkassaplatz","Website")</f>
        <v>Website</v>
      </c>
      <c r="C4011" t="str">
        <f>HYPERLINK("http://www.tischlerei-kremer.at","Website")</f>
        <v>Website</v>
      </c>
      <c r="D4011" t="str">
        <f>HYPERLINK("http://www.google.com/maps/place/48.38556,16.21352","Location")</f>
        <v>Location</v>
      </c>
      <c r="E4011" t="s">
        <v>34571</v>
      </c>
      <c r="F4011" t="s">
        <v>34572</v>
      </c>
      <c r="G4011" t="s">
        <v>13026</v>
      </c>
      <c r="H4011" t="s">
        <v>13027</v>
      </c>
      <c r="I4011" t="s">
        <v>177</v>
      </c>
      <c r="J4011" t="s">
        <v>22</v>
      </c>
      <c r="K4011" t="s">
        <v>34573</v>
      </c>
      <c r="L4011" t="s">
        <v>34576</v>
      </c>
      <c r="M4011" t="s">
        <v>25</v>
      </c>
      <c r="N4011" t="s">
        <v>34577</v>
      </c>
      <c r="O4011" t="s">
        <v>25</v>
      </c>
      <c r="P4011" t="s">
        <v>34578</v>
      </c>
      <c r="Q4011" t="s">
        <v>29</v>
      </c>
      <c r="R4011" t="s">
        <v>34574</v>
      </c>
      <c r="S4011" t="s">
        <v>34575</v>
      </c>
    </row>
    <row r="4012" spans="1:19" x14ac:dyDescent="0.25">
      <c r="A4012" s="1">
        <v>4010</v>
      </c>
      <c r="B4012" t="str">
        <f>HYPERLINK("https://www.dasschnelle.at/kickenweitz-kg-stockerau-neubau","Website")</f>
        <v>Website</v>
      </c>
      <c r="C4012" t="str">
        <f>HYPERLINK("http://www.maler-kickenweitz.at","Website")</f>
        <v>Website</v>
      </c>
      <c r="D4012" t="str">
        <f>HYPERLINK("http://www.google.com/maps/place/48.38496,16.22614","Location")</f>
        <v>Location</v>
      </c>
      <c r="E4012" t="s">
        <v>34579</v>
      </c>
      <c r="F4012" t="s">
        <v>34580</v>
      </c>
      <c r="G4012" t="s">
        <v>13026</v>
      </c>
      <c r="H4012" t="s">
        <v>13027</v>
      </c>
      <c r="I4012" t="s">
        <v>177</v>
      </c>
      <c r="J4012" t="s">
        <v>22</v>
      </c>
      <c r="K4012" t="s">
        <v>34581</v>
      </c>
      <c r="L4012" t="s">
        <v>34584</v>
      </c>
      <c r="M4012" t="s">
        <v>25</v>
      </c>
      <c r="N4012" t="s">
        <v>34585</v>
      </c>
      <c r="O4012" t="s">
        <v>34586</v>
      </c>
      <c r="P4012" t="s">
        <v>34587</v>
      </c>
      <c r="Q4012" t="s">
        <v>29</v>
      </c>
      <c r="R4012" t="s">
        <v>34582</v>
      </c>
      <c r="S4012" t="s">
        <v>34583</v>
      </c>
    </row>
    <row r="4013" spans="1:19" x14ac:dyDescent="0.25">
      <c r="A4013" s="1">
        <v>4011</v>
      </c>
      <c r="B4013" t="str">
        <f>HYPERLINK("https://www.dasschnelle.at/groer-norbert-dr-hausleiten-tullner-straße","Website")</f>
        <v>Website</v>
      </c>
      <c r="C4013" t="str">
        <f>HYPERLINK("http://www.tierarzt-norbert-groer.at","Website")</f>
        <v>Website</v>
      </c>
      <c r="D4013" t="str">
        <f>HYPERLINK("http://www.google.com/maps/place/48.39352,16.09988","Location")</f>
        <v>Location</v>
      </c>
      <c r="E4013" t="s">
        <v>34588</v>
      </c>
      <c r="F4013" t="s">
        <v>34589</v>
      </c>
      <c r="G4013" t="s">
        <v>34591</v>
      </c>
      <c r="H4013" t="s">
        <v>34592</v>
      </c>
      <c r="I4013" t="s">
        <v>177</v>
      </c>
      <c r="J4013" t="s">
        <v>22</v>
      </c>
      <c r="K4013" t="s">
        <v>34590</v>
      </c>
      <c r="L4013" t="s">
        <v>34595</v>
      </c>
      <c r="M4013" t="s">
        <v>25</v>
      </c>
      <c r="N4013" t="s">
        <v>34596</v>
      </c>
      <c r="O4013" t="s">
        <v>25</v>
      </c>
      <c r="P4013" t="s">
        <v>34597</v>
      </c>
      <c r="Q4013" t="s">
        <v>29</v>
      </c>
      <c r="R4013" t="s">
        <v>34593</v>
      </c>
      <c r="S4013" t="s">
        <v>34594</v>
      </c>
    </row>
    <row r="4014" spans="1:19" x14ac:dyDescent="0.25">
      <c r="A4014" s="1">
        <v>4012</v>
      </c>
      <c r="B4014" t="str">
        <f>HYPERLINK("https://www.dasschnelle.at/hober-wilhelm-installateur-meisterbetrieb-leitzersdorf-ahornstraße","Website")</f>
        <v>Website</v>
      </c>
      <c r="C4014" t="str">
        <f>HYPERLINK("http://www.hober.co.at","Website")</f>
        <v>Website</v>
      </c>
      <c r="D4014" t="str">
        <f>HYPERLINK("http://www.google.com/maps/place/48.4143200,16.2465700","Location")</f>
        <v>Location</v>
      </c>
      <c r="E4014" t="s">
        <v>34598</v>
      </c>
      <c r="F4014" t="s">
        <v>34599</v>
      </c>
      <c r="G4014" t="s">
        <v>24980</v>
      </c>
      <c r="H4014" t="s">
        <v>24981</v>
      </c>
      <c r="I4014" t="s">
        <v>177</v>
      </c>
      <c r="J4014" t="s">
        <v>22</v>
      </c>
      <c r="K4014" t="s">
        <v>24979</v>
      </c>
      <c r="L4014" t="s">
        <v>24984</v>
      </c>
      <c r="M4014" t="s">
        <v>25</v>
      </c>
      <c r="N4014" t="s">
        <v>24985</v>
      </c>
      <c r="O4014" t="s">
        <v>34600</v>
      </c>
      <c r="P4014" t="s">
        <v>34601</v>
      </c>
      <c r="Q4014" t="s">
        <v>29</v>
      </c>
      <c r="R4014" t="s">
        <v>24982</v>
      </c>
      <c r="S4014" t="s">
        <v>24983</v>
      </c>
    </row>
    <row r="4015" spans="1:19" x14ac:dyDescent="0.25">
      <c r="A4015" s="1">
        <v>4013</v>
      </c>
      <c r="B4015" t="str">
        <f>HYPERLINK("https://www.dasschnelle.at/mondel-christoph-dr-klosterneuburg-leopoldstraße","Website")</f>
        <v>Website</v>
      </c>
      <c r="C4015" t="str">
        <f>HYPERLINK("http://www.notar-mondel.at","Website")</f>
        <v>Website</v>
      </c>
      <c r="D4015" t="str">
        <f>HYPERLINK("http://www.google.com/maps/place/48.30259,16.32725","Location")</f>
        <v>Location</v>
      </c>
      <c r="E4015" t="s">
        <v>34602</v>
      </c>
      <c r="F4015" t="s">
        <v>34603</v>
      </c>
      <c r="G4015" t="s">
        <v>10308</v>
      </c>
      <c r="H4015" t="s">
        <v>10317</v>
      </c>
      <c r="I4015" t="s">
        <v>177</v>
      </c>
      <c r="J4015" t="s">
        <v>22</v>
      </c>
      <c r="K4015" t="s">
        <v>34604</v>
      </c>
      <c r="L4015" t="s">
        <v>34607</v>
      </c>
      <c r="M4015" t="s">
        <v>25</v>
      </c>
      <c r="N4015" t="s">
        <v>34608</v>
      </c>
      <c r="O4015" t="s">
        <v>34609</v>
      </c>
      <c r="P4015" t="s">
        <v>34610</v>
      </c>
      <c r="Q4015" t="s">
        <v>29</v>
      </c>
      <c r="R4015" t="s">
        <v>34605</v>
      </c>
      <c r="S4015" t="s">
        <v>34606</v>
      </c>
    </row>
    <row r="4016" spans="1:19" x14ac:dyDescent="0.25">
      <c r="A4016" s="1">
        <v>4014</v>
      </c>
      <c r="B4016" t="str">
        <f>HYPERLINK("https://www.dasschnelle.at/lüftner-martin-mag-klosterneuburg-stadtplatz","Website")</f>
        <v>Website</v>
      </c>
      <c r="C4016" t="str">
        <f>HYPERLINK("http://www.notar-lueftner.at","Website")</f>
        <v>Website</v>
      </c>
      <c r="D4016" t="str">
        <f>HYPERLINK("http://www.google.com/maps/place/48.30864,16.32307","Location")</f>
        <v>Location</v>
      </c>
      <c r="E4016" t="s">
        <v>34611</v>
      </c>
      <c r="F4016" t="s">
        <v>34612</v>
      </c>
      <c r="G4016" t="s">
        <v>10308</v>
      </c>
      <c r="H4016" t="s">
        <v>10317</v>
      </c>
      <c r="I4016" t="s">
        <v>177</v>
      </c>
      <c r="J4016" t="s">
        <v>22</v>
      </c>
      <c r="K4016" t="s">
        <v>34613</v>
      </c>
      <c r="L4016" t="s">
        <v>34616</v>
      </c>
      <c r="M4016" t="s">
        <v>25</v>
      </c>
      <c r="N4016" t="s">
        <v>34617</v>
      </c>
      <c r="O4016" t="s">
        <v>34618</v>
      </c>
      <c r="P4016" t="s">
        <v>34619</v>
      </c>
      <c r="Q4016" t="s">
        <v>29</v>
      </c>
      <c r="R4016" t="s">
        <v>34614</v>
      </c>
      <c r="S4016" t="s">
        <v>34615</v>
      </c>
    </row>
    <row r="4017" spans="1:19" x14ac:dyDescent="0.25">
      <c r="A4017" s="1">
        <v>4015</v>
      </c>
      <c r="B4017" t="str">
        <f>HYPERLINK("https://www.dasschnelle.at/buchmayr-transportgesmbh-pregarten-tragweiner-straße","Website")</f>
        <v>Website</v>
      </c>
      <c r="C4017" t="str">
        <f>HYPERLINK("http://www.buchmayr-transport.at","Website")</f>
        <v>Website</v>
      </c>
      <c r="D4017" t="str">
        <f>HYPERLINK("http://www.google.com/maps/place/48.34815,14.5427","Location")</f>
        <v>Location</v>
      </c>
      <c r="E4017" t="s">
        <v>34620</v>
      </c>
      <c r="F4017" t="s">
        <v>34621</v>
      </c>
      <c r="G4017" t="s">
        <v>25297</v>
      </c>
      <c r="H4017" t="s">
        <v>25298</v>
      </c>
      <c r="I4017" t="s">
        <v>85</v>
      </c>
      <c r="J4017" t="s">
        <v>22</v>
      </c>
      <c r="K4017" t="s">
        <v>34622</v>
      </c>
      <c r="L4017" t="s">
        <v>34625</v>
      </c>
      <c r="M4017" t="s">
        <v>25</v>
      </c>
      <c r="N4017" t="s">
        <v>34626</v>
      </c>
      <c r="O4017" t="s">
        <v>25</v>
      </c>
      <c r="P4017" t="s">
        <v>34627</v>
      </c>
      <c r="Q4017" t="s">
        <v>29</v>
      </c>
      <c r="R4017" t="s">
        <v>34623</v>
      </c>
      <c r="S4017" t="s">
        <v>34624</v>
      </c>
    </row>
    <row r="4018" spans="1:19" x14ac:dyDescent="0.25">
      <c r="A4018" s="1">
        <v>4016</v>
      </c>
      <c r="B4018" t="str">
        <f>HYPERLINK("https://www.dasschnelle.at/wurz-kg-unterweißenbach-kaltenberg","Website")</f>
        <v>Website</v>
      </c>
      <c r="C4018" t="str">
        <f>HYPERLINK("http://www.wurz-bestattung.at","Website")</f>
        <v>Website</v>
      </c>
      <c r="D4018" t="str">
        <f>HYPERLINK("http://www.google.com/maps/place/48.4513800,14.7748400","Location")</f>
        <v>Location</v>
      </c>
      <c r="E4018" t="s">
        <v>34628</v>
      </c>
      <c r="F4018" t="s">
        <v>34629</v>
      </c>
      <c r="G4018" t="s">
        <v>26623</v>
      </c>
      <c r="H4018" t="s">
        <v>26735</v>
      </c>
      <c r="I4018" t="s">
        <v>85</v>
      </c>
      <c r="J4018" t="s">
        <v>22</v>
      </c>
      <c r="K4018" t="s">
        <v>26622</v>
      </c>
      <c r="L4018" t="s">
        <v>26627</v>
      </c>
      <c r="M4018" t="s">
        <v>25</v>
      </c>
      <c r="N4018" t="s">
        <v>26628</v>
      </c>
      <c r="O4018" t="s">
        <v>25</v>
      </c>
      <c r="P4018" t="s">
        <v>34632</v>
      </c>
      <c r="Q4018" t="s">
        <v>29</v>
      </c>
      <c r="R4018" t="s">
        <v>34630</v>
      </c>
      <c r="S4018" t="s">
        <v>34631</v>
      </c>
    </row>
    <row r="4019" spans="1:19" x14ac:dyDescent="0.25">
      <c r="A4019" s="1">
        <v>4017</v>
      </c>
      <c r="B4019" t="str">
        <f>HYPERLINK("https://www.dasschnelle.at/ms-installationen-gmbh-loipersdorf-bei-fürstenfeld-feldweg","Website")</f>
        <v>Website</v>
      </c>
      <c r="C4019" t="str">
        <f>HYPERLINK("http://www.ms-installationen.at","Website")</f>
        <v>Website</v>
      </c>
      <c r="D4019" t="str">
        <f>HYPERLINK("http://www.google.com/maps/place/46.99915,16.12938","Location")</f>
        <v>Location</v>
      </c>
      <c r="E4019" t="s">
        <v>34633</v>
      </c>
      <c r="F4019" t="s">
        <v>34634</v>
      </c>
      <c r="G4019" t="s">
        <v>25111</v>
      </c>
      <c r="H4019" t="s">
        <v>25112</v>
      </c>
      <c r="I4019" t="s">
        <v>451</v>
      </c>
      <c r="J4019" t="s">
        <v>22</v>
      </c>
      <c r="K4019" t="s">
        <v>34635</v>
      </c>
      <c r="L4019" t="s">
        <v>34638</v>
      </c>
      <c r="M4019" t="s">
        <v>34639</v>
      </c>
      <c r="N4019" t="s">
        <v>34640</v>
      </c>
      <c r="O4019" t="s">
        <v>25</v>
      </c>
      <c r="P4019" t="s">
        <v>34641</v>
      </c>
      <c r="Q4019" t="s">
        <v>29</v>
      </c>
      <c r="R4019" t="s">
        <v>34636</v>
      </c>
      <c r="S4019" t="s">
        <v>34637</v>
      </c>
    </row>
    <row r="4020" spans="1:19" x14ac:dyDescent="0.25">
      <c r="A4020" s="1">
        <v>4018</v>
      </c>
      <c r="B4020" t="str">
        <f>HYPERLINK("https://www.dasschnelle.at/lang-karl-und-sohn-sankt-martin-an-der-raab-hauptstraße","Website")</f>
        <v>Website</v>
      </c>
      <c r="C4020" t="str">
        <f>HYPERLINK("http://www.langundsohn.at","Website")</f>
        <v>Website</v>
      </c>
      <c r="D4020" t="str">
        <f>HYPERLINK("http://www.google.com/maps/place/46.92864,16.08198","Location")</f>
        <v>Location</v>
      </c>
      <c r="E4020" t="s">
        <v>34642</v>
      </c>
      <c r="F4020" t="s">
        <v>34643</v>
      </c>
      <c r="G4020" t="s">
        <v>34645</v>
      </c>
      <c r="H4020" t="s">
        <v>34646</v>
      </c>
      <c r="I4020" t="s">
        <v>1834</v>
      </c>
      <c r="J4020" t="s">
        <v>22</v>
      </c>
      <c r="K4020" t="s">
        <v>34644</v>
      </c>
      <c r="L4020" t="s">
        <v>34649</v>
      </c>
      <c r="M4020" t="s">
        <v>25</v>
      </c>
      <c r="N4020" t="s">
        <v>34650</v>
      </c>
      <c r="O4020" t="s">
        <v>25</v>
      </c>
      <c r="P4020" t="s">
        <v>34651</v>
      </c>
      <c r="Q4020" t="s">
        <v>29</v>
      </c>
      <c r="R4020" t="s">
        <v>34647</v>
      </c>
      <c r="S4020" t="s">
        <v>34648</v>
      </c>
    </row>
    <row r="4021" spans="1:19" x14ac:dyDescent="0.25">
      <c r="A4021" s="1">
        <v>4019</v>
      </c>
      <c r="B4021" t="str">
        <f>HYPERLINK("https://www.dasschnelle.at/autohaus-pichler-gmbh-fürstenfeld-loipersdorfer-straße","Website")</f>
        <v>Website</v>
      </c>
      <c r="C4021" t="str">
        <f>HYPERLINK("http://www.opel-pichler.at","Website")</f>
        <v>Website</v>
      </c>
      <c r="D4021" t="str">
        <f>HYPERLINK("http://www.google.com/maps/place/47.03203,16.08673","Location")</f>
        <v>Location</v>
      </c>
      <c r="E4021" t="s">
        <v>34652</v>
      </c>
      <c r="F4021" t="s">
        <v>34653</v>
      </c>
      <c r="G4021" t="s">
        <v>24441</v>
      </c>
      <c r="H4021" t="s">
        <v>24442</v>
      </c>
      <c r="I4021" t="s">
        <v>451</v>
      </c>
      <c r="J4021" t="s">
        <v>22</v>
      </c>
      <c r="K4021" t="s">
        <v>34654</v>
      </c>
      <c r="L4021" t="s">
        <v>34657</v>
      </c>
      <c r="M4021" t="s">
        <v>34658</v>
      </c>
      <c r="N4021" t="s">
        <v>34659</v>
      </c>
      <c r="O4021" t="s">
        <v>25</v>
      </c>
      <c r="P4021" t="s">
        <v>34660</v>
      </c>
      <c r="Q4021" t="s">
        <v>29</v>
      </c>
      <c r="R4021" t="s">
        <v>34655</v>
      </c>
      <c r="S4021" t="s">
        <v>34656</v>
      </c>
    </row>
    <row r="4022" spans="1:19" x14ac:dyDescent="0.25">
      <c r="A4022" s="1">
        <v>4020</v>
      </c>
      <c r="B4022" t="str">
        <f>HYPERLINK("https://www.dasschnelle.at/bestattung-leiner-e-u-inh-paul-schäfer-jennersdorf-raxer-straße","Website")</f>
        <v>Website</v>
      </c>
      <c r="C4022" t="str">
        <f>HYPERLINK("http://www.bestattung-leiner.at","Website")</f>
        <v>Website</v>
      </c>
      <c r="D4022" t="str">
        <f>HYPERLINK("http://www.google.com/maps/place/46.9394000,16.1438300","Location")</f>
        <v>Location</v>
      </c>
      <c r="E4022" t="s">
        <v>34661</v>
      </c>
      <c r="F4022" t="s">
        <v>34662</v>
      </c>
      <c r="G4022" t="s">
        <v>6602</v>
      </c>
      <c r="H4022" t="s">
        <v>6603</v>
      </c>
      <c r="I4022" t="s">
        <v>1834</v>
      </c>
      <c r="J4022" t="s">
        <v>22</v>
      </c>
      <c r="K4022" t="s">
        <v>25746</v>
      </c>
      <c r="L4022" t="s">
        <v>25749</v>
      </c>
      <c r="M4022" t="s">
        <v>25</v>
      </c>
      <c r="N4022" t="s">
        <v>25750</v>
      </c>
      <c r="O4022" t="s">
        <v>34663</v>
      </c>
      <c r="P4022" t="s">
        <v>34664</v>
      </c>
      <c r="Q4022" t="s">
        <v>29</v>
      </c>
      <c r="R4022" t="s">
        <v>25747</v>
      </c>
      <c r="S4022" t="s">
        <v>25748</v>
      </c>
    </row>
    <row r="4023" spans="1:19" x14ac:dyDescent="0.25">
      <c r="A4023" s="1">
        <v>4021</v>
      </c>
      <c r="B4023" t="str">
        <f>HYPERLINK("https://www.dasschnelle.at/hausleitner-christian-oberwang-oberwang","Website")</f>
        <v>Website</v>
      </c>
      <c r="C4023" t="str">
        <f>HYPERLINK("http://www.tischlerei-hausleitner.at","Website")</f>
        <v>Website</v>
      </c>
      <c r="D4023" t="str">
        <f>HYPERLINK("http://www.google.com/maps/place/47.8654536,13.4328902","Location")</f>
        <v>Location</v>
      </c>
      <c r="E4023" t="s">
        <v>34665</v>
      </c>
      <c r="F4023" t="s">
        <v>34666</v>
      </c>
      <c r="G4023" t="s">
        <v>6553</v>
      </c>
      <c r="H4023" t="s">
        <v>6554</v>
      </c>
      <c r="I4023" t="s">
        <v>85</v>
      </c>
      <c r="J4023" t="s">
        <v>22</v>
      </c>
      <c r="K4023" t="s">
        <v>34667</v>
      </c>
      <c r="L4023" t="s">
        <v>34670</v>
      </c>
      <c r="M4023" t="s">
        <v>25</v>
      </c>
      <c r="N4023" t="s">
        <v>34671</v>
      </c>
      <c r="O4023" t="s">
        <v>25</v>
      </c>
      <c r="P4023" t="s">
        <v>34672</v>
      </c>
      <c r="Q4023" t="s">
        <v>29</v>
      </c>
      <c r="R4023" t="s">
        <v>34668</v>
      </c>
      <c r="S4023" t="s">
        <v>34669</v>
      </c>
    </row>
    <row r="4024" spans="1:19" x14ac:dyDescent="0.25">
      <c r="A4024" s="1">
        <v>4022</v>
      </c>
      <c r="B4024" t="str">
        <f>HYPERLINK("https://www.dasschnelle.at/holzer-gsmbh-und-cokg-leibnitz-grazergasse","Website")</f>
        <v>Website</v>
      </c>
      <c r="C4024" t="str">
        <f>HYPERLINK("http://www.holzer.or.at","Website")</f>
        <v>Website</v>
      </c>
      <c r="D4024" t="str">
        <f>HYPERLINK("http://www.google.com/maps/place/46.78298,15.53875","Location")</f>
        <v>Location</v>
      </c>
      <c r="E4024" t="s">
        <v>34673</v>
      </c>
      <c r="F4024" t="s">
        <v>34674</v>
      </c>
      <c r="G4024" t="s">
        <v>1013</v>
      </c>
      <c r="H4024" t="s">
        <v>1023</v>
      </c>
      <c r="I4024" t="s">
        <v>451</v>
      </c>
      <c r="J4024" t="s">
        <v>22</v>
      </c>
      <c r="K4024" t="s">
        <v>34675</v>
      </c>
      <c r="L4024" t="s">
        <v>34678</v>
      </c>
      <c r="M4024" t="s">
        <v>25</v>
      </c>
      <c r="N4024" t="s">
        <v>34679</v>
      </c>
      <c r="O4024" t="s">
        <v>25</v>
      </c>
      <c r="P4024" t="s">
        <v>34680</v>
      </c>
      <c r="Q4024" t="s">
        <v>29</v>
      </c>
      <c r="R4024" t="s">
        <v>34676</v>
      </c>
      <c r="S4024" t="s">
        <v>34677</v>
      </c>
    </row>
    <row r="4025" spans="1:19" x14ac:dyDescent="0.25">
      <c r="A4025" s="1">
        <v>4023</v>
      </c>
      <c r="B4025" t="str">
        <f>HYPERLINK("https://www.dasschnelle.at/schimautz-taxi-gamlitz-josef-zierer-weg","Website")</f>
        <v>Website</v>
      </c>
      <c r="C4025" t="str">
        <f>HYPERLINK("http://www.taxi-schimautz.at","Website")</f>
        <v>Website</v>
      </c>
      <c r="D4025" t="str">
        <f>HYPERLINK("http://www.google.com/maps/place/46.7188200,15.5526800","Location")</f>
        <v>Location</v>
      </c>
      <c r="E4025" t="s">
        <v>34681</v>
      </c>
      <c r="F4025" t="s">
        <v>34682</v>
      </c>
      <c r="G4025" t="s">
        <v>10836</v>
      </c>
      <c r="H4025" t="s">
        <v>10837</v>
      </c>
      <c r="I4025" t="s">
        <v>451</v>
      </c>
      <c r="J4025" t="s">
        <v>22</v>
      </c>
      <c r="K4025" t="s">
        <v>25332</v>
      </c>
      <c r="L4025" t="s">
        <v>34685</v>
      </c>
      <c r="M4025" t="s">
        <v>25</v>
      </c>
      <c r="N4025" t="s">
        <v>25336</v>
      </c>
      <c r="O4025" t="s">
        <v>25</v>
      </c>
      <c r="P4025" t="s">
        <v>34686</v>
      </c>
      <c r="Q4025" t="s">
        <v>29</v>
      </c>
      <c r="R4025" t="s">
        <v>34683</v>
      </c>
      <c r="S4025" t="s">
        <v>34684</v>
      </c>
    </row>
    <row r="4026" spans="1:19" x14ac:dyDescent="0.25">
      <c r="A4026" s="1">
        <v>4024</v>
      </c>
      <c r="B4026" t="str">
        <f>HYPERLINK("https://www.dasschnelle.at/absenger-johann-sankt-georgen-an-der-stiefing-haslach","Website")</f>
        <v>Website</v>
      </c>
      <c r="C4026" t="str">
        <f>HYPERLINK("https://www.dasschnelle.at/absenger-johann-sankt-georgen-an-der-stiefing-haslach","Website")</f>
        <v>Website</v>
      </c>
      <c r="D4026" t="str">
        <f>HYPERLINK("http://www.google.com/maps/place/46.8371100,15.5934242","Location")</f>
        <v>Location</v>
      </c>
      <c r="E4026" t="s">
        <v>34687</v>
      </c>
      <c r="F4026" t="s">
        <v>34688</v>
      </c>
      <c r="G4026" t="s">
        <v>10818</v>
      </c>
      <c r="H4026" t="s">
        <v>34689</v>
      </c>
      <c r="I4026" t="s">
        <v>451</v>
      </c>
      <c r="J4026" t="s">
        <v>22</v>
      </c>
      <c r="K4026" t="s">
        <v>25857</v>
      </c>
      <c r="L4026" t="s">
        <v>25861</v>
      </c>
      <c r="M4026" t="s">
        <v>25</v>
      </c>
      <c r="N4026" t="s">
        <v>25862</v>
      </c>
      <c r="O4026" t="s">
        <v>25</v>
      </c>
      <c r="P4026" t="s">
        <v>697</v>
      </c>
      <c r="Q4026" t="s">
        <v>29</v>
      </c>
      <c r="R4026" t="s">
        <v>25859</v>
      </c>
      <c r="S4026" t="s">
        <v>25860</v>
      </c>
    </row>
    <row r="4027" spans="1:19" x14ac:dyDescent="0.25">
      <c r="A4027" s="1">
        <v>4025</v>
      </c>
      <c r="B4027" t="str">
        <f>HYPERLINK("https://www.dasschnelle.at/zarbl-stiegen-u-treppenbau-gesmbh-sankt-marienkirchen-singern","Website")</f>
        <v>Website</v>
      </c>
      <c r="C4027" t="str">
        <f>HYPERLINK("http://www.zarbl.at","Website")</f>
        <v>Website</v>
      </c>
      <c r="D4027" t="str">
        <f>HYPERLINK("http://www.google.com/maps/place/48.3848827,13.4910823","Location")</f>
        <v>Location</v>
      </c>
      <c r="E4027" t="s">
        <v>34690</v>
      </c>
      <c r="F4027" t="s">
        <v>34691</v>
      </c>
      <c r="G4027" t="s">
        <v>10846</v>
      </c>
      <c r="H4027" t="s">
        <v>34693</v>
      </c>
      <c r="I4027" t="s">
        <v>85</v>
      </c>
      <c r="J4027" t="s">
        <v>22</v>
      </c>
      <c r="K4027" t="s">
        <v>34692</v>
      </c>
      <c r="L4027" t="s">
        <v>34696</v>
      </c>
      <c r="M4027" t="s">
        <v>25</v>
      </c>
      <c r="N4027" t="s">
        <v>34697</v>
      </c>
      <c r="O4027" t="s">
        <v>34698</v>
      </c>
      <c r="P4027" t="s">
        <v>34699</v>
      </c>
      <c r="Q4027" t="s">
        <v>29</v>
      </c>
      <c r="R4027" t="s">
        <v>34694</v>
      </c>
      <c r="S4027" t="s">
        <v>34695</v>
      </c>
    </row>
    <row r="4028" spans="1:19" x14ac:dyDescent="0.25">
      <c r="A4028" s="1">
        <v>4026</v>
      </c>
      <c r="B4028" t="str">
        <f>HYPERLINK("https://www.dasschnelle.at/hauer-zimmerei-gmbh-sankt-marienkirchen-bei-innstraße","Website")</f>
        <v>Website</v>
      </c>
      <c r="C4028" t="str">
        <f>HYPERLINK("http://www.hauer-holzbau.at","Website")</f>
        <v>Website</v>
      </c>
      <c r="D4028" t="str">
        <f>HYPERLINK("http://www.google.com/maps/place/48.3790469,13.6287508","Location")</f>
        <v>Location</v>
      </c>
      <c r="E4028" t="s">
        <v>34700</v>
      </c>
      <c r="F4028" t="s">
        <v>34701</v>
      </c>
      <c r="G4028" t="s">
        <v>10846</v>
      </c>
      <c r="H4028" t="s">
        <v>34702</v>
      </c>
      <c r="I4028" t="s">
        <v>85</v>
      </c>
      <c r="J4028" t="s">
        <v>22</v>
      </c>
      <c r="K4028" t="s">
        <v>31702</v>
      </c>
      <c r="L4028" t="s">
        <v>34703</v>
      </c>
      <c r="M4028" t="s">
        <v>25</v>
      </c>
      <c r="N4028" t="s">
        <v>26657</v>
      </c>
      <c r="O4028" t="s">
        <v>25</v>
      </c>
      <c r="P4028" t="s">
        <v>34704</v>
      </c>
      <c r="Q4028" t="s">
        <v>29</v>
      </c>
      <c r="R4028" t="s">
        <v>26653</v>
      </c>
      <c r="S4028" t="s">
        <v>26654</v>
      </c>
    </row>
    <row r="4029" spans="1:19" x14ac:dyDescent="0.25">
      <c r="A4029" s="1">
        <v>4027</v>
      </c>
      <c r="B4029" t="str">
        <f>HYPERLINK("https://www.dasschnelle.at/dickl-erich-schärding-burggraben","Website")</f>
        <v>Website</v>
      </c>
      <c r="C4029" t="str">
        <f>HYPERLINK("https://www.dasschnelle.at/dickl-erich-sch%C3%A4rding-burggraben","Website")</f>
        <v>Website</v>
      </c>
      <c r="D4029" t="str">
        <f>HYPERLINK("http://www.google.com/maps/place/48.45716,13.4285","Location")</f>
        <v>Location</v>
      </c>
      <c r="E4029" t="s">
        <v>34705</v>
      </c>
      <c r="F4029" t="s">
        <v>34706</v>
      </c>
      <c r="G4029" t="s">
        <v>8850</v>
      </c>
      <c r="H4029" t="s">
        <v>8851</v>
      </c>
      <c r="I4029" t="s">
        <v>85</v>
      </c>
      <c r="J4029" t="s">
        <v>22</v>
      </c>
      <c r="K4029" t="s">
        <v>34707</v>
      </c>
      <c r="L4029" t="s">
        <v>34710</v>
      </c>
      <c r="M4029" t="s">
        <v>25</v>
      </c>
      <c r="N4029" t="s">
        <v>34711</v>
      </c>
      <c r="O4029" t="s">
        <v>25</v>
      </c>
      <c r="P4029" t="s">
        <v>34712</v>
      </c>
      <c r="Q4029" t="s">
        <v>29</v>
      </c>
      <c r="R4029" t="s">
        <v>34708</v>
      </c>
      <c r="S4029" t="s">
        <v>34709</v>
      </c>
    </row>
    <row r="4030" spans="1:19" x14ac:dyDescent="0.25">
      <c r="A4030" s="1">
        <v>4028</v>
      </c>
      <c r="B4030" t="str">
        <f>HYPERLINK("https://www.dasschnelle.at/hötzer-martin-dr-spittal-presserhofstraße","Website")</f>
        <v>Website</v>
      </c>
      <c r="C4030" t="str">
        <f>HYPERLINK("https://www.dasschnelle.at/h%C3%B6tzer-martin-dr-spittal-presserhofstra%C3%9Fe","Website")</f>
        <v>Website</v>
      </c>
      <c r="D4030" t="str">
        <f>HYPERLINK("http://www.google.com/maps/place/46.7916156,13.5156683","Location")</f>
        <v>Location</v>
      </c>
      <c r="E4030" t="s">
        <v>34713</v>
      </c>
      <c r="F4030" t="s">
        <v>34714</v>
      </c>
      <c r="G4030" t="s">
        <v>4160</v>
      </c>
      <c r="H4030" t="s">
        <v>4161</v>
      </c>
      <c r="I4030" t="s">
        <v>4130</v>
      </c>
      <c r="J4030" t="s">
        <v>22</v>
      </c>
      <c r="K4030" t="s">
        <v>34715</v>
      </c>
      <c r="L4030" t="s">
        <v>32724</v>
      </c>
      <c r="M4030" t="s">
        <v>25</v>
      </c>
      <c r="N4030" t="s">
        <v>32725</v>
      </c>
      <c r="O4030" t="s">
        <v>25</v>
      </c>
      <c r="P4030" t="s">
        <v>34716</v>
      </c>
      <c r="Q4030" t="s">
        <v>29</v>
      </c>
      <c r="R4030" t="s">
        <v>32722</v>
      </c>
      <c r="S4030" t="s">
        <v>32723</v>
      </c>
    </row>
    <row r="4031" spans="1:19" x14ac:dyDescent="0.25">
      <c r="A4031" s="1">
        <v>4029</v>
      </c>
      <c r="B4031" t="str">
        <f>HYPERLINK("https://www.dasschnelle.at/moser-franz-gmbh-der-hackschnitzer-sankt-lambrecht-unteralpe","Website")</f>
        <v>Website</v>
      </c>
      <c r="C4031" t="str">
        <f>HYPERLINK("http://www.derhackschnitzler.at","Website")</f>
        <v>Website</v>
      </c>
      <c r="D4031" t="str">
        <f>HYPERLINK("http://www.google.com/maps/place/47.0561731,14.2843328","Location")</f>
        <v>Location</v>
      </c>
      <c r="E4031" t="s">
        <v>34717</v>
      </c>
      <c r="F4031" t="s">
        <v>34718</v>
      </c>
      <c r="G4031" t="s">
        <v>12060</v>
      </c>
      <c r="H4031" t="s">
        <v>12061</v>
      </c>
      <c r="I4031" t="s">
        <v>451</v>
      </c>
      <c r="J4031" t="s">
        <v>22</v>
      </c>
      <c r="K4031" t="s">
        <v>34719</v>
      </c>
      <c r="L4031" t="s">
        <v>34722</v>
      </c>
      <c r="M4031" t="s">
        <v>25</v>
      </c>
      <c r="N4031" t="s">
        <v>34723</v>
      </c>
      <c r="O4031" t="s">
        <v>34724</v>
      </c>
      <c r="P4031" t="s">
        <v>34725</v>
      </c>
      <c r="Q4031" t="s">
        <v>29</v>
      </c>
      <c r="R4031" t="s">
        <v>34720</v>
      </c>
      <c r="S4031" t="s">
        <v>34721</v>
      </c>
    </row>
    <row r="4032" spans="1:19" x14ac:dyDescent="0.25">
      <c r="A4032" s="1">
        <v>4030</v>
      </c>
      <c r="B4032" t="str">
        <f>HYPERLINK("https://www.dasschnelle.at/widl-gruber-hermine-mag-korneuburg-wiener-ring","Website")</f>
        <v>Website</v>
      </c>
      <c r="C4032" t="str">
        <f>HYPERLINK("http://www.psychologin-widl-gruber.at","Website")</f>
        <v>Website</v>
      </c>
      <c r="D4032" t="str">
        <f>HYPERLINK("http://www.google.com/maps/place/48.3426,16.33566","Location")</f>
        <v>Location</v>
      </c>
      <c r="E4032" t="s">
        <v>34726</v>
      </c>
      <c r="F4032" t="s">
        <v>34727</v>
      </c>
      <c r="G4032" t="s">
        <v>440</v>
      </c>
      <c r="H4032" t="s">
        <v>441</v>
      </c>
      <c r="I4032" t="s">
        <v>177</v>
      </c>
      <c r="J4032" t="s">
        <v>22</v>
      </c>
      <c r="K4032" t="s">
        <v>34728</v>
      </c>
      <c r="L4032" t="s">
        <v>34731</v>
      </c>
      <c r="M4032" t="s">
        <v>25</v>
      </c>
      <c r="N4032" t="s">
        <v>34732</v>
      </c>
      <c r="O4032" t="s">
        <v>25</v>
      </c>
      <c r="P4032" t="s">
        <v>34733</v>
      </c>
      <c r="Q4032" t="s">
        <v>29</v>
      </c>
      <c r="R4032" t="s">
        <v>34729</v>
      </c>
      <c r="S4032" t="s">
        <v>34730</v>
      </c>
    </row>
    <row r="4033" spans="1:19" x14ac:dyDescent="0.25">
      <c r="A4033" s="1">
        <v>4031</v>
      </c>
      <c r="B4033" t="str">
        <f>HYPERLINK("https://www.dasschnelle.at/boilie-und-more-wildon-kainachtalstraße","Website")</f>
        <v>Website</v>
      </c>
      <c r="C4033" t="str">
        <f>HYPERLINK("http://www.boilieandmore.at","Website")</f>
        <v>Website</v>
      </c>
      <c r="D4033" t="str">
        <f>HYPERLINK("http://www.google.com/maps/place/46.8872800,15.4996900","Location")</f>
        <v>Location</v>
      </c>
      <c r="E4033" t="s">
        <v>34734</v>
      </c>
      <c r="F4033" t="s">
        <v>34735</v>
      </c>
      <c r="G4033" t="s">
        <v>993</v>
      </c>
      <c r="H4033" t="s">
        <v>994</v>
      </c>
      <c r="I4033" t="s">
        <v>451</v>
      </c>
      <c r="J4033" t="s">
        <v>22</v>
      </c>
      <c r="K4033" t="s">
        <v>992</v>
      </c>
      <c r="L4033" t="s">
        <v>34738</v>
      </c>
      <c r="M4033" t="s">
        <v>25</v>
      </c>
      <c r="N4033" t="s">
        <v>34739</v>
      </c>
      <c r="O4033" t="s">
        <v>25</v>
      </c>
      <c r="P4033" t="s">
        <v>34740</v>
      </c>
      <c r="Q4033" t="s">
        <v>29</v>
      </c>
      <c r="R4033" t="s">
        <v>34736</v>
      </c>
      <c r="S4033" t="s">
        <v>34737</v>
      </c>
    </row>
    <row r="4034" spans="1:19" x14ac:dyDescent="0.25">
      <c r="A4034" s="1">
        <v>4032</v>
      </c>
      <c r="B4034" t="str">
        <f>HYPERLINK("https://www.dasschnelle.at/gstöttner-gmbh-timelkam-stiftergasse","Website")</f>
        <v>Website</v>
      </c>
      <c r="C4034" t="str">
        <f>HYPERLINK("http://www.malerei-gstoettner.at","Website")</f>
        <v>Website</v>
      </c>
      <c r="D4034" t="str">
        <f>HYPERLINK("http://www.google.com/maps/place/47.9988517,13.6118891","Location")</f>
        <v>Location</v>
      </c>
      <c r="E4034" t="s">
        <v>34741</v>
      </c>
      <c r="F4034" t="s">
        <v>34742</v>
      </c>
      <c r="G4034" t="s">
        <v>3739</v>
      </c>
      <c r="H4034" t="s">
        <v>3740</v>
      </c>
      <c r="I4034" t="s">
        <v>85</v>
      </c>
      <c r="J4034" t="s">
        <v>22</v>
      </c>
      <c r="K4034" t="s">
        <v>34743</v>
      </c>
      <c r="L4034" t="s">
        <v>34746</v>
      </c>
      <c r="M4034" t="s">
        <v>25</v>
      </c>
      <c r="N4034" t="s">
        <v>34747</v>
      </c>
      <c r="O4034" t="s">
        <v>25</v>
      </c>
      <c r="P4034" t="s">
        <v>34748</v>
      </c>
      <c r="Q4034" t="s">
        <v>29</v>
      </c>
      <c r="R4034" t="s">
        <v>34744</v>
      </c>
      <c r="S4034" t="s">
        <v>34745</v>
      </c>
    </row>
    <row r="4035" spans="1:19" x14ac:dyDescent="0.25">
      <c r="A4035" s="1">
        <v>4033</v>
      </c>
      <c r="B4035" t="str">
        <f>HYPERLINK("https://www.dasschnelle.at/tierarztpraxis-putzleinsdorf-putzleinsdorf-fischerhäusl","Website")</f>
        <v>Website</v>
      </c>
      <c r="C4035" t="str">
        <f>HYPERLINK("http://www.tierarztpraxisputzleinsdorf.at","Website")</f>
        <v>Website</v>
      </c>
      <c r="D4035" t="str">
        <f>HYPERLINK("http://www.google.com/maps/place/48.5187280,13.8670660","Location")</f>
        <v>Location</v>
      </c>
      <c r="E4035" t="s">
        <v>34749</v>
      </c>
      <c r="F4035" t="s">
        <v>34750</v>
      </c>
      <c r="G4035" t="s">
        <v>8743</v>
      </c>
      <c r="H4035" t="s">
        <v>8762</v>
      </c>
      <c r="I4035" t="s">
        <v>85</v>
      </c>
      <c r="J4035" t="s">
        <v>22</v>
      </c>
      <c r="K4035" t="s">
        <v>34751</v>
      </c>
      <c r="L4035" t="s">
        <v>34754</v>
      </c>
      <c r="M4035" t="s">
        <v>25</v>
      </c>
      <c r="N4035" t="s">
        <v>34755</v>
      </c>
      <c r="O4035" t="s">
        <v>34756</v>
      </c>
      <c r="P4035" t="s">
        <v>34757</v>
      </c>
      <c r="Q4035" t="s">
        <v>29</v>
      </c>
      <c r="R4035" t="s">
        <v>34752</v>
      </c>
      <c r="S4035" t="s">
        <v>34753</v>
      </c>
    </row>
    <row r="4036" spans="1:19" x14ac:dyDescent="0.25">
      <c r="A4036" s="1">
        <v>4034</v>
      </c>
      <c r="B4036" t="str">
        <f>HYPERLINK("https://www.dasschnelle.at/automobilwertstadt-lechner-gmbh-sankt-johann-in-der-haide-forstingerstraße","Website")</f>
        <v>Website</v>
      </c>
      <c r="C4036" t="str">
        <f>HYPERLINK("http://www.automobil-lechner.at","Website")</f>
        <v>Website</v>
      </c>
      <c r="D4036" t="str">
        <f>HYPERLINK("http://www.google.com/maps/place/47.27932,16.00921","Location")</f>
        <v>Location</v>
      </c>
      <c r="E4036" t="s">
        <v>34758</v>
      </c>
      <c r="F4036" t="s">
        <v>34759</v>
      </c>
      <c r="G4036" t="s">
        <v>34761</v>
      </c>
      <c r="H4036" t="s">
        <v>34762</v>
      </c>
      <c r="I4036" t="s">
        <v>451</v>
      </c>
      <c r="J4036" t="s">
        <v>22</v>
      </c>
      <c r="K4036" t="s">
        <v>34760</v>
      </c>
      <c r="L4036" t="s">
        <v>34765</v>
      </c>
      <c r="M4036" t="s">
        <v>25</v>
      </c>
      <c r="N4036" t="s">
        <v>34766</v>
      </c>
      <c r="O4036" t="s">
        <v>25</v>
      </c>
      <c r="P4036" t="s">
        <v>34767</v>
      </c>
      <c r="Q4036" t="s">
        <v>29</v>
      </c>
      <c r="R4036" t="s">
        <v>34763</v>
      </c>
      <c r="S4036" t="s">
        <v>34764</v>
      </c>
    </row>
    <row r="4037" spans="1:19" x14ac:dyDescent="0.25">
      <c r="A4037" s="1">
        <v>4035</v>
      </c>
      <c r="B4037" t="str">
        <f>HYPERLINK("https://www.dasschnelle.at/weitgasser-kg-schladming-ramsauerstraße","Website")</f>
        <v>Website</v>
      </c>
      <c r="C4037" t="str">
        <f>HYPERLINK("http://www.dermalerweitgasser.at","Website")</f>
        <v>Website</v>
      </c>
      <c r="D4037" t="str">
        <f>HYPERLINK("http://www.google.com/maps/place/47.39243,13.68483","Location")</f>
        <v>Location</v>
      </c>
      <c r="E4037" t="s">
        <v>34768</v>
      </c>
      <c r="F4037" t="s">
        <v>34769</v>
      </c>
      <c r="G4037" t="s">
        <v>1269</v>
      </c>
      <c r="H4037" t="s">
        <v>1270</v>
      </c>
      <c r="I4037" t="s">
        <v>451</v>
      </c>
      <c r="J4037" t="s">
        <v>22</v>
      </c>
      <c r="K4037" t="s">
        <v>34770</v>
      </c>
      <c r="L4037" t="s">
        <v>34773</v>
      </c>
      <c r="M4037" t="s">
        <v>25</v>
      </c>
      <c r="N4037" t="s">
        <v>34774</v>
      </c>
      <c r="O4037" t="s">
        <v>34775</v>
      </c>
      <c r="P4037" t="s">
        <v>34776</v>
      </c>
      <c r="Q4037" t="s">
        <v>29</v>
      </c>
      <c r="R4037" t="s">
        <v>34771</v>
      </c>
      <c r="S4037" t="s">
        <v>34772</v>
      </c>
    </row>
    <row r="4038" spans="1:19" x14ac:dyDescent="0.25">
      <c r="A4038" s="1">
        <v>4036</v>
      </c>
      <c r="B4038" t="str">
        <f>HYPERLINK("https://www.dasschnelle.at/schrempf-herbert-fastenberg-planaistraße","Website")</f>
        <v>Website</v>
      </c>
      <c r="C4038" t="str">
        <f>HYPERLINK("http://www.holzwerkstaette-schrempf.at","Website")</f>
        <v>Website</v>
      </c>
      <c r="D4038" t="str">
        <f>HYPERLINK("http://www.google.com/maps/place/47.4229079,13.8215824","Location")</f>
        <v>Location</v>
      </c>
      <c r="E4038" t="s">
        <v>34777</v>
      </c>
      <c r="F4038" t="s">
        <v>34778</v>
      </c>
      <c r="G4038" t="s">
        <v>34780</v>
      </c>
      <c r="H4038" t="s">
        <v>34781</v>
      </c>
      <c r="I4038" t="s">
        <v>451</v>
      </c>
      <c r="J4038" t="s">
        <v>22</v>
      </c>
      <c r="K4038" t="s">
        <v>34779</v>
      </c>
      <c r="L4038" t="s">
        <v>34784</v>
      </c>
      <c r="M4038" t="s">
        <v>25</v>
      </c>
      <c r="N4038" t="s">
        <v>34785</v>
      </c>
      <c r="O4038" t="s">
        <v>25</v>
      </c>
      <c r="P4038" t="s">
        <v>34786</v>
      </c>
      <c r="Q4038" t="s">
        <v>29</v>
      </c>
      <c r="R4038" t="s">
        <v>34782</v>
      </c>
      <c r="S4038" t="s">
        <v>34783</v>
      </c>
    </row>
    <row r="4039" spans="1:19" x14ac:dyDescent="0.25">
      <c r="A4039" s="1">
        <v>4037</v>
      </c>
      <c r="B4039" t="str">
        <f>HYPERLINK("https://www.dasschnelle.at/stocker-christian-ing-schladming-hammerfeldweg","Website")</f>
        <v>Website</v>
      </c>
      <c r="C4039" t="str">
        <f>HYPERLINK("http://www.stocker-schladming.at","Website")</f>
        <v>Website</v>
      </c>
      <c r="D4039" t="str">
        <f>HYPERLINK("http://www.google.com/maps/place/47.38873,13.6878","Location")</f>
        <v>Location</v>
      </c>
      <c r="E4039" t="s">
        <v>34787</v>
      </c>
      <c r="F4039" t="s">
        <v>34788</v>
      </c>
      <c r="G4039" t="s">
        <v>1269</v>
      </c>
      <c r="H4039" t="s">
        <v>1270</v>
      </c>
      <c r="I4039" t="s">
        <v>451</v>
      </c>
      <c r="J4039" t="s">
        <v>22</v>
      </c>
      <c r="K4039" t="s">
        <v>34789</v>
      </c>
      <c r="L4039" t="s">
        <v>34792</v>
      </c>
      <c r="M4039" t="s">
        <v>34793</v>
      </c>
      <c r="N4039" t="s">
        <v>34794</v>
      </c>
      <c r="O4039" t="s">
        <v>25</v>
      </c>
      <c r="P4039" t="s">
        <v>34795</v>
      </c>
      <c r="Q4039" t="s">
        <v>29</v>
      </c>
      <c r="R4039" t="s">
        <v>34790</v>
      </c>
      <c r="S4039" t="s">
        <v>34791</v>
      </c>
    </row>
    <row r="4040" spans="1:19" x14ac:dyDescent="0.25">
      <c r="A4040" s="1">
        <v>4038</v>
      </c>
      <c r="B4040" t="str">
        <f>HYPERLINK("https://www.dasschnelle.at/gerhardter-edelstahltechnik-gmbh-ramsau-leiten","Website")</f>
        <v>Website</v>
      </c>
      <c r="C4040" t="str">
        <f>HYPERLINK("http://www.gl-inox.at","Website")</f>
        <v>Website</v>
      </c>
      <c r="D4040" t="str">
        <f>HYPERLINK("http://www.google.com/maps/place/47.4148924,13.6825112","Location")</f>
        <v>Location</v>
      </c>
      <c r="E4040" t="s">
        <v>34796</v>
      </c>
      <c r="F4040" t="s">
        <v>34797</v>
      </c>
      <c r="G4040" t="s">
        <v>1168</v>
      </c>
      <c r="H4040" t="s">
        <v>12490</v>
      </c>
      <c r="I4040" t="s">
        <v>451</v>
      </c>
      <c r="J4040" t="s">
        <v>22</v>
      </c>
      <c r="K4040" t="s">
        <v>34798</v>
      </c>
      <c r="L4040" t="s">
        <v>34801</v>
      </c>
      <c r="M4040" t="s">
        <v>25</v>
      </c>
      <c r="N4040" t="s">
        <v>34802</v>
      </c>
      <c r="O4040" t="s">
        <v>25</v>
      </c>
      <c r="P4040" t="s">
        <v>34803</v>
      </c>
      <c r="Q4040" t="s">
        <v>29</v>
      </c>
      <c r="R4040" t="s">
        <v>34799</v>
      </c>
      <c r="S4040" t="s">
        <v>34800</v>
      </c>
    </row>
    <row r="4041" spans="1:19" x14ac:dyDescent="0.25">
      <c r="A4041" s="1">
        <v>4039</v>
      </c>
      <c r="B4041" t="str">
        <f>HYPERLINK("https://www.dasschnelle.at/maschinenring-dachstein-tauern-maschinenvermietung-schladming-obere-klaus","Website")</f>
        <v>Website</v>
      </c>
      <c r="C4041" t="str">
        <f>HYPERLINK("http://www.maschinenring.at","Website")</f>
        <v>Website</v>
      </c>
      <c r="D4041" t="str">
        <f>HYPERLINK("http://www.google.com/maps/place/47.3913763,13.6542868","Location")</f>
        <v>Location</v>
      </c>
      <c r="E4041" t="s">
        <v>34804</v>
      </c>
      <c r="F4041" t="s">
        <v>34805</v>
      </c>
      <c r="G4041" t="s">
        <v>1269</v>
      </c>
      <c r="H4041" t="s">
        <v>1270</v>
      </c>
      <c r="I4041" t="s">
        <v>451</v>
      </c>
      <c r="J4041" t="s">
        <v>22</v>
      </c>
      <c r="K4041" t="s">
        <v>34806</v>
      </c>
      <c r="L4041" t="s">
        <v>34809</v>
      </c>
      <c r="M4041" t="s">
        <v>25</v>
      </c>
      <c r="N4041" t="s">
        <v>34810</v>
      </c>
      <c r="O4041" t="s">
        <v>25</v>
      </c>
      <c r="P4041" t="s">
        <v>34811</v>
      </c>
      <c r="Q4041" t="s">
        <v>29</v>
      </c>
      <c r="R4041" t="s">
        <v>34807</v>
      </c>
      <c r="S4041" t="s">
        <v>34808</v>
      </c>
    </row>
    <row r="4042" spans="1:19" x14ac:dyDescent="0.25">
      <c r="A4042" s="1">
        <v>4040</v>
      </c>
      <c r="B4042" t="str">
        <f>HYPERLINK("https://www.dasschnelle.at/landl-gesmbh-gröbming-franz-haiger-weg","Website")</f>
        <v>Website</v>
      </c>
      <c r="C4042" t="str">
        <f>HYPERLINK("http://www.auto-stocker.at","Website")</f>
        <v>Website</v>
      </c>
      <c r="D4042" t="str">
        <f>HYPERLINK("http://www.google.com/maps/place/47.44608,13.87943","Location")</f>
        <v>Location</v>
      </c>
      <c r="E4042" t="s">
        <v>34812</v>
      </c>
      <c r="F4042" t="s">
        <v>34813</v>
      </c>
      <c r="G4042" t="s">
        <v>8894</v>
      </c>
      <c r="H4042" t="s">
        <v>8895</v>
      </c>
      <c r="I4042" t="s">
        <v>451</v>
      </c>
      <c r="J4042" t="s">
        <v>22</v>
      </c>
      <c r="K4042" t="s">
        <v>34814</v>
      </c>
      <c r="L4042" t="s">
        <v>34817</v>
      </c>
      <c r="M4042" t="s">
        <v>25</v>
      </c>
      <c r="N4042" t="s">
        <v>34818</v>
      </c>
      <c r="O4042" t="s">
        <v>25</v>
      </c>
      <c r="P4042" t="s">
        <v>34819</v>
      </c>
      <c r="Q4042" t="s">
        <v>29</v>
      </c>
      <c r="R4042" t="s">
        <v>34815</v>
      </c>
      <c r="S4042" t="s">
        <v>34816</v>
      </c>
    </row>
    <row r="4043" spans="1:19" x14ac:dyDescent="0.25">
      <c r="A4043" s="1">
        <v>4041</v>
      </c>
      <c r="B4043" t="str">
        <f>HYPERLINK("https://www.dasschnelle.at/fliesen-trinker-gesmbh-klaus-obere-klaus","Website")</f>
        <v>Website</v>
      </c>
      <c r="C4043" t="str">
        <f>HYPERLINK("http://www.fliesen-trinker.at","Website")</f>
        <v>Website</v>
      </c>
      <c r="D4043" t="str">
        <f>HYPERLINK("http://www.google.com/maps/place/47.391,13.6377","Location")</f>
        <v>Location</v>
      </c>
      <c r="E4043" t="s">
        <v>34820</v>
      </c>
      <c r="F4043" t="s">
        <v>34821</v>
      </c>
      <c r="G4043" t="s">
        <v>1269</v>
      </c>
      <c r="H4043" t="s">
        <v>8957</v>
      </c>
      <c r="I4043" t="s">
        <v>451</v>
      </c>
      <c r="J4043" t="s">
        <v>22</v>
      </c>
      <c r="K4043" t="s">
        <v>34822</v>
      </c>
      <c r="L4043" t="s">
        <v>34824</v>
      </c>
      <c r="M4043" t="s">
        <v>25</v>
      </c>
      <c r="N4043" t="s">
        <v>34825</v>
      </c>
      <c r="O4043" t="s">
        <v>34826</v>
      </c>
      <c r="P4043" t="s">
        <v>34827</v>
      </c>
      <c r="Q4043" t="s">
        <v>29</v>
      </c>
      <c r="R4043" t="s">
        <v>16742</v>
      </c>
      <c r="S4043" t="s">
        <v>34823</v>
      </c>
    </row>
    <row r="4044" spans="1:19" x14ac:dyDescent="0.25">
      <c r="A4044" s="1">
        <v>4042</v>
      </c>
      <c r="B4044" t="str">
        <f>HYPERLINK("https://www.dasschnelle.at/thiel-margit-öblarn-öblarn","Website")</f>
        <v>Website</v>
      </c>
      <c r="C4044" t="str">
        <f>HYPERLINK("http://www.blumen-thiel.com","Website")</f>
        <v>Website</v>
      </c>
      <c r="D4044" t="str">
        <f>HYPERLINK("http://www.google.com/maps/place/47.4642185,13.9897159","Location")</f>
        <v>Location</v>
      </c>
      <c r="E4044" t="s">
        <v>34828</v>
      </c>
      <c r="F4044" t="s">
        <v>34829</v>
      </c>
      <c r="G4044" t="s">
        <v>34831</v>
      </c>
      <c r="H4044" t="s">
        <v>34832</v>
      </c>
      <c r="I4044" t="s">
        <v>451</v>
      </c>
      <c r="J4044" t="s">
        <v>22</v>
      </c>
      <c r="K4044" t="s">
        <v>34830</v>
      </c>
      <c r="L4044" t="s">
        <v>34835</v>
      </c>
      <c r="M4044" t="s">
        <v>25</v>
      </c>
      <c r="N4044" t="s">
        <v>34836</v>
      </c>
      <c r="O4044" t="s">
        <v>25</v>
      </c>
      <c r="P4044" t="s">
        <v>34837</v>
      </c>
      <c r="Q4044" t="s">
        <v>29</v>
      </c>
      <c r="R4044" t="s">
        <v>34833</v>
      </c>
      <c r="S4044" t="s">
        <v>34834</v>
      </c>
    </row>
    <row r="4045" spans="1:19" x14ac:dyDescent="0.25">
      <c r="A4045" s="1">
        <v>4043</v>
      </c>
      <c r="B4045" t="str">
        <f>HYPERLINK("https://www.dasschnelle.at/lehner-christian-hagenberg-im-mühlkreis-raiffeisenstraße","Website")</f>
        <v>Website</v>
      </c>
      <c r="C4045" t="str">
        <f>HYPERLINK("https://www.dasschnelle.at/lehner-christian-hagenberg-im-m%C3%BChlkreis-raiffeisenstra%C3%9Fe","Website")</f>
        <v>Website</v>
      </c>
      <c r="D4045" t="str">
        <f>HYPERLINK("http://www.google.com/maps/place/48.3678780,14.5172175","Location")</f>
        <v>Location</v>
      </c>
      <c r="E4045" t="s">
        <v>34838</v>
      </c>
      <c r="F4045" t="s">
        <v>34839</v>
      </c>
      <c r="G4045" t="s">
        <v>33812</v>
      </c>
      <c r="H4045" t="s">
        <v>34841</v>
      </c>
      <c r="I4045" t="s">
        <v>85</v>
      </c>
      <c r="J4045" t="s">
        <v>22</v>
      </c>
      <c r="K4045" t="s">
        <v>34840</v>
      </c>
      <c r="L4045" t="s">
        <v>34844</v>
      </c>
      <c r="M4045" t="s">
        <v>25</v>
      </c>
      <c r="N4045" t="s">
        <v>34845</v>
      </c>
      <c r="O4045" t="s">
        <v>25</v>
      </c>
      <c r="P4045" t="s">
        <v>34846</v>
      </c>
      <c r="Q4045" t="s">
        <v>29</v>
      </c>
      <c r="R4045" t="s">
        <v>34842</v>
      </c>
      <c r="S4045" t="s">
        <v>34843</v>
      </c>
    </row>
    <row r="4046" spans="1:19" x14ac:dyDescent="0.25">
      <c r="A4046" s="1">
        <v>4044</v>
      </c>
      <c r="B4046" t="str">
        <f>HYPERLINK("https://www.dasschnelle.at/kr-installationstechnik-gmbh-dechantskirchen","Website")</f>
        <v>Website</v>
      </c>
      <c r="C4046" t="str">
        <f>HYPERLINK("http://www.wasser-heizung.at","Website")</f>
        <v>Website</v>
      </c>
      <c r="D4046" t="str">
        <f>HYPERLINK("http://www.google.com/maps/place/47.4171244,16.0196083","Location")</f>
        <v>Location</v>
      </c>
      <c r="E4046" t="s">
        <v>34847</v>
      </c>
      <c r="F4046" t="s">
        <v>34848</v>
      </c>
      <c r="G4046" t="s">
        <v>34849</v>
      </c>
      <c r="H4046" t="s">
        <v>34850</v>
      </c>
      <c r="I4046" t="s">
        <v>451</v>
      </c>
      <c r="J4046" t="s">
        <v>22</v>
      </c>
      <c r="K4046" t="s">
        <v>25</v>
      </c>
      <c r="L4046" t="s">
        <v>34853</v>
      </c>
      <c r="M4046" t="s">
        <v>25</v>
      </c>
      <c r="N4046" t="s">
        <v>34854</v>
      </c>
      <c r="O4046" t="s">
        <v>25</v>
      </c>
      <c r="P4046" t="s">
        <v>34855</v>
      </c>
      <c r="Q4046" t="s">
        <v>29</v>
      </c>
      <c r="R4046" t="s">
        <v>34851</v>
      </c>
      <c r="S4046" t="s">
        <v>34852</v>
      </c>
    </row>
    <row r="4047" spans="1:19" x14ac:dyDescent="0.25">
      <c r="A4047" s="1">
        <v>4045</v>
      </c>
      <c r="B4047" t="str">
        <f>HYPERLINK("https://www.dasschnelle.at/tobisch-gmbh-pöllau-obersaifen","Website")</f>
        <v>Website</v>
      </c>
      <c r="C4047" t="str">
        <f>HYPERLINK("http://www.kfz-tobisch.at","Website")</f>
        <v>Website</v>
      </c>
      <c r="D4047" t="str">
        <f>HYPERLINK("http://www.google.com/maps/place/47.3115025,15.8274628","Location")</f>
        <v>Location</v>
      </c>
      <c r="E4047" t="s">
        <v>34856</v>
      </c>
      <c r="F4047" t="s">
        <v>34857</v>
      </c>
      <c r="G4047" t="s">
        <v>34859</v>
      </c>
      <c r="H4047" t="s">
        <v>34860</v>
      </c>
      <c r="I4047" t="s">
        <v>451</v>
      </c>
      <c r="J4047" t="s">
        <v>22</v>
      </c>
      <c r="K4047" t="s">
        <v>34858</v>
      </c>
      <c r="L4047" t="s">
        <v>34863</v>
      </c>
      <c r="M4047" t="s">
        <v>25</v>
      </c>
      <c r="N4047" t="s">
        <v>34864</v>
      </c>
      <c r="O4047" t="s">
        <v>25</v>
      </c>
      <c r="P4047" t="s">
        <v>34865</v>
      </c>
      <c r="Q4047" t="s">
        <v>29</v>
      </c>
      <c r="R4047" t="s">
        <v>34861</v>
      </c>
      <c r="S4047" t="s">
        <v>34862</v>
      </c>
    </row>
    <row r="4048" spans="1:19" x14ac:dyDescent="0.25">
      <c r="A4048" s="1">
        <v>4046</v>
      </c>
      <c r="B4048" t="str">
        <f>HYPERLINK("https://www.dasschnelle.at/haspl-markus-vorau-mühlweg","Website")</f>
        <v>Website</v>
      </c>
      <c r="C4048" t="str">
        <f>HYPERLINK("https://www.dasschnelle.at/haspl-markus-vorau-m%C3%BChlweg","Website")</f>
        <v>Website</v>
      </c>
      <c r="D4048" t="str">
        <f>HYPERLINK("http://www.google.com/maps/place/47.40349,15.89744","Location")</f>
        <v>Location</v>
      </c>
      <c r="E4048" t="s">
        <v>34866</v>
      </c>
      <c r="F4048" t="s">
        <v>34867</v>
      </c>
      <c r="G4048" t="s">
        <v>1068</v>
      </c>
      <c r="H4048" t="s">
        <v>1069</v>
      </c>
      <c r="I4048" t="s">
        <v>451</v>
      </c>
      <c r="J4048" t="s">
        <v>22</v>
      </c>
      <c r="K4048" t="s">
        <v>34868</v>
      </c>
      <c r="L4048" t="s">
        <v>34871</v>
      </c>
      <c r="M4048" t="s">
        <v>25</v>
      </c>
      <c r="N4048" t="s">
        <v>34872</v>
      </c>
      <c r="O4048" t="s">
        <v>25</v>
      </c>
      <c r="P4048" t="s">
        <v>34873</v>
      </c>
      <c r="Q4048" t="s">
        <v>29</v>
      </c>
      <c r="R4048" t="s">
        <v>34869</v>
      </c>
      <c r="S4048" t="s">
        <v>34870</v>
      </c>
    </row>
    <row r="4049" spans="1:19" x14ac:dyDescent="0.25">
      <c r="A4049" s="1">
        <v>4047</v>
      </c>
      <c r="B4049" t="str">
        <f>HYPERLINK("https://www.dasschnelle.at/simonlehner-maunz-gesmbh-schladming-salzburgerstraße","Website")</f>
        <v>Website</v>
      </c>
      <c r="C4049" t="str">
        <f>HYPERLINK("http://www.maunz.tv","Website")</f>
        <v>Website</v>
      </c>
      <c r="D4049" t="str">
        <f>HYPERLINK("http://www.google.com/maps/place/47.39132,13.68113","Location")</f>
        <v>Location</v>
      </c>
      <c r="E4049" t="s">
        <v>34874</v>
      </c>
      <c r="F4049" t="s">
        <v>34875</v>
      </c>
      <c r="G4049" t="s">
        <v>1269</v>
      </c>
      <c r="H4049" t="s">
        <v>1270</v>
      </c>
      <c r="I4049" t="s">
        <v>451</v>
      </c>
      <c r="J4049" t="s">
        <v>22</v>
      </c>
      <c r="K4049" t="s">
        <v>34876</v>
      </c>
      <c r="L4049" t="s">
        <v>34879</v>
      </c>
      <c r="M4049" t="s">
        <v>25</v>
      </c>
      <c r="N4049" t="s">
        <v>34880</v>
      </c>
      <c r="O4049" t="s">
        <v>25</v>
      </c>
      <c r="P4049" t="s">
        <v>34881</v>
      </c>
      <c r="Q4049" t="s">
        <v>29</v>
      </c>
      <c r="R4049" t="s">
        <v>34877</v>
      </c>
      <c r="S4049" t="s">
        <v>34878</v>
      </c>
    </row>
    <row r="4050" spans="1:19" x14ac:dyDescent="0.25">
      <c r="A4050" s="1">
        <v>4048</v>
      </c>
      <c r="B4050" t="str">
        <f>HYPERLINK("https://www.dasschnelle.at/schilcher-werner-schladming-gewerbestraße","Website")</f>
        <v>Website</v>
      </c>
      <c r="C4050" t="str">
        <f>HYPERLINK("http://www.schilcher-haustech.at","Website")</f>
        <v>Website</v>
      </c>
      <c r="D4050" t="str">
        <f>HYPERLINK("http://www.google.com/maps/place/47.39496,13.67658","Location")</f>
        <v>Location</v>
      </c>
      <c r="E4050" t="s">
        <v>34882</v>
      </c>
      <c r="F4050" t="s">
        <v>34883</v>
      </c>
      <c r="G4050" t="s">
        <v>1269</v>
      </c>
      <c r="H4050" t="s">
        <v>1270</v>
      </c>
      <c r="I4050" t="s">
        <v>451</v>
      </c>
      <c r="J4050" t="s">
        <v>22</v>
      </c>
      <c r="K4050" t="s">
        <v>34884</v>
      </c>
      <c r="L4050" t="s">
        <v>34887</v>
      </c>
      <c r="M4050" t="s">
        <v>25</v>
      </c>
      <c r="N4050" t="s">
        <v>34888</v>
      </c>
      <c r="O4050" t="s">
        <v>25</v>
      </c>
      <c r="P4050" t="s">
        <v>34889</v>
      </c>
      <c r="Q4050" t="s">
        <v>29</v>
      </c>
      <c r="R4050" t="s">
        <v>34885</v>
      </c>
      <c r="S4050" t="s">
        <v>34886</v>
      </c>
    </row>
    <row r="4051" spans="1:19" x14ac:dyDescent="0.25">
      <c r="A4051" s="1">
        <v>4049</v>
      </c>
      <c r="B4051" t="str">
        <f>HYPERLINK("https://www.dasschnelle.at/kernbichler-johann-hartberg-eichenweg","Website")</f>
        <v>Website</v>
      </c>
      <c r="C4051" t="str">
        <f>HYPERLINK("http://www.kernbichler.at","Website")</f>
        <v>Website</v>
      </c>
      <c r="D4051" t="str">
        <f>HYPERLINK("http://www.google.com/maps/place/47.2937899,16.0120548","Location")</f>
        <v>Location</v>
      </c>
      <c r="E4051" t="s">
        <v>34890</v>
      </c>
      <c r="F4051" t="s">
        <v>34891</v>
      </c>
      <c r="G4051" t="s">
        <v>1050</v>
      </c>
      <c r="H4051" t="s">
        <v>1051</v>
      </c>
      <c r="I4051" t="s">
        <v>451</v>
      </c>
      <c r="J4051" t="s">
        <v>22</v>
      </c>
      <c r="K4051" t="s">
        <v>34892</v>
      </c>
      <c r="L4051" t="s">
        <v>34895</v>
      </c>
      <c r="M4051" t="s">
        <v>34896</v>
      </c>
      <c r="N4051" t="s">
        <v>34897</v>
      </c>
      <c r="O4051" t="s">
        <v>25</v>
      </c>
      <c r="P4051" t="s">
        <v>34898</v>
      </c>
      <c r="Q4051" t="s">
        <v>29</v>
      </c>
      <c r="R4051" t="s">
        <v>34893</v>
      </c>
      <c r="S4051" t="s">
        <v>34894</v>
      </c>
    </row>
    <row r="4052" spans="1:19" x14ac:dyDescent="0.25">
      <c r="A4052" s="1">
        <v>4050</v>
      </c>
      <c r="B4052" t="str">
        <f>HYPERLINK("https://www.dasschnelle.at/fenstervisionen-wilfinger-gmbh-hartberg-ressavarstraße","Website")</f>
        <v>Website</v>
      </c>
      <c r="C4052" t="str">
        <f>HYPERLINK("http://www.fenstervisionen-wilfinger.at","Website")</f>
        <v>Website</v>
      </c>
      <c r="D4052" t="str">
        <f>HYPERLINK("http://www.google.com/maps/place/47.28179,15.9743","Location")</f>
        <v>Location</v>
      </c>
      <c r="E4052" t="s">
        <v>34899</v>
      </c>
      <c r="F4052" t="s">
        <v>34900</v>
      </c>
      <c r="G4052" t="s">
        <v>1050</v>
      </c>
      <c r="H4052" t="s">
        <v>1051</v>
      </c>
      <c r="I4052" t="s">
        <v>451</v>
      </c>
      <c r="J4052" t="s">
        <v>22</v>
      </c>
      <c r="K4052" t="s">
        <v>34901</v>
      </c>
      <c r="L4052" t="s">
        <v>34904</v>
      </c>
      <c r="M4052" t="s">
        <v>25</v>
      </c>
      <c r="N4052" t="s">
        <v>34905</v>
      </c>
      <c r="O4052" t="s">
        <v>25</v>
      </c>
      <c r="P4052" t="s">
        <v>34906</v>
      </c>
      <c r="Q4052" t="s">
        <v>29</v>
      </c>
      <c r="R4052" t="s">
        <v>34902</v>
      </c>
      <c r="S4052" t="s">
        <v>34903</v>
      </c>
    </row>
    <row r="4053" spans="1:19" x14ac:dyDescent="0.25">
      <c r="A4053" s="1">
        <v>4051</v>
      </c>
      <c r="B4053" t="str">
        <f>HYPERLINK("https://www.dasschnelle.at/gleichweit-patrick-greinbach-penzendorf","Website")</f>
        <v>Website</v>
      </c>
      <c r="C4053" t="str">
        <f>HYPERLINK("https://www.dasschnelle.at/gleichweit-patrick-greinbach-penzendorf","Website")</f>
        <v>Website</v>
      </c>
      <c r="D4053" t="str">
        <f>HYPERLINK("http://www.google.com/maps/place/47.3038449,15.9835282","Location")</f>
        <v>Location</v>
      </c>
      <c r="E4053" t="s">
        <v>34907</v>
      </c>
      <c r="F4053" t="s">
        <v>34908</v>
      </c>
      <c r="G4053" t="s">
        <v>1050</v>
      </c>
      <c r="H4053" t="s">
        <v>34910</v>
      </c>
      <c r="I4053" t="s">
        <v>451</v>
      </c>
      <c r="J4053" t="s">
        <v>22</v>
      </c>
      <c r="K4053" t="s">
        <v>34909</v>
      </c>
      <c r="L4053" t="s">
        <v>34913</v>
      </c>
      <c r="M4053" t="s">
        <v>25</v>
      </c>
      <c r="N4053" t="s">
        <v>34914</v>
      </c>
      <c r="O4053" t="s">
        <v>25</v>
      </c>
      <c r="P4053" t="s">
        <v>34915</v>
      </c>
      <c r="Q4053" t="s">
        <v>29</v>
      </c>
      <c r="R4053" t="s">
        <v>34911</v>
      </c>
      <c r="S4053" t="s">
        <v>34912</v>
      </c>
    </row>
    <row r="4054" spans="1:19" x14ac:dyDescent="0.25">
      <c r="A4054" s="1">
        <v>4052</v>
      </c>
      <c r="B4054" t="str">
        <f>HYPERLINK("https://www.dasschnelle.at/prenner-raumausstatter-gröbming-stoderstraße","Website")</f>
        <v>Website</v>
      </c>
      <c r="C4054" t="str">
        <f>HYPERLINK("http://www.prenner-raumausstatter.at","Website")</f>
        <v>Website</v>
      </c>
      <c r="D4054" t="str">
        <f>HYPERLINK("http://www.google.com/maps/place/47.44535,13.89978","Location")</f>
        <v>Location</v>
      </c>
      <c r="E4054" t="s">
        <v>34916</v>
      </c>
      <c r="F4054" t="s">
        <v>34917</v>
      </c>
      <c r="G4054" t="s">
        <v>8894</v>
      </c>
      <c r="H4054" t="s">
        <v>8895</v>
      </c>
      <c r="I4054" t="s">
        <v>451</v>
      </c>
      <c r="J4054" t="s">
        <v>22</v>
      </c>
      <c r="K4054" t="s">
        <v>34918</v>
      </c>
      <c r="L4054" t="s">
        <v>34921</v>
      </c>
      <c r="M4054" t="s">
        <v>25</v>
      </c>
      <c r="N4054" t="s">
        <v>34922</v>
      </c>
      <c r="O4054" t="s">
        <v>25</v>
      </c>
      <c r="P4054" t="s">
        <v>34923</v>
      </c>
      <c r="Q4054" t="s">
        <v>29</v>
      </c>
      <c r="R4054" t="s">
        <v>34919</v>
      </c>
      <c r="S4054" t="s">
        <v>34920</v>
      </c>
    </row>
    <row r="4055" spans="1:19" x14ac:dyDescent="0.25">
      <c r="A4055" s="1">
        <v>4053</v>
      </c>
      <c r="B4055" t="str">
        <f>HYPERLINK("https://www.dasschnelle.at/gewessler-franz-gröbming-mitterberger-straße","Website")</f>
        <v>Website</v>
      </c>
      <c r="C4055" t="str">
        <f>HYPERLINK("http://www.holzbau-badaussee.at","Website")</f>
        <v>Website</v>
      </c>
      <c r="D4055" t="str">
        <f>HYPERLINK("http://www.google.com/maps/place/47.44436,13.90639","Location")</f>
        <v>Location</v>
      </c>
      <c r="E4055" t="s">
        <v>34924</v>
      </c>
      <c r="F4055" t="s">
        <v>34925</v>
      </c>
      <c r="G4055" t="s">
        <v>8894</v>
      </c>
      <c r="H4055" t="s">
        <v>8895</v>
      </c>
      <c r="I4055" t="s">
        <v>451</v>
      </c>
      <c r="J4055" t="s">
        <v>22</v>
      </c>
      <c r="K4055" t="s">
        <v>34926</v>
      </c>
      <c r="L4055" t="s">
        <v>34929</v>
      </c>
      <c r="M4055" t="s">
        <v>25</v>
      </c>
      <c r="N4055" t="s">
        <v>34930</v>
      </c>
      <c r="O4055" t="s">
        <v>25</v>
      </c>
      <c r="P4055" t="s">
        <v>34931</v>
      </c>
      <c r="Q4055" t="s">
        <v>29</v>
      </c>
      <c r="R4055" t="s">
        <v>34927</v>
      </c>
      <c r="S4055" t="s">
        <v>34928</v>
      </c>
    </row>
    <row r="4056" spans="1:19" x14ac:dyDescent="0.25">
      <c r="A4056" s="1">
        <v>4054</v>
      </c>
      <c r="B4056" t="str">
        <f>HYPERLINK("https://www.dasschnelle.at/dany-s-house-of-pmu-weilbach-weilbach","Website")</f>
        <v>Website</v>
      </c>
      <c r="C4056" t="str">
        <f>HYPERLINK("https://www.dasschnelle.at/dany-s-house-of-pmu-weilbach-weilbach","Website")</f>
        <v>Website</v>
      </c>
      <c r="D4056" t="str">
        <f>HYPERLINK("http://www.google.com/maps/place/48.2777441,13.3783355","Location")</f>
        <v>Location</v>
      </c>
      <c r="E4056" t="s">
        <v>34932</v>
      </c>
      <c r="F4056" t="s">
        <v>34933</v>
      </c>
      <c r="G4056" t="s">
        <v>34935</v>
      </c>
      <c r="H4056" t="s">
        <v>34936</v>
      </c>
      <c r="I4056" t="s">
        <v>85</v>
      </c>
      <c r="J4056" t="s">
        <v>22</v>
      </c>
      <c r="K4056" t="s">
        <v>34934</v>
      </c>
      <c r="L4056" t="s">
        <v>34939</v>
      </c>
      <c r="M4056" t="s">
        <v>25</v>
      </c>
      <c r="N4056" t="s">
        <v>34940</v>
      </c>
      <c r="O4056" t="s">
        <v>25</v>
      </c>
      <c r="P4056" t="s">
        <v>34941</v>
      </c>
      <c r="Q4056" t="s">
        <v>29</v>
      </c>
      <c r="R4056" t="s">
        <v>34937</v>
      </c>
      <c r="S4056" t="s">
        <v>34938</v>
      </c>
    </row>
    <row r="4057" spans="1:19" x14ac:dyDescent="0.25">
      <c r="A4057" s="1">
        <v>4055</v>
      </c>
      <c r="B4057" t="str">
        <f>HYPERLINK("https://www.dasschnelle.at/wachter-iris-ebergassing-siedlergasse","Website")</f>
        <v>Website</v>
      </c>
      <c r="C4057" t="str">
        <f>HYPERLINK("http://www.institut-wachter.at","Website")</f>
        <v>Website</v>
      </c>
      <c r="D4057" t="str">
        <f>HYPERLINK("http://www.google.com/maps/place/48.04985,16.5117","Location")</f>
        <v>Location</v>
      </c>
      <c r="E4057" t="s">
        <v>34942</v>
      </c>
      <c r="F4057" t="s">
        <v>34943</v>
      </c>
      <c r="G4057" t="s">
        <v>9748</v>
      </c>
      <c r="H4057" t="s">
        <v>34945</v>
      </c>
      <c r="I4057" t="s">
        <v>177</v>
      </c>
      <c r="J4057" t="s">
        <v>22</v>
      </c>
      <c r="K4057" t="s">
        <v>34944</v>
      </c>
      <c r="L4057" t="s">
        <v>34946</v>
      </c>
      <c r="M4057" t="s">
        <v>25</v>
      </c>
      <c r="N4057" t="s">
        <v>22847</v>
      </c>
      <c r="O4057" t="s">
        <v>25</v>
      </c>
      <c r="P4057" t="s">
        <v>34947</v>
      </c>
      <c r="Q4057" t="s">
        <v>29</v>
      </c>
      <c r="R4057" t="s">
        <v>22844</v>
      </c>
      <c r="S4057" t="s">
        <v>22845</v>
      </c>
    </row>
    <row r="4058" spans="1:19" x14ac:dyDescent="0.25">
      <c r="A4058" s="1">
        <v>4056</v>
      </c>
      <c r="B4058" t="str">
        <f>HYPERLINK("https://www.dasschnelle.at/gebhart-wolfgang-nußdorf-am-attersee-dorfstraße","Website")</f>
        <v>Website</v>
      </c>
      <c r="C4058" t="str">
        <f>HYPERLINK("http://www.gebhart-ofenbau-fliesen.at","Website")</f>
        <v>Website</v>
      </c>
      <c r="D4058" t="str">
        <f>HYPERLINK("http://www.google.com/maps/place/47.88361,13.52364","Location")</f>
        <v>Location</v>
      </c>
      <c r="E4058" t="s">
        <v>34948</v>
      </c>
      <c r="F4058" t="s">
        <v>34949</v>
      </c>
      <c r="G4058" t="s">
        <v>3934</v>
      </c>
      <c r="H4058" t="s">
        <v>29155</v>
      </c>
      <c r="I4058" t="s">
        <v>85</v>
      </c>
      <c r="J4058" t="s">
        <v>22</v>
      </c>
      <c r="K4058" t="s">
        <v>34950</v>
      </c>
      <c r="L4058" t="s">
        <v>34953</v>
      </c>
      <c r="M4058" t="s">
        <v>25</v>
      </c>
      <c r="N4058" t="s">
        <v>34954</v>
      </c>
      <c r="O4058" t="s">
        <v>34955</v>
      </c>
      <c r="P4058" t="s">
        <v>34956</v>
      </c>
      <c r="Q4058" t="s">
        <v>29</v>
      </c>
      <c r="R4058" t="s">
        <v>34951</v>
      </c>
      <c r="S4058" t="s">
        <v>34952</v>
      </c>
    </row>
    <row r="4059" spans="1:19" x14ac:dyDescent="0.25">
      <c r="A4059" s="1">
        <v>4057</v>
      </c>
      <c r="B4059" t="str">
        <f>HYPERLINK("https://www.dasschnelle.at/philipps-kurt-schladming-aug","Website")</f>
        <v>Website</v>
      </c>
      <c r="C4059" t="str">
        <f>HYPERLINK("http://www.maler-philipps.at","Website")</f>
        <v>Website</v>
      </c>
      <c r="D4059" t="str">
        <f>HYPERLINK("http://www.google.com/maps/place/47.39434,13.694","Location")</f>
        <v>Location</v>
      </c>
      <c r="E4059" t="s">
        <v>34957</v>
      </c>
      <c r="F4059" t="s">
        <v>34958</v>
      </c>
      <c r="G4059" t="s">
        <v>1269</v>
      </c>
      <c r="H4059" t="s">
        <v>1270</v>
      </c>
      <c r="I4059" t="s">
        <v>451</v>
      </c>
      <c r="J4059" t="s">
        <v>22</v>
      </c>
      <c r="K4059" t="s">
        <v>34959</v>
      </c>
      <c r="L4059" t="s">
        <v>34962</v>
      </c>
      <c r="M4059" t="s">
        <v>25</v>
      </c>
      <c r="N4059" t="s">
        <v>34963</v>
      </c>
      <c r="O4059" t="s">
        <v>34964</v>
      </c>
      <c r="P4059" t="s">
        <v>34965</v>
      </c>
      <c r="Q4059" t="s">
        <v>29</v>
      </c>
      <c r="R4059" t="s">
        <v>34960</v>
      </c>
      <c r="S4059" t="s">
        <v>34961</v>
      </c>
    </row>
    <row r="4060" spans="1:19" x14ac:dyDescent="0.25">
      <c r="A4060" s="1">
        <v>4058</v>
      </c>
      <c r="B4060" t="str">
        <f>HYPERLINK("https://www.dasschnelle.at/letmaier-zimmerei-u-holzbaugesmbh-gröbming-stoderstraße","Website")</f>
        <v>Website</v>
      </c>
      <c r="C4060" t="str">
        <f>HYPERLINK("http://www.holz-letmaier.at","Website")</f>
        <v>Website</v>
      </c>
      <c r="D4060" t="str">
        <f>HYPERLINK("http://www.google.com/maps/place/47.44633,13.89553","Location")</f>
        <v>Location</v>
      </c>
      <c r="E4060" t="s">
        <v>34966</v>
      </c>
      <c r="F4060" t="s">
        <v>34967</v>
      </c>
      <c r="G4060" t="s">
        <v>8894</v>
      </c>
      <c r="H4060" t="s">
        <v>8895</v>
      </c>
      <c r="I4060" t="s">
        <v>451</v>
      </c>
      <c r="J4060" t="s">
        <v>22</v>
      </c>
      <c r="K4060" t="s">
        <v>34968</v>
      </c>
      <c r="L4060" t="s">
        <v>34971</v>
      </c>
      <c r="M4060" t="s">
        <v>34972</v>
      </c>
      <c r="N4060" t="s">
        <v>34973</v>
      </c>
      <c r="O4060" t="s">
        <v>25</v>
      </c>
      <c r="P4060" t="s">
        <v>697</v>
      </c>
      <c r="Q4060" t="s">
        <v>29</v>
      </c>
      <c r="R4060" t="s">
        <v>34969</v>
      </c>
      <c r="S4060" t="s">
        <v>34970</v>
      </c>
    </row>
    <row r="4061" spans="1:19" x14ac:dyDescent="0.25">
      <c r="A4061" s="1">
        <v>4059</v>
      </c>
      <c r="B4061" t="str">
        <f>HYPERLINK("https://www.dasschnelle.at/danklmaier-hubert-haus-weißenbach","Website")</f>
        <v>Website</v>
      </c>
      <c r="C4061" t="str">
        <f>HYPERLINK("http://www.taxi-heli.at","Website")</f>
        <v>Website</v>
      </c>
      <c r="D4061" t="str">
        <f>HYPERLINK("http://www.google.com/maps/place/47.42358,13.78118","Location")</f>
        <v>Location</v>
      </c>
      <c r="E4061" t="s">
        <v>34974</v>
      </c>
      <c r="F4061" t="s">
        <v>34975</v>
      </c>
      <c r="G4061" t="s">
        <v>8922</v>
      </c>
      <c r="H4061" t="s">
        <v>8923</v>
      </c>
      <c r="I4061" t="s">
        <v>451</v>
      </c>
      <c r="J4061" t="s">
        <v>22</v>
      </c>
      <c r="K4061" t="s">
        <v>34976</v>
      </c>
      <c r="L4061" t="s">
        <v>34979</v>
      </c>
      <c r="M4061" t="s">
        <v>25</v>
      </c>
      <c r="N4061" t="s">
        <v>34980</v>
      </c>
      <c r="O4061" t="s">
        <v>25</v>
      </c>
      <c r="P4061" t="s">
        <v>34981</v>
      </c>
      <c r="Q4061" t="s">
        <v>29</v>
      </c>
      <c r="R4061" t="s">
        <v>34977</v>
      </c>
      <c r="S4061" t="s">
        <v>34978</v>
      </c>
    </row>
    <row r="4062" spans="1:19" x14ac:dyDescent="0.25">
      <c r="A4062" s="1">
        <v>4060</v>
      </c>
      <c r="B4062" t="str">
        <f>HYPERLINK("https://www.dasschnelle.at/schuller-bau-und-transporte-gmbh-oberbuch-oberbuch","Website")</f>
        <v>Website</v>
      </c>
      <c r="C4062" t="str">
        <f>HYPERLINK("http://www.schullerbau.at","Website")</f>
        <v>Website</v>
      </c>
      <c r="D4062" t="str">
        <f>HYPERLINK("http://www.google.com/maps/place/47.2368133,15.9917598","Location")</f>
        <v>Location</v>
      </c>
      <c r="E4062" t="s">
        <v>34982</v>
      </c>
      <c r="F4062" t="s">
        <v>34983</v>
      </c>
      <c r="G4062" t="s">
        <v>34985</v>
      </c>
      <c r="H4062" t="s">
        <v>34986</v>
      </c>
      <c r="I4062" t="s">
        <v>451</v>
      </c>
      <c r="J4062" t="s">
        <v>22</v>
      </c>
      <c r="K4062" t="s">
        <v>34984</v>
      </c>
      <c r="L4062" t="s">
        <v>34989</v>
      </c>
      <c r="M4062" t="s">
        <v>25</v>
      </c>
      <c r="N4062" t="s">
        <v>34990</v>
      </c>
      <c r="O4062" t="s">
        <v>25</v>
      </c>
      <c r="P4062" t="s">
        <v>34991</v>
      </c>
      <c r="Q4062" t="s">
        <v>29</v>
      </c>
      <c r="R4062" t="s">
        <v>34987</v>
      </c>
      <c r="S4062" t="s">
        <v>34988</v>
      </c>
    </row>
    <row r="4063" spans="1:19" x14ac:dyDescent="0.25">
      <c r="A4063" s="1">
        <v>4061</v>
      </c>
      <c r="B4063" t="str">
        <f>HYPERLINK("https://www.dasschnelle.at/pötz-josef-gesmbh-und-co-kg-vorau-klosterberggasse","Website")</f>
        <v>Website</v>
      </c>
      <c r="C4063" t="str">
        <f>HYPERLINK("https://www.dasschnelle.at/p%C3%B6tz-josef-gesmbh-und-co-kg-vorau-klosterberggasse","Website")</f>
        <v>Website</v>
      </c>
      <c r="D4063" t="str">
        <f>HYPERLINK("http://www.google.com/maps/place/47.40408,15.88716","Location")</f>
        <v>Location</v>
      </c>
      <c r="E4063" t="s">
        <v>34992</v>
      </c>
      <c r="F4063" t="s">
        <v>34993</v>
      </c>
      <c r="G4063" t="s">
        <v>1068</v>
      </c>
      <c r="H4063" t="s">
        <v>1069</v>
      </c>
      <c r="I4063" t="s">
        <v>451</v>
      </c>
      <c r="J4063" t="s">
        <v>22</v>
      </c>
      <c r="K4063" t="s">
        <v>34994</v>
      </c>
      <c r="L4063" t="s">
        <v>34997</v>
      </c>
      <c r="M4063" t="s">
        <v>34998</v>
      </c>
      <c r="N4063" t="s">
        <v>34999</v>
      </c>
      <c r="O4063" t="s">
        <v>25</v>
      </c>
      <c r="P4063" t="s">
        <v>35000</v>
      </c>
      <c r="Q4063" t="s">
        <v>29</v>
      </c>
      <c r="R4063" t="s">
        <v>34995</v>
      </c>
      <c r="S4063" t="s">
        <v>34996</v>
      </c>
    </row>
    <row r="4064" spans="1:19" x14ac:dyDescent="0.25">
      <c r="A4064" s="1">
        <v>4062</v>
      </c>
      <c r="B4064" t="str">
        <f>HYPERLINK("https://www.dasschnelle.at/pieber-josef-neudau-hauptstraße","Website")</f>
        <v>Website</v>
      </c>
      <c r="C4064" t="str">
        <f>HYPERLINK("http://www.pieber.co.at","Website")</f>
        <v>Website</v>
      </c>
      <c r="D4064" t="str">
        <f>HYPERLINK("http://www.google.com/maps/place/47.17584,16.10122","Location")</f>
        <v>Location</v>
      </c>
      <c r="E4064" t="s">
        <v>35001</v>
      </c>
      <c r="F4064" t="s">
        <v>35002</v>
      </c>
      <c r="G4064" t="s">
        <v>35003</v>
      </c>
      <c r="H4064" t="s">
        <v>35004</v>
      </c>
      <c r="I4064" t="s">
        <v>451</v>
      </c>
      <c r="J4064" t="s">
        <v>22</v>
      </c>
      <c r="K4064" t="s">
        <v>14440</v>
      </c>
      <c r="L4064" t="s">
        <v>35007</v>
      </c>
      <c r="M4064" t="s">
        <v>25</v>
      </c>
      <c r="N4064" t="s">
        <v>35008</v>
      </c>
      <c r="O4064" t="s">
        <v>25</v>
      </c>
      <c r="P4064" t="s">
        <v>35009</v>
      </c>
      <c r="Q4064" t="s">
        <v>29</v>
      </c>
      <c r="R4064" t="s">
        <v>35005</v>
      </c>
      <c r="S4064" t="s">
        <v>35006</v>
      </c>
    </row>
    <row r="4065" spans="1:19" x14ac:dyDescent="0.25">
      <c r="A4065" s="1">
        <v>4063</v>
      </c>
      <c r="B4065" t="str">
        <f>HYPERLINK("https://www.dasschnelle.at/glatz-taximanfred-hartberg-neusafenauer-straße","Website")</f>
        <v>Website</v>
      </c>
      <c r="C4065" t="str">
        <f>HYPERLINK("https://www.dasschnelle.at/glatz-taximanfred-hartberg-neusafenauer-stra%C3%9Fe","Website")</f>
        <v>Website</v>
      </c>
      <c r="D4065" t="str">
        <f>HYPERLINK("http://www.google.com/maps/place/47.26087,15.97364","Location")</f>
        <v>Location</v>
      </c>
      <c r="E4065" t="s">
        <v>35010</v>
      </c>
      <c r="F4065" t="s">
        <v>35011</v>
      </c>
      <c r="G4065" t="s">
        <v>1050</v>
      </c>
      <c r="H4065" t="s">
        <v>1051</v>
      </c>
      <c r="I4065" t="s">
        <v>451</v>
      </c>
      <c r="J4065" t="s">
        <v>22</v>
      </c>
      <c r="K4065" t="s">
        <v>35012</v>
      </c>
      <c r="L4065" t="s">
        <v>35015</v>
      </c>
      <c r="M4065" t="s">
        <v>25</v>
      </c>
      <c r="N4065" t="s">
        <v>35016</v>
      </c>
      <c r="O4065" t="s">
        <v>25</v>
      </c>
      <c r="P4065" t="s">
        <v>35017</v>
      </c>
      <c r="Q4065" t="s">
        <v>29</v>
      </c>
      <c r="R4065" t="s">
        <v>35013</v>
      </c>
      <c r="S4065" t="s">
        <v>35014</v>
      </c>
    </row>
    <row r="4066" spans="1:19" x14ac:dyDescent="0.25">
      <c r="A4066" s="1">
        <v>4064</v>
      </c>
      <c r="B4066" t="str">
        <f>HYPERLINK("https://www.dasschnelle.at/fux-klaudia-dipl-ing-schladming-katzenburgweg","Website")</f>
        <v>Website</v>
      </c>
      <c r="C4066" t="str">
        <f>HYPERLINK("http://www.room-architecture.at","Website")</f>
        <v>Website</v>
      </c>
      <c r="D4066" t="str">
        <f>HYPERLINK("http://www.google.com/maps/place/47.39555,13.68765","Location")</f>
        <v>Location</v>
      </c>
      <c r="E4066" t="s">
        <v>35018</v>
      </c>
      <c r="F4066" t="s">
        <v>35019</v>
      </c>
      <c r="G4066" t="s">
        <v>1269</v>
      </c>
      <c r="H4066" t="s">
        <v>1270</v>
      </c>
      <c r="I4066" t="s">
        <v>451</v>
      </c>
      <c r="J4066" t="s">
        <v>22</v>
      </c>
      <c r="K4066" t="s">
        <v>35020</v>
      </c>
      <c r="L4066" t="s">
        <v>35023</v>
      </c>
      <c r="M4066" t="s">
        <v>25</v>
      </c>
      <c r="N4066" t="s">
        <v>35024</v>
      </c>
      <c r="O4066" t="s">
        <v>25</v>
      </c>
      <c r="P4066" t="s">
        <v>35025</v>
      </c>
      <c r="Q4066" t="s">
        <v>29</v>
      </c>
      <c r="R4066" t="s">
        <v>35021</v>
      </c>
      <c r="S4066" t="s">
        <v>35022</v>
      </c>
    </row>
    <row r="4067" spans="1:19" x14ac:dyDescent="0.25">
      <c r="A4067" s="1">
        <v>4065</v>
      </c>
      <c r="B4067" t="str">
        <f>HYPERLINK("https://www.dasschnelle.at/fux-marco-schladming-katzenburgweg","Website")</f>
        <v>Website</v>
      </c>
      <c r="C4067" t="str">
        <f>HYPERLINK("http://www.fuxmarco.at","Website")</f>
        <v>Website</v>
      </c>
      <c r="D4067" t="str">
        <f>HYPERLINK("http://www.google.com/maps/place/47.39555,13.68765","Location")</f>
        <v>Location</v>
      </c>
      <c r="E4067" t="s">
        <v>35026</v>
      </c>
      <c r="F4067" t="s">
        <v>35027</v>
      </c>
      <c r="G4067" t="s">
        <v>1269</v>
      </c>
      <c r="H4067" t="s">
        <v>1270</v>
      </c>
      <c r="I4067" t="s">
        <v>451</v>
      </c>
      <c r="J4067" t="s">
        <v>22</v>
      </c>
      <c r="K4067" t="s">
        <v>35020</v>
      </c>
      <c r="L4067" t="s">
        <v>35028</v>
      </c>
      <c r="M4067" t="s">
        <v>25</v>
      </c>
      <c r="N4067" t="s">
        <v>35029</v>
      </c>
      <c r="O4067" t="s">
        <v>25</v>
      </c>
      <c r="P4067" t="s">
        <v>35030</v>
      </c>
      <c r="Q4067" t="s">
        <v>29</v>
      </c>
      <c r="R4067" t="s">
        <v>35021</v>
      </c>
      <c r="S4067" t="s">
        <v>35022</v>
      </c>
    </row>
    <row r="4068" spans="1:19" x14ac:dyDescent="0.25">
      <c r="A4068" s="1">
        <v>4066</v>
      </c>
      <c r="B4068" t="str">
        <f>HYPERLINK("https://www.dasschnelle.at/peinthor-erwin-friedberg-ehrenschachen","Website")</f>
        <v>Website</v>
      </c>
      <c r="C4068" t="str">
        <f>HYPERLINK("http://www.peinthor.at","Website")</f>
        <v>Website</v>
      </c>
      <c r="D4068" t="str">
        <f>HYPERLINK("http://www.google.com/maps/place/47.4115200,16.0527900","Location")</f>
        <v>Location</v>
      </c>
      <c r="E4068" t="s">
        <v>35031</v>
      </c>
      <c r="F4068" t="s">
        <v>35032</v>
      </c>
      <c r="G4068" t="s">
        <v>35034</v>
      </c>
      <c r="H4068" t="s">
        <v>35035</v>
      </c>
      <c r="I4068" t="s">
        <v>451</v>
      </c>
      <c r="J4068" t="s">
        <v>22</v>
      </c>
      <c r="K4068" t="s">
        <v>35033</v>
      </c>
      <c r="L4068" t="s">
        <v>35038</v>
      </c>
      <c r="M4068" t="s">
        <v>35039</v>
      </c>
      <c r="N4068" t="s">
        <v>35040</v>
      </c>
      <c r="O4068" t="s">
        <v>25</v>
      </c>
      <c r="P4068" t="s">
        <v>35041</v>
      </c>
      <c r="Q4068" t="s">
        <v>29</v>
      </c>
      <c r="R4068" t="s">
        <v>35036</v>
      </c>
      <c r="S4068" t="s">
        <v>35037</v>
      </c>
    </row>
    <row r="4069" spans="1:19" x14ac:dyDescent="0.25">
      <c r="A4069" s="1">
        <v>4067</v>
      </c>
      <c r="B4069" t="str">
        <f>HYPERLINK("https://www.dasschnelle.at/goger-hannes-pöllau-oberneuberg","Website")</f>
        <v>Website</v>
      </c>
      <c r="C4069" t="str">
        <f>HYPERLINK("https://www.dasschnelle.at/goger-hannes-p%C3%B6llau-oberneuberg","Website")</f>
        <v>Website</v>
      </c>
      <c r="D4069" t="str">
        <f>HYPERLINK("http://www.google.com/maps/place/47.3150687,15.8580748","Location")</f>
        <v>Location</v>
      </c>
      <c r="E4069" t="s">
        <v>35042</v>
      </c>
      <c r="F4069" t="s">
        <v>35043</v>
      </c>
      <c r="G4069" t="s">
        <v>34859</v>
      </c>
      <c r="H4069" t="s">
        <v>34860</v>
      </c>
      <c r="I4069" t="s">
        <v>451</v>
      </c>
      <c r="J4069" t="s">
        <v>22</v>
      </c>
      <c r="K4069" t="s">
        <v>35044</v>
      </c>
      <c r="L4069" t="s">
        <v>35047</v>
      </c>
      <c r="M4069" t="s">
        <v>25</v>
      </c>
      <c r="N4069" t="s">
        <v>35048</v>
      </c>
      <c r="O4069" t="s">
        <v>25</v>
      </c>
      <c r="P4069" t="s">
        <v>35049</v>
      </c>
      <c r="Q4069" t="s">
        <v>29</v>
      </c>
      <c r="R4069" t="s">
        <v>35045</v>
      </c>
      <c r="S4069" t="s">
        <v>35046</v>
      </c>
    </row>
    <row r="4070" spans="1:19" x14ac:dyDescent="0.25">
      <c r="A4070" s="1">
        <v>4068</v>
      </c>
      <c r="B4070" t="str">
        <f>HYPERLINK("https://www.dasschnelle.at/combiente-gmbh-ihr-handwerknetzwerk-schladming-bahnhofstraße","Website")</f>
        <v>Website</v>
      </c>
      <c r="C4070" t="str">
        <f>HYPERLINK("http://www.combiente.at","Website")</f>
        <v>Website</v>
      </c>
      <c r="D4070" t="str">
        <f>HYPERLINK("http://www.google.com/maps/place/47.39365,13.68111","Location")</f>
        <v>Location</v>
      </c>
      <c r="E4070" t="s">
        <v>35050</v>
      </c>
      <c r="F4070" t="s">
        <v>35051</v>
      </c>
      <c r="G4070" t="s">
        <v>1269</v>
      </c>
      <c r="H4070" t="s">
        <v>1270</v>
      </c>
      <c r="I4070" t="s">
        <v>451</v>
      </c>
      <c r="J4070" t="s">
        <v>22</v>
      </c>
      <c r="K4070" t="s">
        <v>35052</v>
      </c>
      <c r="L4070" t="s">
        <v>35055</v>
      </c>
      <c r="M4070" t="s">
        <v>25</v>
      </c>
      <c r="N4070" t="s">
        <v>35056</v>
      </c>
      <c r="O4070" t="s">
        <v>25</v>
      </c>
      <c r="P4070" t="s">
        <v>35057</v>
      </c>
      <c r="Q4070" t="s">
        <v>29</v>
      </c>
      <c r="R4070" t="s">
        <v>35053</v>
      </c>
      <c r="S4070" t="s">
        <v>35054</v>
      </c>
    </row>
    <row r="4071" spans="1:19" x14ac:dyDescent="0.25">
      <c r="A4071" s="1">
        <v>4069</v>
      </c>
      <c r="B4071" t="str">
        <f>HYPERLINK("https://www.dasschnelle.at/zechmann-immobilien-gmbh-schladming-coburgstraße","Website")</f>
        <v>Website</v>
      </c>
      <c r="C4071" t="str">
        <f>HYPERLINK("http://www.remax.at","Website")</f>
        <v>Website</v>
      </c>
      <c r="D4071" t="str">
        <f>HYPERLINK("http://www.google.com/maps/place/47.39341,13.69242","Location")</f>
        <v>Location</v>
      </c>
      <c r="E4071" t="s">
        <v>35058</v>
      </c>
      <c r="F4071" t="s">
        <v>35059</v>
      </c>
      <c r="G4071" t="s">
        <v>1269</v>
      </c>
      <c r="H4071" t="s">
        <v>1270</v>
      </c>
      <c r="I4071" t="s">
        <v>451</v>
      </c>
      <c r="J4071" t="s">
        <v>22</v>
      </c>
      <c r="K4071" t="s">
        <v>35060</v>
      </c>
      <c r="L4071" t="s">
        <v>35063</v>
      </c>
      <c r="M4071" t="s">
        <v>25</v>
      </c>
      <c r="N4071" t="s">
        <v>35064</v>
      </c>
      <c r="O4071" t="s">
        <v>25</v>
      </c>
      <c r="P4071" t="s">
        <v>35065</v>
      </c>
      <c r="Q4071" t="s">
        <v>29</v>
      </c>
      <c r="R4071" t="s">
        <v>35061</v>
      </c>
      <c r="S4071" t="s">
        <v>35062</v>
      </c>
    </row>
    <row r="4072" spans="1:19" x14ac:dyDescent="0.25">
      <c r="A4072" s="1">
        <v>4070</v>
      </c>
      <c r="B4072" t="str">
        <f>HYPERLINK("https://www.dasschnelle.at/zörweg-gmbh-öblarn-niedergstatt","Website")</f>
        <v>Website</v>
      </c>
      <c r="C4072" t="str">
        <f>HYPERLINK("https://www.dasschnelle.at/z%C3%B6rweg-gmbh-%C3%B6blarn-niedergstatt","Website")</f>
        <v>Website</v>
      </c>
      <c r="D4072" t="str">
        <f>HYPERLINK("http://www.google.com/maps/place/47.4708763,13.9949638","Location")</f>
        <v>Location</v>
      </c>
      <c r="E4072" t="s">
        <v>35066</v>
      </c>
      <c r="F4072" t="s">
        <v>35067</v>
      </c>
      <c r="G4072" t="s">
        <v>34831</v>
      </c>
      <c r="H4072" t="s">
        <v>34832</v>
      </c>
      <c r="I4072" t="s">
        <v>451</v>
      </c>
      <c r="J4072" t="s">
        <v>22</v>
      </c>
      <c r="K4072" t="s">
        <v>35068</v>
      </c>
      <c r="L4072" t="s">
        <v>35071</v>
      </c>
      <c r="M4072" t="s">
        <v>25</v>
      </c>
      <c r="N4072" t="s">
        <v>35072</v>
      </c>
      <c r="O4072" t="s">
        <v>25</v>
      </c>
      <c r="P4072" t="s">
        <v>35073</v>
      </c>
      <c r="Q4072" t="s">
        <v>29</v>
      </c>
      <c r="R4072" t="s">
        <v>35069</v>
      </c>
      <c r="S4072" t="s">
        <v>35070</v>
      </c>
    </row>
    <row r="4073" spans="1:19" x14ac:dyDescent="0.25">
      <c r="A4073" s="1">
        <v>4071</v>
      </c>
      <c r="B4073" t="str">
        <f>HYPERLINK("https://www.dasschnelle.at/tfs-trend-facility-services-gm-linz-estermannstraße","Website")</f>
        <v>Website</v>
      </c>
      <c r="C4073" t="str">
        <f>HYPERLINK("http://www.tfs-gmbh.at","Website")</f>
        <v>Website</v>
      </c>
      <c r="D4073" t="str">
        <f>HYPERLINK("http://www.google.com/maps/place/48.30458,14.32145","Location")</f>
        <v>Location</v>
      </c>
      <c r="E4073" t="s">
        <v>35074</v>
      </c>
      <c r="F4073" t="s">
        <v>35075</v>
      </c>
      <c r="G4073" t="s">
        <v>6495</v>
      </c>
      <c r="H4073" t="s">
        <v>6496</v>
      </c>
      <c r="I4073" t="s">
        <v>85</v>
      </c>
      <c r="J4073" t="s">
        <v>22</v>
      </c>
      <c r="K4073" t="s">
        <v>35076</v>
      </c>
      <c r="L4073" t="s">
        <v>35079</v>
      </c>
      <c r="M4073" t="s">
        <v>25</v>
      </c>
      <c r="N4073" t="s">
        <v>35080</v>
      </c>
      <c r="O4073" t="s">
        <v>25</v>
      </c>
      <c r="P4073" t="s">
        <v>35081</v>
      </c>
      <c r="Q4073" t="s">
        <v>29</v>
      </c>
      <c r="R4073" t="s">
        <v>35077</v>
      </c>
      <c r="S4073" t="s">
        <v>35078</v>
      </c>
    </row>
    <row r="4074" spans="1:19" x14ac:dyDescent="0.25">
      <c r="A4074" s="1">
        <v>4072</v>
      </c>
      <c r="B4074" t="str">
        <f>HYPERLINK("https://www.dasschnelle.at/engleder-baumaschinen-gmbh-lembach-im-mühlkreis-tannbergstraße","Website")</f>
        <v>Website</v>
      </c>
      <c r="C4074" t="str">
        <f>HYPERLINK("http://www.engleder-baumaschinen.at","Website")</f>
        <v>Website</v>
      </c>
      <c r="D4074" t="str">
        <f>HYPERLINK("http://www.google.com/maps/place/48.49755,13.89591","Location")</f>
        <v>Location</v>
      </c>
      <c r="E4074" t="s">
        <v>35082</v>
      </c>
      <c r="F4074" t="s">
        <v>35083</v>
      </c>
      <c r="G4074" t="s">
        <v>8650</v>
      </c>
      <c r="H4074" t="s">
        <v>8651</v>
      </c>
      <c r="I4074" t="s">
        <v>85</v>
      </c>
      <c r="J4074" t="s">
        <v>22</v>
      </c>
      <c r="K4074" t="s">
        <v>35084</v>
      </c>
      <c r="L4074" t="s">
        <v>35087</v>
      </c>
      <c r="M4074" t="s">
        <v>25</v>
      </c>
      <c r="N4074" t="s">
        <v>35088</v>
      </c>
      <c r="O4074" t="s">
        <v>25</v>
      </c>
      <c r="P4074" t="s">
        <v>35089</v>
      </c>
      <c r="Q4074" t="s">
        <v>29</v>
      </c>
      <c r="R4074" t="s">
        <v>35085</v>
      </c>
      <c r="S4074" t="s">
        <v>35086</v>
      </c>
    </row>
    <row r="4075" spans="1:19" x14ac:dyDescent="0.25">
      <c r="A4075" s="1">
        <v>4073</v>
      </c>
      <c r="B4075" t="str">
        <f>HYPERLINK("https://www.dasschnelle.at/lehner-georg-lembach-alfons-dorfner-straße","Website")</f>
        <v>Website</v>
      </c>
      <c r="C4075" t="str">
        <f>HYPERLINK("http://www.lehner-tore.at","Website")</f>
        <v>Website</v>
      </c>
      <c r="D4075" t="str">
        <f>HYPERLINK("http://www.google.com/maps/place/48.4969537,13.8951776","Location")</f>
        <v>Location</v>
      </c>
      <c r="E4075" t="s">
        <v>35090</v>
      </c>
      <c r="F4075" t="s">
        <v>35091</v>
      </c>
      <c r="G4075" t="s">
        <v>8650</v>
      </c>
      <c r="H4075" t="s">
        <v>35093</v>
      </c>
      <c r="I4075" t="s">
        <v>85</v>
      </c>
      <c r="J4075" t="s">
        <v>22</v>
      </c>
      <c r="K4075" t="s">
        <v>35092</v>
      </c>
      <c r="L4075" t="s">
        <v>35096</v>
      </c>
      <c r="M4075" t="s">
        <v>25</v>
      </c>
      <c r="N4075" t="s">
        <v>35097</v>
      </c>
      <c r="O4075" t="s">
        <v>35098</v>
      </c>
      <c r="P4075" t="s">
        <v>35099</v>
      </c>
      <c r="Q4075" t="s">
        <v>29</v>
      </c>
      <c r="R4075" t="s">
        <v>35094</v>
      </c>
      <c r="S4075" t="s">
        <v>35095</v>
      </c>
    </row>
    <row r="4076" spans="1:19" x14ac:dyDescent="0.25">
      <c r="A4076" s="1">
        <v>4074</v>
      </c>
      <c r="B4076" t="str">
        <f>HYPERLINK("https://www.dasschnelle.at/feldler-manfred-haslach-an-der-mühl-damreith","Website")</f>
        <v>Website</v>
      </c>
      <c r="C4076" t="str">
        <f>HYPERLINK("http://www.feldler.com","Website")</f>
        <v>Website</v>
      </c>
      <c r="D4076" t="str">
        <f>HYPERLINK("http://www.google.com/maps/place/48.5766667,14.0252017","Location")</f>
        <v>Location</v>
      </c>
      <c r="E4076" t="s">
        <v>35100</v>
      </c>
      <c r="F4076" t="s">
        <v>35101</v>
      </c>
      <c r="G4076" t="s">
        <v>35103</v>
      </c>
      <c r="H4076" t="s">
        <v>35104</v>
      </c>
      <c r="I4076" t="s">
        <v>85</v>
      </c>
      <c r="J4076" t="s">
        <v>22</v>
      </c>
      <c r="K4076" t="s">
        <v>35102</v>
      </c>
      <c r="L4076" t="s">
        <v>35107</v>
      </c>
      <c r="M4076" t="s">
        <v>35108</v>
      </c>
      <c r="N4076" t="s">
        <v>35109</v>
      </c>
      <c r="O4076" t="s">
        <v>25</v>
      </c>
      <c r="P4076" t="s">
        <v>35110</v>
      </c>
      <c r="Q4076" t="s">
        <v>29</v>
      </c>
      <c r="R4076" t="s">
        <v>35105</v>
      </c>
      <c r="S4076" t="s">
        <v>35106</v>
      </c>
    </row>
    <row r="4077" spans="1:19" x14ac:dyDescent="0.25">
      <c r="A4077" s="1">
        <v>4075</v>
      </c>
      <c r="B4077" t="str">
        <f>HYPERLINK("https://www.dasschnelle.at/fürlinger-egon-lug","Website")</f>
        <v>Website</v>
      </c>
      <c r="C4077" t="str">
        <f>HYPERLINK("http://www.fuerlinger.co.at","Website")</f>
        <v>Website</v>
      </c>
      <c r="D4077" t="str">
        <f>HYPERLINK("http://www.google.com/maps/place/48.4756686,13.9182840","Location")</f>
        <v>Location</v>
      </c>
      <c r="E4077" t="s">
        <v>35111</v>
      </c>
      <c r="F4077" t="s">
        <v>35112</v>
      </c>
      <c r="G4077" t="s">
        <v>8650</v>
      </c>
      <c r="H4077" t="s">
        <v>35113</v>
      </c>
      <c r="I4077" t="s">
        <v>85</v>
      </c>
      <c r="J4077" t="s">
        <v>22</v>
      </c>
      <c r="K4077" t="s">
        <v>25</v>
      </c>
      <c r="L4077" t="s">
        <v>35116</v>
      </c>
      <c r="M4077" t="s">
        <v>25</v>
      </c>
      <c r="N4077" t="s">
        <v>35117</v>
      </c>
      <c r="O4077" t="s">
        <v>25</v>
      </c>
      <c r="P4077" t="s">
        <v>35118</v>
      </c>
      <c r="Q4077" t="s">
        <v>29</v>
      </c>
      <c r="R4077" t="s">
        <v>35114</v>
      </c>
      <c r="S4077" t="s">
        <v>35115</v>
      </c>
    </row>
    <row r="4078" spans="1:19" x14ac:dyDescent="0.25">
      <c r="A4078" s="1">
        <v>4076</v>
      </c>
      <c r="B4078" t="str">
        <f>HYPERLINK("https://www.dasschnelle.at/stein-laschalt-kg-hartberg-neusafenauerstraße","Website")</f>
        <v>Website</v>
      </c>
      <c r="C4078" t="str">
        <f>HYPERLINK("http://www.stein-laschalt.com","Website")</f>
        <v>Website</v>
      </c>
      <c r="D4078" t="str">
        <f>HYPERLINK("http://www.google.com/maps/place/47.26184,15.97148","Location")</f>
        <v>Location</v>
      </c>
      <c r="E4078" t="s">
        <v>35119</v>
      </c>
      <c r="F4078" t="s">
        <v>35120</v>
      </c>
      <c r="G4078" t="s">
        <v>1050</v>
      </c>
      <c r="H4078" t="s">
        <v>1051</v>
      </c>
      <c r="I4078" t="s">
        <v>451</v>
      </c>
      <c r="J4078" t="s">
        <v>22</v>
      </c>
      <c r="K4078" t="s">
        <v>35121</v>
      </c>
      <c r="L4078" t="s">
        <v>35124</v>
      </c>
      <c r="M4078" t="s">
        <v>25</v>
      </c>
      <c r="N4078" t="s">
        <v>35125</v>
      </c>
      <c r="O4078" t="s">
        <v>25</v>
      </c>
      <c r="P4078" t="s">
        <v>35126</v>
      </c>
      <c r="Q4078" t="s">
        <v>29</v>
      </c>
      <c r="R4078" t="s">
        <v>35122</v>
      </c>
      <c r="S4078" t="s">
        <v>35123</v>
      </c>
    </row>
    <row r="4079" spans="1:19" x14ac:dyDescent="0.25">
      <c r="A4079" s="1">
        <v>4077</v>
      </c>
      <c r="B4079" t="str">
        <f>HYPERLINK("https://www.dasschnelle.at/rinnhofer-johannes-manfred-hartberg-lebinggasse","Website")</f>
        <v>Website</v>
      </c>
      <c r="C4079" t="str">
        <f>HYPERLINK("http://www.jagdgeschaeft-rinnhofer.at","Website")</f>
        <v>Website</v>
      </c>
      <c r="D4079" t="str">
        <f>HYPERLINK("http://www.google.com/maps/place/47.26898,15.9667","Location")</f>
        <v>Location</v>
      </c>
      <c r="E4079" t="s">
        <v>35127</v>
      </c>
      <c r="F4079" t="s">
        <v>35128</v>
      </c>
      <c r="G4079" t="s">
        <v>1050</v>
      </c>
      <c r="H4079" t="s">
        <v>1051</v>
      </c>
      <c r="I4079" t="s">
        <v>451</v>
      </c>
      <c r="J4079" t="s">
        <v>22</v>
      </c>
      <c r="K4079" t="s">
        <v>35129</v>
      </c>
      <c r="L4079" t="s">
        <v>35132</v>
      </c>
      <c r="M4079" t="s">
        <v>25</v>
      </c>
      <c r="N4079" t="s">
        <v>35133</v>
      </c>
      <c r="O4079" t="s">
        <v>25</v>
      </c>
      <c r="P4079" t="s">
        <v>35134</v>
      </c>
      <c r="Q4079" t="s">
        <v>29</v>
      </c>
      <c r="R4079" t="s">
        <v>35130</v>
      </c>
      <c r="S4079" t="s">
        <v>35131</v>
      </c>
    </row>
    <row r="4080" spans="1:19" x14ac:dyDescent="0.25">
      <c r="A4080" s="1">
        <v>4078</v>
      </c>
      <c r="B4080" t="str">
        <f>HYPERLINK("https://www.dasschnelle.at/stocker-rene-gröbming-hauptstraße","Website")</f>
        <v>Website</v>
      </c>
      <c r="C4080" t="str">
        <f>HYPERLINK("http://www.echt-bauen.at","Website")</f>
        <v>Website</v>
      </c>
      <c r="D4080" t="str">
        <f>HYPERLINK("http://www.google.com/maps/place/47.44374,13.90185","Location")</f>
        <v>Location</v>
      </c>
      <c r="E4080" t="s">
        <v>35135</v>
      </c>
      <c r="F4080" t="s">
        <v>35136</v>
      </c>
      <c r="G4080" t="s">
        <v>8894</v>
      </c>
      <c r="H4080" t="s">
        <v>8895</v>
      </c>
      <c r="I4080" t="s">
        <v>451</v>
      </c>
      <c r="J4080" t="s">
        <v>22</v>
      </c>
      <c r="K4080" t="s">
        <v>35137</v>
      </c>
      <c r="L4080" t="s">
        <v>35140</v>
      </c>
      <c r="M4080" t="s">
        <v>25</v>
      </c>
      <c r="N4080" t="s">
        <v>35141</v>
      </c>
      <c r="O4080" t="s">
        <v>25</v>
      </c>
      <c r="P4080" t="s">
        <v>35142</v>
      </c>
      <c r="Q4080" t="s">
        <v>29</v>
      </c>
      <c r="R4080" t="s">
        <v>35138</v>
      </c>
      <c r="S4080" t="s">
        <v>35139</v>
      </c>
    </row>
    <row r="4081" spans="1:19" x14ac:dyDescent="0.25">
      <c r="A4081" s="1">
        <v>4079</v>
      </c>
      <c r="B4081" t="str">
        <f>HYPERLINK("https://www.dasschnelle.at/insamer-f-gesmbh-und-co-kg-andrichsfurt-albertsedt","Website")</f>
        <v>Website</v>
      </c>
      <c r="C4081" t="str">
        <f>HYPERLINK("http://www.insamer.at","Website")</f>
        <v>Website</v>
      </c>
      <c r="D4081" t="str">
        <f>HYPERLINK("http://www.google.com/maps/place/48.2615105,13.5114390","Location")</f>
        <v>Location</v>
      </c>
      <c r="E4081" t="s">
        <v>35143</v>
      </c>
      <c r="F4081" t="s">
        <v>35144</v>
      </c>
      <c r="G4081" t="s">
        <v>28328</v>
      </c>
      <c r="H4081" t="s">
        <v>28329</v>
      </c>
      <c r="I4081" t="s">
        <v>85</v>
      </c>
      <c r="J4081" t="s">
        <v>22</v>
      </c>
      <c r="K4081" t="s">
        <v>28327</v>
      </c>
      <c r="L4081" t="s">
        <v>28332</v>
      </c>
      <c r="M4081" t="s">
        <v>35145</v>
      </c>
      <c r="N4081" t="s">
        <v>28333</v>
      </c>
      <c r="O4081" t="s">
        <v>25</v>
      </c>
      <c r="P4081" t="s">
        <v>35146</v>
      </c>
      <c r="Q4081" t="s">
        <v>29</v>
      </c>
      <c r="R4081" t="s">
        <v>28330</v>
      </c>
      <c r="S4081" t="s">
        <v>28331</v>
      </c>
    </row>
    <row r="4082" spans="1:19" x14ac:dyDescent="0.25">
      <c r="A4082" s="1">
        <v>4080</v>
      </c>
      <c r="B4082" t="str">
        <f>HYPERLINK("https://www.dasschnelle.at/könig-autotechnik-hartberg-schildbach","Website")</f>
        <v>Website</v>
      </c>
      <c r="C4082" t="str">
        <f>HYPERLINK("http://www.auto-koenig.at","Website")</f>
        <v>Website</v>
      </c>
      <c r="D4082" t="str">
        <f>HYPERLINK("http://www.google.com/maps/place/47.2716322,15.9568367","Location")</f>
        <v>Location</v>
      </c>
      <c r="E4082" t="s">
        <v>35147</v>
      </c>
      <c r="F4082" t="s">
        <v>35148</v>
      </c>
      <c r="G4082" t="s">
        <v>1050</v>
      </c>
      <c r="H4082" t="s">
        <v>1051</v>
      </c>
      <c r="I4082" t="s">
        <v>451</v>
      </c>
      <c r="J4082" t="s">
        <v>22</v>
      </c>
      <c r="K4082" t="s">
        <v>35149</v>
      </c>
      <c r="L4082" t="s">
        <v>35152</v>
      </c>
      <c r="M4082" t="s">
        <v>35153</v>
      </c>
      <c r="N4082" t="s">
        <v>35154</v>
      </c>
      <c r="O4082" t="s">
        <v>25</v>
      </c>
      <c r="P4082" t="s">
        <v>35155</v>
      </c>
      <c r="Q4082" t="s">
        <v>29</v>
      </c>
      <c r="R4082" t="s">
        <v>35150</v>
      </c>
      <c r="S4082" t="s">
        <v>35151</v>
      </c>
    </row>
    <row r="4083" spans="1:19" x14ac:dyDescent="0.25">
      <c r="A4083" s="1">
        <v>4081</v>
      </c>
      <c r="B4083" t="str">
        <f>HYPERLINK("https://www.dasschnelle.at/loy-viktoria-gröbming-loyplatz","Website")</f>
        <v>Website</v>
      </c>
      <c r="C4083" t="str">
        <f>HYPERLINK("http://www.hotel-loy.at","Website")</f>
        <v>Website</v>
      </c>
      <c r="D4083" t="str">
        <f>HYPERLINK("http://www.google.com/maps/place/47.43964,13.90081","Location")</f>
        <v>Location</v>
      </c>
      <c r="E4083" t="s">
        <v>35156</v>
      </c>
      <c r="F4083" t="s">
        <v>35157</v>
      </c>
      <c r="G4083" t="s">
        <v>8894</v>
      </c>
      <c r="H4083" t="s">
        <v>8895</v>
      </c>
      <c r="I4083" t="s">
        <v>451</v>
      </c>
      <c r="J4083" t="s">
        <v>22</v>
      </c>
      <c r="K4083" t="s">
        <v>35158</v>
      </c>
      <c r="L4083" t="s">
        <v>35161</v>
      </c>
      <c r="M4083" t="s">
        <v>25</v>
      </c>
      <c r="N4083" t="s">
        <v>35162</v>
      </c>
      <c r="O4083" t="s">
        <v>25</v>
      </c>
      <c r="P4083" t="s">
        <v>35163</v>
      </c>
      <c r="Q4083" t="s">
        <v>29</v>
      </c>
      <c r="R4083" t="s">
        <v>35159</v>
      </c>
      <c r="S4083" t="s">
        <v>35160</v>
      </c>
    </row>
    <row r="4084" spans="1:19" x14ac:dyDescent="0.25">
      <c r="A4084" s="1">
        <v>4082</v>
      </c>
      <c r="B4084" t="str">
        <f>HYPERLINK("https://www.dasschnelle.at/hofer-innenausbau-gmbh-dorf-berg","Website")</f>
        <v>Website</v>
      </c>
      <c r="C4084" t="str">
        <f>HYPERLINK("http://www.estriche.cc","Website")</f>
        <v>Website</v>
      </c>
      <c r="D4084" t="str">
        <f>HYPERLINK("http://www.google.com/maps/place/48.51057,14.10432","Location")</f>
        <v>Location</v>
      </c>
      <c r="E4084" t="s">
        <v>35164</v>
      </c>
      <c r="F4084" t="s">
        <v>35165</v>
      </c>
      <c r="G4084" t="s">
        <v>8591</v>
      </c>
      <c r="H4084" t="s">
        <v>35167</v>
      </c>
      <c r="I4084" t="s">
        <v>85</v>
      </c>
      <c r="J4084" t="s">
        <v>22</v>
      </c>
      <c r="K4084" t="s">
        <v>35166</v>
      </c>
      <c r="L4084" t="s">
        <v>35170</v>
      </c>
      <c r="M4084" t="s">
        <v>25</v>
      </c>
      <c r="N4084" t="s">
        <v>35171</v>
      </c>
      <c r="O4084" t="s">
        <v>25</v>
      </c>
      <c r="P4084" t="s">
        <v>35172</v>
      </c>
      <c r="Q4084" t="s">
        <v>29</v>
      </c>
      <c r="R4084" t="s">
        <v>35168</v>
      </c>
      <c r="S4084" t="s">
        <v>35169</v>
      </c>
    </row>
    <row r="4085" spans="1:19" x14ac:dyDescent="0.25">
      <c r="A4085" s="1">
        <v>4083</v>
      </c>
      <c r="B4085" t="str">
        <f>HYPERLINK("https://www.dasschnelle.at/ing-josef-ehrenreich-unzmarkt-kirchengasse","Website")</f>
        <v>Website</v>
      </c>
      <c r="C4085" t="str">
        <f>HYPERLINK("http://www.ehrenreich-der-bestatter.at","Website")</f>
        <v>Website</v>
      </c>
      <c r="D4085" t="str">
        <f>HYPERLINK("http://www.google.com/maps/place/47.20289,14.44938","Location")</f>
        <v>Location</v>
      </c>
      <c r="E4085" t="s">
        <v>35173</v>
      </c>
      <c r="F4085" t="s">
        <v>35174</v>
      </c>
      <c r="G4085" t="s">
        <v>35176</v>
      </c>
      <c r="H4085" t="s">
        <v>35177</v>
      </c>
      <c r="I4085" t="s">
        <v>451</v>
      </c>
      <c r="J4085" t="s">
        <v>22</v>
      </c>
      <c r="K4085" t="s">
        <v>35175</v>
      </c>
      <c r="L4085" t="s">
        <v>35180</v>
      </c>
      <c r="M4085" t="s">
        <v>25</v>
      </c>
      <c r="N4085" t="s">
        <v>35181</v>
      </c>
      <c r="O4085" t="s">
        <v>25</v>
      </c>
      <c r="P4085" t="s">
        <v>35182</v>
      </c>
      <c r="Q4085" t="s">
        <v>29</v>
      </c>
      <c r="R4085" t="s">
        <v>35178</v>
      </c>
      <c r="S4085" t="s">
        <v>35179</v>
      </c>
    </row>
    <row r="4086" spans="1:19" x14ac:dyDescent="0.25">
      <c r="A4086" s="1">
        <v>4084</v>
      </c>
      <c r="B4086" t="str">
        <f>HYPERLINK("https://www.dasschnelle.at/kraftfahrzeuge-winkler-gmbh-und-cokg-rohrbach-krankenhausstraße","Website")</f>
        <v>Website</v>
      </c>
      <c r="C4086" t="str">
        <f>HYPERLINK("http://www.winkler.co.at","Website")</f>
        <v>Website</v>
      </c>
      <c r="D4086" t="str">
        <f>HYPERLINK("http://www.google.com/maps/place/48.5669956,13.9901416","Location")</f>
        <v>Location</v>
      </c>
      <c r="E4086" t="s">
        <v>35183</v>
      </c>
      <c r="F4086" t="s">
        <v>35184</v>
      </c>
      <c r="G4086" t="s">
        <v>8561</v>
      </c>
      <c r="H4086" t="s">
        <v>8562</v>
      </c>
      <c r="I4086" t="s">
        <v>85</v>
      </c>
      <c r="J4086" t="s">
        <v>22</v>
      </c>
      <c r="K4086" t="s">
        <v>35185</v>
      </c>
      <c r="L4086" t="s">
        <v>35188</v>
      </c>
      <c r="M4086" t="s">
        <v>35189</v>
      </c>
      <c r="N4086" t="s">
        <v>35190</v>
      </c>
      <c r="O4086" t="s">
        <v>25</v>
      </c>
      <c r="P4086" t="s">
        <v>35191</v>
      </c>
      <c r="Q4086" t="s">
        <v>29</v>
      </c>
      <c r="R4086" t="s">
        <v>35186</v>
      </c>
      <c r="S4086" t="s">
        <v>35187</v>
      </c>
    </row>
    <row r="4087" spans="1:19" x14ac:dyDescent="0.25">
      <c r="A4087" s="1">
        <v>4085</v>
      </c>
      <c r="B4087" t="str">
        <f>HYPERLINK("https://www.dasschnelle.at/bayer-glastechnik-gmbh-kleinzell-apfelsbach","Website")</f>
        <v>Website</v>
      </c>
      <c r="C4087" t="str">
        <f>HYPERLINK("http://www.bayer-glastechnik.at","Website")</f>
        <v>Website</v>
      </c>
      <c r="D4087" t="str">
        <f>HYPERLINK("http://www.google.com/maps/place/48.4644560,14.0229226","Location")</f>
        <v>Location</v>
      </c>
      <c r="E4087" t="s">
        <v>35192</v>
      </c>
      <c r="F4087" t="s">
        <v>35193</v>
      </c>
      <c r="G4087" t="s">
        <v>35195</v>
      </c>
      <c r="H4087" t="s">
        <v>35196</v>
      </c>
      <c r="I4087" t="s">
        <v>85</v>
      </c>
      <c r="J4087" t="s">
        <v>22</v>
      </c>
      <c r="K4087" t="s">
        <v>35194</v>
      </c>
      <c r="L4087" t="s">
        <v>35199</v>
      </c>
      <c r="M4087" t="s">
        <v>25</v>
      </c>
      <c r="N4087" t="s">
        <v>35200</v>
      </c>
      <c r="O4087" t="s">
        <v>35201</v>
      </c>
      <c r="P4087" t="s">
        <v>35202</v>
      </c>
      <c r="Q4087" t="s">
        <v>29</v>
      </c>
      <c r="R4087" t="s">
        <v>35197</v>
      </c>
      <c r="S4087" t="s">
        <v>35198</v>
      </c>
    </row>
    <row r="4088" spans="1:19" x14ac:dyDescent="0.25">
      <c r="A4088" s="1">
        <v>4086</v>
      </c>
      <c r="B4088" t="str">
        <f>HYPERLINK("https://www.dasschnelle.at/rechberger-kg-sankt-martin-mühlkreis-landshaager-straße","Website")</f>
        <v>Website</v>
      </c>
      <c r="C4088" t="str">
        <f>HYPERLINK("http://www.uniqa.at","Website")</f>
        <v>Website</v>
      </c>
      <c r="D4088" t="str">
        <f>HYPERLINK("http://www.google.com/maps/place/48.4154,14.03988","Location")</f>
        <v>Location</v>
      </c>
      <c r="E4088" t="s">
        <v>35203</v>
      </c>
      <c r="F4088" t="s">
        <v>35204</v>
      </c>
      <c r="G4088" t="s">
        <v>35206</v>
      </c>
      <c r="H4088" t="s">
        <v>35207</v>
      </c>
      <c r="I4088" t="s">
        <v>85</v>
      </c>
      <c r="J4088" t="s">
        <v>22</v>
      </c>
      <c r="K4088" t="s">
        <v>35205</v>
      </c>
      <c r="L4088" t="s">
        <v>35210</v>
      </c>
      <c r="M4088" t="s">
        <v>25</v>
      </c>
      <c r="N4088" t="s">
        <v>35211</v>
      </c>
      <c r="O4088" t="s">
        <v>25</v>
      </c>
      <c r="P4088" t="s">
        <v>35212</v>
      </c>
      <c r="Q4088" t="s">
        <v>29</v>
      </c>
      <c r="R4088" t="s">
        <v>35208</v>
      </c>
      <c r="S4088" t="s">
        <v>35209</v>
      </c>
    </row>
    <row r="4089" spans="1:19" x14ac:dyDescent="0.25">
      <c r="A4089" s="1">
        <v>4087</v>
      </c>
      <c r="B4089" t="str">
        <f>HYPERLINK("https://www.dasschnelle.at/wöhrer-stefan-st-martin-im-mühlkreis-markt","Website")</f>
        <v>Website</v>
      </c>
      <c r="C4089" t="str">
        <f>HYPERLINK("http://www.woehrer.co.at","Website")</f>
        <v>Website</v>
      </c>
      <c r="D4089" t="str">
        <f>HYPERLINK("http://www.google.com/maps/place/48.4159500,14.0393100","Location")</f>
        <v>Location</v>
      </c>
      <c r="E4089" t="s">
        <v>35213</v>
      </c>
      <c r="F4089" t="s">
        <v>35214</v>
      </c>
      <c r="G4089" t="s">
        <v>35206</v>
      </c>
      <c r="H4089" t="s">
        <v>35215</v>
      </c>
      <c r="I4089" t="s">
        <v>85</v>
      </c>
      <c r="J4089" t="s">
        <v>22</v>
      </c>
      <c r="K4089" t="s">
        <v>6442</v>
      </c>
      <c r="L4089" t="s">
        <v>35218</v>
      </c>
      <c r="M4089" t="s">
        <v>25</v>
      </c>
      <c r="N4089" t="s">
        <v>35219</v>
      </c>
      <c r="O4089" t="s">
        <v>25</v>
      </c>
      <c r="P4089" t="s">
        <v>35220</v>
      </c>
      <c r="Q4089" t="s">
        <v>29</v>
      </c>
      <c r="R4089" t="s">
        <v>35216</v>
      </c>
      <c r="S4089" t="s">
        <v>35217</v>
      </c>
    </row>
    <row r="4090" spans="1:19" x14ac:dyDescent="0.25">
      <c r="A4090" s="1">
        <v>4088</v>
      </c>
      <c r="B4090" t="str">
        <f>HYPERLINK("https://www.dasschnelle.at/schuhe-und-orthopädie-würfl-gmbh-rohrbach-stadtplatz","Website")</f>
        <v>Website</v>
      </c>
      <c r="C4090" t="str">
        <f>HYPERLINK("http://www.wuerfl-schuhe.at","Website")</f>
        <v>Website</v>
      </c>
      <c r="D4090" t="str">
        <f>HYPERLINK("http://www.google.com/maps/place/48.5713454,13.9923906","Location")</f>
        <v>Location</v>
      </c>
      <c r="E4090" t="s">
        <v>35221</v>
      </c>
      <c r="F4090" t="s">
        <v>35222</v>
      </c>
      <c r="G4090" t="s">
        <v>8561</v>
      </c>
      <c r="H4090" t="s">
        <v>8562</v>
      </c>
      <c r="I4090" t="s">
        <v>85</v>
      </c>
      <c r="J4090" t="s">
        <v>22</v>
      </c>
      <c r="K4090" t="s">
        <v>29397</v>
      </c>
      <c r="L4090" t="s">
        <v>35225</v>
      </c>
      <c r="M4090" t="s">
        <v>35226</v>
      </c>
      <c r="N4090" t="s">
        <v>35227</v>
      </c>
      <c r="O4090" t="s">
        <v>25</v>
      </c>
      <c r="P4090" t="s">
        <v>35228</v>
      </c>
      <c r="Q4090" t="s">
        <v>29</v>
      </c>
      <c r="R4090" t="s">
        <v>35223</v>
      </c>
      <c r="S4090" t="s">
        <v>35224</v>
      </c>
    </row>
    <row r="4091" spans="1:19" x14ac:dyDescent="0.25">
      <c r="A4091" s="1">
        <v>4089</v>
      </c>
      <c r="B4091" t="str">
        <f>HYPERLINK("https://www.dasschnelle.at/katzinger-landtechnik-gmbh-arnreit-arnreit","Website")</f>
        <v>Website</v>
      </c>
      <c r="C4091" t="str">
        <f>HYPERLINK("http://www.katzinger-landtechnik.at","Website")</f>
        <v>Website</v>
      </c>
      <c r="D4091" t="str">
        <f>HYPERLINK("http://www.google.com/maps/place/48.5227750,13.9955600","Location")</f>
        <v>Location</v>
      </c>
      <c r="E4091" t="s">
        <v>35229</v>
      </c>
      <c r="F4091" t="s">
        <v>35230</v>
      </c>
      <c r="G4091" t="s">
        <v>8601</v>
      </c>
      <c r="H4091" t="s">
        <v>8602</v>
      </c>
      <c r="I4091" t="s">
        <v>85</v>
      </c>
      <c r="J4091" t="s">
        <v>22</v>
      </c>
      <c r="K4091" t="s">
        <v>35231</v>
      </c>
      <c r="L4091" t="s">
        <v>35234</v>
      </c>
      <c r="M4091" t="s">
        <v>25</v>
      </c>
      <c r="N4091" t="s">
        <v>35235</v>
      </c>
      <c r="O4091" t="s">
        <v>25</v>
      </c>
      <c r="P4091" t="s">
        <v>35236</v>
      </c>
      <c r="Q4091" t="s">
        <v>29</v>
      </c>
      <c r="R4091" t="s">
        <v>35232</v>
      </c>
      <c r="S4091" t="s">
        <v>35233</v>
      </c>
    </row>
    <row r="4092" spans="1:19" x14ac:dyDescent="0.25">
      <c r="A4092" s="1">
        <v>4090</v>
      </c>
      <c r="B4092" t="str">
        <f>HYPERLINK("https://www.dasschnelle.at/hehenberger-metalltechnik-e-u-aigen-schlägl-am-teich","Website")</f>
        <v>Website</v>
      </c>
      <c r="C4092" t="str">
        <f>HYPERLINK("http://www.hehenberger-metall.at","Website")</f>
        <v>Website</v>
      </c>
      <c r="D4092" t="str">
        <f>HYPERLINK("http://www.google.com/maps/place/48.6372,13.97427","Location")</f>
        <v>Location</v>
      </c>
      <c r="E4092" t="s">
        <v>35237</v>
      </c>
      <c r="F4092" t="s">
        <v>35238</v>
      </c>
      <c r="G4092" t="s">
        <v>8581</v>
      </c>
      <c r="H4092" t="s">
        <v>8582</v>
      </c>
      <c r="I4092" t="s">
        <v>85</v>
      </c>
      <c r="J4092" t="s">
        <v>22</v>
      </c>
      <c r="K4092" t="s">
        <v>35239</v>
      </c>
      <c r="L4092" t="s">
        <v>35242</v>
      </c>
      <c r="M4092" t="s">
        <v>25</v>
      </c>
      <c r="N4092" t="s">
        <v>35243</v>
      </c>
      <c r="O4092" t="s">
        <v>25</v>
      </c>
      <c r="P4092" t="s">
        <v>35244</v>
      </c>
      <c r="Q4092" t="s">
        <v>29</v>
      </c>
      <c r="R4092" t="s">
        <v>35240</v>
      </c>
      <c r="S4092" t="s">
        <v>35241</v>
      </c>
    </row>
    <row r="4093" spans="1:19" x14ac:dyDescent="0.25">
      <c r="A4093" s="1">
        <v>4091</v>
      </c>
      <c r="B4093" t="str">
        <f>HYPERLINK("https://www.dasschnelle.at/autohaus-leibetseder-gmbh-rohrbach-scheiblberg","Website")</f>
        <v>Website</v>
      </c>
      <c r="C4093" t="str">
        <f>HYPERLINK("http://www.leibetseder.co.at","Website")</f>
        <v>Website</v>
      </c>
      <c r="D4093" t="str">
        <f>HYPERLINK("http://www.google.com/maps/place/48.5589743,13.9893763","Location")</f>
        <v>Location</v>
      </c>
      <c r="E4093" t="s">
        <v>35245</v>
      </c>
      <c r="F4093" t="s">
        <v>35246</v>
      </c>
      <c r="G4093" t="s">
        <v>8561</v>
      </c>
      <c r="H4093" t="s">
        <v>8562</v>
      </c>
      <c r="I4093" t="s">
        <v>85</v>
      </c>
      <c r="J4093" t="s">
        <v>22</v>
      </c>
      <c r="K4093" t="s">
        <v>35247</v>
      </c>
      <c r="L4093" t="s">
        <v>35250</v>
      </c>
      <c r="M4093" t="s">
        <v>35251</v>
      </c>
      <c r="N4093" t="s">
        <v>35252</v>
      </c>
      <c r="O4093" t="s">
        <v>25</v>
      </c>
      <c r="P4093" t="s">
        <v>35253</v>
      </c>
      <c r="Q4093" t="s">
        <v>29</v>
      </c>
      <c r="R4093" t="s">
        <v>35248</v>
      </c>
      <c r="S4093" t="s">
        <v>35249</v>
      </c>
    </row>
    <row r="4094" spans="1:19" x14ac:dyDescent="0.25">
      <c r="A4094" s="1">
        <v>4092</v>
      </c>
      <c r="B4094" t="str">
        <f>HYPERLINK("https://www.dasschnelle.at/fleischerei-bitter-gmbh-aigen-im-mühlkreis-marktplatz","Website")</f>
        <v>Website</v>
      </c>
      <c r="C4094" t="str">
        <f>HYPERLINK("http://www.bitter.co.at","Website")</f>
        <v>Website</v>
      </c>
      <c r="D4094" t="str">
        <f>HYPERLINK("http://www.google.com/maps/place/48.6465472,13.9709483","Location")</f>
        <v>Location</v>
      </c>
      <c r="E4094" t="s">
        <v>35254</v>
      </c>
      <c r="F4094" t="s">
        <v>35255</v>
      </c>
      <c r="G4094" t="s">
        <v>8581</v>
      </c>
      <c r="H4094" t="s">
        <v>35257</v>
      </c>
      <c r="I4094" t="s">
        <v>85</v>
      </c>
      <c r="J4094" t="s">
        <v>22</v>
      </c>
      <c r="K4094" t="s">
        <v>35256</v>
      </c>
      <c r="L4094" t="s">
        <v>35260</v>
      </c>
      <c r="M4094" t="s">
        <v>25</v>
      </c>
      <c r="N4094" t="s">
        <v>35261</v>
      </c>
      <c r="O4094" t="s">
        <v>25</v>
      </c>
      <c r="P4094" t="s">
        <v>35262</v>
      </c>
      <c r="Q4094" t="s">
        <v>29</v>
      </c>
      <c r="R4094" t="s">
        <v>35258</v>
      </c>
      <c r="S4094" t="s">
        <v>35259</v>
      </c>
    </row>
    <row r="4095" spans="1:19" x14ac:dyDescent="0.25">
      <c r="A4095" s="1">
        <v>4093</v>
      </c>
      <c r="B4095" t="str">
        <f>HYPERLINK("https://www.dasschnelle.at/simader-steinmetzbetrieb-rohrbach-bahnhofstraße","Website")</f>
        <v>Website</v>
      </c>
      <c r="C4095" t="str">
        <f>HYPERLINK("http://www.simader-steinmetz.at","Website")</f>
        <v>Website</v>
      </c>
      <c r="D4095" t="str">
        <f>HYPERLINK("http://www.google.com/maps/place/48.5769670,13.9900130","Location")</f>
        <v>Location</v>
      </c>
      <c r="E4095" t="s">
        <v>35263</v>
      </c>
      <c r="F4095" t="s">
        <v>35264</v>
      </c>
      <c r="G4095" t="s">
        <v>8561</v>
      </c>
      <c r="H4095" t="s">
        <v>8562</v>
      </c>
      <c r="I4095" t="s">
        <v>85</v>
      </c>
      <c r="J4095" t="s">
        <v>22</v>
      </c>
      <c r="K4095" t="s">
        <v>28205</v>
      </c>
      <c r="L4095" t="s">
        <v>35267</v>
      </c>
      <c r="M4095" t="s">
        <v>25</v>
      </c>
      <c r="N4095" t="s">
        <v>35268</v>
      </c>
      <c r="O4095" t="s">
        <v>25</v>
      </c>
      <c r="P4095" t="s">
        <v>35269</v>
      </c>
      <c r="Q4095" t="s">
        <v>29</v>
      </c>
      <c r="R4095" t="s">
        <v>35265</v>
      </c>
      <c r="S4095" t="s">
        <v>35266</v>
      </c>
    </row>
    <row r="4096" spans="1:19" x14ac:dyDescent="0.25">
      <c r="A4096" s="1">
        <v>4094</v>
      </c>
      <c r="B4096" t="str">
        <f>HYPERLINK("https://www.dasschnelle.at/elektrotechnik-ofner-gmbh-teufenbach-bahnhofstraße","Website")</f>
        <v>Website</v>
      </c>
      <c r="C4096" t="str">
        <f>HYPERLINK("http://www.eo-ofner.at","Website")</f>
        <v>Website</v>
      </c>
      <c r="D4096" t="str">
        <f>HYPERLINK("http://www.google.com/maps/place/47.13503,14.36573","Location")</f>
        <v>Location</v>
      </c>
      <c r="E4096" t="s">
        <v>35270</v>
      </c>
      <c r="F4096" t="s">
        <v>35271</v>
      </c>
      <c r="G4096" t="s">
        <v>12181</v>
      </c>
      <c r="H4096" t="s">
        <v>12182</v>
      </c>
      <c r="I4096" t="s">
        <v>451</v>
      </c>
      <c r="J4096" t="s">
        <v>22</v>
      </c>
      <c r="K4096" t="s">
        <v>15748</v>
      </c>
      <c r="L4096" t="s">
        <v>35274</v>
      </c>
      <c r="M4096" t="s">
        <v>35275</v>
      </c>
      <c r="N4096" t="s">
        <v>35276</v>
      </c>
      <c r="O4096" t="s">
        <v>25</v>
      </c>
      <c r="P4096" t="s">
        <v>35277</v>
      </c>
      <c r="Q4096" t="s">
        <v>29</v>
      </c>
      <c r="R4096" t="s">
        <v>35272</v>
      </c>
      <c r="S4096" t="s">
        <v>35273</v>
      </c>
    </row>
    <row r="4097" spans="1:19" x14ac:dyDescent="0.25">
      <c r="A4097" s="1">
        <v>4095</v>
      </c>
      <c r="B4097" t="str">
        <f>HYPERLINK("https://www.dasschnelle.at/hollerer-christina-murau-schwarzenbergsiedlung","Website")</f>
        <v>Website</v>
      </c>
      <c r="C4097" t="str">
        <f>HYPERLINK("http://www.blu00fctenzauber-murau.at","Website")</f>
        <v>Website</v>
      </c>
      <c r="D4097" t="str">
        <f>HYPERLINK("http://www.google.com/maps/place/47.11362,14.17995","Location")</f>
        <v>Location</v>
      </c>
      <c r="E4097" t="s">
        <v>35278</v>
      </c>
      <c r="F4097" t="s">
        <v>35279</v>
      </c>
      <c r="G4097" t="s">
        <v>12112</v>
      </c>
      <c r="H4097" t="s">
        <v>12113</v>
      </c>
      <c r="I4097" t="s">
        <v>451</v>
      </c>
      <c r="J4097" t="s">
        <v>22</v>
      </c>
      <c r="K4097" t="s">
        <v>35280</v>
      </c>
      <c r="L4097" t="s">
        <v>35283</v>
      </c>
      <c r="M4097" t="s">
        <v>25</v>
      </c>
      <c r="N4097" t="s">
        <v>35284</v>
      </c>
      <c r="O4097" t="s">
        <v>25</v>
      </c>
      <c r="P4097" t="s">
        <v>35285</v>
      </c>
      <c r="Q4097" t="s">
        <v>29</v>
      </c>
      <c r="R4097" t="s">
        <v>35281</v>
      </c>
      <c r="S4097" t="s">
        <v>35282</v>
      </c>
    </row>
    <row r="4098" spans="1:19" x14ac:dyDescent="0.25">
      <c r="A4098" s="1">
        <v>4096</v>
      </c>
      <c r="B4098" t="str">
        <f>HYPERLINK("https://www.dasschnelle.at/mamo-gmbh-murau-bundesstraße","Website")</f>
        <v>Website</v>
      </c>
      <c r="C4098" t="str">
        <f>HYPERLINK("http://www.holzfachmarkt-murau.at","Website")</f>
        <v>Website</v>
      </c>
      <c r="D4098" t="str">
        <f>HYPERLINK("http://www.google.com/maps/place/47.11443,14.17234","Location")</f>
        <v>Location</v>
      </c>
      <c r="E4098" t="s">
        <v>35286</v>
      </c>
      <c r="F4098" t="s">
        <v>35287</v>
      </c>
      <c r="G4098" t="s">
        <v>12112</v>
      </c>
      <c r="H4098" t="s">
        <v>12113</v>
      </c>
      <c r="I4098" t="s">
        <v>451</v>
      </c>
      <c r="J4098" t="s">
        <v>22</v>
      </c>
      <c r="K4098" t="s">
        <v>12209</v>
      </c>
      <c r="L4098" t="s">
        <v>35288</v>
      </c>
      <c r="M4098" t="s">
        <v>35289</v>
      </c>
      <c r="N4098" t="s">
        <v>35290</v>
      </c>
      <c r="O4098" t="s">
        <v>35291</v>
      </c>
      <c r="P4098" t="s">
        <v>35292</v>
      </c>
      <c r="Q4098" t="s">
        <v>29</v>
      </c>
      <c r="R4098" t="s">
        <v>12210</v>
      </c>
      <c r="S4098" t="s">
        <v>12211</v>
      </c>
    </row>
    <row r="4099" spans="1:19" x14ac:dyDescent="0.25">
      <c r="A4099" s="1">
        <v>4097</v>
      </c>
      <c r="B4099" t="str">
        <f>HYPERLINK("https://www.dasschnelle.at/ms-elektro-gmbh-hartberg-bahnhofstraße","Website")</f>
        <v>Website</v>
      </c>
      <c r="C4099" t="str">
        <f>HYPERLINK("https://www.dasschnelle.at/ms-elektro-gmbh-hartberg-bahnhofstra%C3%9Fe","Website")</f>
        <v>Website</v>
      </c>
      <c r="D4099" t="str">
        <f>HYPERLINK("http://www.google.com/maps/place/47.2817100,15.9805900","Location")</f>
        <v>Location</v>
      </c>
      <c r="E4099" t="s">
        <v>35293</v>
      </c>
      <c r="F4099" t="s">
        <v>35294</v>
      </c>
      <c r="G4099" t="s">
        <v>1050</v>
      </c>
      <c r="H4099" t="s">
        <v>1051</v>
      </c>
      <c r="I4099" t="s">
        <v>451</v>
      </c>
      <c r="J4099" t="s">
        <v>22</v>
      </c>
      <c r="K4099" t="s">
        <v>35295</v>
      </c>
      <c r="L4099" t="s">
        <v>35298</v>
      </c>
      <c r="M4099" t="s">
        <v>25</v>
      </c>
      <c r="N4099" t="s">
        <v>35299</v>
      </c>
      <c r="O4099" t="s">
        <v>35300</v>
      </c>
      <c r="P4099" t="s">
        <v>697</v>
      </c>
      <c r="Q4099" t="s">
        <v>29</v>
      </c>
      <c r="R4099" t="s">
        <v>35296</v>
      </c>
      <c r="S4099" t="s">
        <v>35297</v>
      </c>
    </row>
    <row r="4100" spans="1:19" x14ac:dyDescent="0.25">
      <c r="A4100" s="1">
        <v>4098</v>
      </c>
      <c r="B4100" t="str">
        <f>HYPERLINK("https://www.dasschnelle.at/stögerer-gmbh-pinggau-am-sonnenhang","Website")</f>
        <v>Website</v>
      </c>
      <c r="C4100" t="str">
        <f>HYPERLINK("http://www.bestattungen.co.at","Website")</f>
        <v>Website</v>
      </c>
      <c r="D4100" t="str">
        <f>HYPERLINK("http://www.google.com/maps/place/47.4384460,16.0766146","Location")</f>
        <v>Location</v>
      </c>
      <c r="E4100" t="s">
        <v>35301</v>
      </c>
      <c r="F4100" t="s">
        <v>35302</v>
      </c>
      <c r="G4100" t="s">
        <v>21695</v>
      </c>
      <c r="H4100" t="s">
        <v>35303</v>
      </c>
      <c r="I4100" t="s">
        <v>451</v>
      </c>
      <c r="J4100" t="s">
        <v>22</v>
      </c>
      <c r="K4100" t="s">
        <v>21694</v>
      </c>
      <c r="L4100" t="s">
        <v>21699</v>
      </c>
      <c r="M4100" t="s">
        <v>25</v>
      </c>
      <c r="N4100" t="s">
        <v>21700</v>
      </c>
      <c r="O4100" t="s">
        <v>25</v>
      </c>
      <c r="P4100" t="s">
        <v>35304</v>
      </c>
      <c r="Q4100" t="s">
        <v>29</v>
      </c>
      <c r="R4100" t="s">
        <v>21697</v>
      </c>
      <c r="S4100" t="s">
        <v>21698</v>
      </c>
    </row>
    <row r="4101" spans="1:19" x14ac:dyDescent="0.25">
      <c r="A4101" s="1">
        <v>4099</v>
      </c>
      <c r="B4101" t="str">
        <f>HYPERLINK("https://www.dasschnelle.at/letmaier-gröbming-baugesmbh-gröbming-stoderstraße","Website")</f>
        <v>Website</v>
      </c>
      <c r="C4101" t="str">
        <f>HYPERLINK("http://www.letmaier.at","Website")</f>
        <v>Website</v>
      </c>
      <c r="D4101" t="str">
        <f>HYPERLINK("http://www.google.com/maps/place/47.44597,13.89518","Location")</f>
        <v>Location</v>
      </c>
      <c r="E4101" t="s">
        <v>35305</v>
      </c>
      <c r="F4101" t="s">
        <v>35306</v>
      </c>
      <c r="G4101" t="s">
        <v>8894</v>
      </c>
      <c r="H4101" t="s">
        <v>8895</v>
      </c>
      <c r="I4101" t="s">
        <v>451</v>
      </c>
      <c r="J4101" t="s">
        <v>22</v>
      </c>
      <c r="K4101" t="s">
        <v>35307</v>
      </c>
      <c r="L4101" t="s">
        <v>35310</v>
      </c>
      <c r="M4101" t="s">
        <v>35311</v>
      </c>
      <c r="N4101" t="s">
        <v>35312</v>
      </c>
      <c r="O4101" t="s">
        <v>25</v>
      </c>
      <c r="P4101" t="s">
        <v>35313</v>
      </c>
      <c r="Q4101" t="s">
        <v>29</v>
      </c>
      <c r="R4101" t="s">
        <v>35308</v>
      </c>
      <c r="S4101" t="s">
        <v>35309</v>
      </c>
    </row>
    <row r="4102" spans="1:19" x14ac:dyDescent="0.25">
      <c r="A4102" s="1">
        <v>4100</v>
      </c>
      <c r="B4102" t="str">
        <f>HYPERLINK("https://www.dasschnelle.at/sümbül-hasan-gröbming-hauptstraße","Website")</f>
        <v>Website</v>
      </c>
      <c r="C4102" t="str">
        <f>HYPERLINK("http://www.bellaitalia-groebming.at","Website")</f>
        <v>Website</v>
      </c>
      <c r="D4102" t="str">
        <f>HYPERLINK("http://www.google.com/maps/place/47.449,13.9045","Location")</f>
        <v>Location</v>
      </c>
      <c r="E4102" t="s">
        <v>35314</v>
      </c>
      <c r="F4102" t="s">
        <v>35315</v>
      </c>
      <c r="G4102" t="s">
        <v>8894</v>
      </c>
      <c r="H4102" t="s">
        <v>8895</v>
      </c>
      <c r="I4102" t="s">
        <v>451</v>
      </c>
      <c r="J4102" t="s">
        <v>22</v>
      </c>
      <c r="K4102" t="s">
        <v>35316</v>
      </c>
      <c r="L4102" t="s">
        <v>35319</v>
      </c>
      <c r="M4102" t="s">
        <v>25</v>
      </c>
      <c r="N4102" t="s">
        <v>35320</v>
      </c>
      <c r="O4102" t="s">
        <v>25</v>
      </c>
      <c r="P4102" t="s">
        <v>35321</v>
      </c>
      <c r="Q4102" t="s">
        <v>29</v>
      </c>
      <c r="R4102" t="s">
        <v>35317</v>
      </c>
      <c r="S4102" t="s">
        <v>35318</v>
      </c>
    </row>
    <row r="4103" spans="1:19" x14ac:dyDescent="0.25">
      <c r="A4103" s="1">
        <v>4101</v>
      </c>
      <c r="B4103" t="str">
        <f>HYPERLINK("https://www.dasschnelle.at/bammer-reinhold-sankt-martin-im-mühlkreis-aubachweg","Website")</f>
        <v>Website</v>
      </c>
      <c r="C4103" t="str">
        <f>HYPERLINK("http://www.malerei-bammer.at","Website")</f>
        <v>Website</v>
      </c>
      <c r="D4103" t="str">
        <f>HYPERLINK("http://www.google.com/maps/place/48.4214800,14.0432800","Location")</f>
        <v>Location</v>
      </c>
      <c r="E4103" t="s">
        <v>35322</v>
      </c>
      <c r="F4103" t="s">
        <v>35323</v>
      </c>
      <c r="G4103" t="s">
        <v>35206</v>
      </c>
      <c r="H4103" t="s">
        <v>35325</v>
      </c>
      <c r="I4103" t="s">
        <v>85</v>
      </c>
      <c r="J4103" t="s">
        <v>22</v>
      </c>
      <c r="K4103" t="s">
        <v>35324</v>
      </c>
      <c r="L4103" t="s">
        <v>35328</v>
      </c>
      <c r="M4103" t="s">
        <v>25</v>
      </c>
      <c r="N4103" t="s">
        <v>35329</v>
      </c>
      <c r="O4103" t="s">
        <v>25</v>
      </c>
      <c r="P4103" t="s">
        <v>35330</v>
      </c>
      <c r="Q4103" t="s">
        <v>29</v>
      </c>
      <c r="R4103" t="s">
        <v>35326</v>
      </c>
      <c r="S4103" t="s">
        <v>35327</v>
      </c>
    </row>
    <row r="4104" spans="1:19" x14ac:dyDescent="0.25">
      <c r="A4104" s="1">
        <v>4102</v>
      </c>
      <c r="B4104" t="str">
        <f>HYPERLINK("https://www.dasschnelle.at/nic-building-systems-gmbh-niederkappel-gewerbepark","Website")</f>
        <v>Website</v>
      </c>
      <c r="C4104" t="str">
        <f>HYPERLINK("http://www.nicbuilding.at","Website")</f>
        <v>Website</v>
      </c>
      <c r="D4104" t="str">
        <f>HYPERLINK("http://www.google.com/maps/place/48.48928,13.8988","Location")</f>
        <v>Location</v>
      </c>
      <c r="E4104" t="s">
        <v>35331</v>
      </c>
      <c r="F4104" t="s">
        <v>35332</v>
      </c>
      <c r="G4104" t="s">
        <v>35333</v>
      </c>
      <c r="H4104" t="s">
        <v>35334</v>
      </c>
      <c r="I4104" t="s">
        <v>85</v>
      </c>
      <c r="J4104" t="s">
        <v>22</v>
      </c>
      <c r="K4104" t="s">
        <v>28013</v>
      </c>
      <c r="L4104" t="s">
        <v>35337</v>
      </c>
      <c r="M4104" t="s">
        <v>25</v>
      </c>
      <c r="N4104" t="s">
        <v>35338</v>
      </c>
      <c r="O4104" t="s">
        <v>35339</v>
      </c>
      <c r="P4104" t="s">
        <v>35340</v>
      </c>
      <c r="Q4104" t="s">
        <v>29</v>
      </c>
      <c r="R4104" t="s">
        <v>35335</v>
      </c>
      <c r="S4104" t="s">
        <v>35336</v>
      </c>
    </row>
    <row r="4105" spans="1:19" x14ac:dyDescent="0.25">
      <c r="A4105" s="1">
        <v>4103</v>
      </c>
      <c r="B4105" t="str">
        <f>HYPERLINK("https://www.dasschnelle.at/vermessung-withalm-und-hochstöger-zt-og-freistadt-schulgasse","Website")</f>
        <v>Website</v>
      </c>
      <c r="C4105" t="str">
        <f>HYPERLINK("http://www.vermessung-freistadt.at","Website")</f>
        <v>Website</v>
      </c>
      <c r="D4105" t="str">
        <f>HYPERLINK("http://www.google.com/maps/place/48.51071,14.50486","Location")</f>
        <v>Location</v>
      </c>
      <c r="E4105" t="s">
        <v>35341</v>
      </c>
      <c r="F4105" t="s">
        <v>35342</v>
      </c>
      <c r="G4105" t="s">
        <v>6891</v>
      </c>
      <c r="H4105" t="s">
        <v>6892</v>
      </c>
      <c r="I4105" t="s">
        <v>85</v>
      </c>
      <c r="J4105" t="s">
        <v>22</v>
      </c>
      <c r="K4105" t="s">
        <v>31612</v>
      </c>
      <c r="L4105" t="s">
        <v>35345</v>
      </c>
      <c r="M4105" t="s">
        <v>25</v>
      </c>
      <c r="N4105" t="s">
        <v>35346</v>
      </c>
      <c r="O4105" t="s">
        <v>25</v>
      </c>
      <c r="P4105" t="s">
        <v>35347</v>
      </c>
      <c r="Q4105" t="s">
        <v>29</v>
      </c>
      <c r="R4105" t="s">
        <v>35343</v>
      </c>
      <c r="S4105" t="s">
        <v>35344</v>
      </c>
    </row>
    <row r="4106" spans="1:19" x14ac:dyDescent="0.25">
      <c r="A4106" s="1">
        <v>4104</v>
      </c>
      <c r="B4106" t="str">
        <f>HYPERLINK("https://www.dasschnelle.at/fussi-reinhard-murau-grazer-straße","Website")</f>
        <v>Website</v>
      </c>
      <c r="C4106" t="str">
        <f>HYPERLINK("http://www.maler-fussi.at","Website")</f>
        <v>Website</v>
      </c>
      <c r="D4106" t="str">
        <f>HYPERLINK("http://www.google.com/maps/place/47.10998,14.17482","Location")</f>
        <v>Location</v>
      </c>
      <c r="E4106" t="s">
        <v>35348</v>
      </c>
      <c r="F4106" t="s">
        <v>35349</v>
      </c>
      <c r="G4106" t="s">
        <v>12112</v>
      </c>
      <c r="H4106" t="s">
        <v>12113</v>
      </c>
      <c r="I4106" t="s">
        <v>451</v>
      </c>
      <c r="J4106" t="s">
        <v>22</v>
      </c>
      <c r="K4106" t="s">
        <v>7957</v>
      </c>
      <c r="L4106" t="s">
        <v>35352</v>
      </c>
      <c r="M4106" t="s">
        <v>25</v>
      </c>
      <c r="N4106" t="s">
        <v>35353</v>
      </c>
      <c r="O4106" t="s">
        <v>25</v>
      </c>
      <c r="P4106" t="s">
        <v>35354</v>
      </c>
      <c r="Q4106" t="s">
        <v>29</v>
      </c>
      <c r="R4106" t="s">
        <v>35350</v>
      </c>
      <c r="S4106" t="s">
        <v>35351</v>
      </c>
    </row>
    <row r="4107" spans="1:19" x14ac:dyDescent="0.25">
      <c r="A4107" s="1">
        <v>4105</v>
      </c>
      <c r="B4107" t="str">
        <f>HYPERLINK("https://www.dasschnelle.at/hb-haustechnik-gmbh-hartberg-flurgasse","Website")</f>
        <v>Website</v>
      </c>
      <c r="C4107" t="str">
        <f>HYPERLINK("http://www.hbhaustechnik.at","Website")</f>
        <v>Website</v>
      </c>
      <c r="D4107" t="str">
        <f>HYPERLINK("http://www.google.com/maps/place/47.2755200,15.9667300","Location")</f>
        <v>Location</v>
      </c>
      <c r="E4107" t="s">
        <v>35355</v>
      </c>
      <c r="F4107" t="s">
        <v>35356</v>
      </c>
      <c r="G4107" t="s">
        <v>1050</v>
      </c>
      <c r="H4107" t="s">
        <v>1051</v>
      </c>
      <c r="I4107" t="s">
        <v>451</v>
      </c>
      <c r="J4107" t="s">
        <v>22</v>
      </c>
      <c r="K4107" t="s">
        <v>35357</v>
      </c>
      <c r="L4107" t="s">
        <v>35360</v>
      </c>
      <c r="M4107" t="s">
        <v>35361</v>
      </c>
      <c r="N4107" t="s">
        <v>35362</v>
      </c>
      <c r="O4107" t="s">
        <v>25</v>
      </c>
      <c r="P4107" t="s">
        <v>35363</v>
      </c>
      <c r="Q4107" t="s">
        <v>29</v>
      </c>
      <c r="R4107" t="s">
        <v>35358</v>
      </c>
      <c r="S4107" t="s">
        <v>35359</v>
      </c>
    </row>
    <row r="4108" spans="1:19" x14ac:dyDescent="0.25">
      <c r="A4108" s="1">
        <v>4106</v>
      </c>
      <c r="B4108" t="str">
        <f>HYPERLINK("https://www.dasschnelle.at/bestattung-rudi-weiß-gmbh-gröbming-klostergasse","Website")</f>
        <v>Website</v>
      </c>
      <c r="C4108" t="str">
        <f>HYPERLINK("https://www.dasschnelle.at/bestattung-rudi-wei%C3%9F-gmbh-gr%C3%B6bming-klostergasse","Website")</f>
        <v>Website</v>
      </c>
      <c r="D4108" t="str">
        <f>HYPERLINK("http://www.google.com/maps/place/47.44602,13.90014","Location")</f>
        <v>Location</v>
      </c>
      <c r="E4108" t="s">
        <v>35364</v>
      </c>
      <c r="F4108" t="s">
        <v>35365</v>
      </c>
      <c r="G4108" t="s">
        <v>8894</v>
      </c>
      <c r="H4108" t="s">
        <v>8895</v>
      </c>
      <c r="I4108" t="s">
        <v>451</v>
      </c>
      <c r="J4108" t="s">
        <v>22</v>
      </c>
      <c r="K4108" t="s">
        <v>35366</v>
      </c>
      <c r="L4108" t="s">
        <v>35369</v>
      </c>
      <c r="M4108" t="s">
        <v>25</v>
      </c>
      <c r="N4108" t="s">
        <v>35370</v>
      </c>
      <c r="O4108" t="s">
        <v>25</v>
      </c>
      <c r="P4108" t="s">
        <v>35371</v>
      </c>
      <c r="Q4108" t="s">
        <v>29</v>
      </c>
      <c r="R4108" t="s">
        <v>35367</v>
      </c>
      <c r="S4108" t="s">
        <v>35368</v>
      </c>
    </row>
    <row r="4109" spans="1:19" x14ac:dyDescent="0.25">
      <c r="A4109" s="1">
        <v>4107</v>
      </c>
      <c r="B4109" t="str">
        <f>HYPERLINK("https://www.dasschnelle.at/steiner-haustechnik-gmbh-und-cokg-gröbming-hauptstraße","Website")</f>
        <v>Website</v>
      </c>
      <c r="C4109" t="str">
        <f>HYPERLINK("http://www.steiner.net","Website")</f>
        <v>Website</v>
      </c>
      <c r="D4109" t="str">
        <f>HYPERLINK("http://www.google.com/maps/place/47.449,13.9045","Location")</f>
        <v>Location</v>
      </c>
      <c r="E4109" t="s">
        <v>35372</v>
      </c>
      <c r="F4109" t="s">
        <v>35373</v>
      </c>
      <c r="G4109" t="s">
        <v>8894</v>
      </c>
      <c r="H4109" t="s">
        <v>8895</v>
      </c>
      <c r="I4109" t="s">
        <v>451</v>
      </c>
      <c r="J4109" t="s">
        <v>22</v>
      </c>
      <c r="K4109" t="s">
        <v>35316</v>
      </c>
      <c r="L4109" t="s">
        <v>35374</v>
      </c>
      <c r="M4109" t="s">
        <v>35375</v>
      </c>
      <c r="N4109" t="s">
        <v>35376</v>
      </c>
      <c r="O4109" t="s">
        <v>25</v>
      </c>
      <c r="P4109" t="s">
        <v>35377</v>
      </c>
      <c r="Q4109" t="s">
        <v>29</v>
      </c>
      <c r="R4109" t="s">
        <v>35317</v>
      </c>
      <c r="S4109" t="s">
        <v>35318</v>
      </c>
    </row>
    <row r="4110" spans="1:19" x14ac:dyDescent="0.25">
      <c r="A4110" s="1">
        <v>4108</v>
      </c>
      <c r="B4110" t="str">
        <f>HYPERLINK("https://www.dasschnelle.at/auto-engleder-gmbh-putzleinsdorf-winkelweg","Website")</f>
        <v>Website</v>
      </c>
      <c r="C4110" t="str">
        <f>HYPERLINK("http://www.auto-engleder.at","Website")</f>
        <v>Website</v>
      </c>
      <c r="D4110" t="str">
        <f>HYPERLINK("http://www.google.com/maps/place/48.52041,13.87435","Location")</f>
        <v>Location</v>
      </c>
      <c r="E4110" t="s">
        <v>35378</v>
      </c>
      <c r="F4110" t="s">
        <v>35379</v>
      </c>
      <c r="G4110" t="s">
        <v>8761</v>
      </c>
      <c r="H4110" t="s">
        <v>8762</v>
      </c>
      <c r="I4110" t="s">
        <v>85</v>
      </c>
      <c r="J4110" t="s">
        <v>22</v>
      </c>
      <c r="K4110" t="s">
        <v>35380</v>
      </c>
      <c r="L4110" t="s">
        <v>35383</v>
      </c>
      <c r="M4110" t="s">
        <v>25</v>
      </c>
      <c r="N4110" t="s">
        <v>35384</v>
      </c>
      <c r="O4110" t="s">
        <v>25</v>
      </c>
      <c r="P4110" t="s">
        <v>35385</v>
      </c>
      <c r="Q4110" t="s">
        <v>29</v>
      </c>
      <c r="R4110" t="s">
        <v>35381</v>
      </c>
      <c r="S4110" t="s">
        <v>35382</v>
      </c>
    </row>
    <row r="4111" spans="1:19" x14ac:dyDescent="0.25">
      <c r="A4111" s="1">
        <v>4109</v>
      </c>
      <c r="B4111" t="str">
        <f>HYPERLINK("https://www.dasschnelle.at/smetschka-martina-lembach-im-mühlkreis-marktplatz","Website")</f>
        <v>Website</v>
      </c>
      <c r="C4111" t="str">
        <f>HYPERLINK("http://www.wohlfuehlcenter.at","Website")</f>
        <v>Website</v>
      </c>
      <c r="D4111" t="str">
        <f>HYPERLINK("http://www.google.com/maps/place/48.49558,13.89471","Location")</f>
        <v>Location</v>
      </c>
      <c r="E4111" t="s">
        <v>35386</v>
      </c>
      <c r="F4111" t="s">
        <v>35387</v>
      </c>
      <c r="G4111" t="s">
        <v>8650</v>
      </c>
      <c r="H4111" t="s">
        <v>8651</v>
      </c>
      <c r="I4111" t="s">
        <v>85</v>
      </c>
      <c r="J4111" t="s">
        <v>22</v>
      </c>
      <c r="K4111" t="s">
        <v>23988</v>
      </c>
      <c r="L4111" t="s">
        <v>35390</v>
      </c>
      <c r="M4111" t="s">
        <v>25</v>
      </c>
      <c r="N4111" t="s">
        <v>35391</v>
      </c>
      <c r="O4111" t="s">
        <v>35392</v>
      </c>
      <c r="P4111" t="s">
        <v>35393</v>
      </c>
      <c r="Q4111" t="s">
        <v>29</v>
      </c>
      <c r="R4111" t="s">
        <v>35388</v>
      </c>
      <c r="S4111" t="s">
        <v>35389</v>
      </c>
    </row>
    <row r="4112" spans="1:19" x14ac:dyDescent="0.25">
      <c r="A4112" s="1">
        <v>4110</v>
      </c>
      <c r="B4112" t="str">
        <f>HYPERLINK("https://www.dasschnelle.at/ecker-taxi-mietwagen-krankentrasporte-kleinzell-im-mühlkreis-edholz","Website")</f>
        <v>Website</v>
      </c>
      <c r="C4112" t="str">
        <f>HYPERLINK("http://www.sabine-ecker.at","Website")</f>
        <v>Website</v>
      </c>
      <c r="D4112" t="str">
        <f>HYPERLINK("http://www.google.com/maps/place/48.4696511,13.9919145","Location")</f>
        <v>Location</v>
      </c>
      <c r="E4112" t="s">
        <v>35394</v>
      </c>
      <c r="F4112" t="s">
        <v>35395</v>
      </c>
      <c r="G4112" t="s">
        <v>35195</v>
      </c>
      <c r="H4112" t="s">
        <v>35397</v>
      </c>
      <c r="I4112" t="s">
        <v>85</v>
      </c>
      <c r="J4112" t="s">
        <v>22</v>
      </c>
      <c r="K4112" t="s">
        <v>35396</v>
      </c>
      <c r="L4112" t="s">
        <v>35400</v>
      </c>
      <c r="M4112" t="s">
        <v>25</v>
      </c>
      <c r="N4112" t="s">
        <v>35401</v>
      </c>
      <c r="O4112" t="s">
        <v>35402</v>
      </c>
      <c r="P4112" t="s">
        <v>35403</v>
      </c>
      <c r="Q4112" t="s">
        <v>29</v>
      </c>
      <c r="R4112" t="s">
        <v>35398</v>
      </c>
      <c r="S4112" t="s">
        <v>35399</v>
      </c>
    </row>
    <row r="4113" spans="1:19" x14ac:dyDescent="0.25">
      <c r="A4113" s="1">
        <v>4111</v>
      </c>
      <c r="B4113" t="str">
        <f>HYPERLINK("https://www.dasschnelle.at/steiner-wilfried-gesmbh-haus-oberhaus","Website")</f>
        <v>Website</v>
      </c>
      <c r="C4113" t="str">
        <f>HYPERLINK("http://www.dach-steiner.at","Website")</f>
        <v>Website</v>
      </c>
      <c r="D4113" t="str">
        <f>HYPERLINK("http://www.google.com/maps/place/47.4063234,13.7494820","Location")</f>
        <v>Location</v>
      </c>
      <c r="E4113" t="s">
        <v>35404</v>
      </c>
      <c r="F4113" t="s">
        <v>35405</v>
      </c>
      <c r="G4113" t="s">
        <v>8922</v>
      </c>
      <c r="H4113" t="s">
        <v>8923</v>
      </c>
      <c r="I4113" t="s">
        <v>451</v>
      </c>
      <c r="J4113" t="s">
        <v>22</v>
      </c>
      <c r="K4113" t="s">
        <v>35406</v>
      </c>
      <c r="L4113" t="s">
        <v>35409</v>
      </c>
      <c r="M4113" t="s">
        <v>35410</v>
      </c>
      <c r="N4113" t="s">
        <v>35411</v>
      </c>
      <c r="O4113" t="s">
        <v>25</v>
      </c>
      <c r="P4113" t="s">
        <v>35412</v>
      </c>
      <c r="Q4113" t="s">
        <v>29</v>
      </c>
      <c r="R4113" t="s">
        <v>35407</v>
      </c>
      <c r="S4113" t="s">
        <v>35408</v>
      </c>
    </row>
    <row r="4114" spans="1:19" x14ac:dyDescent="0.25">
      <c r="A4114" s="1">
        <v>4112</v>
      </c>
      <c r="B4114" t="str">
        <f>HYPERLINK("https://www.dasschnelle.at/murauer-stadtwerke-gesmbh-murau-bahnhofviertel","Website")</f>
        <v>Website</v>
      </c>
      <c r="C4114" t="str">
        <f>HYPERLINK("http://www.stadtwerke-murau.at","Website")</f>
        <v>Website</v>
      </c>
      <c r="D4114" t="str">
        <f>HYPERLINK("http://www.google.com/maps/place/47.1086851,14.1805528","Location")</f>
        <v>Location</v>
      </c>
      <c r="E4114" t="s">
        <v>35413</v>
      </c>
      <c r="F4114" t="s">
        <v>35414</v>
      </c>
      <c r="G4114" t="s">
        <v>12112</v>
      </c>
      <c r="H4114" t="s">
        <v>12113</v>
      </c>
      <c r="I4114" t="s">
        <v>451</v>
      </c>
      <c r="J4114" t="s">
        <v>22</v>
      </c>
      <c r="K4114" t="s">
        <v>35415</v>
      </c>
      <c r="L4114" t="s">
        <v>35418</v>
      </c>
      <c r="M4114" t="s">
        <v>35419</v>
      </c>
      <c r="N4114" t="s">
        <v>35420</v>
      </c>
      <c r="O4114" t="s">
        <v>25</v>
      </c>
      <c r="P4114" t="s">
        <v>35421</v>
      </c>
      <c r="Q4114" t="s">
        <v>29</v>
      </c>
      <c r="R4114" t="s">
        <v>35416</v>
      </c>
      <c r="S4114" t="s">
        <v>35417</v>
      </c>
    </row>
    <row r="4115" spans="1:19" x14ac:dyDescent="0.25">
      <c r="A4115" s="1">
        <v>4113</v>
      </c>
      <c r="B4115" t="str">
        <f>HYPERLINK("https://www.dasschnelle.at/stadtfriseur-dundd-haarkunst-murau-schwarzenbergstraße","Website")</f>
        <v>Website</v>
      </c>
      <c r="C4115" t="str">
        <f>HYPERLINK("http://www.stadtfriseur.at","Website")</f>
        <v>Website</v>
      </c>
      <c r="D4115" t="str">
        <f>HYPERLINK("http://www.google.com/maps/place/47.11109,14.17117","Location")</f>
        <v>Location</v>
      </c>
      <c r="E4115" t="s">
        <v>35422</v>
      </c>
      <c r="F4115" t="s">
        <v>35423</v>
      </c>
      <c r="G4115" t="s">
        <v>12112</v>
      </c>
      <c r="H4115" t="s">
        <v>12113</v>
      </c>
      <c r="I4115" t="s">
        <v>451</v>
      </c>
      <c r="J4115" t="s">
        <v>22</v>
      </c>
      <c r="K4115" t="s">
        <v>35424</v>
      </c>
      <c r="L4115" t="s">
        <v>35427</v>
      </c>
      <c r="M4115" t="s">
        <v>25</v>
      </c>
      <c r="N4115" t="s">
        <v>35428</v>
      </c>
      <c r="O4115" t="s">
        <v>25</v>
      </c>
      <c r="P4115" t="s">
        <v>35429</v>
      </c>
      <c r="Q4115" t="s">
        <v>29</v>
      </c>
      <c r="R4115" t="s">
        <v>35425</v>
      </c>
      <c r="S4115" t="s">
        <v>35426</v>
      </c>
    </row>
    <row r="4116" spans="1:19" x14ac:dyDescent="0.25">
      <c r="A4116" s="1">
        <v>4114</v>
      </c>
      <c r="B4116" t="str">
        <f>HYPERLINK("https://www.dasschnelle.at/salon-gaberschek-thomas-murau-schwarzenbergstraße","Website")</f>
        <v>Website</v>
      </c>
      <c r="C4116" t="str">
        <f>HYPERLINK("http://www.gaberschek.at/","Website")</f>
        <v>Website</v>
      </c>
      <c r="D4116" t="str">
        <f>HYPERLINK("http://www.google.com/maps/place/47.11257,14.16997","Location")</f>
        <v>Location</v>
      </c>
      <c r="E4116" t="s">
        <v>35430</v>
      </c>
      <c r="F4116" t="s">
        <v>35431</v>
      </c>
      <c r="G4116" t="s">
        <v>12112</v>
      </c>
      <c r="H4116" t="s">
        <v>12113</v>
      </c>
      <c r="I4116" t="s">
        <v>451</v>
      </c>
      <c r="J4116" t="s">
        <v>22</v>
      </c>
      <c r="K4116" t="s">
        <v>35432</v>
      </c>
      <c r="L4116" t="s">
        <v>35435</v>
      </c>
      <c r="M4116" t="s">
        <v>25</v>
      </c>
      <c r="N4116" t="s">
        <v>35436</v>
      </c>
      <c r="O4116" t="s">
        <v>25</v>
      </c>
      <c r="P4116" t="s">
        <v>35437</v>
      </c>
      <c r="Q4116" t="s">
        <v>29</v>
      </c>
      <c r="R4116" t="s">
        <v>35433</v>
      </c>
      <c r="S4116" t="s">
        <v>35434</v>
      </c>
    </row>
    <row r="4117" spans="1:19" x14ac:dyDescent="0.25">
      <c r="A4117" s="1">
        <v>4115</v>
      </c>
      <c r="B4117" t="str">
        <f>HYPERLINK("https://www.dasschnelle.at/autischer-angelika-sankt-lorenzen-ob-murau-sankt-lorenzen","Website")</f>
        <v>Website</v>
      </c>
      <c r="C4117" t="str">
        <f>HYPERLINK("http://www.cleancut.at","Website")</f>
        <v>Website</v>
      </c>
      <c r="D4117" t="str">
        <f>HYPERLINK("http://www.google.com/maps/place/47.10159,14.09058","Location")</f>
        <v>Location</v>
      </c>
      <c r="E4117" t="s">
        <v>35438</v>
      </c>
      <c r="F4117" t="s">
        <v>35439</v>
      </c>
      <c r="G4117" t="s">
        <v>35441</v>
      </c>
      <c r="H4117" t="s">
        <v>35442</v>
      </c>
      <c r="I4117" t="s">
        <v>451</v>
      </c>
      <c r="J4117" t="s">
        <v>22</v>
      </c>
      <c r="K4117" t="s">
        <v>35440</v>
      </c>
      <c r="L4117" t="s">
        <v>35445</v>
      </c>
      <c r="M4117" t="s">
        <v>25</v>
      </c>
      <c r="N4117" t="s">
        <v>35446</v>
      </c>
      <c r="O4117" t="s">
        <v>25</v>
      </c>
      <c r="P4117" t="s">
        <v>35447</v>
      </c>
      <c r="Q4117" t="s">
        <v>29</v>
      </c>
      <c r="R4117" t="s">
        <v>35443</v>
      </c>
      <c r="S4117" t="s">
        <v>35444</v>
      </c>
    </row>
    <row r="4118" spans="1:19" x14ac:dyDescent="0.25">
      <c r="A4118" s="1">
        <v>4116</v>
      </c>
      <c r="B4118" t="str">
        <f>HYPERLINK("https://www.dasschnelle.at/bernhard-kitzer-e-u-aich-bundesstraße","Website")</f>
        <v>Website</v>
      </c>
      <c r="C4118" t="str">
        <f>HYPERLINK("https://www.dasschnelle.at/bernhard-kitzer-e-u-aich-bundesstra%C3%9Fe","Website")</f>
        <v>Website</v>
      </c>
      <c r="D4118" t="str">
        <f>HYPERLINK("http://www.google.com/maps/place/47.41719,13.81232","Location")</f>
        <v>Location</v>
      </c>
      <c r="E4118" t="s">
        <v>35448</v>
      </c>
      <c r="F4118" t="s">
        <v>35449</v>
      </c>
      <c r="G4118" t="s">
        <v>8983</v>
      </c>
      <c r="H4118" t="s">
        <v>8984</v>
      </c>
      <c r="I4118" t="s">
        <v>451</v>
      </c>
      <c r="J4118" t="s">
        <v>22</v>
      </c>
      <c r="K4118" t="s">
        <v>35450</v>
      </c>
      <c r="L4118" t="s">
        <v>35453</v>
      </c>
      <c r="M4118" t="s">
        <v>25</v>
      </c>
      <c r="N4118" t="s">
        <v>35454</v>
      </c>
      <c r="O4118" t="s">
        <v>25</v>
      </c>
      <c r="P4118" t="s">
        <v>35455</v>
      </c>
      <c r="Q4118" t="s">
        <v>29</v>
      </c>
      <c r="R4118" t="s">
        <v>35451</v>
      </c>
      <c r="S4118" t="s">
        <v>35452</v>
      </c>
    </row>
    <row r="4119" spans="1:19" x14ac:dyDescent="0.25">
      <c r="A4119" s="1">
        <v>4117</v>
      </c>
      <c r="B4119" t="str">
        <f>HYPERLINK("https://www.dasschnelle.at/steinmetz-zach-gmbh-dunzendorf","Website")</f>
        <v>Website</v>
      </c>
      <c r="C4119" t="str">
        <f>HYPERLINK("http://www.steinmetz-zach.at","Website")</f>
        <v>Website</v>
      </c>
      <c r="D4119" t="str">
        <f>HYPERLINK("http://www.google.com/maps/place/48.4282700,14.0319900","Location")</f>
        <v>Location</v>
      </c>
      <c r="E4119" t="s">
        <v>35456</v>
      </c>
      <c r="F4119" t="s">
        <v>35457</v>
      </c>
      <c r="G4119" t="s">
        <v>35206</v>
      </c>
      <c r="H4119" t="s">
        <v>35458</v>
      </c>
      <c r="I4119" t="s">
        <v>85</v>
      </c>
      <c r="J4119" t="s">
        <v>22</v>
      </c>
      <c r="K4119" t="s">
        <v>25</v>
      </c>
      <c r="L4119" t="s">
        <v>35461</v>
      </c>
      <c r="M4119" t="s">
        <v>25</v>
      </c>
      <c r="N4119" t="s">
        <v>35462</v>
      </c>
      <c r="O4119" t="s">
        <v>35463</v>
      </c>
      <c r="P4119" t="s">
        <v>35464</v>
      </c>
      <c r="Q4119" t="s">
        <v>29</v>
      </c>
      <c r="R4119" t="s">
        <v>35459</v>
      </c>
      <c r="S4119" t="s">
        <v>35460</v>
      </c>
    </row>
    <row r="4120" spans="1:19" x14ac:dyDescent="0.25">
      <c r="A4120" s="1">
        <v>4118</v>
      </c>
      <c r="B4120" t="str">
        <f>HYPERLINK("https://www.dasschnelle.at/öller-versicherungsmakler-gmbh-dietrichschlag","Website")</f>
        <v>Website</v>
      </c>
      <c r="C4120" t="str">
        <f>HYPERLINK("http://www.vm-oeller.at","Website")</f>
        <v>Website</v>
      </c>
      <c r="D4120" t="str">
        <f>HYPERLINK("http://www.google.com/maps/place/48.66762,13.91536","Location")</f>
        <v>Location</v>
      </c>
      <c r="E4120" t="s">
        <v>35465</v>
      </c>
      <c r="F4120" t="s">
        <v>35466</v>
      </c>
      <c r="G4120" t="s">
        <v>8779</v>
      </c>
      <c r="H4120" t="s">
        <v>35467</v>
      </c>
      <c r="I4120" t="s">
        <v>85</v>
      </c>
      <c r="J4120" t="s">
        <v>22</v>
      </c>
      <c r="K4120" t="s">
        <v>25</v>
      </c>
      <c r="L4120" t="s">
        <v>35470</v>
      </c>
      <c r="M4120" t="s">
        <v>25</v>
      </c>
      <c r="N4120" t="s">
        <v>35471</v>
      </c>
      <c r="O4120" t="s">
        <v>25</v>
      </c>
      <c r="P4120" t="s">
        <v>35472</v>
      </c>
      <c r="Q4120" t="s">
        <v>29</v>
      </c>
      <c r="R4120" t="s">
        <v>35468</v>
      </c>
      <c r="S4120" t="s">
        <v>35469</v>
      </c>
    </row>
    <row r="4121" spans="1:19" x14ac:dyDescent="0.25">
      <c r="A4121" s="1">
        <v>4119</v>
      </c>
      <c r="B4121" t="str">
        <f>HYPERLINK("https://www.dasschnelle.at/fahrschule-euroline-leitner-e-u-rohrbach-ehrenreiterweg","Website")</f>
        <v>Website</v>
      </c>
      <c r="C4121" t="str">
        <f>HYPERLINK("http://www.fahrschule-euroline.at","Website")</f>
        <v>Website</v>
      </c>
      <c r="D4121" t="str">
        <f>HYPERLINK("http://www.google.com/maps/place/48.5706804,13.9932551","Location")</f>
        <v>Location</v>
      </c>
      <c r="E4121" t="s">
        <v>35473</v>
      </c>
      <c r="F4121" t="s">
        <v>35474</v>
      </c>
      <c r="G4121" t="s">
        <v>8561</v>
      </c>
      <c r="H4121" t="s">
        <v>8562</v>
      </c>
      <c r="I4121" t="s">
        <v>85</v>
      </c>
      <c r="J4121" t="s">
        <v>22</v>
      </c>
      <c r="K4121" t="s">
        <v>35475</v>
      </c>
      <c r="L4121" t="s">
        <v>35478</v>
      </c>
      <c r="M4121" t="s">
        <v>25</v>
      </c>
      <c r="N4121" t="s">
        <v>35479</v>
      </c>
      <c r="O4121" t="s">
        <v>25</v>
      </c>
      <c r="P4121" t="s">
        <v>35480</v>
      </c>
      <c r="Q4121" t="s">
        <v>29</v>
      </c>
      <c r="R4121" t="s">
        <v>35476</v>
      </c>
      <c r="S4121" t="s">
        <v>35477</v>
      </c>
    </row>
    <row r="4122" spans="1:19" x14ac:dyDescent="0.25">
      <c r="A4122" s="1">
        <v>4120</v>
      </c>
      <c r="B4122" t="str">
        <f>HYPERLINK("https://www.dasschnelle.at/rosenauer-martin-rohrbach-linzer-straße","Website")</f>
        <v>Website</v>
      </c>
      <c r="C4122" t="str">
        <f>HYPERLINK("http://www.ro-key.at","Website")</f>
        <v>Website</v>
      </c>
      <c r="D4122" t="str">
        <f>HYPERLINK("http://www.google.com/maps/place/48.5710431,13.9935462","Location")</f>
        <v>Location</v>
      </c>
      <c r="E4122" t="s">
        <v>35481</v>
      </c>
      <c r="F4122" t="s">
        <v>35482</v>
      </c>
      <c r="G4122" t="s">
        <v>8561</v>
      </c>
      <c r="H4122" t="s">
        <v>8562</v>
      </c>
      <c r="I4122" t="s">
        <v>85</v>
      </c>
      <c r="J4122" t="s">
        <v>22</v>
      </c>
      <c r="K4122" t="s">
        <v>11279</v>
      </c>
      <c r="L4122" t="s">
        <v>35485</v>
      </c>
      <c r="M4122" t="s">
        <v>25</v>
      </c>
      <c r="N4122" t="s">
        <v>35486</v>
      </c>
      <c r="O4122" t="s">
        <v>35487</v>
      </c>
      <c r="P4122" t="s">
        <v>35488</v>
      </c>
      <c r="Q4122" t="s">
        <v>29</v>
      </c>
      <c r="R4122" t="s">
        <v>35483</v>
      </c>
      <c r="S4122" t="s">
        <v>35484</v>
      </c>
    </row>
    <row r="4123" spans="1:19" x14ac:dyDescent="0.25">
      <c r="A4123" s="1">
        <v>4121</v>
      </c>
      <c r="B4123" t="str">
        <f>HYPERLINK("https://www.dasschnelle.at/suciu-septimiu-dr-sarleinsbach-altendorf","Website")</f>
        <v>Website</v>
      </c>
      <c r="C4123" t="str">
        <f>HYPERLINK("http://www.laechelfabrik.at","Website")</f>
        <v>Website</v>
      </c>
      <c r="D4123" t="str">
        <f>HYPERLINK("http://www.google.com/maps/place/48.5419593,13.9049126","Location")</f>
        <v>Location</v>
      </c>
      <c r="E4123" t="s">
        <v>35489</v>
      </c>
      <c r="F4123" t="s">
        <v>35490</v>
      </c>
      <c r="G4123" t="s">
        <v>35492</v>
      </c>
      <c r="H4123" t="s">
        <v>35493</v>
      </c>
      <c r="I4123" t="s">
        <v>85</v>
      </c>
      <c r="J4123" t="s">
        <v>22</v>
      </c>
      <c r="K4123" t="s">
        <v>35491</v>
      </c>
      <c r="L4123" t="s">
        <v>35496</v>
      </c>
      <c r="M4123" t="s">
        <v>25</v>
      </c>
      <c r="N4123" t="s">
        <v>35497</v>
      </c>
      <c r="O4123" t="s">
        <v>35498</v>
      </c>
      <c r="P4123" t="s">
        <v>35499</v>
      </c>
      <c r="Q4123" t="s">
        <v>29</v>
      </c>
      <c r="R4123" t="s">
        <v>35494</v>
      </c>
      <c r="S4123" t="s">
        <v>35495</v>
      </c>
    </row>
    <row r="4124" spans="1:19" x14ac:dyDescent="0.25">
      <c r="A4124" s="1">
        <v>4122</v>
      </c>
      <c r="B4124" t="str">
        <f>HYPERLINK("https://www.dasschnelle.at/steinmetz-kala-scheifling-murauer-straße","Website")</f>
        <v>Website</v>
      </c>
      <c r="C4124" t="str">
        <f>HYPERLINK("http://www.kala.at","Website")</f>
        <v>Website</v>
      </c>
      <c r="D4124" t="str">
        <f>HYPERLINK("http://www.google.com/maps/place/47.15193,14.41181","Location")</f>
        <v>Location</v>
      </c>
      <c r="E4124" t="s">
        <v>35500</v>
      </c>
      <c r="F4124" t="s">
        <v>35501</v>
      </c>
      <c r="G4124" t="s">
        <v>12170</v>
      </c>
      <c r="H4124" t="s">
        <v>35503</v>
      </c>
      <c r="I4124" t="s">
        <v>451</v>
      </c>
      <c r="J4124" t="s">
        <v>22</v>
      </c>
      <c r="K4124" t="s">
        <v>35502</v>
      </c>
      <c r="L4124" t="s">
        <v>35506</v>
      </c>
      <c r="M4124" t="s">
        <v>25</v>
      </c>
      <c r="N4124" t="s">
        <v>35507</v>
      </c>
      <c r="O4124" t="s">
        <v>35508</v>
      </c>
      <c r="P4124" t="s">
        <v>35509</v>
      </c>
      <c r="Q4124" t="s">
        <v>29</v>
      </c>
      <c r="R4124" t="s">
        <v>35504</v>
      </c>
      <c r="S4124" t="s">
        <v>35505</v>
      </c>
    </row>
    <row r="4125" spans="1:19" x14ac:dyDescent="0.25">
      <c r="A4125" s="1">
        <v>4123</v>
      </c>
      <c r="B4125" t="str">
        <f>HYPERLINK("https://www.dasschnelle.at/allmer-christian-sankt-lambrecht-hauptstraße","Website")</f>
        <v>Website</v>
      </c>
      <c r="C4125" t="str">
        <f>HYPERLINK("http://www.glas-allmer.at","Website")</f>
        <v>Website</v>
      </c>
      <c r="D4125" t="str">
        <f>HYPERLINK("http://www.google.com/maps/place/47.07388,14.30635","Location")</f>
        <v>Location</v>
      </c>
      <c r="E4125" t="s">
        <v>35510</v>
      </c>
      <c r="F4125" t="s">
        <v>35511</v>
      </c>
      <c r="G4125" t="s">
        <v>12060</v>
      </c>
      <c r="H4125" t="s">
        <v>12061</v>
      </c>
      <c r="I4125" t="s">
        <v>451</v>
      </c>
      <c r="J4125" t="s">
        <v>22</v>
      </c>
      <c r="K4125" t="s">
        <v>35512</v>
      </c>
      <c r="L4125" t="s">
        <v>35515</v>
      </c>
      <c r="M4125" t="s">
        <v>35516</v>
      </c>
      <c r="N4125" t="s">
        <v>35517</v>
      </c>
      <c r="O4125" t="s">
        <v>35518</v>
      </c>
      <c r="P4125" t="s">
        <v>35519</v>
      </c>
      <c r="Q4125" t="s">
        <v>29</v>
      </c>
      <c r="R4125" t="s">
        <v>35513</v>
      </c>
      <c r="S4125" t="s">
        <v>35514</v>
      </c>
    </row>
    <row r="4126" spans="1:19" x14ac:dyDescent="0.25">
      <c r="A4126" s="1">
        <v>4124</v>
      </c>
      <c r="B4126" t="str">
        <f>HYPERLINK("https://www.dasschnelle.at/hollerer-herbert-ranten-am-schloßfeld","Website")</f>
        <v>Website</v>
      </c>
      <c r="C4126" t="str">
        <f>HYPERLINK("http://www.hollerer.cc","Website")</f>
        <v>Website</v>
      </c>
      <c r="D4126" t="str">
        <f>HYPERLINK("http://www.google.com/maps/place/47.15785,14.08685","Location")</f>
        <v>Location</v>
      </c>
      <c r="E4126" t="s">
        <v>35520</v>
      </c>
      <c r="F4126" t="s">
        <v>35521</v>
      </c>
      <c r="G4126" t="s">
        <v>12149</v>
      </c>
      <c r="H4126" t="s">
        <v>12150</v>
      </c>
      <c r="I4126" t="s">
        <v>451</v>
      </c>
      <c r="J4126" t="s">
        <v>22</v>
      </c>
      <c r="K4126" t="s">
        <v>35522</v>
      </c>
      <c r="L4126" t="s">
        <v>35525</v>
      </c>
      <c r="M4126" t="s">
        <v>25</v>
      </c>
      <c r="N4126" t="s">
        <v>35526</v>
      </c>
      <c r="O4126" t="s">
        <v>25</v>
      </c>
      <c r="P4126" t="s">
        <v>35527</v>
      </c>
      <c r="Q4126" t="s">
        <v>29</v>
      </c>
      <c r="R4126" t="s">
        <v>35523</v>
      </c>
      <c r="S4126" t="s">
        <v>35524</v>
      </c>
    </row>
    <row r="4127" spans="1:19" x14ac:dyDescent="0.25">
      <c r="A4127" s="1">
        <v>4125</v>
      </c>
      <c r="B4127" t="str">
        <f>HYPERLINK("https://www.dasschnelle.at/zangl-josef-ranten-freiberg","Website")</f>
        <v>Website</v>
      </c>
      <c r="C4127" t="str">
        <f>HYPERLINK("https://www.dasschnelle.at/zangl-josef-ranten-freiberg","Website")</f>
        <v>Website</v>
      </c>
      <c r="D4127" t="str">
        <f>HYPERLINK("http://www.google.com/maps/place/47.1655691,14.0794478","Location")</f>
        <v>Location</v>
      </c>
      <c r="E4127" t="s">
        <v>35528</v>
      </c>
      <c r="F4127" t="s">
        <v>35529</v>
      </c>
      <c r="G4127" t="s">
        <v>12149</v>
      </c>
      <c r="H4127" t="s">
        <v>12150</v>
      </c>
      <c r="I4127" t="s">
        <v>451</v>
      </c>
      <c r="J4127" t="s">
        <v>22</v>
      </c>
      <c r="K4127" t="s">
        <v>35530</v>
      </c>
      <c r="L4127" t="s">
        <v>35533</v>
      </c>
      <c r="M4127" t="s">
        <v>25</v>
      </c>
      <c r="N4127" t="s">
        <v>35534</v>
      </c>
      <c r="O4127" t="s">
        <v>25</v>
      </c>
      <c r="P4127" t="s">
        <v>35535</v>
      </c>
      <c r="Q4127" t="s">
        <v>29</v>
      </c>
      <c r="R4127" t="s">
        <v>35531</v>
      </c>
      <c r="S4127" t="s">
        <v>35532</v>
      </c>
    </row>
    <row r="4128" spans="1:19" x14ac:dyDescent="0.25">
      <c r="A4128" s="1">
        <v>4126</v>
      </c>
      <c r="B4128" t="str">
        <f>HYPERLINK("https://www.dasschnelle.at/tischlerei-gruber-gmbh-niederwölz","Website")</f>
        <v>Website</v>
      </c>
      <c r="C4128" t="str">
        <f>HYPERLINK("http://www.tischlereigruber.at","Website")</f>
        <v>Website</v>
      </c>
      <c r="D4128" t="str">
        <f>HYPERLINK("http://www.google.com/maps/place/47.1500862,14.3733168","Location")</f>
        <v>Location</v>
      </c>
      <c r="E4128" t="s">
        <v>35536</v>
      </c>
      <c r="F4128" t="s">
        <v>35537</v>
      </c>
      <c r="G4128" t="s">
        <v>35538</v>
      </c>
      <c r="H4128" t="s">
        <v>35539</v>
      </c>
      <c r="I4128" t="s">
        <v>451</v>
      </c>
      <c r="J4128" t="s">
        <v>22</v>
      </c>
      <c r="K4128" t="s">
        <v>25</v>
      </c>
      <c r="L4128" t="s">
        <v>35542</v>
      </c>
      <c r="M4128" t="s">
        <v>25</v>
      </c>
      <c r="N4128" t="s">
        <v>35543</v>
      </c>
      <c r="O4128" t="s">
        <v>25</v>
      </c>
      <c r="P4128" t="s">
        <v>35544</v>
      </c>
      <c r="Q4128" t="s">
        <v>29</v>
      </c>
      <c r="R4128" t="s">
        <v>35540</v>
      </c>
      <c r="S4128" t="s">
        <v>35541</v>
      </c>
    </row>
    <row r="4129" spans="1:19" x14ac:dyDescent="0.25">
      <c r="A4129" s="1">
        <v>4127</v>
      </c>
      <c r="B4129" t="str">
        <f>HYPERLINK("https://www.dasschnelle.at/ofner-herbert-ing-gesmbh-sankt-georgen-bei-neumarkt-sankt-georgen","Website")</f>
        <v>Website</v>
      </c>
      <c r="C4129" t="str">
        <f>HYPERLINK("http://www.ofner-bau.at","Website")</f>
        <v>Website</v>
      </c>
      <c r="D4129" t="str">
        <f>HYPERLINK("http://www.google.com/maps/place/47.0664759,14.4310424","Location")</f>
        <v>Location</v>
      </c>
      <c r="E4129" t="s">
        <v>35545</v>
      </c>
      <c r="F4129" t="s">
        <v>35546</v>
      </c>
      <c r="G4129" t="s">
        <v>12200</v>
      </c>
      <c r="H4129" t="s">
        <v>35548</v>
      </c>
      <c r="I4129" t="s">
        <v>451</v>
      </c>
      <c r="J4129" t="s">
        <v>22</v>
      </c>
      <c r="K4129" t="s">
        <v>35547</v>
      </c>
      <c r="L4129" t="s">
        <v>35551</v>
      </c>
      <c r="M4129" t="s">
        <v>35552</v>
      </c>
      <c r="N4129" t="s">
        <v>35553</v>
      </c>
      <c r="O4129" t="s">
        <v>35554</v>
      </c>
      <c r="P4129" t="s">
        <v>697</v>
      </c>
      <c r="Q4129" t="s">
        <v>29</v>
      </c>
      <c r="R4129" t="s">
        <v>35549</v>
      </c>
      <c r="S4129" t="s">
        <v>35550</v>
      </c>
    </row>
    <row r="4130" spans="1:19" x14ac:dyDescent="0.25">
      <c r="A4130" s="1">
        <v>4128</v>
      </c>
      <c r="B4130" t="str">
        <f>HYPERLINK("https://www.dasschnelle.at/hasler-gmbh-scheifling-puchfeldsiedlung","Website")</f>
        <v>Website</v>
      </c>
      <c r="C4130" t="str">
        <f>HYPERLINK("http://www.hasler-dach.at","Website")</f>
        <v>Website</v>
      </c>
      <c r="D4130" t="str">
        <f>HYPERLINK("http://www.google.com/maps/place/47.12618,14.44321","Location")</f>
        <v>Location</v>
      </c>
      <c r="E4130" t="s">
        <v>35555</v>
      </c>
      <c r="F4130" t="s">
        <v>35556</v>
      </c>
      <c r="G4130" t="s">
        <v>12170</v>
      </c>
      <c r="H4130" t="s">
        <v>35503</v>
      </c>
      <c r="I4130" t="s">
        <v>451</v>
      </c>
      <c r="J4130" t="s">
        <v>22</v>
      </c>
      <c r="K4130" t="s">
        <v>35557</v>
      </c>
      <c r="L4130" t="s">
        <v>35560</v>
      </c>
      <c r="M4130" t="s">
        <v>25</v>
      </c>
      <c r="N4130" t="s">
        <v>35561</v>
      </c>
      <c r="O4130" t="s">
        <v>35562</v>
      </c>
      <c r="P4130" t="s">
        <v>35563</v>
      </c>
      <c r="Q4130" t="s">
        <v>29</v>
      </c>
      <c r="R4130" t="s">
        <v>35558</v>
      </c>
      <c r="S4130" t="s">
        <v>35559</v>
      </c>
    </row>
    <row r="4131" spans="1:19" x14ac:dyDescent="0.25">
      <c r="A4131" s="1">
        <v>4129</v>
      </c>
      <c r="B4131" t="str">
        <f>HYPERLINK("https://www.dasschnelle.at/trinkl-brigitte-mariahof-stadlob","Website")</f>
        <v>Website</v>
      </c>
      <c r="C4131" t="str">
        <f>HYPERLINK("http://www.gaertnerei-trinkl.at","Website")</f>
        <v>Website</v>
      </c>
      <c r="D4131" t="str">
        <f>HYPERLINK("http://www.google.com/maps/place/47.08267,14.41636","Location")</f>
        <v>Location</v>
      </c>
      <c r="E4131" t="s">
        <v>35564</v>
      </c>
      <c r="F4131" t="s">
        <v>35565</v>
      </c>
      <c r="G4131" t="s">
        <v>12200</v>
      </c>
      <c r="H4131" t="s">
        <v>12051</v>
      </c>
      <c r="I4131" t="s">
        <v>451</v>
      </c>
      <c r="J4131" t="s">
        <v>22</v>
      </c>
      <c r="K4131" t="s">
        <v>35566</v>
      </c>
      <c r="L4131" t="s">
        <v>35569</v>
      </c>
      <c r="M4131" t="s">
        <v>25</v>
      </c>
      <c r="N4131" t="s">
        <v>35570</v>
      </c>
      <c r="O4131" t="s">
        <v>25</v>
      </c>
      <c r="P4131" t="s">
        <v>35571</v>
      </c>
      <c r="Q4131" t="s">
        <v>29</v>
      </c>
      <c r="R4131" t="s">
        <v>35567</v>
      </c>
      <c r="S4131" t="s">
        <v>35568</v>
      </c>
    </row>
    <row r="4132" spans="1:19" x14ac:dyDescent="0.25">
      <c r="A4132" s="1">
        <v>4130</v>
      </c>
      <c r="B4132" t="str">
        <f>HYPERLINK("https://www.dasschnelle.at/efb-fenster-hartberg-hans-fuchs-gasse","Website")</f>
        <v>Website</v>
      </c>
      <c r="C4132" t="str">
        <f>HYPERLINK("https://www.dasschnelle.at/efb-fenster-hartberg-hans-fuchs-gasse","Website")</f>
        <v>Website</v>
      </c>
      <c r="D4132" t="str">
        <f>HYPERLINK("http://www.google.com/maps/place/47.2880100,15.9845800","Location")</f>
        <v>Location</v>
      </c>
      <c r="E4132" t="s">
        <v>35572</v>
      </c>
      <c r="F4132" t="s">
        <v>35573</v>
      </c>
      <c r="G4132" t="s">
        <v>1050</v>
      </c>
      <c r="H4132" t="s">
        <v>1051</v>
      </c>
      <c r="I4132" t="s">
        <v>451</v>
      </c>
      <c r="J4132" t="s">
        <v>22</v>
      </c>
      <c r="K4132" t="s">
        <v>35574</v>
      </c>
      <c r="L4132" t="s">
        <v>35577</v>
      </c>
      <c r="M4132" t="s">
        <v>25</v>
      </c>
      <c r="N4132" t="s">
        <v>35578</v>
      </c>
      <c r="O4132" t="s">
        <v>35579</v>
      </c>
      <c r="P4132" t="s">
        <v>697</v>
      </c>
      <c r="Q4132" t="s">
        <v>29</v>
      </c>
      <c r="R4132" t="s">
        <v>35575</v>
      </c>
      <c r="S4132" t="s">
        <v>35576</v>
      </c>
    </row>
    <row r="4133" spans="1:19" x14ac:dyDescent="0.25">
      <c r="A4133" s="1">
        <v>4131</v>
      </c>
      <c r="B4133" t="str">
        <f>HYPERLINK("https://www.dasschnelle.at/maderbacher-gmbh-wenigzell-sommersgut","Website")</f>
        <v>Website</v>
      </c>
      <c r="C4133" t="str">
        <f>HYPERLINK("http://www.maderbacher-erdbau.at","Website")</f>
        <v>Website</v>
      </c>
      <c r="D4133" t="str">
        <f>HYPERLINK("http://www.google.com/maps/place/47.4248198,15.7893737","Location")</f>
        <v>Location</v>
      </c>
      <c r="E4133" t="s">
        <v>35580</v>
      </c>
      <c r="F4133" t="s">
        <v>35581</v>
      </c>
      <c r="G4133" t="s">
        <v>35583</v>
      </c>
      <c r="H4133" t="s">
        <v>35584</v>
      </c>
      <c r="I4133" t="s">
        <v>451</v>
      </c>
      <c r="J4133" t="s">
        <v>22</v>
      </c>
      <c r="K4133" t="s">
        <v>35582</v>
      </c>
      <c r="L4133" t="s">
        <v>35587</v>
      </c>
      <c r="M4133" t="s">
        <v>25</v>
      </c>
      <c r="N4133" t="s">
        <v>35588</v>
      </c>
      <c r="O4133" t="s">
        <v>35589</v>
      </c>
      <c r="P4133" t="s">
        <v>35590</v>
      </c>
      <c r="Q4133" t="s">
        <v>29</v>
      </c>
      <c r="R4133" t="s">
        <v>35585</v>
      </c>
      <c r="S4133" t="s">
        <v>35586</v>
      </c>
    </row>
    <row r="4134" spans="1:19" x14ac:dyDescent="0.25">
      <c r="A4134" s="1">
        <v>4132</v>
      </c>
      <c r="B4134" t="str">
        <f>HYPERLINK("https://www.dasschnelle.at/pichler-fassaden-og-vorau-vornholz","Website")</f>
        <v>Website</v>
      </c>
      <c r="C4134" t="str">
        <f>HYPERLINK("http://www.pichler-fassaden.at","Website")</f>
        <v>Website</v>
      </c>
      <c r="D4134" t="str">
        <f>HYPERLINK("http://www.google.com/maps/place/47.4289865,15.8476652","Location")</f>
        <v>Location</v>
      </c>
      <c r="E4134" t="s">
        <v>35591</v>
      </c>
      <c r="F4134" t="s">
        <v>35592</v>
      </c>
      <c r="G4134" t="s">
        <v>1068</v>
      </c>
      <c r="H4134" t="s">
        <v>1069</v>
      </c>
      <c r="I4134" t="s">
        <v>451</v>
      </c>
      <c r="J4134" t="s">
        <v>22</v>
      </c>
      <c r="K4134" t="s">
        <v>35593</v>
      </c>
      <c r="L4134" t="s">
        <v>35596</v>
      </c>
      <c r="M4134" t="s">
        <v>25</v>
      </c>
      <c r="N4134" t="s">
        <v>35597</v>
      </c>
      <c r="O4134" t="s">
        <v>25</v>
      </c>
      <c r="P4134" t="s">
        <v>35598</v>
      </c>
      <c r="Q4134" t="s">
        <v>29</v>
      </c>
      <c r="R4134" t="s">
        <v>35594</v>
      </c>
      <c r="S4134" t="s">
        <v>35595</v>
      </c>
    </row>
    <row r="4135" spans="1:19" x14ac:dyDescent="0.25">
      <c r="A4135" s="1">
        <v>4133</v>
      </c>
      <c r="B4135" t="str">
        <f>HYPERLINK("https://www.dasschnelle.at/rm-gebäudetechnik-gmbh-penzendorf-gewerbepark-greinbach-west","Website")</f>
        <v>Website</v>
      </c>
      <c r="C4135" t="str">
        <f>HYPERLINK("http://www.rm-gebaeudetechnik.at","Website")</f>
        <v>Website</v>
      </c>
      <c r="D4135" t="str">
        <f>HYPERLINK("http://www.google.com/maps/place/47.31564,15.97965","Location")</f>
        <v>Location</v>
      </c>
      <c r="E4135" t="s">
        <v>35599</v>
      </c>
      <c r="F4135" t="s">
        <v>35600</v>
      </c>
      <c r="G4135" t="s">
        <v>1050</v>
      </c>
      <c r="H4135" t="s">
        <v>35602</v>
      </c>
      <c r="I4135" t="s">
        <v>451</v>
      </c>
      <c r="J4135" t="s">
        <v>22</v>
      </c>
      <c r="K4135" t="s">
        <v>35601</v>
      </c>
      <c r="L4135" t="s">
        <v>35605</v>
      </c>
      <c r="M4135" t="s">
        <v>25</v>
      </c>
      <c r="N4135" t="s">
        <v>35606</v>
      </c>
      <c r="O4135" t="s">
        <v>25</v>
      </c>
      <c r="P4135" t="s">
        <v>35607</v>
      </c>
      <c r="Q4135" t="s">
        <v>29</v>
      </c>
      <c r="R4135" t="s">
        <v>35603</v>
      </c>
      <c r="S4135" t="s">
        <v>35604</v>
      </c>
    </row>
    <row r="4136" spans="1:19" x14ac:dyDescent="0.25">
      <c r="A4136" s="1">
        <v>4134</v>
      </c>
      <c r="B4136" t="str">
        <f>HYPERLINK("https://www.dasschnelle.at/smartes-wohnen-allmer-pischelsdorf-am-kulm-kleinpesendorf","Website")</f>
        <v>Website</v>
      </c>
      <c r="C4136" t="str">
        <f>HYPERLINK("http://www.elektro-allmer.at","Website")</f>
        <v>Website</v>
      </c>
      <c r="D4136" t="str">
        <f>HYPERLINK("http://www.google.com/maps/place/47.2002189,15.7964128","Location")</f>
        <v>Location</v>
      </c>
      <c r="E4136" t="s">
        <v>35608</v>
      </c>
      <c r="F4136" t="s">
        <v>35609</v>
      </c>
      <c r="G4136" t="s">
        <v>3543</v>
      </c>
      <c r="H4136" t="s">
        <v>13850</v>
      </c>
      <c r="I4136" t="s">
        <v>451</v>
      </c>
      <c r="J4136" t="s">
        <v>22</v>
      </c>
      <c r="K4136" t="s">
        <v>13858</v>
      </c>
      <c r="L4136" t="s">
        <v>13861</v>
      </c>
      <c r="M4136" t="s">
        <v>25</v>
      </c>
      <c r="N4136" t="s">
        <v>13862</v>
      </c>
      <c r="O4136" t="s">
        <v>35610</v>
      </c>
      <c r="P4136" t="s">
        <v>35611</v>
      </c>
      <c r="Q4136" t="s">
        <v>29</v>
      </c>
      <c r="R4136" t="s">
        <v>13859</v>
      </c>
      <c r="S4136" t="s">
        <v>13860</v>
      </c>
    </row>
    <row r="4137" spans="1:19" x14ac:dyDescent="0.25">
      <c r="A4137" s="1">
        <v>4135</v>
      </c>
      <c r="B4137" t="str">
        <f>HYPERLINK("https://www.dasschnelle.at/fuchsberger-stockinger-vöcklamarkt-blumenstraße","Website")</f>
        <v>Website</v>
      </c>
      <c r="C4137" t="str">
        <f>HYPERLINK("https://www.dasschnelle.at/fuchsberger-stockinger-v%C3%B6cklamarkt-blumenstra%C3%9Fe","Website")</f>
        <v>Website</v>
      </c>
      <c r="D4137" t="str">
        <f>HYPERLINK("http://www.google.com/maps/place/47.9481400,13.2258900","Location")</f>
        <v>Location</v>
      </c>
      <c r="E4137" t="s">
        <v>35612</v>
      </c>
      <c r="F4137" t="s">
        <v>35613</v>
      </c>
      <c r="G4137" t="s">
        <v>3823</v>
      </c>
      <c r="H4137" t="s">
        <v>3824</v>
      </c>
      <c r="I4137" t="s">
        <v>2239</v>
      </c>
      <c r="J4137" t="s">
        <v>22</v>
      </c>
      <c r="K4137" t="s">
        <v>35614</v>
      </c>
      <c r="L4137" t="s">
        <v>35617</v>
      </c>
      <c r="M4137" t="s">
        <v>25</v>
      </c>
      <c r="N4137" t="s">
        <v>35618</v>
      </c>
      <c r="O4137" t="s">
        <v>25</v>
      </c>
      <c r="P4137" t="s">
        <v>35619</v>
      </c>
      <c r="Q4137" t="s">
        <v>29</v>
      </c>
      <c r="R4137" t="s">
        <v>35615</v>
      </c>
      <c r="S4137" t="s">
        <v>35616</v>
      </c>
    </row>
    <row r="4138" spans="1:19" x14ac:dyDescent="0.25">
      <c r="A4138" s="1">
        <v>4136</v>
      </c>
      <c r="B4138" t="str">
        <f>HYPERLINK("https://www.dasschnelle.at/wolfmayr-gerald-altenfelden-veldenstraße","Website")</f>
        <v>Website</v>
      </c>
      <c r="C4138" t="str">
        <f>HYPERLINK("http://www.wolfmayr.at","Website")</f>
        <v>Website</v>
      </c>
      <c r="D4138" t="str">
        <f>HYPERLINK("http://www.google.com/maps/place/48.48502,13.97096","Location")</f>
        <v>Location</v>
      </c>
      <c r="E4138" t="s">
        <v>35620</v>
      </c>
      <c r="F4138" t="s">
        <v>35621</v>
      </c>
      <c r="G4138" t="s">
        <v>8733</v>
      </c>
      <c r="H4138" t="s">
        <v>8734</v>
      </c>
      <c r="I4138" t="s">
        <v>85</v>
      </c>
      <c r="J4138" t="s">
        <v>22</v>
      </c>
      <c r="K4138" t="s">
        <v>35622</v>
      </c>
      <c r="L4138" t="s">
        <v>35625</v>
      </c>
      <c r="M4138" t="s">
        <v>25</v>
      </c>
      <c r="N4138" t="s">
        <v>35626</v>
      </c>
      <c r="O4138" t="s">
        <v>25</v>
      </c>
      <c r="P4138" t="s">
        <v>35627</v>
      </c>
      <c r="Q4138" t="s">
        <v>29</v>
      </c>
      <c r="R4138" t="s">
        <v>35623</v>
      </c>
      <c r="S4138" t="s">
        <v>35624</v>
      </c>
    </row>
    <row r="4139" spans="1:19" x14ac:dyDescent="0.25">
      <c r="A4139" s="1">
        <v>4137</v>
      </c>
      <c r="B4139" t="str">
        <f>HYPERLINK("https://www.dasschnelle.at/haustechnik-krenn-gmbh-kollerschlag-linzerstraße","Website")</f>
        <v>Website</v>
      </c>
      <c r="C4139" t="str">
        <f>HYPERLINK("http://www.ekrenn.com","Website")</f>
        <v>Website</v>
      </c>
      <c r="D4139" t="str">
        <f>HYPERLINK("http://www.google.com/maps/place/48.60153,13.84358","Location")</f>
        <v>Location</v>
      </c>
      <c r="E4139" t="s">
        <v>35628</v>
      </c>
      <c r="F4139" t="s">
        <v>35629</v>
      </c>
      <c r="G4139" t="s">
        <v>8669</v>
      </c>
      <c r="H4139" t="s">
        <v>8670</v>
      </c>
      <c r="I4139" t="s">
        <v>85</v>
      </c>
      <c r="J4139" t="s">
        <v>22</v>
      </c>
      <c r="K4139" t="s">
        <v>35630</v>
      </c>
      <c r="L4139" t="s">
        <v>35633</v>
      </c>
      <c r="M4139" t="s">
        <v>25</v>
      </c>
      <c r="N4139" t="s">
        <v>35634</v>
      </c>
      <c r="O4139" t="s">
        <v>25</v>
      </c>
      <c r="P4139" t="s">
        <v>35635</v>
      </c>
      <c r="Q4139" t="s">
        <v>29</v>
      </c>
      <c r="R4139" t="s">
        <v>35631</v>
      </c>
      <c r="S4139" t="s">
        <v>35632</v>
      </c>
    </row>
    <row r="4140" spans="1:19" x14ac:dyDescent="0.25">
      <c r="A4140" s="1">
        <v>4138</v>
      </c>
      <c r="B4140" t="str">
        <f>HYPERLINK("https://www.dasschnelle.at/wolkerstorfer-alois-kollerschlag-markt","Website")</f>
        <v>Website</v>
      </c>
      <c r="C4140" t="str">
        <f>HYPERLINK("http://www.baeckerei-gabriel.at","Website")</f>
        <v>Website</v>
      </c>
      <c r="D4140" t="str">
        <f>HYPERLINK("http://www.google.com/maps/place/48.60514,13.84102","Location")</f>
        <v>Location</v>
      </c>
      <c r="E4140" t="s">
        <v>35636</v>
      </c>
      <c r="F4140" t="s">
        <v>35637</v>
      </c>
      <c r="G4140" t="s">
        <v>8669</v>
      </c>
      <c r="H4140" t="s">
        <v>8670</v>
      </c>
      <c r="I4140" t="s">
        <v>85</v>
      </c>
      <c r="J4140" t="s">
        <v>22</v>
      </c>
      <c r="K4140" t="s">
        <v>35638</v>
      </c>
      <c r="L4140" t="s">
        <v>35641</v>
      </c>
      <c r="M4140" t="s">
        <v>25</v>
      </c>
      <c r="N4140" t="s">
        <v>35642</v>
      </c>
      <c r="O4140" t="s">
        <v>25</v>
      </c>
      <c r="P4140" t="s">
        <v>35643</v>
      </c>
      <c r="Q4140" t="s">
        <v>29</v>
      </c>
      <c r="R4140" t="s">
        <v>35639</v>
      </c>
      <c r="S4140" t="s">
        <v>35640</v>
      </c>
    </row>
    <row r="4141" spans="1:19" x14ac:dyDescent="0.25">
      <c r="A4141" s="1">
        <v>4139</v>
      </c>
      <c r="B4141" t="str">
        <f>HYPERLINK("https://www.dasschnelle.at/neumüller-friedrich-hofkirchen-hochhaus","Website")</f>
        <v>Website</v>
      </c>
      <c r="C4141" t="str">
        <f>HYPERLINK("http://www.neumueller-transporte.at","Website")</f>
        <v>Website</v>
      </c>
      <c r="D4141" t="str">
        <f>HYPERLINK("http://www.google.com/maps/place/48.5088719,13.7860820","Location")</f>
        <v>Location</v>
      </c>
      <c r="E4141" t="s">
        <v>35644</v>
      </c>
      <c r="F4141" t="s">
        <v>35645</v>
      </c>
      <c r="G4141" t="s">
        <v>8696</v>
      </c>
      <c r="H4141" t="s">
        <v>35647</v>
      </c>
      <c r="I4141" t="s">
        <v>85</v>
      </c>
      <c r="J4141" t="s">
        <v>22</v>
      </c>
      <c r="K4141" t="s">
        <v>35646</v>
      </c>
      <c r="L4141" t="s">
        <v>35650</v>
      </c>
      <c r="M4141" t="s">
        <v>25</v>
      </c>
      <c r="N4141" t="s">
        <v>35651</v>
      </c>
      <c r="O4141" t="s">
        <v>35652</v>
      </c>
      <c r="P4141" t="s">
        <v>35653</v>
      </c>
      <c r="Q4141" t="s">
        <v>29</v>
      </c>
      <c r="R4141" t="s">
        <v>35648</v>
      </c>
      <c r="S4141" t="s">
        <v>35649</v>
      </c>
    </row>
    <row r="4142" spans="1:19" x14ac:dyDescent="0.25">
      <c r="A4142" s="1">
        <v>4140</v>
      </c>
      <c r="B4142" t="str">
        <f>HYPERLINK("https://www.dasschnelle.at/lauß-günther-haslach-an-der-mühl-hochgärten","Website")</f>
        <v>Website</v>
      </c>
      <c r="C4142" t="str">
        <f>HYPERLINK("https://www.dasschnelle.at/lau%C3%9F-g%C3%BCnther-haslach-an-der-m%C3%BChl-hochg%C3%A4rten","Website")</f>
        <v>Website</v>
      </c>
      <c r="D4142" t="str">
        <f>HYPERLINK("http://www.google.com/maps/place/48.57726,14.05673","Location")</f>
        <v>Location</v>
      </c>
      <c r="E4142" t="s">
        <v>35654</v>
      </c>
      <c r="F4142" t="s">
        <v>35655</v>
      </c>
      <c r="G4142" t="s">
        <v>35103</v>
      </c>
      <c r="H4142" t="s">
        <v>35104</v>
      </c>
      <c r="I4142" t="s">
        <v>85</v>
      </c>
      <c r="J4142" t="s">
        <v>22</v>
      </c>
      <c r="K4142" t="s">
        <v>35656</v>
      </c>
      <c r="L4142" t="s">
        <v>35659</v>
      </c>
      <c r="M4142" t="s">
        <v>25</v>
      </c>
      <c r="N4142" t="s">
        <v>35660</v>
      </c>
      <c r="O4142" t="s">
        <v>25</v>
      </c>
      <c r="P4142" t="s">
        <v>35661</v>
      </c>
      <c r="Q4142" t="s">
        <v>29</v>
      </c>
      <c r="R4142" t="s">
        <v>35657</v>
      </c>
      <c r="S4142" t="s">
        <v>35658</v>
      </c>
    </row>
    <row r="4143" spans="1:19" x14ac:dyDescent="0.25">
      <c r="A4143" s="1">
        <v>4141</v>
      </c>
      <c r="B4143" t="str">
        <f>HYPERLINK("https://www.dasschnelle.at/kosta-leichtstahlbau-gesmbh-niederwaldkirchen-drautendorf","Website")</f>
        <v>Website</v>
      </c>
      <c r="C4143" t="str">
        <f>HYPERLINK("http://www.kosta-leichtstahlbau.at","Website")</f>
        <v>Website</v>
      </c>
      <c r="D4143" t="str">
        <f>HYPERLINK("http://www.google.com/maps/place/48.4423345,14.0540720","Location")</f>
        <v>Location</v>
      </c>
      <c r="E4143" t="s">
        <v>35662</v>
      </c>
      <c r="F4143" t="s">
        <v>35663</v>
      </c>
      <c r="G4143" t="s">
        <v>35665</v>
      </c>
      <c r="H4143" t="s">
        <v>35666</v>
      </c>
      <c r="I4143" t="s">
        <v>85</v>
      </c>
      <c r="J4143" t="s">
        <v>22</v>
      </c>
      <c r="K4143" t="s">
        <v>35664</v>
      </c>
      <c r="L4143" t="s">
        <v>35669</v>
      </c>
      <c r="M4143" t="s">
        <v>35670</v>
      </c>
      <c r="N4143" t="s">
        <v>35671</v>
      </c>
      <c r="O4143" t="s">
        <v>25</v>
      </c>
      <c r="P4143" t="s">
        <v>35672</v>
      </c>
      <c r="Q4143" t="s">
        <v>29</v>
      </c>
      <c r="R4143" t="s">
        <v>35667</v>
      </c>
      <c r="S4143" t="s">
        <v>35668</v>
      </c>
    </row>
    <row r="4144" spans="1:19" x14ac:dyDescent="0.25">
      <c r="A4144" s="1">
        <v>4142</v>
      </c>
      <c r="B4144" t="str">
        <f>HYPERLINK("https://www.dasschnelle.at/waffen-hofer-sankt-johann-am-wimberg-pesenbach-straße","Website")</f>
        <v>Website</v>
      </c>
      <c r="C4144" t="str">
        <f>HYPERLINK("http://www.waffenhofer.at","Website")</f>
        <v>Website</v>
      </c>
      <c r="D4144" t="str">
        <f>HYPERLINK("http://www.google.com/maps/place/48.49351,14.11861","Location")</f>
        <v>Location</v>
      </c>
      <c r="E4144" t="s">
        <v>35673</v>
      </c>
      <c r="F4144" t="s">
        <v>35674</v>
      </c>
      <c r="G4144" t="s">
        <v>8723</v>
      </c>
      <c r="H4144" t="s">
        <v>8724</v>
      </c>
      <c r="I4144" t="s">
        <v>85</v>
      </c>
      <c r="J4144" t="s">
        <v>22</v>
      </c>
      <c r="K4144" t="s">
        <v>35675</v>
      </c>
      <c r="L4144" t="s">
        <v>35677</v>
      </c>
      <c r="M4144" t="s">
        <v>25</v>
      </c>
      <c r="N4144" t="s">
        <v>35678</v>
      </c>
      <c r="O4144" t="s">
        <v>25</v>
      </c>
      <c r="P4144" t="s">
        <v>35679</v>
      </c>
      <c r="Q4144" t="s">
        <v>29</v>
      </c>
      <c r="R4144" t="s">
        <v>30660</v>
      </c>
      <c r="S4144" t="s">
        <v>35676</v>
      </c>
    </row>
    <row r="4145" spans="1:19" x14ac:dyDescent="0.25">
      <c r="A4145" s="1">
        <v>4143</v>
      </c>
      <c r="B4145" t="str">
        <f>HYPERLINK("https://www.dasschnelle.at/fliesencenter-horvatits-oberwart-steinamangerer-str","Website")</f>
        <v>Website</v>
      </c>
      <c r="C4145" t="str">
        <f>HYPERLINK("http://www.fliesencenter-horvatits.at","Website")</f>
        <v>Website</v>
      </c>
      <c r="D4145" t="str">
        <f>HYPERLINK("http://www.google.com/maps/place/47.2742300,16.2323000","Location")</f>
        <v>Location</v>
      </c>
      <c r="E4145" t="s">
        <v>35680</v>
      </c>
      <c r="F4145" t="s">
        <v>35681</v>
      </c>
      <c r="G4145" t="s">
        <v>20126</v>
      </c>
      <c r="H4145" t="s">
        <v>20127</v>
      </c>
      <c r="I4145" t="s">
        <v>1834</v>
      </c>
      <c r="J4145" t="s">
        <v>22</v>
      </c>
      <c r="K4145" t="s">
        <v>35682</v>
      </c>
      <c r="L4145" t="s">
        <v>35685</v>
      </c>
      <c r="M4145" t="s">
        <v>25</v>
      </c>
      <c r="N4145" t="s">
        <v>35686</v>
      </c>
      <c r="O4145" t="s">
        <v>25</v>
      </c>
      <c r="P4145" t="s">
        <v>35687</v>
      </c>
      <c r="Q4145" t="s">
        <v>29</v>
      </c>
      <c r="R4145" t="s">
        <v>35683</v>
      </c>
      <c r="S4145" t="s">
        <v>35684</v>
      </c>
    </row>
    <row r="4146" spans="1:19" x14ac:dyDescent="0.25">
      <c r="A4146" s="1">
        <v>4144</v>
      </c>
      <c r="B4146" t="str">
        <f>HYPERLINK("https://www.dasschnelle.at/wildparkwirt-altenfelden-atzesberg","Website")</f>
        <v>Website</v>
      </c>
      <c r="C4146" t="str">
        <f>HYPERLINK("http://www.wildparkwirt.at","Website")</f>
        <v>Website</v>
      </c>
      <c r="D4146" t="str">
        <f>HYPERLINK("http://www.google.com/maps/place/48.4693357,13.9591757","Location")</f>
        <v>Location</v>
      </c>
      <c r="E4146" t="s">
        <v>35688</v>
      </c>
      <c r="F4146" t="s">
        <v>35689</v>
      </c>
      <c r="G4146" t="s">
        <v>8733</v>
      </c>
      <c r="H4146" t="s">
        <v>8734</v>
      </c>
      <c r="I4146" t="s">
        <v>85</v>
      </c>
      <c r="J4146" t="s">
        <v>22</v>
      </c>
      <c r="K4146" t="s">
        <v>35690</v>
      </c>
      <c r="L4146" t="s">
        <v>35693</v>
      </c>
      <c r="M4146" t="s">
        <v>25</v>
      </c>
      <c r="N4146" t="s">
        <v>35694</v>
      </c>
      <c r="O4146" t="s">
        <v>25</v>
      </c>
      <c r="P4146" t="s">
        <v>35695</v>
      </c>
      <c r="Q4146" t="s">
        <v>29</v>
      </c>
      <c r="R4146" t="s">
        <v>35691</v>
      </c>
      <c r="S4146" t="s">
        <v>35692</v>
      </c>
    </row>
    <row r="4147" spans="1:19" x14ac:dyDescent="0.25">
      <c r="A4147" s="1">
        <v>4145</v>
      </c>
      <c r="B4147" t="str">
        <f>HYPERLINK("https://www.dasschnelle.at/puchner-otmar-dr-rohrbach-berg-stadtplatz","Website")</f>
        <v>Website</v>
      </c>
      <c r="C4147" t="str">
        <f>HYPERLINK("http://www.mdz-rohrbach.at","Website")</f>
        <v>Website</v>
      </c>
      <c r="D4147" t="str">
        <f>HYPERLINK("http://www.google.com/maps/place/48.5715425,13.9923940","Location")</f>
        <v>Location</v>
      </c>
      <c r="E4147" t="s">
        <v>35696</v>
      </c>
      <c r="F4147" t="s">
        <v>35697</v>
      </c>
      <c r="G4147" t="s">
        <v>8561</v>
      </c>
      <c r="H4147" t="s">
        <v>8660</v>
      </c>
      <c r="I4147" t="s">
        <v>85</v>
      </c>
      <c r="J4147" t="s">
        <v>22</v>
      </c>
      <c r="K4147" t="s">
        <v>8633</v>
      </c>
      <c r="L4147" t="s">
        <v>35698</v>
      </c>
      <c r="M4147" t="s">
        <v>35699</v>
      </c>
      <c r="N4147" t="s">
        <v>35700</v>
      </c>
      <c r="O4147" t="s">
        <v>25</v>
      </c>
      <c r="P4147" t="s">
        <v>35701</v>
      </c>
      <c r="Q4147" t="s">
        <v>29</v>
      </c>
      <c r="R4147" t="s">
        <v>8634</v>
      </c>
      <c r="S4147" t="s">
        <v>8635</v>
      </c>
    </row>
    <row r="4148" spans="1:19" x14ac:dyDescent="0.25">
      <c r="A4148" s="1">
        <v>4146</v>
      </c>
      <c r="B4148" t="str">
        <f>HYPERLINK("https://www.dasschnelle.at/burger-boutique-hartberg-ferdinand-leihs-straße","Website")</f>
        <v>Website</v>
      </c>
      <c r="C4148" t="str">
        <f>HYPERLINK("http://www.burgerboutique.at","Website")</f>
        <v>Website</v>
      </c>
      <c r="D4148" t="str">
        <f>HYPERLINK("http://www.google.com/maps/place/47.2838245,15.9913243","Location")</f>
        <v>Location</v>
      </c>
      <c r="E4148" t="s">
        <v>35702</v>
      </c>
      <c r="F4148" t="s">
        <v>35703</v>
      </c>
      <c r="G4148" t="s">
        <v>1050</v>
      </c>
      <c r="H4148" t="s">
        <v>1051</v>
      </c>
      <c r="I4148" t="s">
        <v>451</v>
      </c>
      <c r="J4148" t="s">
        <v>22</v>
      </c>
      <c r="K4148" t="s">
        <v>35704</v>
      </c>
      <c r="L4148" t="s">
        <v>35707</v>
      </c>
      <c r="M4148" t="s">
        <v>25</v>
      </c>
      <c r="N4148" t="s">
        <v>35708</v>
      </c>
      <c r="O4148" t="s">
        <v>25</v>
      </c>
      <c r="P4148" t="s">
        <v>35709</v>
      </c>
      <c r="Q4148" t="s">
        <v>29</v>
      </c>
      <c r="R4148" t="s">
        <v>35705</v>
      </c>
      <c r="S4148" t="s">
        <v>35706</v>
      </c>
    </row>
    <row r="4149" spans="1:19" x14ac:dyDescent="0.25">
      <c r="A4149" s="1">
        <v>4147</v>
      </c>
      <c r="B4149" t="str">
        <f>HYPERLINK("https://www.dasschnelle.at/putz-daniel-holzbau-und-montagen-wenigzell-sichart","Website")</f>
        <v>Website</v>
      </c>
      <c r="C4149" t="str">
        <f>HYPERLINK("http://www.holzbau-putz.at","Website")</f>
        <v>Website</v>
      </c>
      <c r="D4149" t="str">
        <f>HYPERLINK("http://www.google.com/maps/place/47.4038578,15.7941063","Location")</f>
        <v>Location</v>
      </c>
      <c r="E4149" t="s">
        <v>35710</v>
      </c>
      <c r="F4149" t="s">
        <v>35711</v>
      </c>
      <c r="G4149" t="s">
        <v>35583</v>
      </c>
      <c r="H4149" t="s">
        <v>35584</v>
      </c>
      <c r="I4149" t="s">
        <v>451</v>
      </c>
      <c r="J4149" t="s">
        <v>22</v>
      </c>
      <c r="K4149" t="s">
        <v>35712</v>
      </c>
      <c r="L4149" t="s">
        <v>35715</v>
      </c>
      <c r="M4149" t="s">
        <v>25</v>
      </c>
      <c r="N4149" t="s">
        <v>35716</v>
      </c>
      <c r="O4149" t="s">
        <v>25</v>
      </c>
      <c r="P4149" t="s">
        <v>35717</v>
      </c>
      <c r="Q4149" t="s">
        <v>29</v>
      </c>
      <c r="R4149" t="s">
        <v>35713</v>
      </c>
      <c r="S4149" t="s">
        <v>35714</v>
      </c>
    </row>
    <row r="4150" spans="1:19" x14ac:dyDescent="0.25">
      <c r="A4150" s="1">
        <v>4148</v>
      </c>
      <c r="B4150" t="str">
        <f>HYPERLINK("https://www.dasschnelle.at/roko-restaurant-hartberg-rochusplatz","Website")</f>
        <v>Website</v>
      </c>
      <c r="C4150" t="str">
        <f>HYPERLINK("http://www.roko-restaurant.at","Website")</f>
        <v>Website</v>
      </c>
      <c r="D4150" t="str">
        <f>HYPERLINK("http://www.google.com/maps/place/47.2820340,15.9731095","Location")</f>
        <v>Location</v>
      </c>
      <c r="E4150" t="s">
        <v>35718</v>
      </c>
      <c r="F4150" t="s">
        <v>35719</v>
      </c>
      <c r="G4150" t="s">
        <v>1050</v>
      </c>
      <c r="H4150" t="s">
        <v>1051</v>
      </c>
      <c r="I4150" t="s">
        <v>451</v>
      </c>
      <c r="J4150" t="s">
        <v>22</v>
      </c>
      <c r="K4150" t="s">
        <v>35720</v>
      </c>
      <c r="L4150" t="s">
        <v>35723</v>
      </c>
      <c r="M4150" t="s">
        <v>25</v>
      </c>
      <c r="N4150" t="s">
        <v>35724</v>
      </c>
      <c r="O4150" t="s">
        <v>35725</v>
      </c>
      <c r="P4150" t="s">
        <v>35726</v>
      </c>
      <c r="Q4150" t="s">
        <v>29</v>
      </c>
      <c r="R4150" t="s">
        <v>35721</v>
      </c>
      <c r="S4150" t="s">
        <v>35722</v>
      </c>
    </row>
    <row r="4151" spans="1:19" x14ac:dyDescent="0.25">
      <c r="A4151" s="1">
        <v>4149</v>
      </c>
      <c r="B4151" t="str">
        <f>HYPERLINK("https://www.dasschnelle.at/naturpark-bus-zeutschach","Website")</f>
        <v>Website</v>
      </c>
      <c r="C4151" t="str">
        <f>HYPERLINK("http://www.naturpark-bus.at","Website")</f>
        <v>Website</v>
      </c>
      <c r="D4151" t="str">
        <f>HYPERLINK("http://www.google.com/maps/place/47.0712477,14.3664485","Location")</f>
        <v>Location</v>
      </c>
      <c r="E4151" t="s">
        <v>35727</v>
      </c>
      <c r="F4151" t="s">
        <v>35728</v>
      </c>
      <c r="G4151" t="s">
        <v>12200</v>
      </c>
      <c r="H4151" t="s">
        <v>12201</v>
      </c>
      <c r="I4151" t="s">
        <v>451</v>
      </c>
      <c r="J4151" t="s">
        <v>22</v>
      </c>
      <c r="K4151" t="s">
        <v>25</v>
      </c>
      <c r="L4151" t="s">
        <v>35731</v>
      </c>
      <c r="M4151" t="s">
        <v>25</v>
      </c>
      <c r="N4151" t="s">
        <v>35732</v>
      </c>
      <c r="O4151" t="s">
        <v>25</v>
      </c>
      <c r="P4151" t="s">
        <v>35733</v>
      </c>
      <c r="Q4151" t="s">
        <v>29</v>
      </c>
      <c r="R4151" t="s">
        <v>35729</v>
      </c>
      <c r="S4151" t="s">
        <v>35730</v>
      </c>
    </row>
    <row r="4152" spans="1:19" x14ac:dyDescent="0.25">
      <c r="A4152" s="1">
        <v>4150</v>
      </c>
      <c r="B4152" t="str">
        <f>HYPERLINK("https://www.dasschnelle.at/reinhard-mühlsteiner-dach-und-wand-gmbh-rohrbach-neundling","Website")</f>
        <v>Website</v>
      </c>
      <c r="C4152" t="str">
        <f>HYPERLINK("http://www.muehlsteiner.at","Website")</f>
        <v>Website</v>
      </c>
      <c r="D4152" t="str">
        <f>HYPERLINK("http://www.google.com/maps/place/48.5736366,13.9907476","Location")</f>
        <v>Location</v>
      </c>
      <c r="E4152" t="s">
        <v>35734</v>
      </c>
      <c r="F4152" t="s">
        <v>35735</v>
      </c>
      <c r="G4152" t="s">
        <v>8561</v>
      </c>
      <c r="H4152" t="s">
        <v>8562</v>
      </c>
      <c r="I4152" t="s">
        <v>85</v>
      </c>
      <c r="J4152" t="s">
        <v>22</v>
      </c>
      <c r="K4152" t="s">
        <v>35736</v>
      </c>
      <c r="L4152" t="s">
        <v>35739</v>
      </c>
      <c r="M4152" t="s">
        <v>25</v>
      </c>
      <c r="N4152" t="s">
        <v>35740</v>
      </c>
      <c r="O4152" t="s">
        <v>25</v>
      </c>
      <c r="P4152" t="s">
        <v>35741</v>
      </c>
      <c r="Q4152" t="s">
        <v>29</v>
      </c>
      <c r="R4152" t="s">
        <v>35737</v>
      </c>
      <c r="S4152" t="s">
        <v>35738</v>
      </c>
    </row>
    <row r="4153" spans="1:19" x14ac:dyDescent="0.25">
      <c r="A4153" s="1">
        <v>4151</v>
      </c>
      <c r="B4153" t="str">
        <f>HYPERLINK("https://www.dasschnelle.at/kumpfmüller-bau-gmbh-lembach-im-mühlkreis-linzer-straße","Website")</f>
        <v>Website</v>
      </c>
      <c r="C4153" t="str">
        <f>HYPERLINK("http://www.kumpfmueller.co.at","Website")</f>
        <v>Website</v>
      </c>
      <c r="D4153" t="str">
        <f>HYPERLINK("http://www.google.com/maps/place/48.48921,13.90321","Location")</f>
        <v>Location</v>
      </c>
      <c r="E4153" t="s">
        <v>35742</v>
      </c>
      <c r="F4153" t="s">
        <v>35743</v>
      </c>
      <c r="G4153" t="s">
        <v>8650</v>
      </c>
      <c r="H4153" t="s">
        <v>8651</v>
      </c>
      <c r="I4153" t="s">
        <v>85</v>
      </c>
      <c r="J4153" t="s">
        <v>22</v>
      </c>
      <c r="K4153" t="s">
        <v>35744</v>
      </c>
      <c r="L4153" t="s">
        <v>35747</v>
      </c>
      <c r="M4153" t="s">
        <v>35748</v>
      </c>
      <c r="N4153" t="s">
        <v>35749</v>
      </c>
      <c r="O4153" t="s">
        <v>25</v>
      </c>
      <c r="P4153" t="s">
        <v>35750</v>
      </c>
      <c r="Q4153" t="s">
        <v>29</v>
      </c>
      <c r="R4153" t="s">
        <v>35745</v>
      </c>
      <c r="S4153" t="s">
        <v>35746</v>
      </c>
    </row>
    <row r="4154" spans="1:19" x14ac:dyDescent="0.25">
      <c r="A4154" s="1">
        <v>4152</v>
      </c>
      <c r="B4154" t="str">
        <f>HYPERLINK("https://www.dasschnelle.at/kneidinger-center-gmbh-rohrbach-gewerbeallee","Website")</f>
        <v>Website</v>
      </c>
      <c r="C4154" t="str">
        <f>HYPERLINK("http://www.kneidingercenter.at","Website")</f>
        <v>Website</v>
      </c>
      <c r="D4154" t="str">
        <f>HYPERLINK("http://www.google.com/maps/place/48.5659130,13.9849170","Location")</f>
        <v>Location</v>
      </c>
      <c r="E4154" t="s">
        <v>35751</v>
      </c>
      <c r="F4154" t="s">
        <v>35752</v>
      </c>
      <c r="G4154" t="s">
        <v>8561</v>
      </c>
      <c r="H4154" t="s">
        <v>8562</v>
      </c>
      <c r="I4154" t="s">
        <v>85</v>
      </c>
      <c r="J4154" t="s">
        <v>22</v>
      </c>
      <c r="K4154" t="s">
        <v>35753</v>
      </c>
      <c r="L4154" t="s">
        <v>35756</v>
      </c>
      <c r="M4154" t="s">
        <v>25</v>
      </c>
      <c r="N4154" t="s">
        <v>35757</v>
      </c>
      <c r="O4154" t="s">
        <v>25</v>
      </c>
      <c r="P4154" t="s">
        <v>35758</v>
      </c>
      <c r="Q4154" t="s">
        <v>29</v>
      </c>
      <c r="R4154" t="s">
        <v>35754</v>
      </c>
      <c r="S4154" t="s">
        <v>35755</v>
      </c>
    </row>
    <row r="4155" spans="1:19" x14ac:dyDescent="0.25">
      <c r="A4155" s="1">
        <v>4153</v>
      </c>
      <c r="B4155" t="str">
        <f>HYPERLINK("https://www.dasschnelle.at/lindorfer-manfred-altenfelden-freileben","Website")</f>
        <v>Website</v>
      </c>
      <c r="C4155" t="str">
        <f>HYPERLINK("http://www.raum.li","Website")</f>
        <v>Website</v>
      </c>
      <c r="D4155" t="str">
        <f>HYPERLINK("http://www.google.com/maps/place/48.4916573,13.9716948","Location")</f>
        <v>Location</v>
      </c>
      <c r="E4155" t="s">
        <v>35759</v>
      </c>
      <c r="F4155" t="s">
        <v>35760</v>
      </c>
      <c r="G4155" t="s">
        <v>8733</v>
      </c>
      <c r="H4155" t="s">
        <v>8734</v>
      </c>
      <c r="I4155" t="s">
        <v>85</v>
      </c>
      <c r="J4155" t="s">
        <v>22</v>
      </c>
      <c r="K4155" t="s">
        <v>35761</v>
      </c>
      <c r="L4155" t="s">
        <v>35764</v>
      </c>
      <c r="M4155" t="s">
        <v>25</v>
      </c>
      <c r="N4155" t="s">
        <v>35765</v>
      </c>
      <c r="O4155" t="s">
        <v>25</v>
      </c>
      <c r="P4155" t="s">
        <v>35766</v>
      </c>
      <c r="Q4155" t="s">
        <v>29</v>
      </c>
      <c r="R4155" t="s">
        <v>35762</v>
      </c>
      <c r="S4155" t="s">
        <v>35763</v>
      </c>
    </row>
    <row r="4156" spans="1:19" x14ac:dyDescent="0.25">
      <c r="A4156" s="1">
        <v>4154</v>
      </c>
      <c r="B4156" t="str">
        <f>HYPERLINK("https://www.dasschnelle.at/mdz-rohrbach-rohrbach-berg-stadtplatz","Website")</f>
        <v>Website</v>
      </c>
      <c r="C4156" t="str">
        <f>HYPERLINK("http://www.mdz-rohrbach.at","Website")</f>
        <v>Website</v>
      </c>
      <c r="D4156" t="str">
        <f>HYPERLINK("http://www.google.com/maps/place/48.5715425,13.9923940","Location")</f>
        <v>Location</v>
      </c>
      <c r="E4156" t="s">
        <v>35767</v>
      </c>
      <c r="F4156" t="s">
        <v>35768</v>
      </c>
      <c r="G4156" t="s">
        <v>8561</v>
      </c>
      <c r="H4156" t="s">
        <v>8660</v>
      </c>
      <c r="I4156" t="s">
        <v>85</v>
      </c>
      <c r="J4156" t="s">
        <v>22</v>
      </c>
      <c r="K4156" t="s">
        <v>8633</v>
      </c>
      <c r="L4156" t="s">
        <v>35769</v>
      </c>
      <c r="M4156" t="s">
        <v>25</v>
      </c>
      <c r="N4156" t="s">
        <v>25</v>
      </c>
      <c r="O4156" t="s">
        <v>25</v>
      </c>
      <c r="P4156" t="s">
        <v>35770</v>
      </c>
      <c r="Q4156" t="s">
        <v>29</v>
      </c>
      <c r="R4156" t="s">
        <v>8634</v>
      </c>
      <c r="S4156" t="s">
        <v>8635</v>
      </c>
    </row>
    <row r="4157" spans="1:19" x14ac:dyDescent="0.25">
      <c r="A4157" s="1">
        <v>4155</v>
      </c>
      <c r="B4157" t="str">
        <f>HYPERLINK("https://www.dasschnelle.at/schröcker-ulrike-murau-bundesstraße","Website")</f>
        <v>Website</v>
      </c>
      <c r="C4157" t="str">
        <f>HYPERLINK("http://www.kosmetikstudio-hautnah.at","Website")</f>
        <v>Website</v>
      </c>
      <c r="D4157" t="str">
        <f>HYPERLINK("http://www.google.com/maps/place/47.11148,14.18399","Location")</f>
        <v>Location</v>
      </c>
      <c r="E4157" t="s">
        <v>35771</v>
      </c>
      <c r="F4157" t="s">
        <v>35772</v>
      </c>
      <c r="G4157" t="s">
        <v>12112</v>
      </c>
      <c r="H4157" t="s">
        <v>12113</v>
      </c>
      <c r="I4157" t="s">
        <v>451</v>
      </c>
      <c r="J4157" t="s">
        <v>22</v>
      </c>
      <c r="K4157" t="s">
        <v>35773</v>
      </c>
      <c r="L4157" t="s">
        <v>35776</v>
      </c>
      <c r="M4157" t="s">
        <v>25</v>
      </c>
      <c r="N4157" t="s">
        <v>35777</v>
      </c>
      <c r="O4157" t="s">
        <v>25</v>
      </c>
      <c r="P4157" t="s">
        <v>35778</v>
      </c>
      <c r="Q4157" t="s">
        <v>29</v>
      </c>
      <c r="R4157" t="s">
        <v>35774</v>
      </c>
      <c r="S4157" t="s">
        <v>35775</v>
      </c>
    </row>
    <row r="4158" spans="1:19" x14ac:dyDescent="0.25">
      <c r="A4158" s="1">
        <v>4156</v>
      </c>
      <c r="B4158" t="str">
        <f>HYPERLINK("https://www.dasschnelle.at/pobatschnig-hubert-neumarkt-kärntner-straße","Website")</f>
        <v>Website</v>
      </c>
      <c r="C4158" t="str">
        <f>HYPERLINK("http://www.hupo-raumdesign.at","Website")</f>
        <v>Website</v>
      </c>
      <c r="D4158" t="str">
        <f>HYPERLINK("http://www.google.com/maps/place/47.0712306,14.4270988","Location")</f>
        <v>Location</v>
      </c>
      <c r="E4158" t="s">
        <v>35779</v>
      </c>
      <c r="F4158" t="s">
        <v>35780</v>
      </c>
      <c r="G4158" t="s">
        <v>12200</v>
      </c>
      <c r="H4158" t="s">
        <v>12227</v>
      </c>
      <c r="I4158" t="s">
        <v>451</v>
      </c>
      <c r="J4158" t="s">
        <v>22</v>
      </c>
      <c r="K4158" t="s">
        <v>35781</v>
      </c>
      <c r="L4158" t="s">
        <v>35784</v>
      </c>
      <c r="M4158" t="s">
        <v>25</v>
      </c>
      <c r="N4158" t="s">
        <v>35785</v>
      </c>
      <c r="O4158" t="s">
        <v>25</v>
      </c>
      <c r="P4158" t="s">
        <v>35786</v>
      </c>
      <c r="Q4158" t="s">
        <v>29</v>
      </c>
      <c r="R4158" t="s">
        <v>35782</v>
      </c>
      <c r="S4158" t="s">
        <v>35783</v>
      </c>
    </row>
    <row r="4159" spans="1:19" x14ac:dyDescent="0.25">
      <c r="A4159" s="1">
        <v>4157</v>
      </c>
      <c r="B4159" t="str">
        <f>HYPERLINK("https://www.dasschnelle.at/hasler-peter-neumarkt-birkenweg","Website")</f>
        <v>Website</v>
      </c>
      <c r="C4159" t="str">
        <f>HYPERLINK("http://www.fenster-hasler.at","Website")</f>
        <v>Website</v>
      </c>
      <c r="D4159" t="str">
        <f>HYPERLINK("http://www.google.com/maps/place/47.0753597,14.4160007","Location")</f>
        <v>Location</v>
      </c>
      <c r="E4159" t="s">
        <v>35787</v>
      </c>
      <c r="F4159" t="s">
        <v>35788</v>
      </c>
      <c r="G4159" t="s">
        <v>12200</v>
      </c>
      <c r="H4159" t="s">
        <v>12227</v>
      </c>
      <c r="I4159" t="s">
        <v>451</v>
      </c>
      <c r="J4159" t="s">
        <v>22</v>
      </c>
      <c r="K4159" t="s">
        <v>35789</v>
      </c>
      <c r="L4159" t="s">
        <v>35792</v>
      </c>
      <c r="M4159" t="s">
        <v>25</v>
      </c>
      <c r="N4159" t="s">
        <v>35793</v>
      </c>
      <c r="O4159" t="s">
        <v>35794</v>
      </c>
      <c r="P4159" t="s">
        <v>35795</v>
      </c>
      <c r="Q4159" t="s">
        <v>29</v>
      </c>
      <c r="R4159" t="s">
        <v>35790</v>
      </c>
      <c r="S4159" t="s">
        <v>35791</v>
      </c>
    </row>
    <row r="4160" spans="1:19" x14ac:dyDescent="0.25">
      <c r="A4160" s="1">
        <v>4158</v>
      </c>
      <c r="B4160" t="str">
        <f>HYPERLINK("https://www.dasschnelle.at/gasthaus-tritscher-e-u-schladming-salzburgerstraße","Website")</f>
        <v>Website</v>
      </c>
      <c r="C4160" t="str">
        <f>HYPERLINK("http://www.kirchenwirt-schladmig.com","Website")</f>
        <v>Website</v>
      </c>
      <c r="D4160" t="str">
        <f>HYPERLINK("http://www.google.com/maps/place/47.3914,13.68733","Location")</f>
        <v>Location</v>
      </c>
      <c r="E4160" t="s">
        <v>35796</v>
      </c>
      <c r="F4160" t="s">
        <v>35797</v>
      </c>
      <c r="G4160" t="s">
        <v>1269</v>
      </c>
      <c r="H4160" t="s">
        <v>1270</v>
      </c>
      <c r="I4160" t="s">
        <v>451</v>
      </c>
      <c r="J4160" t="s">
        <v>22</v>
      </c>
      <c r="K4160" t="s">
        <v>35798</v>
      </c>
      <c r="L4160" t="s">
        <v>35801</v>
      </c>
      <c r="M4160" t="s">
        <v>25</v>
      </c>
      <c r="N4160" t="s">
        <v>35802</v>
      </c>
      <c r="O4160" t="s">
        <v>35803</v>
      </c>
      <c r="P4160" t="s">
        <v>35804</v>
      </c>
      <c r="Q4160" t="s">
        <v>29</v>
      </c>
      <c r="R4160" t="s">
        <v>35799</v>
      </c>
      <c r="S4160" t="s">
        <v>35800</v>
      </c>
    </row>
    <row r="4161" spans="1:19" x14ac:dyDescent="0.25">
      <c r="A4161" s="1">
        <v>4159</v>
      </c>
      <c r="B4161" t="str">
        <f>HYPERLINK("https://www.dasschnelle.at/kieweg-elfriede-sarleinsbach-scheibstatt","Website")</f>
        <v>Website</v>
      </c>
      <c r="C4161" t="str">
        <f>HYPERLINK("https://www.dasschnelle.at/kieweg-elfriede-sarleinsbach-scheibstatt","Website")</f>
        <v>Website</v>
      </c>
      <c r="D4161" t="str">
        <f>HYPERLINK("http://www.google.com/maps/place/48.54428,13.90527","Location")</f>
        <v>Location</v>
      </c>
      <c r="E4161" t="s">
        <v>35805</v>
      </c>
      <c r="F4161" t="s">
        <v>35806</v>
      </c>
      <c r="G4161" t="s">
        <v>35492</v>
      </c>
      <c r="H4161" t="s">
        <v>35493</v>
      </c>
      <c r="I4161" t="s">
        <v>85</v>
      </c>
      <c r="J4161" t="s">
        <v>22</v>
      </c>
      <c r="K4161" t="s">
        <v>35807</v>
      </c>
      <c r="L4161" t="s">
        <v>35810</v>
      </c>
      <c r="M4161" t="s">
        <v>25</v>
      </c>
      <c r="N4161" t="s">
        <v>35811</v>
      </c>
      <c r="O4161" t="s">
        <v>25</v>
      </c>
      <c r="P4161" t="s">
        <v>35812</v>
      </c>
      <c r="Q4161" t="s">
        <v>29</v>
      </c>
      <c r="R4161" t="s">
        <v>35808</v>
      </c>
      <c r="S4161" t="s">
        <v>35809</v>
      </c>
    </row>
    <row r="4162" spans="1:19" x14ac:dyDescent="0.25">
      <c r="A4162" s="1">
        <v>4160</v>
      </c>
      <c r="B4162" t="str">
        <f>HYPERLINK("https://www.dasschnelle.at/mittermayr-sigrid-sarleinsbach-zöhrerweg","Website")</f>
        <v>Website</v>
      </c>
      <c r="C4162" t="str">
        <f>HYPERLINK("http://www.hairteam-sigrid.at","Website")</f>
        <v>Website</v>
      </c>
      <c r="D4162" t="str">
        <f>HYPERLINK("http://www.google.com/maps/place/48.54615,13.90408","Location")</f>
        <v>Location</v>
      </c>
      <c r="E4162" t="s">
        <v>35813</v>
      </c>
      <c r="F4162" t="s">
        <v>35814</v>
      </c>
      <c r="G4162" t="s">
        <v>35492</v>
      </c>
      <c r="H4162" t="s">
        <v>35493</v>
      </c>
      <c r="I4162" t="s">
        <v>85</v>
      </c>
      <c r="J4162" t="s">
        <v>22</v>
      </c>
      <c r="K4162" t="s">
        <v>35815</v>
      </c>
      <c r="L4162" t="s">
        <v>35818</v>
      </c>
      <c r="M4162" t="s">
        <v>25</v>
      </c>
      <c r="N4162" t="s">
        <v>35819</v>
      </c>
      <c r="O4162" t="s">
        <v>25</v>
      </c>
      <c r="P4162" t="s">
        <v>35820</v>
      </c>
      <c r="Q4162" t="s">
        <v>29</v>
      </c>
      <c r="R4162" t="s">
        <v>35816</v>
      </c>
      <c r="S4162" t="s">
        <v>35817</v>
      </c>
    </row>
    <row r="4163" spans="1:19" x14ac:dyDescent="0.25">
      <c r="A4163" s="1">
        <v>4161</v>
      </c>
      <c r="B4163" t="str">
        <f>HYPERLINK("https://www.dasschnelle.at/markolin-gmbh-neumarkt-in-steiermark-altenbach","Website")</f>
        <v>Website</v>
      </c>
      <c r="C4163" t="str">
        <f>HYPERLINK("http://www.markolin.at","Website")</f>
        <v>Website</v>
      </c>
      <c r="D4163" t="str">
        <f>HYPERLINK("http://www.google.com/maps/place/47.0799244,14.4255155","Location")</f>
        <v>Location</v>
      </c>
      <c r="E4163" t="s">
        <v>35821</v>
      </c>
      <c r="F4163" t="s">
        <v>35822</v>
      </c>
      <c r="G4163" t="s">
        <v>12200</v>
      </c>
      <c r="H4163" t="s">
        <v>35824</v>
      </c>
      <c r="I4163" t="s">
        <v>451</v>
      </c>
      <c r="J4163" t="s">
        <v>22</v>
      </c>
      <c r="K4163" t="s">
        <v>35823</v>
      </c>
      <c r="L4163" t="s">
        <v>35827</v>
      </c>
      <c r="M4163" t="s">
        <v>25</v>
      </c>
      <c r="N4163" t="s">
        <v>12247</v>
      </c>
      <c r="O4163" t="s">
        <v>35828</v>
      </c>
      <c r="P4163" t="s">
        <v>35829</v>
      </c>
      <c r="Q4163" t="s">
        <v>29</v>
      </c>
      <c r="R4163" t="s">
        <v>35825</v>
      </c>
      <c r="S4163" t="s">
        <v>35826</v>
      </c>
    </row>
    <row r="4164" spans="1:19" x14ac:dyDescent="0.25">
      <c r="A4164" s="1">
        <v>4162</v>
      </c>
      <c r="B4164" t="str">
        <f>HYPERLINK("https://www.dasschnelle.at/lehner-und-wöss-og-aigen-schlägl-gartenstraße","Website")</f>
        <v>Website</v>
      </c>
      <c r="C4164" t="str">
        <f>HYPERLINK("http://www.lehner-woess.at","Website")</f>
        <v>Website</v>
      </c>
      <c r="D4164" t="str">
        <f>HYPERLINK("http://www.google.com/maps/place/48.6473318,13.9702822","Location")</f>
        <v>Location</v>
      </c>
      <c r="E4164" t="s">
        <v>35830</v>
      </c>
      <c r="F4164" t="s">
        <v>35831</v>
      </c>
      <c r="G4164" t="s">
        <v>8581</v>
      </c>
      <c r="H4164" t="s">
        <v>8582</v>
      </c>
      <c r="I4164" t="s">
        <v>85</v>
      </c>
      <c r="J4164" t="s">
        <v>22</v>
      </c>
      <c r="K4164" t="s">
        <v>35832</v>
      </c>
      <c r="L4164" t="s">
        <v>35835</v>
      </c>
      <c r="M4164" t="s">
        <v>25</v>
      </c>
      <c r="N4164" t="s">
        <v>35836</v>
      </c>
      <c r="O4164" t="s">
        <v>25</v>
      </c>
      <c r="P4164" t="s">
        <v>35837</v>
      </c>
      <c r="Q4164" t="s">
        <v>29</v>
      </c>
      <c r="R4164" t="s">
        <v>35833</v>
      </c>
      <c r="S4164" t="s">
        <v>35834</v>
      </c>
    </row>
    <row r="4165" spans="1:19" x14ac:dyDescent="0.25">
      <c r="A4165" s="1">
        <v>4163</v>
      </c>
      <c r="B4165" t="str">
        <f>HYPERLINK("https://www.dasschnelle.at/pfoser-sägewerk-e-u-ulrichsberg-hintenberg","Website")</f>
        <v>Website</v>
      </c>
      <c r="C4165" t="str">
        <f>HYPERLINK("http://www.holz-pfoser.at","Website")</f>
        <v>Website</v>
      </c>
      <c r="D4165" t="str">
        <f>HYPERLINK("http://www.google.com/maps/place/48.6858534,13.9267225","Location")</f>
        <v>Location</v>
      </c>
      <c r="E4165" t="s">
        <v>35838</v>
      </c>
      <c r="F4165" t="s">
        <v>35839</v>
      </c>
      <c r="G4165" t="s">
        <v>8779</v>
      </c>
      <c r="H4165" t="s">
        <v>8780</v>
      </c>
      <c r="I4165" t="s">
        <v>85</v>
      </c>
      <c r="J4165" t="s">
        <v>22</v>
      </c>
      <c r="K4165" t="s">
        <v>35840</v>
      </c>
      <c r="L4165" t="s">
        <v>35843</v>
      </c>
      <c r="M4165" t="s">
        <v>25</v>
      </c>
      <c r="N4165" t="s">
        <v>35844</v>
      </c>
      <c r="O4165" t="s">
        <v>25</v>
      </c>
      <c r="P4165" t="s">
        <v>35845</v>
      </c>
      <c r="Q4165" t="s">
        <v>29</v>
      </c>
      <c r="R4165" t="s">
        <v>35841</v>
      </c>
      <c r="S4165" t="s">
        <v>35842</v>
      </c>
    </row>
    <row r="4166" spans="1:19" x14ac:dyDescent="0.25">
      <c r="A4166" s="1">
        <v>4164</v>
      </c>
      <c r="B4166" t="str">
        <f>HYPERLINK("https://www.dasschnelle.at/nt-bauservice-oepping-oberneudorf","Website")</f>
        <v>Website</v>
      </c>
      <c r="C4166" t="str">
        <f>HYPERLINK("http://www.nt-bauservice.at","Website")</f>
        <v>Website</v>
      </c>
      <c r="D4166" t="str">
        <f>HYPERLINK("http://www.google.com/maps/place/48.6246461,13.9321497","Location")</f>
        <v>Location</v>
      </c>
      <c r="E4166" t="s">
        <v>35846</v>
      </c>
      <c r="F4166" t="s">
        <v>35847</v>
      </c>
      <c r="G4166" t="s">
        <v>35849</v>
      </c>
      <c r="H4166" t="s">
        <v>35850</v>
      </c>
      <c r="I4166" t="s">
        <v>85</v>
      </c>
      <c r="J4166" t="s">
        <v>22</v>
      </c>
      <c r="K4166" t="s">
        <v>35848</v>
      </c>
      <c r="L4166" t="s">
        <v>35853</v>
      </c>
      <c r="M4166" t="s">
        <v>25</v>
      </c>
      <c r="N4166" t="s">
        <v>35854</v>
      </c>
      <c r="O4166" t="s">
        <v>35855</v>
      </c>
      <c r="P4166" t="s">
        <v>35856</v>
      </c>
      <c r="Q4166" t="s">
        <v>29</v>
      </c>
      <c r="R4166" t="s">
        <v>35851</v>
      </c>
      <c r="S4166" t="s">
        <v>35852</v>
      </c>
    </row>
    <row r="4167" spans="1:19" x14ac:dyDescent="0.25">
      <c r="A4167" s="1">
        <v>4165</v>
      </c>
      <c r="B4167" t="str">
        <f>HYPERLINK("https://www.dasschnelle.at/h-und-h-haustechnik-hartberg-flattendorf","Website")</f>
        <v>Website</v>
      </c>
      <c r="C4167" t="str">
        <f>HYPERLINK("http://www.hh-haustechnik.at","Website")</f>
        <v>Website</v>
      </c>
      <c r="D4167" t="str">
        <f>HYPERLINK("http://www.google.com/maps/place/47.2672300,15.9179800","Location")</f>
        <v>Location</v>
      </c>
      <c r="E4167" t="s">
        <v>35857</v>
      </c>
      <c r="F4167" t="s">
        <v>35858</v>
      </c>
      <c r="G4167" t="s">
        <v>1050</v>
      </c>
      <c r="H4167" t="s">
        <v>1051</v>
      </c>
      <c r="I4167" t="s">
        <v>451</v>
      </c>
      <c r="J4167" t="s">
        <v>22</v>
      </c>
      <c r="K4167" t="s">
        <v>35859</v>
      </c>
      <c r="L4167" t="s">
        <v>35862</v>
      </c>
      <c r="M4167" t="s">
        <v>25</v>
      </c>
      <c r="N4167" t="s">
        <v>35863</v>
      </c>
      <c r="O4167" t="s">
        <v>25</v>
      </c>
      <c r="P4167" t="s">
        <v>35864</v>
      </c>
      <c r="Q4167" t="s">
        <v>29</v>
      </c>
      <c r="R4167" t="s">
        <v>35860</v>
      </c>
      <c r="S4167" t="s">
        <v>35861</v>
      </c>
    </row>
    <row r="4168" spans="1:19" x14ac:dyDescent="0.25">
      <c r="A4168" s="1">
        <v>4166</v>
      </c>
      <c r="B4168" t="str">
        <f>HYPERLINK("https://www.dasschnelle.at/gattringer-klaus-maria-altenfelden-mairhof","Website")</f>
        <v>Website</v>
      </c>
      <c r="C4168" t="str">
        <f>HYPERLINK("http://www.kfz-gattringer.at","Website")</f>
        <v>Website</v>
      </c>
      <c r="D4168" t="str">
        <f>HYPERLINK("http://www.google.com/maps/place/48.4863272,13.9456528","Location")</f>
        <v>Location</v>
      </c>
      <c r="E4168" t="s">
        <v>35865</v>
      </c>
      <c r="F4168" t="s">
        <v>35866</v>
      </c>
      <c r="G4168" t="s">
        <v>8733</v>
      </c>
      <c r="H4168" t="s">
        <v>8734</v>
      </c>
      <c r="I4168" t="s">
        <v>85</v>
      </c>
      <c r="J4168" t="s">
        <v>22</v>
      </c>
      <c r="K4168" t="s">
        <v>35867</v>
      </c>
      <c r="L4168" t="s">
        <v>35870</v>
      </c>
      <c r="M4168" t="s">
        <v>25</v>
      </c>
      <c r="N4168" t="s">
        <v>35871</v>
      </c>
      <c r="O4168" t="s">
        <v>25</v>
      </c>
      <c r="P4168" t="s">
        <v>35872</v>
      </c>
      <c r="Q4168" t="s">
        <v>29</v>
      </c>
      <c r="R4168" t="s">
        <v>35868</v>
      </c>
      <c r="S4168" t="s">
        <v>35869</v>
      </c>
    </row>
    <row r="4169" spans="1:19" x14ac:dyDescent="0.25">
      <c r="A4169" s="1">
        <v>4167</v>
      </c>
      <c r="B4169" t="str">
        <f>HYPERLINK("https://www.dasschnelle.at/höller-günter-sankt-peter-am-wimberg-wimbergstraße","Website")</f>
        <v>Website</v>
      </c>
      <c r="C4169" t="str">
        <f>HYPERLINK("http://www.gh-hoeller.at","Website")</f>
        <v>Website</v>
      </c>
      <c r="D4169" t="str">
        <f>HYPERLINK("http://www.google.com/maps/place/48.5020326,14.0804834","Location")</f>
        <v>Location</v>
      </c>
      <c r="E4169" t="s">
        <v>35873</v>
      </c>
      <c r="F4169" t="s">
        <v>35874</v>
      </c>
      <c r="G4169" t="s">
        <v>8591</v>
      </c>
      <c r="H4169" t="s">
        <v>35876</v>
      </c>
      <c r="I4169" t="s">
        <v>85</v>
      </c>
      <c r="J4169" t="s">
        <v>22</v>
      </c>
      <c r="K4169" t="s">
        <v>35875</v>
      </c>
      <c r="L4169" t="s">
        <v>35879</v>
      </c>
      <c r="M4169" t="s">
        <v>25</v>
      </c>
      <c r="N4169" t="s">
        <v>35880</v>
      </c>
      <c r="O4169" t="s">
        <v>25</v>
      </c>
      <c r="P4169" t="s">
        <v>35881</v>
      </c>
      <c r="Q4169" t="s">
        <v>29</v>
      </c>
      <c r="R4169" t="s">
        <v>35877</v>
      </c>
      <c r="S4169" t="s">
        <v>35878</v>
      </c>
    </row>
    <row r="4170" spans="1:19" x14ac:dyDescent="0.25">
      <c r="A4170" s="1">
        <v>4168</v>
      </c>
      <c r="B4170" t="str">
        <f>HYPERLINK("https://www.dasschnelle.at/auto-pöchtrager-gmbh-neufelden-veldner-straße","Website")</f>
        <v>Website</v>
      </c>
      <c r="C4170" t="str">
        <f>HYPERLINK("http://www.poechtrager.com","Website")</f>
        <v>Website</v>
      </c>
      <c r="D4170" t="str">
        <f>HYPERLINK("http://www.google.com/maps/place/48.48605,13.98599","Location")</f>
        <v>Location</v>
      </c>
      <c r="E4170" t="s">
        <v>35882</v>
      </c>
      <c r="F4170" t="s">
        <v>35883</v>
      </c>
      <c r="G4170" t="s">
        <v>35885</v>
      </c>
      <c r="H4170" t="s">
        <v>35886</v>
      </c>
      <c r="I4170" t="s">
        <v>85</v>
      </c>
      <c r="J4170" t="s">
        <v>22</v>
      </c>
      <c r="K4170" t="s">
        <v>35884</v>
      </c>
      <c r="L4170" t="s">
        <v>35889</v>
      </c>
      <c r="M4170" t="s">
        <v>25</v>
      </c>
      <c r="N4170" t="s">
        <v>35890</v>
      </c>
      <c r="O4170" t="s">
        <v>25</v>
      </c>
      <c r="P4170" t="s">
        <v>35891</v>
      </c>
      <c r="Q4170" t="s">
        <v>29</v>
      </c>
      <c r="R4170" t="s">
        <v>35887</v>
      </c>
      <c r="S4170" t="s">
        <v>35888</v>
      </c>
    </row>
    <row r="4171" spans="1:19" x14ac:dyDescent="0.25">
      <c r="A4171" s="1">
        <v>4169</v>
      </c>
      <c r="B4171" t="str">
        <f>HYPERLINK("https://www.dasschnelle.at/reinis-gartenservice-haslach-an-der-mühl-weberstraße","Website")</f>
        <v>Website</v>
      </c>
      <c r="C4171" t="str">
        <f>HYPERLINK("http://www.reinis-gartenservice.at","Website")</f>
        <v>Website</v>
      </c>
      <c r="D4171" t="str">
        <f>HYPERLINK("http://www.google.com/maps/place/48.5756700,14.0340200","Location")</f>
        <v>Location</v>
      </c>
      <c r="E4171" t="s">
        <v>35892</v>
      </c>
      <c r="F4171" t="s">
        <v>35893</v>
      </c>
      <c r="G4171" t="s">
        <v>35103</v>
      </c>
      <c r="H4171" t="s">
        <v>35104</v>
      </c>
      <c r="I4171" t="s">
        <v>85</v>
      </c>
      <c r="J4171" t="s">
        <v>22</v>
      </c>
      <c r="K4171" t="s">
        <v>35894</v>
      </c>
      <c r="L4171" t="s">
        <v>35897</v>
      </c>
      <c r="M4171" t="s">
        <v>25</v>
      </c>
      <c r="N4171" t="s">
        <v>35898</v>
      </c>
      <c r="O4171" t="s">
        <v>35899</v>
      </c>
      <c r="P4171" t="s">
        <v>35900</v>
      </c>
      <c r="Q4171" t="s">
        <v>29</v>
      </c>
      <c r="R4171" t="s">
        <v>35895</v>
      </c>
      <c r="S4171" t="s">
        <v>35896</v>
      </c>
    </row>
    <row r="4172" spans="1:19" x14ac:dyDescent="0.25">
      <c r="A4172" s="1">
        <v>4170</v>
      </c>
      <c r="B4172" t="str">
        <f>HYPERLINK("https://www.dasschnelle.at/hehenberger-ralph-hofkirchen-im-mühlkreis-marsbacher-straße","Website")</f>
        <v>Website</v>
      </c>
      <c r="C4172" t="str">
        <f>HYPERLINK("http://www.hehenberger.at","Website")</f>
        <v>Website</v>
      </c>
      <c r="D4172" t="str">
        <f>HYPERLINK("http://www.google.com/maps/place/48.48225,13.81317","Location")</f>
        <v>Location</v>
      </c>
      <c r="E4172" t="s">
        <v>35901</v>
      </c>
      <c r="F4172" t="s">
        <v>35902</v>
      </c>
      <c r="G4172" t="s">
        <v>8696</v>
      </c>
      <c r="H4172" t="s">
        <v>8697</v>
      </c>
      <c r="I4172" t="s">
        <v>85</v>
      </c>
      <c r="J4172" t="s">
        <v>22</v>
      </c>
      <c r="K4172" t="s">
        <v>35903</v>
      </c>
      <c r="L4172" t="s">
        <v>35906</v>
      </c>
      <c r="M4172" t="s">
        <v>25</v>
      </c>
      <c r="N4172" t="s">
        <v>35907</v>
      </c>
      <c r="O4172" t="s">
        <v>25</v>
      </c>
      <c r="P4172" t="s">
        <v>35908</v>
      </c>
      <c r="Q4172" t="s">
        <v>29</v>
      </c>
      <c r="R4172" t="s">
        <v>35904</v>
      </c>
      <c r="S4172" t="s">
        <v>35905</v>
      </c>
    </row>
    <row r="4173" spans="1:19" x14ac:dyDescent="0.25">
      <c r="A4173" s="1">
        <v>4171</v>
      </c>
      <c r="B4173" t="str">
        <f>HYPERLINK("https://www.dasschnelle.at/hrm-versicherungsmakler-gmbh-hofkirchen-sportstraße","Website")</f>
        <v>Website</v>
      </c>
      <c r="C4173" t="str">
        <f>HYPERLINK("http://www.lml.at","Website")</f>
        <v>Website</v>
      </c>
      <c r="D4173" t="str">
        <f>HYPERLINK("http://www.google.com/maps/place/48.48273,13.80482","Location")</f>
        <v>Location</v>
      </c>
      <c r="E4173" t="s">
        <v>35909</v>
      </c>
      <c r="F4173" t="s">
        <v>35910</v>
      </c>
      <c r="G4173" t="s">
        <v>8696</v>
      </c>
      <c r="H4173" t="s">
        <v>35647</v>
      </c>
      <c r="I4173" t="s">
        <v>85</v>
      </c>
      <c r="J4173" t="s">
        <v>22</v>
      </c>
      <c r="K4173" t="s">
        <v>35911</v>
      </c>
      <c r="L4173" t="s">
        <v>35914</v>
      </c>
      <c r="M4173" t="s">
        <v>25</v>
      </c>
      <c r="N4173" t="s">
        <v>35915</v>
      </c>
      <c r="O4173" t="s">
        <v>35916</v>
      </c>
      <c r="P4173" t="s">
        <v>35917</v>
      </c>
      <c r="Q4173" t="s">
        <v>29</v>
      </c>
      <c r="R4173" t="s">
        <v>35912</v>
      </c>
      <c r="S4173" t="s">
        <v>35913</v>
      </c>
    </row>
    <row r="4174" spans="1:19" x14ac:dyDescent="0.25">
      <c r="A4174" s="1">
        <v>4172</v>
      </c>
      <c r="B4174" t="str">
        <f>HYPERLINK("https://www.dasschnelle.at/kepplinger-siegfried-sankt-martin-im-mühlkreis-schmiedgrub","Website")</f>
        <v>Website</v>
      </c>
      <c r="C4174" t="str">
        <f>HYPERLINK("http://www.tischlerei-kepplinger.at","Website")</f>
        <v>Website</v>
      </c>
      <c r="D4174" t="str">
        <f>HYPERLINK("http://www.google.com/maps/place/48.41555,14.04747","Location")</f>
        <v>Location</v>
      </c>
      <c r="E4174" t="s">
        <v>35918</v>
      </c>
      <c r="F4174" t="s">
        <v>35919</v>
      </c>
      <c r="G4174" t="s">
        <v>35206</v>
      </c>
      <c r="H4174" t="s">
        <v>35325</v>
      </c>
      <c r="I4174" t="s">
        <v>85</v>
      </c>
      <c r="J4174" t="s">
        <v>22</v>
      </c>
      <c r="K4174" t="s">
        <v>35920</v>
      </c>
      <c r="L4174" t="s">
        <v>35923</v>
      </c>
      <c r="M4174" t="s">
        <v>25</v>
      </c>
      <c r="N4174" t="s">
        <v>35924</v>
      </c>
      <c r="O4174" t="s">
        <v>25</v>
      </c>
      <c r="P4174" t="s">
        <v>35925</v>
      </c>
      <c r="Q4174" t="s">
        <v>29</v>
      </c>
      <c r="R4174" t="s">
        <v>35921</v>
      </c>
      <c r="S4174" t="s">
        <v>35922</v>
      </c>
    </row>
    <row r="4175" spans="1:19" x14ac:dyDescent="0.25">
      <c r="A4175" s="1">
        <v>4173</v>
      </c>
      <c r="B4175" t="str">
        <f>HYPERLINK("https://www.dasschnelle.at/kneidinger-j-gesmbh-haslach-an-der-mühl-sternwaldstraße","Website")</f>
        <v>Website</v>
      </c>
      <c r="C4175" t="str">
        <f>HYPERLINK("http://www.bmw-kneidinger-haslach.at","Website")</f>
        <v>Website</v>
      </c>
      <c r="D4175" t="str">
        <f>HYPERLINK("http://www.google.com/maps/place/48.57488,14.05124","Location")</f>
        <v>Location</v>
      </c>
      <c r="E4175" t="s">
        <v>35926</v>
      </c>
      <c r="F4175" t="s">
        <v>35927</v>
      </c>
      <c r="G4175" t="s">
        <v>35103</v>
      </c>
      <c r="H4175" t="s">
        <v>35104</v>
      </c>
      <c r="I4175" t="s">
        <v>85</v>
      </c>
      <c r="J4175" t="s">
        <v>22</v>
      </c>
      <c r="K4175" t="s">
        <v>35928</v>
      </c>
      <c r="L4175" t="s">
        <v>35931</v>
      </c>
      <c r="M4175" t="s">
        <v>25</v>
      </c>
      <c r="N4175" t="s">
        <v>35932</v>
      </c>
      <c r="O4175" t="s">
        <v>25</v>
      </c>
      <c r="P4175" t="s">
        <v>35933</v>
      </c>
      <c r="Q4175" t="s">
        <v>29</v>
      </c>
      <c r="R4175" t="s">
        <v>35929</v>
      </c>
      <c r="S4175" t="s">
        <v>35930</v>
      </c>
    </row>
    <row r="4176" spans="1:19" x14ac:dyDescent="0.25">
      <c r="A4176" s="1">
        <v>4174</v>
      </c>
      <c r="B4176" t="str">
        <f>HYPERLINK("https://www.dasschnelle.at/dollhofer-sebastian-vorchdorf-bahnhofstraße","Website")</f>
        <v>Website</v>
      </c>
      <c r="C4176" t="str">
        <f>HYPERLINK("https://www.dasschnelle.at/dollhofer-sebastian-vorchdorf-bahnhofstra%C3%9Fe","Website")</f>
        <v>Website</v>
      </c>
      <c r="D4176" t="str">
        <f>HYPERLINK("http://www.google.com/maps/place/48.00258,13.92092","Location")</f>
        <v>Location</v>
      </c>
      <c r="E4176" t="s">
        <v>35934</v>
      </c>
      <c r="F4176" t="s">
        <v>35935</v>
      </c>
      <c r="G4176" t="s">
        <v>6960</v>
      </c>
      <c r="H4176" t="s">
        <v>6961</v>
      </c>
      <c r="I4176" t="s">
        <v>85</v>
      </c>
      <c r="J4176" t="s">
        <v>22</v>
      </c>
      <c r="K4176" t="s">
        <v>15748</v>
      </c>
      <c r="L4176" t="s">
        <v>35938</v>
      </c>
      <c r="M4176" t="s">
        <v>25</v>
      </c>
      <c r="N4176" t="s">
        <v>35939</v>
      </c>
      <c r="O4176" t="s">
        <v>25</v>
      </c>
      <c r="P4176" t="s">
        <v>35940</v>
      </c>
      <c r="Q4176" t="s">
        <v>29</v>
      </c>
      <c r="R4176" t="s">
        <v>35936</v>
      </c>
      <c r="S4176" t="s">
        <v>35937</v>
      </c>
    </row>
    <row r="4177" spans="1:19" x14ac:dyDescent="0.25">
      <c r="A4177" s="1">
        <v>4175</v>
      </c>
      <c r="B4177" t="str">
        <f>HYPERLINK("https://www.dasschnelle.at/kohler-dieter-eberstalzell-hauptstraße","Website")</f>
        <v>Website</v>
      </c>
      <c r="C4177" t="str">
        <f>HYPERLINK("http://www.salon-kohler.at","Website")</f>
        <v>Website</v>
      </c>
      <c r="D4177" t="str">
        <f>HYPERLINK("http://www.google.com/maps/place/48.04402,13.98178","Location")</f>
        <v>Location</v>
      </c>
      <c r="E4177" t="s">
        <v>35941</v>
      </c>
      <c r="F4177" t="s">
        <v>35942</v>
      </c>
      <c r="G4177" t="s">
        <v>10923</v>
      </c>
      <c r="H4177" t="s">
        <v>10924</v>
      </c>
      <c r="I4177" t="s">
        <v>85</v>
      </c>
      <c r="J4177" t="s">
        <v>22</v>
      </c>
      <c r="K4177" t="s">
        <v>6211</v>
      </c>
      <c r="L4177" t="s">
        <v>35945</v>
      </c>
      <c r="M4177" t="s">
        <v>25</v>
      </c>
      <c r="N4177" t="s">
        <v>35946</v>
      </c>
      <c r="O4177" t="s">
        <v>25</v>
      </c>
      <c r="P4177" t="s">
        <v>35947</v>
      </c>
      <c r="Q4177" t="s">
        <v>29</v>
      </c>
      <c r="R4177" t="s">
        <v>35943</v>
      </c>
      <c r="S4177" t="s">
        <v>35944</v>
      </c>
    </row>
    <row r="4178" spans="1:19" x14ac:dyDescent="0.25">
      <c r="A4178" s="1">
        <v>4176</v>
      </c>
      <c r="B4178" t="str">
        <f>HYPERLINK("https://www.dasschnelle.at/günter-thaller-hofkirchen-im-mühlkreis-mühlgasse","Website")</f>
        <v>Website</v>
      </c>
      <c r="C4178" t="str">
        <f>HYPERLINK("http://www.ihr-glaser.at","Website")</f>
        <v>Website</v>
      </c>
      <c r="D4178" t="str">
        <f>HYPERLINK("http://www.google.com/maps/place/48.4828,13.8104","Location")</f>
        <v>Location</v>
      </c>
      <c r="E4178" t="s">
        <v>35948</v>
      </c>
      <c r="F4178" t="s">
        <v>35949</v>
      </c>
      <c r="G4178" t="s">
        <v>8696</v>
      </c>
      <c r="H4178" t="s">
        <v>8697</v>
      </c>
      <c r="I4178" t="s">
        <v>85</v>
      </c>
      <c r="J4178" t="s">
        <v>22</v>
      </c>
      <c r="K4178" t="s">
        <v>35950</v>
      </c>
      <c r="L4178" t="s">
        <v>35953</v>
      </c>
      <c r="M4178" t="s">
        <v>25</v>
      </c>
      <c r="N4178" t="s">
        <v>35954</v>
      </c>
      <c r="O4178" t="s">
        <v>35955</v>
      </c>
      <c r="P4178" t="s">
        <v>35956</v>
      </c>
      <c r="Q4178" t="s">
        <v>29</v>
      </c>
      <c r="R4178" t="s">
        <v>35951</v>
      </c>
      <c r="S4178" t="s">
        <v>35952</v>
      </c>
    </row>
    <row r="4179" spans="1:19" x14ac:dyDescent="0.25">
      <c r="A4179" s="1">
        <v>4177</v>
      </c>
      <c r="B4179" t="str">
        <f>HYPERLINK("https://www.dasschnelle.at/metallbau-prielinger-gmbh-vorchdorf-josef-haas-straße","Website")</f>
        <v>Website</v>
      </c>
      <c r="C4179" t="str">
        <f>HYPERLINK("http://www.prielinger.com","Website")</f>
        <v>Website</v>
      </c>
      <c r="D4179" t="str">
        <f>HYPERLINK("http://www.google.com/maps/place/48.01401,13.91994","Location")</f>
        <v>Location</v>
      </c>
      <c r="E4179" t="s">
        <v>35957</v>
      </c>
      <c r="F4179" t="s">
        <v>35958</v>
      </c>
      <c r="G4179" t="s">
        <v>6960</v>
      </c>
      <c r="H4179" t="s">
        <v>6961</v>
      </c>
      <c r="I4179" t="s">
        <v>85</v>
      </c>
      <c r="J4179" t="s">
        <v>22</v>
      </c>
      <c r="K4179" t="s">
        <v>35959</v>
      </c>
      <c r="L4179" t="s">
        <v>35962</v>
      </c>
      <c r="M4179" t="s">
        <v>25</v>
      </c>
      <c r="N4179" t="s">
        <v>35963</v>
      </c>
      <c r="O4179" t="s">
        <v>25</v>
      </c>
      <c r="P4179" t="s">
        <v>35964</v>
      </c>
      <c r="Q4179" t="s">
        <v>29</v>
      </c>
      <c r="R4179" t="s">
        <v>35960</v>
      </c>
      <c r="S4179" t="s">
        <v>35961</v>
      </c>
    </row>
    <row r="4180" spans="1:19" x14ac:dyDescent="0.25">
      <c r="A4180" s="1">
        <v>4178</v>
      </c>
      <c r="B4180" t="str">
        <f>HYPERLINK("https://www.dasschnelle.at/kalki-s-hausfleischerei-e-u-vorchdorf-albenedt","Website")</f>
        <v>Website</v>
      </c>
      <c r="C4180" t="str">
        <f>HYPERLINK("http://www.kalkis-hausfleischerei.at","Website")</f>
        <v>Website</v>
      </c>
      <c r="D4180" t="str">
        <f>HYPERLINK("http://www.google.com/maps/place/47.9995363,13.9771307","Location")</f>
        <v>Location</v>
      </c>
      <c r="E4180" t="s">
        <v>35965</v>
      </c>
      <c r="F4180" t="s">
        <v>35966</v>
      </c>
      <c r="G4180" t="s">
        <v>6960</v>
      </c>
      <c r="H4180" t="s">
        <v>6961</v>
      </c>
      <c r="I4180" t="s">
        <v>85</v>
      </c>
      <c r="J4180" t="s">
        <v>22</v>
      </c>
      <c r="K4180" t="s">
        <v>35967</v>
      </c>
      <c r="L4180" t="s">
        <v>35970</v>
      </c>
      <c r="M4180" t="s">
        <v>25</v>
      </c>
      <c r="N4180" t="s">
        <v>35971</v>
      </c>
      <c r="O4180" t="s">
        <v>25</v>
      </c>
      <c r="P4180" t="s">
        <v>35972</v>
      </c>
      <c r="Q4180" t="s">
        <v>29</v>
      </c>
      <c r="R4180" t="s">
        <v>35968</v>
      </c>
      <c r="S4180" t="s">
        <v>35969</v>
      </c>
    </row>
    <row r="4181" spans="1:19" x14ac:dyDescent="0.25">
      <c r="A4181" s="1">
        <v>4179</v>
      </c>
      <c r="B4181" t="str">
        <f>HYPERLINK("https://www.dasschnelle.at/kleiderreinigung-vorchdorf-pettenbacherstraße","Website")</f>
        <v>Website</v>
      </c>
      <c r="C4181" t="str">
        <f>HYPERLINK("http://www.anita-reinigung.at","Website")</f>
        <v>Website</v>
      </c>
      <c r="D4181" t="str">
        <f>HYPERLINK("http://www.google.com/maps/place/48.00248,13.92382","Location")</f>
        <v>Location</v>
      </c>
      <c r="E4181" t="s">
        <v>35973</v>
      </c>
      <c r="F4181" t="s">
        <v>35974</v>
      </c>
      <c r="G4181" t="s">
        <v>6960</v>
      </c>
      <c r="H4181" t="s">
        <v>6961</v>
      </c>
      <c r="I4181" t="s">
        <v>85</v>
      </c>
      <c r="J4181" t="s">
        <v>22</v>
      </c>
      <c r="K4181" t="s">
        <v>35975</v>
      </c>
      <c r="L4181" t="s">
        <v>35977</v>
      </c>
      <c r="M4181" t="s">
        <v>25</v>
      </c>
      <c r="N4181" t="s">
        <v>35978</v>
      </c>
      <c r="O4181" t="s">
        <v>25</v>
      </c>
      <c r="P4181" t="s">
        <v>35979</v>
      </c>
      <c r="Q4181" t="s">
        <v>29</v>
      </c>
      <c r="R4181" t="s">
        <v>25781</v>
      </c>
      <c r="S4181" t="s">
        <v>35976</v>
      </c>
    </row>
    <row r="4182" spans="1:19" x14ac:dyDescent="0.25">
      <c r="A4182" s="1">
        <v>4180</v>
      </c>
      <c r="B4182" t="str">
        <f>HYPERLINK("https://www.dasschnelle.at/kohler-dieter-vorchdorf-schloßplatz","Website")</f>
        <v>Website</v>
      </c>
      <c r="C4182" t="str">
        <f>HYPERLINK("http://www.salon-kohler.at","Website")</f>
        <v>Website</v>
      </c>
      <c r="D4182" t="str">
        <f>HYPERLINK("http://www.google.com/maps/place/48.00331,13.92204","Location")</f>
        <v>Location</v>
      </c>
      <c r="E4182" t="s">
        <v>35980</v>
      </c>
      <c r="F4182" t="s">
        <v>35981</v>
      </c>
      <c r="G4182" t="s">
        <v>6960</v>
      </c>
      <c r="H4182" t="s">
        <v>6961</v>
      </c>
      <c r="I4182" t="s">
        <v>85</v>
      </c>
      <c r="J4182" t="s">
        <v>22</v>
      </c>
      <c r="K4182" t="s">
        <v>35982</v>
      </c>
      <c r="L4182" t="s">
        <v>35985</v>
      </c>
      <c r="M4182" t="s">
        <v>25</v>
      </c>
      <c r="N4182" t="s">
        <v>35946</v>
      </c>
      <c r="O4182" t="s">
        <v>25</v>
      </c>
      <c r="P4182" t="s">
        <v>35986</v>
      </c>
      <c r="Q4182" t="s">
        <v>29</v>
      </c>
      <c r="R4182" t="s">
        <v>35983</v>
      </c>
      <c r="S4182" t="s">
        <v>35984</v>
      </c>
    </row>
    <row r="4183" spans="1:19" x14ac:dyDescent="0.25">
      <c r="A4183" s="1">
        <v>4181</v>
      </c>
      <c r="B4183" t="str">
        <f>HYPERLINK("https://www.dasschnelle.at/lohninger-helga-vorchdorf-bahnhofstraße","Website")</f>
        <v>Website</v>
      </c>
      <c r="C4183" t="str">
        <f>HYPERLINK("http://www.haargenau.at","Website")</f>
        <v>Website</v>
      </c>
      <c r="D4183" t="str">
        <f>HYPERLINK("http://www.google.com/maps/place/47.99994,13.92225","Location")</f>
        <v>Location</v>
      </c>
      <c r="E4183" t="s">
        <v>35987</v>
      </c>
      <c r="F4183" t="s">
        <v>35988</v>
      </c>
      <c r="G4183" t="s">
        <v>6960</v>
      </c>
      <c r="H4183" t="s">
        <v>6961</v>
      </c>
      <c r="I4183" t="s">
        <v>85</v>
      </c>
      <c r="J4183" t="s">
        <v>22</v>
      </c>
      <c r="K4183" t="s">
        <v>1022</v>
      </c>
      <c r="L4183" t="s">
        <v>35991</v>
      </c>
      <c r="M4183" t="s">
        <v>25</v>
      </c>
      <c r="N4183" t="s">
        <v>35992</v>
      </c>
      <c r="O4183" t="s">
        <v>25</v>
      </c>
      <c r="P4183" t="s">
        <v>35993</v>
      </c>
      <c r="Q4183" t="s">
        <v>29</v>
      </c>
      <c r="R4183" t="s">
        <v>35989</v>
      </c>
      <c r="S4183" t="s">
        <v>35990</v>
      </c>
    </row>
    <row r="4184" spans="1:19" x14ac:dyDescent="0.25">
      <c r="A4184" s="1">
        <v>4182</v>
      </c>
      <c r="B4184" t="str">
        <f>HYPERLINK("https://www.dasschnelle.at/general-agentur-ennser-e-u-sattledt-hauptstraße","Website")</f>
        <v>Website</v>
      </c>
      <c r="C4184" t="str">
        <f>HYPERLINK("http://www.uniqa.at","Website")</f>
        <v>Website</v>
      </c>
      <c r="D4184" t="str">
        <f>HYPERLINK("http://www.google.com/maps/place/48.07321,14.0577","Location")</f>
        <v>Location</v>
      </c>
      <c r="E4184" t="s">
        <v>35994</v>
      </c>
      <c r="F4184" t="s">
        <v>35995</v>
      </c>
      <c r="G4184" t="s">
        <v>10896</v>
      </c>
      <c r="H4184" t="s">
        <v>10897</v>
      </c>
      <c r="I4184" t="s">
        <v>85</v>
      </c>
      <c r="J4184" t="s">
        <v>22</v>
      </c>
      <c r="K4184" t="s">
        <v>12380</v>
      </c>
      <c r="L4184" t="s">
        <v>35998</v>
      </c>
      <c r="M4184" t="s">
        <v>25</v>
      </c>
      <c r="N4184" t="s">
        <v>35999</v>
      </c>
      <c r="O4184" t="s">
        <v>25</v>
      </c>
      <c r="P4184" t="s">
        <v>36000</v>
      </c>
      <c r="Q4184" t="s">
        <v>29</v>
      </c>
      <c r="R4184" t="s">
        <v>35996</v>
      </c>
      <c r="S4184" t="s">
        <v>35997</v>
      </c>
    </row>
    <row r="4185" spans="1:19" x14ac:dyDescent="0.25">
      <c r="A4185" s="1">
        <v>4183</v>
      </c>
      <c r="B4185" t="str">
        <f>HYPERLINK("https://www.dasschnelle.at/schladminger-bruderlade-verein-f-hauskrankenpflege-f-jung-u-alt-schladming-bahnhofstraße","Website")</f>
        <v>Website</v>
      </c>
      <c r="C4185" t="str">
        <f>HYPERLINK("http://www.schladminger-bruderlade.at","Website")</f>
        <v>Website</v>
      </c>
      <c r="D4185" t="str">
        <f>HYPERLINK("http://www.google.com/maps/place/47.39393,13.68223","Location")</f>
        <v>Location</v>
      </c>
      <c r="E4185" t="s">
        <v>36001</v>
      </c>
      <c r="F4185" t="s">
        <v>36002</v>
      </c>
      <c r="G4185" t="s">
        <v>1269</v>
      </c>
      <c r="H4185" t="s">
        <v>1270</v>
      </c>
      <c r="I4185" t="s">
        <v>451</v>
      </c>
      <c r="J4185" t="s">
        <v>22</v>
      </c>
      <c r="K4185" t="s">
        <v>36003</v>
      </c>
      <c r="L4185" t="s">
        <v>36006</v>
      </c>
      <c r="M4185" t="s">
        <v>25</v>
      </c>
      <c r="N4185" t="s">
        <v>36007</v>
      </c>
      <c r="O4185" t="s">
        <v>25</v>
      </c>
      <c r="P4185" t="s">
        <v>36008</v>
      </c>
      <c r="Q4185" t="s">
        <v>29</v>
      </c>
      <c r="R4185" t="s">
        <v>36004</v>
      </c>
      <c r="S4185" t="s">
        <v>36005</v>
      </c>
    </row>
    <row r="4186" spans="1:19" x14ac:dyDescent="0.25">
      <c r="A4186" s="1">
        <v>4184</v>
      </c>
      <c r="B4186" t="str">
        <f>HYPERLINK("https://www.dasschnelle.at/schladminger-bruderlade-schladming-bahnhofstraße","Website")</f>
        <v>Website</v>
      </c>
      <c r="C4186" t="str">
        <f>HYPERLINK("http://www.schladminger-bruderlade.at","Website")</f>
        <v>Website</v>
      </c>
      <c r="D4186" t="str">
        <f>HYPERLINK("http://www.google.com/maps/place/47.39393,13.68223","Location")</f>
        <v>Location</v>
      </c>
      <c r="E4186" t="s">
        <v>36009</v>
      </c>
      <c r="F4186" t="s">
        <v>36010</v>
      </c>
      <c r="G4186" t="s">
        <v>1269</v>
      </c>
      <c r="H4186" t="s">
        <v>1270</v>
      </c>
      <c r="I4186" t="s">
        <v>451</v>
      </c>
      <c r="J4186" t="s">
        <v>22</v>
      </c>
      <c r="K4186" t="s">
        <v>36003</v>
      </c>
      <c r="L4186" t="s">
        <v>36006</v>
      </c>
      <c r="M4186" t="s">
        <v>25</v>
      </c>
      <c r="N4186" t="s">
        <v>36007</v>
      </c>
      <c r="O4186" t="s">
        <v>25</v>
      </c>
      <c r="P4186" t="s">
        <v>36011</v>
      </c>
      <c r="Q4186" t="s">
        <v>29</v>
      </c>
      <c r="R4186" t="s">
        <v>36004</v>
      </c>
      <c r="S4186" t="s">
        <v>36005</v>
      </c>
    </row>
    <row r="4187" spans="1:19" x14ac:dyDescent="0.25">
      <c r="A4187" s="1">
        <v>4185</v>
      </c>
      <c r="B4187" t="str">
        <f>HYPERLINK("https://www.dasschnelle.at/seifter-michaela-falkendorf","Website")</f>
        <v>Website</v>
      </c>
      <c r="C4187" t="str">
        <f>HYPERLINK("https://www.dasschnelle.at/seifter-michaela-falkendorf","Website")</f>
        <v>Website</v>
      </c>
      <c r="D4187" t="str">
        <f>HYPERLINK("http://www.google.com/maps/place/47.1023560,14.0069610","Location")</f>
        <v>Location</v>
      </c>
      <c r="E4187" t="s">
        <v>36012</v>
      </c>
      <c r="F4187" t="s">
        <v>36013</v>
      </c>
      <c r="G4187" t="s">
        <v>12082</v>
      </c>
      <c r="H4187" t="s">
        <v>24954</v>
      </c>
      <c r="I4187" t="s">
        <v>451</v>
      </c>
      <c r="J4187" t="s">
        <v>22</v>
      </c>
      <c r="K4187" t="s">
        <v>25</v>
      </c>
      <c r="L4187" t="s">
        <v>36016</v>
      </c>
      <c r="M4187" t="s">
        <v>25</v>
      </c>
      <c r="N4187" t="s">
        <v>36017</v>
      </c>
      <c r="O4187" t="s">
        <v>25</v>
      </c>
      <c r="P4187" t="s">
        <v>36018</v>
      </c>
      <c r="Q4187" t="s">
        <v>29</v>
      </c>
      <c r="R4187" t="s">
        <v>36014</v>
      </c>
      <c r="S4187" t="s">
        <v>36015</v>
      </c>
    </row>
    <row r="4188" spans="1:19" x14ac:dyDescent="0.25">
      <c r="A4188" s="1">
        <v>4186</v>
      </c>
      <c r="B4188" t="str">
        <f>HYPERLINK("https://www.dasschnelle.at/schultes-günter-dr-schladming-hauptplatz","Website")</f>
        <v>Website</v>
      </c>
      <c r="C4188" t="str">
        <f>HYPERLINK("http://www.dr-schultes.at","Website")</f>
        <v>Website</v>
      </c>
      <c r="D4188" t="str">
        <f>HYPERLINK("http://www.google.com/maps/place/47.39143,13.68868","Location")</f>
        <v>Location</v>
      </c>
      <c r="E4188" t="s">
        <v>36019</v>
      </c>
      <c r="F4188" t="s">
        <v>36020</v>
      </c>
      <c r="G4188" t="s">
        <v>1269</v>
      </c>
      <c r="H4188" t="s">
        <v>1270</v>
      </c>
      <c r="I4188" t="s">
        <v>451</v>
      </c>
      <c r="J4188" t="s">
        <v>22</v>
      </c>
      <c r="K4188" t="s">
        <v>36021</v>
      </c>
      <c r="L4188" t="s">
        <v>36024</v>
      </c>
      <c r="M4188" t="s">
        <v>25</v>
      </c>
      <c r="N4188" t="s">
        <v>36025</v>
      </c>
      <c r="O4188" t="s">
        <v>25</v>
      </c>
      <c r="P4188" t="s">
        <v>36026</v>
      </c>
      <c r="Q4188" t="s">
        <v>29</v>
      </c>
      <c r="R4188" t="s">
        <v>36022</v>
      </c>
      <c r="S4188" t="s">
        <v>36023</v>
      </c>
    </row>
    <row r="4189" spans="1:19" x14ac:dyDescent="0.25">
      <c r="A4189" s="1">
        <v>4187</v>
      </c>
      <c r="B4189" t="str">
        <f>HYPERLINK("https://www.dasschnelle.at/kehrer-gmbh-und-co-kg-st-martin-im-mühlkreis-unterhart","Website")</f>
        <v>Website</v>
      </c>
      <c r="C4189" t="str">
        <f>HYPERLINK("http://www.baggerungen-kehrer.at","Website")</f>
        <v>Website</v>
      </c>
      <c r="D4189" t="str">
        <f>HYPERLINK("http://www.google.com/maps/place/48.3800800,14.0424600","Location")</f>
        <v>Location</v>
      </c>
      <c r="E4189" t="s">
        <v>36027</v>
      </c>
      <c r="F4189" t="s">
        <v>36028</v>
      </c>
      <c r="G4189" t="s">
        <v>35206</v>
      </c>
      <c r="H4189" t="s">
        <v>35215</v>
      </c>
      <c r="I4189" t="s">
        <v>85</v>
      </c>
      <c r="J4189" t="s">
        <v>22</v>
      </c>
      <c r="K4189" t="s">
        <v>36029</v>
      </c>
      <c r="L4189" t="s">
        <v>36032</v>
      </c>
      <c r="M4189" t="s">
        <v>25</v>
      </c>
      <c r="N4189" t="s">
        <v>36033</v>
      </c>
      <c r="O4189" t="s">
        <v>25</v>
      </c>
      <c r="P4189" t="s">
        <v>36034</v>
      </c>
      <c r="Q4189" t="s">
        <v>29</v>
      </c>
      <c r="R4189" t="s">
        <v>36030</v>
      </c>
      <c r="S4189" t="s">
        <v>36031</v>
      </c>
    </row>
    <row r="4190" spans="1:19" x14ac:dyDescent="0.25">
      <c r="A4190" s="1">
        <v>4188</v>
      </c>
      <c r="B4190" t="str">
        <f>HYPERLINK("https://www.dasschnelle.at/bernhofer-hans-georg-tamsweg-mitschegasse","Website")</f>
        <v>Website</v>
      </c>
      <c r="C4190" t="str">
        <f>HYPERLINK("http://www.malerei-bernhofer.stadtausstellung.at","Website")</f>
        <v>Website</v>
      </c>
      <c r="D4190" t="str">
        <f>HYPERLINK("http://www.google.com/maps/place/47.12586,13.80684","Location")</f>
        <v>Location</v>
      </c>
      <c r="E4190" t="s">
        <v>36035</v>
      </c>
      <c r="F4190" t="s">
        <v>36036</v>
      </c>
      <c r="G4190" t="s">
        <v>11522</v>
      </c>
      <c r="H4190" t="s">
        <v>11523</v>
      </c>
      <c r="I4190" t="s">
        <v>2239</v>
      </c>
      <c r="J4190" t="s">
        <v>22</v>
      </c>
      <c r="K4190" t="s">
        <v>36037</v>
      </c>
      <c r="L4190" t="s">
        <v>36040</v>
      </c>
      <c r="M4190" t="s">
        <v>25</v>
      </c>
      <c r="N4190" t="s">
        <v>36041</v>
      </c>
      <c r="O4190" t="s">
        <v>36042</v>
      </c>
      <c r="P4190" t="s">
        <v>697</v>
      </c>
      <c r="Q4190" t="s">
        <v>29</v>
      </c>
      <c r="R4190" t="s">
        <v>36038</v>
      </c>
      <c r="S4190" t="s">
        <v>36039</v>
      </c>
    </row>
    <row r="4191" spans="1:19" x14ac:dyDescent="0.25">
      <c r="A4191" s="1">
        <v>4189</v>
      </c>
      <c r="B4191" t="str">
        <f>HYPERLINK("https://www.dasschnelle.at/hutegger-karin-tamsweg-leisnitzgasse","Website")</f>
        <v>Website</v>
      </c>
      <c r="C4191" t="str">
        <f>HYPERLINK("http://www.hutegger.com","Website")</f>
        <v>Website</v>
      </c>
      <c r="D4191" t="str">
        <f>HYPERLINK("http://www.google.com/maps/place/47.12779,13.80917","Location")</f>
        <v>Location</v>
      </c>
      <c r="E4191" t="s">
        <v>36043</v>
      </c>
      <c r="F4191" t="s">
        <v>36044</v>
      </c>
      <c r="G4191" t="s">
        <v>11522</v>
      </c>
      <c r="H4191" t="s">
        <v>11523</v>
      </c>
      <c r="I4191" t="s">
        <v>2239</v>
      </c>
      <c r="J4191" t="s">
        <v>22</v>
      </c>
      <c r="K4191" t="s">
        <v>36045</v>
      </c>
      <c r="L4191" t="s">
        <v>36048</v>
      </c>
      <c r="M4191" t="s">
        <v>25</v>
      </c>
      <c r="N4191" t="s">
        <v>36049</v>
      </c>
      <c r="O4191" t="s">
        <v>25</v>
      </c>
      <c r="P4191" t="s">
        <v>36050</v>
      </c>
      <c r="Q4191" t="s">
        <v>29</v>
      </c>
      <c r="R4191" t="s">
        <v>36046</v>
      </c>
      <c r="S4191" t="s">
        <v>36047</v>
      </c>
    </row>
    <row r="4192" spans="1:19" x14ac:dyDescent="0.25">
      <c r="A4192" s="1">
        <v>4190</v>
      </c>
      <c r="B4192" t="str">
        <f>HYPERLINK("https://www.dasschnelle.at/hand-in-hand-werker-gmbh-sanieren-modernisieren-neubau-tamsweg-bröllsteig","Website")</f>
        <v>Website</v>
      </c>
      <c r="C4192" t="str">
        <f>HYPERLINK("http://www.hand-in-hand-werker.at","Website")</f>
        <v>Website</v>
      </c>
      <c r="D4192" t="str">
        <f>HYPERLINK("http://www.google.com/maps/place/47.12942,13.80681","Location")</f>
        <v>Location</v>
      </c>
      <c r="E4192" t="s">
        <v>36051</v>
      </c>
      <c r="F4192" t="s">
        <v>36052</v>
      </c>
      <c r="G4192" t="s">
        <v>11522</v>
      </c>
      <c r="H4192" t="s">
        <v>11523</v>
      </c>
      <c r="I4192" t="s">
        <v>2239</v>
      </c>
      <c r="J4192" t="s">
        <v>22</v>
      </c>
      <c r="K4192" t="s">
        <v>36053</v>
      </c>
      <c r="L4192" t="s">
        <v>36056</v>
      </c>
      <c r="M4192" t="s">
        <v>25</v>
      </c>
      <c r="N4192" t="s">
        <v>36057</v>
      </c>
      <c r="O4192" t="s">
        <v>36058</v>
      </c>
      <c r="P4192" t="s">
        <v>36059</v>
      </c>
      <c r="Q4192" t="s">
        <v>29</v>
      </c>
      <c r="R4192" t="s">
        <v>36054</v>
      </c>
      <c r="S4192" t="s">
        <v>36055</v>
      </c>
    </row>
    <row r="4193" spans="1:19" x14ac:dyDescent="0.25">
      <c r="A4193" s="1">
        <v>4191</v>
      </c>
      <c r="B4193" t="str">
        <f>HYPERLINK("https://www.dasschnelle.at/pürstinger-autohaus-gmbh-ried-im-innkreis-schärdinger-straße","Website")</f>
        <v>Website</v>
      </c>
      <c r="C4193" t="str">
        <f>HYPERLINK("http://www.opel-puerstinger.at","Website")</f>
        <v>Website</v>
      </c>
      <c r="D4193" t="str">
        <f>HYPERLINK("http://www.google.com/maps/place/48.21609,13.48281","Location")</f>
        <v>Location</v>
      </c>
      <c r="E4193" t="s">
        <v>36060</v>
      </c>
      <c r="F4193" t="s">
        <v>36061</v>
      </c>
      <c r="G4193" t="s">
        <v>6245</v>
      </c>
      <c r="H4193" t="s">
        <v>6267</v>
      </c>
      <c r="I4193" t="s">
        <v>85</v>
      </c>
      <c r="J4193" t="s">
        <v>22</v>
      </c>
      <c r="K4193" t="s">
        <v>36062</v>
      </c>
      <c r="L4193" t="s">
        <v>36065</v>
      </c>
      <c r="M4193" t="s">
        <v>36066</v>
      </c>
      <c r="N4193" t="s">
        <v>36067</v>
      </c>
      <c r="O4193" t="s">
        <v>25</v>
      </c>
      <c r="P4193" t="s">
        <v>36068</v>
      </c>
      <c r="Q4193" t="s">
        <v>29</v>
      </c>
      <c r="R4193" t="s">
        <v>36063</v>
      </c>
      <c r="S4193" t="s">
        <v>36064</v>
      </c>
    </row>
    <row r="4194" spans="1:19" x14ac:dyDescent="0.25">
      <c r="A4194" s="1">
        <v>4192</v>
      </c>
      <c r="B4194" t="str">
        <f>HYPERLINK("https://www.dasschnelle.at/glas-krausmann-gmbh-ried-im-innkreis-bahnhofstraße","Website")</f>
        <v>Website</v>
      </c>
      <c r="C4194" t="str">
        <f>HYPERLINK("http://www.krausmann.at","Website")</f>
        <v>Website</v>
      </c>
      <c r="D4194" t="str">
        <f>HYPERLINK("http://www.google.com/maps/place/48.2074249,13.4874816","Location")</f>
        <v>Location</v>
      </c>
      <c r="E4194" t="s">
        <v>36069</v>
      </c>
      <c r="F4194" t="s">
        <v>36070</v>
      </c>
      <c r="G4194" t="s">
        <v>6245</v>
      </c>
      <c r="H4194" t="s">
        <v>6267</v>
      </c>
      <c r="I4194" t="s">
        <v>85</v>
      </c>
      <c r="J4194" t="s">
        <v>22</v>
      </c>
      <c r="K4194" t="s">
        <v>36071</v>
      </c>
      <c r="L4194" t="s">
        <v>36074</v>
      </c>
      <c r="M4194" t="s">
        <v>25</v>
      </c>
      <c r="N4194" t="s">
        <v>36075</v>
      </c>
      <c r="O4194" t="s">
        <v>25</v>
      </c>
      <c r="P4194" t="s">
        <v>36076</v>
      </c>
      <c r="Q4194" t="s">
        <v>29</v>
      </c>
      <c r="R4194" t="s">
        <v>36072</v>
      </c>
      <c r="S4194" t="s">
        <v>36073</v>
      </c>
    </row>
    <row r="4195" spans="1:19" x14ac:dyDescent="0.25">
      <c r="A4195" s="1">
        <v>4193</v>
      </c>
      <c r="B4195" t="str">
        <f>HYPERLINK("https://www.dasschnelle.at/blindeneder-mitterbucher-gmbh-ried-im-innkreis-claudistraße","Website")</f>
        <v>Website</v>
      </c>
      <c r="C4195" t="str">
        <f>HYPERLINK("http://www.mitterbucher.at","Website")</f>
        <v>Website</v>
      </c>
      <c r="D4195" t="str">
        <f>HYPERLINK("http://www.google.com/maps/place/48.2053951,13.4879123","Location")</f>
        <v>Location</v>
      </c>
      <c r="E4195" t="s">
        <v>36077</v>
      </c>
      <c r="F4195" t="s">
        <v>36078</v>
      </c>
      <c r="G4195" t="s">
        <v>6245</v>
      </c>
      <c r="H4195" t="s">
        <v>6267</v>
      </c>
      <c r="I4195" t="s">
        <v>85</v>
      </c>
      <c r="J4195" t="s">
        <v>22</v>
      </c>
      <c r="K4195" t="s">
        <v>36079</v>
      </c>
      <c r="L4195" t="s">
        <v>36082</v>
      </c>
      <c r="M4195" t="s">
        <v>25</v>
      </c>
      <c r="N4195" t="s">
        <v>36083</v>
      </c>
      <c r="O4195" t="s">
        <v>36084</v>
      </c>
      <c r="P4195" t="s">
        <v>36085</v>
      </c>
      <c r="Q4195" t="s">
        <v>29</v>
      </c>
      <c r="R4195" t="s">
        <v>36080</v>
      </c>
      <c r="S4195" t="s">
        <v>36081</v>
      </c>
    </row>
    <row r="4196" spans="1:19" x14ac:dyDescent="0.25">
      <c r="A4196" s="1">
        <v>4194</v>
      </c>
      <c r="B4196" t="str">
        <f>HYPERLINK("https://www.dasschnelle.at/perhab-erdbau-ramsau-am-dachstein-rössing","Website")</f>
        <v>Website</v>
      </c>
      <c r="C4196" t="str">
        <f>HYPERLINK("http://www.erdbau-perhab.at","Website")</f>
        <v>Website</v>
      </c>
      <c r="D4196" t="str">
        <f>HYPERLINK("http://www.google.com/maps/place/47.4239215,13.6959379","Location")</f>
        <v>Location</v>
      </c>
      <c r="E4196" t="s">
        <v>36086</v>
      </c>
      <c r="F4196" t="s">
        <v>36087</v>
      </c>
      <c r="G4196" t="s">
        <v>1168</v>
      </c>
      <c r="H4196" t="s">
        <v>1169</v>
      </c>
      <c r="I4196" t="s">
        <v>451</v>
      </c>
      <c r="J4196" t="s">
        <v>22</v>
      </c>
      <c r="K4196" t="s">
        <v>36088</v>
      </c>
      <c r="L4196" t="s">
        <v>36091</v>
      </c>
      <c r="M4196" t="s">
        <v>25</v>
      </c>
      <c r="N4196" t="s">
        <v>36092</v>
      </c>
      <c r="O4196" t="s">
        <v>25</v>
      </c>
      <c r="P4196" t="s">
        <v>697</v>
      </c>
      <c r="Q4196" t="s">
        <v>29</v>
      </c>
      <c r="R4196" t="s">
        <v>36089</v>
      </c>
      <c r="S4196" t="s">
        <v>36090</v>
      </c>
    </row>
    <row r="4197" spans="1:19" x14ac:dyDescent="0.25">
      <c r="A4197" s="1">
        <v>4195</v>
      </c>
      <c r="B4197" t="str">
        <f>HYPERLINK("https://www.dasschnelle.at/gugg-dachdeckerei-gmbh-tamsweg-gewerbepark","Website")</f>
        <v>Website</v>
      </c>
      <c r="C4197" t="str">
        <f>HYPERLINK("https://www.dasschnelle.at/gugg-dachdeckerei-gmbh-tamsweg-gewerbepark","Website")</f>
        <v>Website</v>
      </c>
      <c r="D4197" t="str">
        <f>HYPERLINK("http://www.google.com/maps/place/47.1295500,13.8103600","Location")</f>
        <v>Location</v>
      </c>
      <c r="E4197" t="s">
        <v>36093</v>
      </c>
      <c r="F4197" t="s">
        <v>36094</v>
      </c>
      <c r="G4197" t="s">
        <v>11522</v>
      </c>
      <c r="H4197" t="s">
        <v>11523</v>
      </c>
      <c r="I4197" t="s">
        <v>2239</v>
      </c>
      <c r="J4197" t="s">
        <v>22</v>
      </c>
      <c r="K4197" t="s">
        <v>36095</v>
      </c>
      <c r="L4197" t="s">
        <v>36098</v>
      </c>
      <c r="M4197" t="s">
        <v>25</v>
      </c>
      <c r="N4197" t="s">
        <v>36099</v>
      </c>
      <c r="O4197" t="s">
        <v>25</v>
      </c>
      <c r="P4197" t="s">
        <v>36100</v>
      </c>
      <c r="Q4197" t="s">
        <v>29</v>
      </c>
      <c r="R4197" t="s">
        <v>36096</v>
      </c>
      <c r="S4197" t="s">
        <v>36097</v>
      </c>
    </row>
    <row r="4198" spans="1:19" x14ac:dyDescent="0.25">
      <c r="A4198" s="1">
        <v>4196</v>
      </c>
      <c r="B4198" t="str">
        <f>HYPERLINK("https://www.dasschnelle.at/weißenbacher-rené-ranten-ranten","Website")</f>
        <v>Website</v>
      </c>
      <c r="C4198" t="str">
        <f>HYPERLINK("http://www.ofenbau-weissenbacher.at","Website")</f>
        <v>Website</v>
      </c>
      <c r="D4198" t="str">
        <f>HYPERLINK("http://www.google.com/maps/place/47.1558500,14.0835600","Location")</f>
        <v>Location</v>
      </c>
      <c r="E4198" t="s">
        <v>36101</v>
      </c>
      <c r="F4198" t="s">
        <v>36102</v>
      </c>
      <c r="G4198" t="s">
        <v>12149</v>
      </c>
      <c r="H4198" t="s">
        <v>12150</v>
      </c>
      <c r="I4198" t="s">
        <v>451</v>
      </c>
      <c r="J4198" t="s">
        <v>22</v>
      </c>
      <c r="K4198" t="s">
        <v>36103</v>
      </c>
      <c r="L4198" t="s">
        <v>36106</v>
      </c>
      <c r="M4198" t="s">
        <v>25</v>
      </c>
      <c r="N4198" t="s">
        <v>36107</v>
      </c>
      <c r="O4198" t="s">
        <v>25</v>
      </c>
      <c r="P4198" t="s">
        <v>36108</v>
      </c>
      <c r="Q4198" t="s">
        <v>29</v>
      </c>
      <c r="R4198" t="s">
        <v>36104</v>
      </c>
      <c r="S4198" t="s">
        <v>36105</v>
      </c>
    </row>
    <row r="4199" spans="1:19" x14ac:dyDescent="0.25">
      <c r="A4199" s="1">
        <v>4197</v>
      </c>
      <c r="B4199" t="str">
        <f>HYPERLINK("https://www.dasschnelle.at/malerei-mayr-gmbh-tamsweg-zinsgasse","Website")</f>
        <v>Website</v>
      </c>
      <c r="C4199" t="str">
        <f>HYPERLINK("http://www.malermayr.at","Website")</f>
        <v>Website</v>
      </c>
      <c r="D4199" t="str">
        <f>HYPERLINK("http://www.google.com/maps/place/47.13,13.81012","Location")</f>
        <v>Location</v>
      </c>
      <c r="E4199" t="s">
        <v>36109</v>
      </c>
      <c r="F4199" t="s">
        <v>36110</v>
      </c>
      <c r="G4199" t="s">
        <v>11522</v>
      </c>
      <c r="H4199" t="s">
        <v>11523</v>
      </c>
      <c r="I4199" t="s">
        <v>2239</v>
      </c>
      <c r="J4199" t="s">
        <v>22</v>
      </c>
      <c r="K4199" t="s">
        <v>36111</v>
      </c>
      <c r="L4199" t="s">
        <v>36114</v>
      </c>
      <c r="M4199" t="s">
        <v>25</v>
      </c>
      <c r="N4199" t="s">
        <v>36115</v>
      </c>
      <c r="O4199" t="s">
        <v>25</v>
      </c>
      <c r="P4199" t="s">
        <v>36116</v>
      </c>
      <c r="Q4199" t="s">
        <v>29</v>
      </c>
      <c r="R4199" t="s">
        <v>36112</v>
      </c>
      <c r="S4199" t="s">
        <v>36113</v>
      </c>
    </row>
    <row r="4200" spans="1:19" x14ac:dyDescent="0.25">
      <c r="A4200" s="1">
        <v>4198</v>
      </c>
      <c r="B4200" t="str">
        <f>HYPERLINK("https://www.dasschnelle.at/mg-bau-u-partner-gmbh-tamsweg-mörtelsdorf","Website")</f>
        <v>Website</v>
      </c>
      <c r="C4200" t="str">
        <f>HYPERLINK("http://www.mgbau.at","Website")</f>
        <v>Website</v>
      </c>
      <c r="D4200" t="str">
        <f>HYPERLINK("http://www.google.com/maps/place/47.1277200,13.7885300","Location")</f>
        <v>Location</v>
      </c>
      <c r="E4200" t="s">
        <v>36117</v>
      </c>
      <c r="F4200" t="s">
        <v>36118</v>
      </c>
      <c r="G4200" t="s">
        <v>11522</v>
      </c>
      <c r="H4200" t="s">
        <v>11523</v>
      </c>
      <c r="I4200" t="s">
        <v>2239</v>
      </c>
      <c r="J4200" t="s">
        <v>22</v>
      </c>
      <c r="K4200" t="s">
        <v>36119</v>
      </c>
      <c r="L4200" t="s">
        <v>36122</v>
      </c>
      <c r="M4200" t="s">
        <v>25</v>
      </c>
      <c r="N4200" t="s">
        <v>36123</v>
      </c>
      <c r="O4200" t="s">
        <v>25</v>
      </c>
      <c r="P4200" t="s">
        <v>36124</v>
      </c>
      <c r="Q4200" t="s">
        <v>29</v>
      </c>
      <c r="R4200" t="s">
        <v>36120</v>
      </c>
      <c r="S4200" t="s">
        <v>36121</v>
      </c>
    </row>
    <row r="4201" spans="1:19" x14ac:dyDescent="0.25">
      <c r="A4201" s="1">
        <v>4199</v>
      </c>
      <c r="B4201" t="str">
        <f>HYPERLINK("https://www.dasschnelle.at/lerchner-manfred-mariapfarr-pfarrstraße","Website")</f>
        <v>Website</v>
      </c>
      <c r="C4201" t="str">
        <f>HYPERLINK("https://www.dasschnelle.at/lerchner-manfred-mariapfarr-pfarrstra%C3%9Fe","Website")</f>
        <v>Website</v>
      </c>
      <c r="D4201" t="str">
        <f>HYPERLINK("http://www.google.com/maps/place/47.14987,13.74494","Location")</f>
        <v>Location</v>
      </c>
      <c r="E4201" t="s">
        <v>36125</v>
      </c>
      <c r="F4201" t="s">
        <v>36126</v>
      </c>
      <c r="G4201" t="s">
        <v>11563</v>
      </c>
      <c r="H4201" t="s">
        <v>11564</v>
      </c>
      <c r="I4201" t="s">
        <v>2239</v>
      </c>
      <c r="J4201" t="s">
        <v>22</v>
      </c>
      <c r="K4201" t="s">
        <v>36127</v>
      </c>
      <c r="L4201" t="s">
        <v>36130</v>
      </c>
      <c r="M4201" t="s">
        <v>25</v>
      </c>
      <c r="N4201" t="s">
        <v>25</v>
      </c>
      <c r="O4201" t="s">
        <v>25</v>
      </c>
      <c r="P4201" t="s">
        <v>36131</v>
      </c>
      <c r="Q4201" t="s">
        <v>29</v>
      </c>
      <c r="R4201" t="s">
        <v>36128</v>
      </c>
      <c r="S4201" t="s">
        <v>36129</v>
      </c>
    </row>
    <row r="4202" spans="1:19" x14ac:dyDescent="0.25">
      <c r="A4202" s="1">
        <v>4200</v>
      </c>
      <c r="B4202" t="str">
        <f>HYPERLINK("https://www.dasschnelle.at/nikolaus-apotheke-steinerkirchen-steinakirchen-am-forst-unterer-markt","Website")</f>
        <v>Website</v>
      </c>
      <c r="C4202" t="str">
        <f>HYPERLINK("http://www.nikolausapotheke.at","Website")</f>
        <v>Website</v>
      </c>
      <c r="D4202" t="str">
        <f>HYPERLINK("http://www.google.com/maps/place/48.06655,15.04946","Location")</f>
        <v>Location</v>
      </c>
      <c r="E4202" t="s">
        <v>36132</v>
      </c>
      <c r="F4202" t="s">
        <v>36133</v>
      </c>
      <c r="G4202" t="s">
        <v>9997</v>
      </c>
      <c r="H4202" t="s">
        <v>9998</v>
      </c>
      <c r="I4202" t="s">
        <v>177</v>
      </c>
      <c r="J4202" t="s">
        <v>22</v>
      </c>
      <c r="K4202" t="s">
        <v>36134</v>
      </c>
      <c r="L4202" t="s">
        <v>36137</v>
      </c>
      <c r="M4202" t="s">
        <v>25</v>
      </c>
      <c r="N4202" t="s">
        <v>36138</v>
      </c>
      <c r="O4202" t="s">
        <v>25</v>
      </c>
      <c r="P4202" t="s">
        <v>36139</v>
      </c>
      <c r="Q4202" t="s">
        <v>29</v>
      </c>
      <c r="R4202" t="s">
        <v>36135</v>
      </c>
      <c r="S4202" t="s">
        <v>36136</v>
      </c>
    </row>
    <row r="4203" spans="1:19" x14ac:dyDescent="0.25">
      <c r="A4203" s="1">
        <v>4201</v>
      </c>
      <c r="B4203" t="str">
        <f>HYPERLINK("https://www.dasschnelle.at/musikhaus-seidl-gerhard-seidl-sankt-georgen-oberredling","Website")</f>
        <v>Website</v>
      </c>
      <c r="C4203" t="str">
        <f>HYPERLINK("http://www.musikhaus-seidl.at","Website")</f>
        <v>Website</v>
      </c>
      <c r="D4203" t="str">
        <f>HYPERLINK("http://www.google.com/maps/place/47.1112305,14.1149961","Location")</f>
        <v>Location</v>
      </c>
      <c r="E4203" t="s">
        <v>36140</v>
      </c>
      <c r="F4203" t="s">
        <v>36141</v>
      </c>
      <c r="G4203" t="s">
        <v>35441</v>
      </c>
      <c r="H4203" t="s">
        <v>12771</v>
      </c>
      <c r="I4203" t="s">
        <v>451</v>
      </c>
      <c r="J4203" t="s">
        <v>22</v>
      </c>
      <c r="K4203" t="s">
        <v>36142</v>
      </c>
      <c r="L4203" t="s">
        <v>36145</v>
      </c>
      <c r="M4203" t="s">
        <v>25</v>
      </c>
      <c r="N4203" t="s">
        <v>36146</v>
      </c>
      <c r="O4203" t="s">
        <v>36147</v>
      </c>
      <c r="P4203" t="s">
        <v>36148</v>
      </c>
      <c r="Q4203" t="s">
        <v>29</v>
      </c>
      <c r="R4203" t="s">
        <v>36143</v>
      </c>
      <c r="S4203" t="s">
        <v>36144</v>
      </c>
    </row>
    <row r="4204" spans="1:19" x14ac:dyDescent="0.25">
      <c r="A4204" s="1">
        <v>4202</v>
      </c>
      <c r="B4204" t="str">
        <f>HYPERLINK("https://www.dasschnelle.at/nadine-hasler-gmbh-scheifling-puchfeldsiedlung","Website")</f>
        <v>Website</v>
      </c>
      <c r="C4204" t="str">
        <f>HYPERLINK("http://www.tbs-seidl.at","Website")</f>
        <v>Website</v>
      </c>
      <c r="D4204" t="str">
        <f>HYPERLINK("http://www.google.com/maps/place/47.12618,14.44321","Location")</f>
        <v>Location</v>
      </c>
      <c r="E4204" t="s">
        <v>36149</v>
      </c>
      <c r="F4204" t="s">
        <v>36150</v>
      </c>
      <c r="G4204" t="s">
        <v>12170</v>
      </c>
      <c r="H4204" t="s">
        <v>35503</v>
      </c>
      <c r="I4204" t="s">
        <v>451</v>
      </c>
      <c r="J4204" t="s">
        <v>22</v>
      </c>
      <c r="K4204" t="s">
        <v>35557</v>
      </c>
      <c r="L4204" t="s">
        <v>35560</v>
      </c>
      <c r="M4204" t="s">
        <v>25</v>
      </c>
      <c r="N4204" t="s">
        <v>36151</v>
      </c>
      <c r="O4204" t="s">
        <v>25</v>
      </c>
      <c r="P4204" t="s">
        <v>36152</v>
      </c>
      <c r="Q4204" t="s">
        <v>29</v>
      </c>
      <c r="R4204" t="s">
        <v>35558</v>
      </c>
      <c r="S4204" t="s">
        <v>35559</v>
      </c>
    </row>
    <row r="4205" spans="1:19" x14ac:dyDescent="0.25">
      <c r="A4205" s="1">
        <v>4203</v>
      </c>
      <c r="B4205" t="str">
        <f>HYPERLINK("https://www.dasschnelle.at/grundner-solarmontagen-gmbh-vorchdorf-berg","Website")</f>
        <v>Website</v>
      </c>
      <c r="C4205" t="str">
        <f>HYPERLINK("http://www.grundner-solarmontagen.at","Website")</f>
        <v>Website</v>
      </c>
      <c r="D4205" t="str">
        <f>HYPERLINK("http://www.google.com/maps/place/47.9963369,13.8874036","Location")</f>
        <v>Location</v>
      </c>
      <c r="E4205" t="s">
        <v>36153</v>
      </c>
      <c r="F4205" t="s">
        <v>36154</v>
      </c>
      <c r="G4205" t="s">
        <v>6960</v>
      </c>
      <c r="H4205" t="s">
        <v>6961</v>
      </c>
      <c r="I4205" t="s">
        <v>85</v>
      </c>
      <c r="J4205" t="s">
        <v>22</v>
      </c>
      <c r="K4205" t="s">
        <v>35166</v>
      </c>
      <c r="L4205" t="s">
        <v>36157</v>
      </c>
      <c r="M4205" t="s">
        <v>25</v>
      </c>
      <c r="N4205" t="s">
        <v>36158</v>
      </c>
      <c r="O4205" t="s">
        <v>36159</v>
      </c>
      <c r="P4205" t="s">
        <v>36160</v>
      </c>
      <c r="Q4205" t="s">
        <v>29</v>
      </c>
      <c r="R4205" t="s">
        <v>36155</v>
      </c>
      <c r="S4205" t="s">
        <v>36156</v>
      </c>
    </row>
    <row r="4206" spans="1:19" x14ac:dyDescent="0.25">
      <c r="A4206" s="1">
        <v>4204</v>
      </c>
      <c r="B4206" t="str">
        <f>HYPERLINK("https://www.dasschnelle.at/lukic-ilija-ing-sankt-johann-im-pongau-bundesstraße","Website")</f>
        <v>Website</v>
      </c>
      <c r="C4206" t="str">
        <f>HYPERLINK("https://www.dasschnelle.at/lukic-ilija-ing-sankt-johann-im-pongau-bundesstra%C3%9Fe","Website")</f>
        <v>Website</v>
      </c>
      <c r="D4206" t="str">
        <f>HYPERLINK("http://www.google.com/maps/place/47.35603,13.20377","Location")</f>
        <v>Location</v>
      </c>
      <c r="E4206" t="s">
        <v>36161</v>
      </c>
      <c r="F4206" t="s">
        <v>36162</v>
      </c>
      <c r="G4206" t="s">
        <v>24837</v>
      </c>
      <c r="H4206" t="s">
        <v>24838</v>
      </c>
      <c r="I4206" t="s">
        <v>2239</v>
      </c>
      <c r="J4206" t="s">
        <v>22</v>
      </c>
      <c r="K4206" t="s">
        <v>36163</v>
      </c>
      <c r="L4206" t="s">
        <v>36166</v>
      </c>
      <c r="M4206" t="s">
        <v>25</v>
      </c>
      <c r="N4206" t="s">
        <v>36167</v>
      </c>
      <c r="O4206" t="s">
        <v>25</v>
      </c>
      <c r="P4206" t="s">
        <v>36168</v>
      </c>
      <c r="Q4206" t="s">
        <v>29</v>
      </c>
      <c r="R4206" t="s">
        <v>36164</v>
      </c>
      <c r="S4206" t="s">
        <v>36165</v>
      </c>
    </row>
    <row r="4207" spans="1:19" x14ac:dyDescent="0.25">
      <c r="A4207" s="1">
        <v>4205</v>
      </c>
      <c r="B4207" t="str">
        <f>HYPERLINK("https://www.dasschnelle.at/rachbauer-josef-ried-im-innkreis-frankenburger-straße","Website")</f>
        <v>Website</v>
      </c>
      <c r="C4207" t="str">
        <f>HYPERLINK("http://www.fenster-rachbauer.at","Website")</f>
        <v>Website</v>
      </c>
      <c r="D4207" t="str">
        <f>HYPERLINK("http://www.google.com/maps/place/48.20012,13.48073","Location")</f>
        <v>Location</v>
      </c>
      <c r="E4207" t="s">
        <v>36169</v>
      </c>
      <c r="F4207" t="s">
        <v>36170</v>
      </c>
      <c r="G4207" t="s">
        <v>6245</v>
      </c>
      <c r="H4207" t="s">
        <v>6267</v>
      </c>
      <c r="I4207" t="s">
        <v>85</v>
      </c>
      <c r="J4207" t="s">
        <v>22</v>
      </c>
      <c r="K4207" t="s">
        <v>36171</v>
      </c>
      <c r="L4207" t="s">
        <v>36174</v>
      </c>
      <c r="M4207" t="s">
        <v>25</v>
      </c>
      <c r="N4207" t="s">
        <v>36175</v>
      </c>
      <c r="O4207" t="s">
        <v>36176</v>
      </c>
      <c r="P4207" t="s">
        <v>36177</v>
      </c>
      <c r="Q4207" t="s">
        <v>29</v>
      </c>
      <c r="R4207" t="s">
        <v>36172</v>
      </c>
      <c r="S4207" t="s">
        <v>36173</v>
      </c>
    </row>
    <row r="4208" spans="1:19" x14ac:dyDescent="0.25">
      <c r="A4208" s="1">
        <v>4206</v>
      </c>
      <c r="B4208" t="str">
        <f>HYPERLINK("https://www.dasschnelle.at/michael-gärner-ried-im-innkreis-hauptplatz","Website")</f>
        <v>Website</v>
      </c>
      <c r="C4208" t="str">
        <f>HYPERLINK("http://www.michael-gaerner.at","Website")</f>
        <v>Website</v>
      </c>
      <c r="D4208" t="str">
        <f>HYPERLINK("http://www.google.com/maps/place/48.21009,13.488","Location")</f>
        <v>Location</v>
      </c>
      <c r="E4208" t="s">
        <v>36178</v>
      </c>
      <c r="F4208" t="s">
        <v>36179</v>
      </c>
      <c r="G4208" t="s">
        <v>6245</v>
      </c>
      <c r="H4208" t="s">
        <v>6267</v>
      </c>
      <c r="I4208" t="s">
        <v>85</v>
      </c>
      <c r="J4208" t="s">
        <v>22</v>
      </c>
      <c r="K4208" t="s">
        <v>15441</v>
      </c>
      <c r="L4208" t="s">
        <v>36182</v>
      </c>
      <c r="M4208" t="s">
        <v>25</v>
      </c>
      <c r="N4208" t="s">
        <v>36183</v>
      </c>
      <c r="O4208" t="s">
        <v>25</v>
      </c>
      <c r="P4208" t="s">
        <v>36184</v>
      </c>
      <c r="Q4208" t="s">
        <v>29</v>
      </c>
      <c r="R4208" t="s">
        <v>36180</v>
      </c>
      <c r="S4208" t="s">
        <v>36181</v>
      </c>
    </row>
    <row r="4209" spans="1:19" x14ac:dyDescent="0.25">
      <c r="A4209" s="1">
        <v>4207</v>
      </c>
      <c r="B4209" t="str">
        <f>HYPERLINK("https://www.dasschnelle.at/kendlbacher-kfz-technik-gmbh-tamsweg-gewerbepark","Website")</f>
        <v>Website</v>
      </c>
      <c r="C4209" t="str">
        <f>HYPERLINK("http://www.kendlbacher.at","Website")</f>
        <v>Website</v>
      </c>
      <c r="D4209" t="str">
        <f>HYPERLINK("http://www.google.com/maps/place/47.1274,13.78963","Location")</f>
        <v>Location</v>
      </c>
      <c r="E4209" t="s">
        <v>36185</v>
      </c>
      <c r="F4209" t="s">
        <v>36186</v>
      </c>
      <c r="G4209" t="s">
        <v>11522</v>
      </c>
      <c r="H4209" t="s">
        <v>11523</v>
      </c>
      <c r="I4209" t="s">
        <v>2239</v>
      </c>
      <c r="J4209" t="s">
        <v>22</v>
      </c>
      <c r="K4209" t="s">
        <v>36187</v>
      </c>
      <c r="L4209" t="s">
        <v>36190</v>
      </c>
      <c r="M4209" t="s">
        <v>25</v>
      </c>
      <c r="N4209" t="s">
        <v>36191</v>
      </c>
      <c r="O4209" t="s">
        <v>25</v>
      </c>
      <c r="P4209" t="s">
        <v>36192</v>
      </c>
      <c r="Q4209" t="s">
        <v>29</v>
      </c>
      <c r="R4209" t="s">
        <v>36188</v>
      </c>
      <c r="S4209" t="s">
        <v>36189</v>
      </c>
    </row>
    <row r="4210" spans="1:19" x14ac:dyDescent="0.25">
      <c r="A4210" s="1">
        <v>4208</v>
      </c>
      <c r="B4210" t="str">
        <f>HYPERLINK("https://www.dasschnelle.at/spindler-installationen-gmbh-rödt-rödt","Website")</f>
        <v>Website</v>
      </c>
      <c r="C4210" t="str">
        <f>HYPERLINK("http://www.spindler-installationen.at","Website")</f>
        <v>Website</v>
      </c>
      <c r="D4210" t="str">
        <f>HYPERLINK("http://www.google.com/maps/place/48.1375856,13.4794034","Location")</f>
        <v>Location</v>
      </c>
      <c r="E4210" t="s">
        <v>36193</v>
      </c>
      <c r="F4210" t="s">
        <v>36194</v>
      </c>
      <c r="G4210" t="s">
        <v>6306</v>
      </c>
      <c r="H4210" t="s">
        <v>36196</v>
      </c>
      <c r="I4210" t="s">
        <v>85</v>
      </c>
      <c r="J4210" t="s">
        <v>22</v>
      </c>
      <c r="K4210" t="s">
        <v>36195</v>
      </c>
      <c r="L4210" t="s">
        <v>36199</v>
      </c>
      <c r="M4210" t="s">
        <v>25</v>
      </c>
      <c r="N4210" t="s">
        <v>36200</v>
      </c>
      <c r="O4210" t="s">
        <v>36201</v>
      </c>
      <c r="P4210" t="s">
        <v>36202</v>
      </c>
      <c r="Q4210" t="s">
        <v>29</v>
      </c>
      <c r="R4210" t="s">
        <v>36197</v>
      </c>
      <c r="S4210" t="s">
        <v>36198</v>
      </c>
    </row>
    <row r="4211" spans="1:19" x14ac:dyDescent="0.25">
      <c r="A4211" s="1">
        <v>4209</v>
      </c>
      <c r="B4211" t="str">
        <f>HYPERLINK("https://www.dasschnelle.at/reiter-hubert-neuhofen-im-innkreis-ahornplatz","Website")</f>
        <v>Website</v>
      </c>
      <c r="C4211" t="str">
        <f>HYPERLINK("http://www.taxi-reiter.at","Website")</f>
        <v>Website</v>
      </c>
      <c r="D4211" t="str">
        <f>HYPERLINK("http://www.google.com/maps/place/48.19515,13.46877","Location")</f>
        <v>Location</v>
      </c>
      <c r="E4211" t="s">
        <v>36203</v>
      </c>
      <c r="F4211" t="s">
        <v>36204</v>
      </c>
      <c r="G4211" t="s">
        <v>36206</v>
      </c>
      <c r="H4211" t="s">
        <v>36207</v>
      </c>
      <c r="I4211" t="s">
        <v>85</v>
      </c>
      <c r="J4211" t="s">
        <v>22</v>
      </c>
      <c r="K4211" t="s">
        <v>36205</v>
      </c>
      <c r="L4211" t="s">
        <v>36210</v>
      </c>
      <c r="M4211" t="s">
        <v>25</v>
      </c>
      <c r="N4211" t="s">
        <v>36211</v>
      </c>
      <c r="O4211" t="s">
        <v>25</v>
      </c>
      <c r="P4211" t="s">
        <v>36212</v>
      </c>
      <c r="Q4211" t="s">
        <v>29</v>
      </c>
      <c r="R4211" t="s">
        <v>36208</v>
      </c>
      <c r="S4211" t="s">
        <v>36209</v>
      </c>
    </row>
    <row r="4212" spans="1:19" x14ac:dyDescent="0.25">
      <c r="A4212" s="1">
        <v>4210</v>
      </c>
      <c r="B4212" t="str">
        <f>HYPERLINK("https://www.dasschnelle.at/erhart-wolfgang-dr-schladming-hauptplatz","Website")</f>
        <v>Website</v>
      </c>
      <c r="C4212" t="str">
        <f>HYPERLINK("http://www.notarzuschladming.at","Website")</f>
        <v>Website</v>
      </c>
      <c r="D4212" t="str">
        <f>HYPERLINK("http://www.google.com/maps/place/47.3917776,13.6894612","Location")</f>
        <v>Location</v>
      </c>
      <c r="E4212" t="s">
        <v>36213</v>
      </c>
      <c r="F4212" t="s">
        <v>36214</v>
      </c>
      <c r="G4212" t="s">
        <v>1269</v>
      </c>
      <c r="H4212" t="s">
        <v>1270</v>
      </c>
      <c r="I4212" t="s">
        <v>451</v>
      </c>
      <c r="J4212" t="s">
        <v>22</v>
      </c>
      <c r="K4212" t="s">
        <v>36215</v>
      </c>
      <c r="L4212" t="s">
        <v>36218</v>
      </c>
      <c r="M4212" t="s">
        <v>25</v>
      </c>
      <c r="N4212" t="s">
        <v>36219</v>
      </c>
      <c r="O4212" t="s">
        <v>25</v>
      </c>
      <c r="P4212" t="s">
        <v>36220</v>
      </c>
      <c r="Q4212" t="s">
        <v>29</v>
      </c>
      <c r="R4212" t="s">
        <v>36216</v>
      </c>
      <c r="S4212" t="s">
        <v>36217</v>
      </c>
    </row>
    <row r="4213" spans="1:19" x14ac:dyDescent="0.25">
      <c r="A4213" s="1">
        <v>4211</v>
      </c>
      <c r="B4213" t="str">
        <f>HYPERLINK("https://www.dasschnelle.at/hacker-christian-dr-purgstall-augasse","Website")</f>
        <v>Website</v>
      </c>
      <c r="C4213" t="str">
        <f>HYPERLINK("http://www.zahnarzt-hacker.at","Website")</f>
        <v>Website</v>
      </c>
      <c r="D4213" t="str">
        <f>HYPERLINK("http://www.google.com/maps/place/48.0554200,15.1296964","Location")</f>
        <v>Location</v>
      </c>
      <c r="E4213" t="s">
        <v>36221</v>
      </c>
      <c r="F4213" t="s">
        <v>36222</v>
      </c>
      <c r="G4213" t="s">
        <v>9909</v>
      </c>
      <c r="H4213" t="s">
        <v>9910</v>
      </c>
      <c r="I4213" t="s">
        <v>177</v>
      </c>
      <c r="J4213" t="s">
        <v>22</v>
      </c>
      <c r="K4213" t="s">
        <v>36223</v>
      </c>
      <c r="L4213" t="s">
        <v>36226</v>
      </c>
      <c r="M4213" t="s">
        <v>25</v>
      </c>
      <c r="N4213" t="s">
        <v>36227</v>
      </c>
      <c r="O4213" t="s">
        <v>25</v>
      </c>
      <c r="P4213" t="s">
        <v>36228</v>
      </c>
      <c r="Q4213" t="s">
        <v>29</v>
      </c>
      <c r="R4213" t="s">
        <v>36224</v>
      </c>
      <c r="S4213" t="s">
        <v>36225</v>
      </c>
    </row>
    <row r="4214" spans="1:19" x14ac:dyDescent="0.25">
      <c r="A4214" s="1">
        <v>4212</v>
      </c>
      <c r="B4214" t="str">
        <f>HYPERLINK("https://www.dasschnelle.at/lederhuber-martin-dr-med-scheibbs-erlaufpromenade","Website")</f>
        <v>Website</v>
      </c>
      <c r="C4214" t="str">
        <f>HYPERLINK("http://www.augenarzt-drlederhuber.at","Website")</f>
        <v>Website</v>
      </c>
      <c r="D4214" t="str">
        <f>HYPERLINK("http://www.google.com/maps/place/48.00321,15.16593","Location")</f>
        <v>Location</v>
      </c>
      <c r="E4214" t="s">
        <v>36229</v>
      </c>
      <c r="F4214" t="s">
        <v>36230</v>
      </c>
      <c r="G4214" t="s">
        <v>9836</v>
      </c>
      <c r="H4214" t="s">
        <v>9837</v>
      </c>
      <c r="I4214" t="s">
        <v>177</v>
      </c>
      <c r="J4214" t="s">
        <v>22</v>
      </c>
      <c r="K4214" t="s">
        <v>36231</v>
      </c>
      <c r="L4214" t="s">
        <v>36234</v>
      </c>
      <c r="M4214" t="s">
        <v>25</v>
      </c>
      <c r="N4214" t="s">
        <v>25</v>
      </c>
      <c r="O4214" t="s">
        <v>25</v>
      </c>
      <c r="P4214" t="s">
        <v>36235</v>
      </c>
      <c r="Q4214" t="s">
        <v>29</v>
      </c>
      <c r="R4214" t="s">
        <v>36232</v>
      </c>
      <c r="S4214" t="s">
        <v>36233</v>
      </c>
    </row>
    <row r="4215" spans="1:19" x14ac:dyDescent="0.25">
      <c r="A4215" s="1">
        <v>4213</v>
      </c>
      <c r="B4215" t="str">
        <f>HYPERLINK("https://www.dasschnelle.at/häuserl-im-wald-mariapfarr-niederrain","Website")</f>
        <v>Website</v>
      </c>
      <c r="C4215" t="str">
        <f>HYPERLINK("http://www.haeuserlimwald.com","Website")</f>
        <v>Website</v>
      </c>
      <c r="D4215" t="str">
        <f>HYPERLINK("http://www.google.com/maps/place/47.15497,13.72563","Location")</f>
        <v>Location</v>
      </c>
      <c r="E4215" t="s">
        <v>36236</v>
      </c>
      <c r="F4215" t="s">
        <v>36237</v>
      </c>
      <c r="G4215" t="s">
        <v>11563</v>
      </c>
      <c r="H4215" t="s">
        <v>11564</v>
      </c>
      <c r="I4215" t="s">
        <v>2239</v>
      </c>
      <c r="J4215" t="s">
        <v>22</v>
      </c>
      <c r="K4215" t="s">
        <v>36238</v>
      </c>
      <c r="L4215" t="s">
        <v>36241</v>
      </c>
      <c r="M4215" t="s">
        <v>25</v>
      </c>
      <c r="N4215" t="s">
        <v>36242</v>
      </c>
      <c r="O4215" t="s">
        <v>25</v>
      </c>
      <c r="P4215" t="s">
        <v>36243</v>
      </c>
      <c r="Q4215" t="s">
        <v>29</v>
      </c>
      <c r="R4215" t="s">
        <v>36239</v>
      </c>
      <c r="S4215" t="s">
        <v>36240</v>
      </c>
    </row>
    <row r="4216" spans="1:19" x14ac:dyDescent="0.25">
      <c r="A4216" s="1">
        <v>4214</v>
      </c>
      <c r="B4216" t="str">
        <f>HYPERLINK("https://www.dasschnelle.at/wiedl-s-taxi-gmbh-vorchdorf-brunnmühlstraße","Website")</f>
        <v>Website</v>
      </c>
      <c r="C4216" t="str">
        <f>HYPERLINK("https://www.dasschnelle.at/wiedl-s-taxi-gmbh-vorchdorf-brunnm%C3%BChlstra%C3%9Fe","Website")</f>
        <v>Website</v>
      </c>
      <c r="D4216" t="str">
        <f>HYPERLINK("http://www.google.com/maps/place/47.99932,13.94141","Location")</f>
        <v>Location</v>
      </c>
      <c r="E4216" t="s">
        <v>36244</v>
      </c>
      <c r="F4216" t="s">
        <v>36245</v>
      </c>
      <c r="G4216" t="s">
        <v>6960</v>
      </c>
      <c r="H4216" t="s">
        <v>6961</v>
      </c>
      <c r="I4216" t="s">
        <v>85</v>
      </c>
      <c r="J4216" t="s">
        <v>22</v>
      </c>
      <c r="K4216" t="s">
        <v>36246</v>
      </c>
      <c r="L4216" t="s">
        <v>36249</v>
      </c>
      <c r="M4216" t="s">
        <v>25</v>
      </c>
      <c r="N4216" t="s">
        <v>36250</v>
      </c>
      <c r="O4216" t="s">
        <v>25</v>
      </c>
      <c r="P4216" t="s">
        <v>36251</v>
      </c>
      <c r="Q4216" t="s">
        <v>29</v>
      </c>
      <c r="R4216" t="s">
        <v>36247</v>
      </c>
      <c r="S4216" t="s">
        <v>36248</v>
      </c>
    </row>
    <row r="4217" spans="1:19" x14ac:dyDescent="0.25">
      <c r="A4217" s="1">
        <v>4215</v>
      </c>
      <c r="B4217" t="str">
        <f>HYPERLINK("https://www.dasschnelle.at/fidas-schladming-steuerberatung-gmbh-schladming-untere-klaus","Website")</f>
        <v>Website</v>
      </c>
      <c r="C4217" t="str">
        <f>HYPERLINK("http://www.fidas.at","Website")</f>
        <v>Website</v>
      </c>
      <c r="D4217" t="str">
        <f>HYPERLINK("http://www.google.com/maps/place/47.39973,13.69803","Location")</f>
        <v>Location</v>
      </c>
      <c r="E4217" t="s">
        <v>36252</v>
      </c>
      <c r="F4217" t="s">
        <v>36253</v>
      </c>
      <c r="G4217" t="s">
        <v>1269</v>
      </c>
      <c r="H4217" t="s">
        <v>1270</v>
      </c>
      <c r="I4217" t="s">
        <v>451</v>
      </c>
      <c r="J4217" t="s">
        <v>22</v>
      </c>
      <c r="K4217" t="s">
        <v>36254</v>
      </c>
      <c r="L4217" t="s">
        <v>36257</v>
      </c>
      <c r="M4217" t="s">
        <v>36258</v>
      </c>
      <c r="N4217" t="s">
        <v>36259</v>
      </c>
      <c r="O4217" t="s">
        <v>25</v>
      </c>
      <c r="P4217" t="s">
        <v>36260</v>
      </c>
      <c r="Q4217" t="s">
        <v>29</v>
      </c>
      <c r="R4217" t="s">
        <v>36255</v>
      </c>
      <c r="S4217" t="s">
        <v>36256</v>
      </c>
    </row>
    <row r="4218" spans="1:19" x14ac:dyDescent="0.25">
      <c r="A4218" s="1">
        <v>4216</v>
      </c>
      <c r="B4218" t="str">
        <f>HYPERLINK("https://www.dasschnelle.at/trinker-gerhard-sankt-andrä-im-lungau-st-andrä","Website")</f>
        <v>Website</v>
      </c>
      <c r="C4218" t="str">
        <f>HYPERLINK("http://www.tischlerei-trinker.at","Website")</f>
        <v>Website</v>
      </c>
      <c r="D4218" t="str">
        <f>HYPERLINK("http://www.google.com/maps/place/47.1498194,13.7921682","Location")</f>
        <v>Location</v>
      </c>
      <c r="E4218" t="s">
        <v>36261</v>
      </c>
      <c r="F4218" t="s">
        <v>36262</v>
      </c>
      <c r="G4218" t="s">
        <v>11553</v>
      </c>
      <c r="H4218" t="s">
        <v>36264</v>
      </c>
      <c r="I4218" t="s">
        <v>2239</v>
      </c>
      <c r="J4218" t="s">
        <v>22</v>
      </c>
      <c r="K4218" t="s">
        <v>36263</v>
      </c>
      <c r="L4218" t="s">
        <v>36267</v>
      </c>
      <c r="M4218" t="s">
        <v>25</v>
      </c>
      <c r="N4218" t="s">
        <v>36268</v>
      </c>
      <c r="O4218" t="s">
        <v>25</v>
      </c>
      <c r="P4218" t="s">
        <v>36269</v>
      </c>
      <c r="Q4218" t="s">
        <v>29</v>
      </c>
      <c r="R4218" t="s">
        <v>36265</v>
      </c>
      <c r="S4218" t="s">
        <v>36266</v>
      </c>
    </row>
    <row r="4219" spans="1:19" x14ac:dyDescent="0.25">
      <c r="A4219" s="1">
        <v>4217</v>
      </c>
      <c r="B4219" t="str">
        <f>HYPERLINK("https://www.dasschnelle.at/pausch-gerhard-mariapfarr-am-weiher","Website")</f>
        <v>Website</v>
      </c>
      <c r="C4219" t="str">
        <f>HYPERLINK("http://www.elektropausch.at","Website")</f>
        <v>Website</v>
      </c>
      <c r="D4219" t="str">
        <f>HYPERLINK("http://www.google.com/maps/place/47.15076,13.74434","Location")</f>
        <v>Location</v>
      </c>
      <c r="E4219" t="s">
        <v>36270</v>
      </c>
      <c r="F4219" t="s">
        <v>36271</v>
      </c>
      <c r="G4219" t="s">
        <v>11563</v>
      </c>
      <c r="H4219" t="s">
        <v>11564</v>
      </c>
      <c r="I4219" t="s">
        <v>2239</v>
      </c>
      <c r="J4219" t="s">
        <v>22</v>
      </c>
      <c r="K4219" t="s">
        <v>36272</v>
      </c>
      <c r="L4219" t="s">
        <v>36275</v>
      </c>
      <c r="M4219" t="s">
        <v>25</v>
      </c>
      <c r="N4219" t="s">
        <v>36276</v>
      </c>
      <c r="O4219" t="s">
        <v>36277</v>
      </c>
      <c r="P4219" t="s">
        <v>36278</v>
      </c>
      <c r="Q4219" t="s">
        <v>29</v>
      </c>
      <c r="R4219" t="s">
        <v>36273</v>
      </c>
      <c r="S4219" t="s">
        <v>36274</v>
      </c>
    </row>
    <row r="4220" spans="1:19" x14ac:dyDescent="0.25">
      <c r="A4220" s="1">
        <v>4218</v>
      </c>
      <c r="B4220" t="str">
        <f>HYPERLINK("https://www.dasschnelle.at/oberaigner-automobile-gesmbh-rohrbach-krankenhausstraße","Website")</f>
        <v>Website</v>
      </c>
      <c r="C4220" t="str">
        <f>HYPERLINK("http://www.oberaigner.at","Website")</f>
        <v>Website</v>
      </c>
      <c r="D4220" t="str">
        <f>HYPERLINK("http://www.google.com/maps/place/48.5663762,13.9895227","Location")</f>
        <v>Location</v>
      </c>
      <c r="E4220" t="s">
        <v>36279</v>
      </c>
      <c r="F4220" t="s">
        <v>36280</v>
      </c>
      <c r="G4220" t="s">
        <v>8561</v>
      </c>
      <c r="H4220" t="s">
        <v>8562</v>
      </c>
      <c r="I4220" t="s">
        <v>85</v>
      </c>
      <c r="J4220" t="s">
        <v>22</v>
      </c>
      <c r="K4220" t="s">
        <v>36281</v>
      </c>
      <c r="L4220" t="s">
        <v>36284</v>
      </c>
      <c r="M4220" t="s">
        <v>36285</v>
      </c>
      <c r="N4220" t="s">
        <v>36286</v>
      </c>
      <c r="O4220" t="s">
        <v>36287</v>
      </c>
      <c r="P4220" t="s">
        <v>36288</v>
      </c>
      <c r="Q4220" t="s">
        <v>29</v>
      </c>
      <c r="R4220" t="s">
        <v>36282</v>
      </c>
      <c r="S4220" t="s">
        <v>36283</v>
      </c>
    </row>
    <row r="4221" spans="1:19" x14ac:dyDescent="0.25">
      <c r="A4221" s="1">
        <v>4219</v>
      </c>
      <c r="B4221" t="str">
        <f>HYPERLINK("https://www.dasschnelle.at/elektroservice-karner-gmbh-pichl-stranach","Website")</f>
        <v>Website</v>
      </c>
      <c r="C4221" t="str">
        <f>HYPERLINK("http://www.elektroservice-karner.at","Website")</f>
        <v>Website</v>
      </c>
      <c r="D4221" t="str">
        <f>HYPERLINK("http://www.google.com/maps/place/47.14022,13.74281","Location")</f>
        <v>Location</v>
      </c>
      <c r="E4221" t="s">
        <v>36289</v>
      </c>
      <c r="F4221" t="s">
        <v>36290</v>
      </c>
      <c r="G4221" t="s">
        <v>11563</v>
      </c>
      <c r="H4221" t="s">
        <v>11644</v>
      </c>
      <c r="I4221" t="s">
        <v>2239</v>
      </c>
      <c r="J4221" t="s">
        <v>22</v>
      </c>
      <c r="K4221" t="s">
        <v>36291</v>
      </c>
      <c r="L4221" t="s">
        <v>36294</v>
      </c>
      <c r="M4221" t="s">
        <v>25</v>
      </c>
      <c r="N4221" t="s">
        <v>36295</v>
      </c>
      <c r="O4221" t="s">
        <v>25</v>
      </c>
      <c r="P4221" t="s">
        <v>36296</v>
      </c>
      <c r="Q4221" t="s">
        <v>29</v>
      </c>
      <c r="R4221" t="s">
        <v>36292</v>
      </c>
      <c r="S4221" t="s">
        <v>36293</v>
      </c>
    </row>
    <row r="4222" spans="1:19" x14ac:dyDescent="0.25">
      <c r="A4222" s="1">
        <v>4220</v>
      </c>
      <c r="B4222" t="str">
        <f>HYPERLINK("https://www.dasschnelle.at/heil-ekkehard-dr-scheibbs-gaminger-straße","Website")</f>
        <v>Website</v>
      </c>
      <c r="C4222" t="str">
        <f>HYPERLINK("https://www.dasschnelle.at/heil-ekkehard-dr-scheibbs-gaminger-stra%C3%9Fe","Website")</f>
        <v>Website</v>
      </c>
      <c r="D4222" t="str">
        <f>HYPERLINK("http://www.google.com/maps/place/48.00281,15.16665","Location")</f>
        <v>Location</v>
      </c>
      <c r="E4222" t="s">
        <v>36297</v>
      </c>
      <c r="F4222" t="s">
        <v>36298</v>
      </c>
      <c r="G4222" t="s">
        <v>9836</v>
      </c>
      <c r="H4222" t="s">
        <v>9837</v>
      </c>
      <c r="I4222" t="s">
        <v>177</v>
      </c>
      <c r="J4222" t="s">
        <v>22</v>
      </c>
      <c r="K4222" t="s">
        <v>36299</v>
      </c>
      <c r="L4222" t="s">
        <v>36302</v>
      </c>
      <c r="M4222" t="s">
        <v>25</v>
      </c>
      <c r="N4222" t="s">
        <v>25</v>
      </c>
      <c r="O4222" t="s">
        <v>25</v>
      </c>
      <c r="P4222" t="s">
        <v>36303</v>
      </c>
      <c r="Q4222" t="s">
        <v>29</v>
      </c>
      <c r="R4222" t="s">
        <v>36300</v>
      </c>
      <c r="S4222" t="s">
        <v>36301</v>
      </c>
    </row>
    <row r="4223" spans="1:19" x14ac:dyDescent="0.25">
      <c r="A4223" s="1">
        <v>4221</v>
      </c>
      <c r="B4223" t="str">
        <f>HYPERLINK("https://www.dasschnelle.at/wolfram-werner-schwechat-ehbrustergasse","Website")</f>
        <v>Website</v>
      </c>
      <c r="C4223" t="str">
        <f>HYPERLINK("https://www.dasschnelle.at/wolfram-werner-schwechat-ehbrustergasse","Website")</f>
        <v>Website</v>
      </c>
      <c r="D4223" t="str">
        <f>HYPERLINK("http://www.google.com/maps/place/48.13905,16.48046","Location")</f>
        <v>Location</v>
      </c>
      <c r="E4223" t="s">
        <v>36304</v>
      </c>
      <c r="F4223" t="s">
        <v>36305</v>
      </c>
      <c r="G4223" t="s">
        <v>9769</v>
      </c>
      <c r="H4223" t="s">
        <v>9770</v>
      </c>
      <c r="I4223" t="s">
        <v>177</v>
      </c>
      <c r="J4223" t="s">
        <v>22</v>
      </c>
      <c r="K4223" t="s">
        <v>36306</v>
      </c>
      <c r="L4223" t="s">
        <v>36309</v>
      </c>
      <c r="M4223" t="s">
        <v>25</v>
      </c>
      <c r="N4223" t="s">
        <v>36310</v>
      </c>
      <c r="O4223" t="s">
        <v>36311</v>
      </c>
      <c r="P4223" t="s">
        <v>36312</v>
      </c>
      <c r="Q4223" t="s">
        <v>29</v>
      </c>
      <c r="R4223" t="s">
        <v>36307</v>
      </c>
      <c r="S4223" t="s">
        <v>36308</v>
      </c>
    </row>
    <row r="4224" spans="1:19" x14ac:dyDescent="0.25">
      <c r="A4224" s="1">
        <v>4222</v>
      </c>
      <c r="B4224" t="str">
        <f>HYPERLINK("https://www.dasschnelle.at/schaffgotsch-gotthard-zwölfaxing-mühlgasse","Website")</f>
        <v>Website</v>
      </c>
      <c r="C4224" t="str">
        <f>HYPERLINK("https://www.dasschnelle.at/schaffgotsch-gotthard-zw%C3%B6lfaxing-m%C3%BChlgasse","Website")</f>
        <v>Website</v>
      </c>
      <c r="D4224" t="str">
        <f>HYPERLINK("http://www.google.com/maps/place/48.10872,16.45989","Location")</f>
        <v>Location</v>
      </c>
      <c r="E4224" t="s">
        <v>36313</v>
      </c>
      <c r="F4224" t="s">
        <v>36314</v>
      </c>
      <c r="G4224" t="s">
        <v>9738</v>
      </c>
      <c r="H4224" t="s">
        <v>9739</v>
      </c>
      <c r="I4224" t="s">
        <v>177</v>
      </c>
      <c r="J4224" t="s">
        <v>22</v>
      </c>
      <c r="K4224" t="s">
        <v>36315</v>
      </c>
      <c r="L4224" t="s">
        <v>36318</v>
      </c>
      <c r="M4224" t="s">
        <v>25</v>
      </c>
      <c r="N4224" t="s">
        <v>36319</v>
      </c>
      <c r="O4224" t="s">
        <v>25</v>
      </c>
      <c r="P4224" t="s">
        <v>36320</v>
      </c>
      <c r="Q4224" t="s">
        <v>29</v>
      </c>
      <c r="R4224" t="s">
        <v>36316</v>
      </c>
      <c r="S4224" t="s">
        <v>36317</v>
      </c>
    </row>
    <row r="4225" spans="1:19" x14ac:dyDescent="0.25">
      <c r="A4225" s="1">
        <v>4223</v>
      </c>
      <c r="B4225" t="str">
        <f>HYPERLINK("https://www.dasschnelle.at/la-fleur-himberg-hauptplatz","Website")</f>
        <v>Website</v>
      </c>
      <c r="C4225" t="str">
        <f>HYPERLINK("http://www.la-fleur.florist","Website")</f>
        <v>Website</v>
      </c>
      <c r="D4225" t="str">
        <f>HYPERLINK("http://www.google.com/maps/place/48.08197,16.43868","Location")</f>
        <v>Location</v>
      </c>
      <c r="E4225" t="s">
        <v>36321</v>
      </c>
      <c r="F4225" t="s">
        <v>36322</v>
      </c>
      <c r="G4225" t="s">
        <v>9710</v>
      </c>
      <c r="H4225" t="s">
        <v>9711</v>
      </c>
      <c r="I4225" t="s">
        <v>177</v>
      </c>
      <c r="J4225" t="s">
        <v>22</v>
      </c>
      <c r="K4225" t="s">
        <v>1204</v>
      </c>
      <c r="L4225" t="s">
        <v>36325</v>
      </c>
      <c r="M4225" t="s">
        <v>25</v>
      </c>
      <c r="N4225" t="s">
        <v>36326</v>
      </c>
      <c r="O4225" t="s">
        <v>25</v>
      </c>
      <c r="P4225" t="s">
        <v>36327</v>
      </c>
      <c r="Q4225" t="s">
        <v>29</v>
      </c>
      <c r="R4225" t="s">
        <v>36323</v>
      </c>
      <c r="S4225" t="s">
        <v>36324</v>
      </c>
    </row>
    <row r="4226" spans="1:19" x14ac:dyDescent="0.25">
      <c r="A4226" s="1">
        <v>4224</v>
      </c>
      <c r="B4226" t="str">
        <f>HYPERLINK("https://www.dasschnelle.at/rothner-andreas-mag-scheibbs-hauptstraße","Website")</f>
        <v>Website</v>
      </c>
      <c r="C4226" t="str">
        <f>HYPERLINK("http://www.rothner.net","Website")</f>
        <v>Website</v>
      </c>
      <c r="D4226" t="str">
        <f>HYPERLINK("http://www.google.com/maps/place/48.0065900,15.1665600","Location")</f>
        <v>Location</v>
      </c>
      <c r="E4226" t="s">
        <v>36328</v>
      </c>
      <c r="F4226" t="s">
        <v>36329</v>
      </c>
      <c r="G4226" t="s">
        <v>9836</v>
      </c>
      <c r="H4226" t="s">
        <v>9837</v>
      </c>
      <c r="I4226" t="s">
        <v>177</v>
      </c>
      <c r="J4226" t="s">
        <v>22</v>
      </c>
      <c r="K4226" t="s">
        <v>36330</v>
      </c>
      <c r="L4226" t="s">
        <v>36333</v>
      </c>
      <c r="M4226" t="s">
        <v>25</v>
      </c>
      <c r="N4226" t="s">
        <v>36334</v>
      </c>
      <c r="O4226" t="s">
        <v>25</v>
      </c>
      <c r="P4226" t="s">
        <v>36335</v>
      </c>
      <c r="Q4226" t="s">
        <v>29</v>
      </c>
      <c r="R4226" t="s">
        <v>36331</v>
      </c>
      <c r="S4226" t="s">
        <v>36332</v>
      </c>
    </row>
    <row r="4227" spans="1:19" x14ac:dyDescent="0.25">
      <c r="A4227" s="1">
        <v>4225</v>
      </c>
      <c r="B4227" t="str">
        <f>HYPERLINK("https://www.dasschnelle.at/zeppetzauer-daniela-ried-im-innkreis-hauptplatz","Website")</f>
        <v>Website</v>
      </c>
      <c r="C4227" t="str">
        <f>HYPERLINK("https://www.dasschnelle.at/zeppetzauer-daniela-ried-im-innkreis-hauptplatz","Website")</f>
        <v>Website</v>
      </c>
      <c r="D4227" t="str">
        <f>HYPERLINK("http://www.google.com/maps/place/48.20977,13.48825","Location")</f>
        <v>Location</v>
      </c>
      <c r="E4227" t="s">
        <v>36336</v>
      </c>
      <c r="F4227" t="s">
        <v>36337</v>
      </c>
      <c r="G4227" t="s">
        <v>6245</v>
      </c>
      <c r="H4227" t="s">
        <v>6267</v>
      </c>
      <c r="I4227" t="s">
        <v>85</v>
      </c>
      <c r="J4227" t="s">
        <v>22</v>
      </c>
      <c r="K4227" t="s">
        <v>36338</v>
      </c>
      <c r="L4227" t="s">
        <v>36341</v>
      </c>
      <c r="M4227" t="s">
        <v>25</v>
      </c>
      <c r="N4227" t="s">
        <v>36342</v>
      </c>
      <c r="O4227" t="s">
        <v>25</v>
      </c>
      <c r="P4227" t="s">
        <v>36343</v>
      </c>
      <c r="Q4227" t="s">
        <v>29</v>
      </c>
      <c r="R4227" t="s">
        <v>36339</v>
      </c>
      <c r="S4227" t="s">
        <v>36340</v>
      </c>
    </row>
    <row r="4228" spans="1:19" x14ac:dyDescent="0.25">
      <c r="A4228" s="1">
        <v>4226</v>
      </c>
      <c r="B4228" t="str">
        <f>HYPERLINK("https://www.dasschnelle.at/hohengassner-johann-dipl-ing-fh-mariapfarr-pfarrstraße","Website")</f>
        <v>Website</v>
      </c>
      <c r="C4228" t="str">
        <f>HYPERLINK("http://www.hohengassner.jimdo.com","Website")</f>
        <v>Website</v>
      </c>
      <c r="D4228" t="str">
        <f>HYPERLINK("http://www.google.com/maps/place/47.14939,13.7474","Location")</f>
        <v>Location</v>
      </c>
      <c r="E4228" t="s">
        <v>36344</v>
      </c>
      <c r="F4228" t="s">
        <v>36345</v>
      </c>
      <c r="G4228" t="s">
        <v>11563</v>
      </c>
      <c r="H4228" t="s">
        <v>11564</v>
      </c>
      <c r="I4228" t="s">
        <v>2239</v>
      </c>
      <c r="J4228" t="s">
        <v>22</v>
      </c>
      <c r="K4228" t="s">
        <v>36346</v>
      </c>
      <c r="L4228" t="s">
        <v>36349</v>
      </c>
      <c r="M4228" t="s">
        <v>25</v>
      </c>
      <c r="N4228" t="s">
        <v>36350</v>
      </c>
      <c r="O4228" t="s">
        <v>25</v>
      </c>
      <c r="P4228" t="s">
        <v>36351</v>
      </c>
      <c r="Q4228" t="s">
        <v>29</v>
      </c>
      <c r="R4228" t="s">
        <v>36347</v>
      </c>
      <c r="S4228" t="s">
        <v>36348</v>
      </c>
    </row>
    <row r="4229" spans="1:19" x14ac:dyDescent="0.25">
      <c r="A4229" s="1">
        <v>4227</v>
      </c>
      <c r="B4229" t="str">
        <f>HYPERLINK("https://www.dasschnelle.at/leitner-waltraud-mauterndorf-markt","Website")</f>
        <v>Website</v>
      </c>
      <c r="C4229" t="str">
        <f>HYPERLINK("http://www.kosmetik-mauterndorf.at","Website")</f>
        <v>Website</v>
      </c>
      <c r="D4229" t="str">
        <f>HYPERLINK("http://www.google.com/maps/place/47.13359,13.68192","Location")</f>
        <v>Location</v>
      </c>
      <c r="E4229" t="s">
        <v>36352</v>
      </c>
      <c r="F4229" t="s">
        <v>36353</v>
      </c>
      <c r="G4229" t="s">
        <v>11544</v>
      </c>
      <c r="H4229" t="s">
        <v>11545</v>
      </c>
      <c r="I4229" t="s">
        <v>2239</v>
      </c>
      <c r="J4229" t="s">
        <v>22</v>
      </c>
      <c r="K4229" t="s">
        <v>36354</v>
      </c>
      <c r="L4229" t="s">
        <v>36357</v>
      </c>
      <c r="M4229" t="s">
        <v>25</v>
      </c>
      <c r="N4229" t="s">
        <v>36358</v>
      </c>
      <c r="O4229" t="s">
        <v>25</v>
      </c>
      <c r="P4229" t="s">
        <v>36359</v>
      </c>
      <c r="Q4229" t="s">
        <v>29</v>
      </c>
      <c r="R4229" t="s">
        <v>36355</v>
      </c>
      <c r="S4229" t="s">
        <v>36356</v>
      </c>
    </row>
    <row r="4230" spans="1:19" x14ac:dyDescent="0.25">
      <c r="A4230" s="1">
        <v>4228</v>
      </c>
      <c r="B4230" t="str">
        <f>HYPERLINK("https://www.dasschnelle.at/kohlweg-gerold-vorchdorf-josef-haas-straße","Website")</f>
        <v>Website</v>
      </c>
      <c r="C4230" t="str">
        <f>HYPERLINK("http://www.edde.at","Website")</f>
        <v>Website</v>
      </c>
      <c r="D4230" t="str">
        <f>HYPERLINK("http://www.google.com/maps/place/48.0132252,13.9210276","Location")</f>
        <v>Location</v>
      </c>
      <c r="E4230" t="s">
        <v>36360</v>
      </c>
      <c r="F4230" t="s">
        <v>36361</v>
      </c>
      <c r="G4230" t="s">
        <v>6960</v>
      </c>
      <c r="H4230" t="s">
        <v>6961</v>
      </c>
      <c r="I4230" t="s">
        <v>85</v>
      </c>
      <c r="J4230" t="s">
        <v>22</v>
      </c>
      <c r="K4230" t="s">
        <v>36362</v>
      </c>
      <c r="L4230" t="s">
        <v>36365</v>
      </c>
      <c r="M4230" t="s">
        <v>25</v>
      </c>
      <c r="N4230" t="s">
        <v>36366</v>
      </c>
      <c r="O4230" t="s">
        <v>25</v>
      </c>
      <c r="P4230" t="s">
        <v>36367</v>
      </c>
      <c r="Q4230" t="s">
        <v>29</v>
      </c>
      <c r="R4230" t="s">
        <v>36363</v>
      </c>
      <c r="S4230" t="s">
        <v>36364</v>
      </c>
    </row>
    <row r="4231" spans="1:19" x14ac:dyDescent="0.25">
      <c r="A4231" s="1">
        <v>4229</v>
      </c>
      <c r="B4231" t="str">
        <f>HYPERLINK("https://www.dasschnelle.at/vbv-versicherungsbüro-vorchdorf-og-vorchdorf-bahnhofstraße","Website")</f>
        <v>Website</v>
      </c>
      <c r="C4231" t="str">
        <f>HYPERLINK("https://www.dasschnelle.at/vbv-versicherungsb%C3%BCro-vorchdorf-og-vorchdorf-bahnhofstra%C3%9Fe","Website")</f>
        <v>Website</v>
      </c>
      <c r="D4231" t="str">
        <f>HYPERLINK("http://www.google.com/maps/place/48.00263,13.92178","Location")</f>
        <v>Location</v>
      </c>
      <c r="E4231" t="s">
        <v>36368</v>
      </c>
      <c r="F4231" t="s">
        <v>36369</v>
      </c>
      <c r="G4231" t="s">
        <v>6960</v>
      </c>
      <c r="H4231" t="s">
        <v>6961</v>
      </c>
      <c r="I4231" t="s">
        <v>85</v>
      </c>
      <c r="J4231" t="s">
        <v>22</v>
      </c>
      <c r="K4231" t="s">
        <v>2279</v>
      </c>
      <c r="L4231" t="s">
        <v>36372</v>
      </c>
      <c r="M4231" t="s">
        <v>25</v>
      </c>
      <c r="N4231" t="s">
        <v>36373</v>
      </c>
      <c r="O4231" t="s">
        <v>25</v>
      </c>
      <c r="P4231" t="s">
        <v>36374</v>
      </c>
      <c r="Q4231" t="s">
        <v>29</v>
      </c>
      <c r="R4231" t="s">
        <v>36370</v>
      </c>
      <c r="S4231" t="s">
        <v>36371</v>
      </c>
    </row>
    <row r="4232" spans="1:19" x14ac:dyDescent="0.25">
      <c r="A4232" s="1">
        <v>4230</v>
      </c>
      <c r="B4232" t="str">
        <f>HYPERLINK("https://www.dasschnelle.at/palman-oliver-vorchdorf-schart","Website")</f>
        <v>Website</v>
      </c>
      <c r="C4232" t="str">
        <f>HYPERLINK("https://www.dasschnelle.at/palman-oliver-vorchdorf-schart","Website")</f>
        <v>Website</v>
      </c>
      <c r="D4232" t="str">
        <f>HYPERLINK("http://www.google.com/maps/place/48.0196707,13.9598953","Location")</f>
        <v>Location</v>
      </c>
      <c r="E4232" t="s">
        <v>36375</v>
      </c>
      <c r="F4232" t="s">
        <v>36376</v>
      </c>
      <c r="G4232" t="s">
        <v>6960</v>
      </c>
      <c r="H4232" t="s">
        <v>6961</v>
      </c>
      <c r="I4232" t="s">
        <v>85</v>
      </c>
      <c r="J4232" t="s">
        <v>22</v>
      </c>
      <c r="K4232" t="s">
        <v>36377</v>
      </c>
      <c r="L4232" t="s">
        <v>36380</v>
      </c>
      <c r="M4232" t="s">
        <v>25</v>
      </c>
      <c r="N4232" t="s">
        <v>36381</v>
      </c>
      <c r="O4232" t="s">
        <v>25</v>
      </c>
      <c r="P4232" t="s">
        <v>36382</v>
      </c>
      <c r="Q4232" t="s">
        <v>29</v>
      </c>
      <c r="R4232" t="s">
        <v>36378</v>
      </c>
      <c r="S4232" t="s">
        <v>36379</v>
      </c>
    </row>
    <row r="4233" spans="1:19" x14ac:dyDescent="0.25">
      <c r="A4233" s="1">
        <v>4231</v>
      </c>
      <c r="B4233" t="str">
        <f>HYPERLINK("https://www.dasschnelle.at/scherleithner-josef-schart-schart","Website")</f>
        <v>Website</v>
      </c>
      <c r="C4233" t="str">
        <f>HYPERLINK("http://www.vogelhubergut.at","Website")</f>
        <v>Website</v>
      </c>
      <c r="D4233" t="str">
        <f>HYPERLINK("http://www.google.com/maps/place/48.0144121,13.9520145","Location")</f>
        <v>Location</v>
      </c>
      <c r="E4233" t="s">
        <v>36383</v>
      </c>
      <c r="F4233" t="s">
        <v>36384</v>
      </c>
      <c r="G4233" t="s">
        <v>6960</v>
      </c>
      <c r="H4233" t="s">
        <v>36386</v>
      </c>
      <c r="I4233" t="s">
        <v>25</v>
      </c>
      <c r="J4233" t="s">
        <v>22</v>
      </c>
      <c r="K4233" t="s">
        <v>36385</v>
      </c>
      <c r="L4233" t="s">
        <v>36389</v>
      </c>
      <c r="M4233" t="s">
        <v>25</v>
      </c>
      <c r="N4233" t="s">
        <v>36390</v>
      </c>
      <c r="O4233" t="s">
        <v>25</v>
      </c>
      <c r="P4233" t="s">
        <v>36391</v>
      </c>
      <c r="Q4233" t="s">
        <v>29</v>
      </c>
      <c r="R4233" t="s">
        <v>36387</v>
      </c>
      <c r="S4233" t="s">
        <v>36388</v>
      </c>
    </row>
    <row r="4234" spans="1:19" x14ac:dyDescent="0.25">
      <c r="A4234" s="1">
        <v>4232</v>
      </c>
      <c r="B4234" t="str">
        <f>HYPERLINK("https://www.dasschnelle.at/bertl-margarete-liezen-fronleichnamsweg","Website")</f>
        <v>Website</v>
      </c>
      <c r="C4234" t="str">
        <f>HYPERLINK("http://www.zahnregulierung-liezen.at","Website")</f>
        <v>Website</v>
      </c>
      <c r="D4234" t="str">
        <f>HYPERLINK("http://www.google.com/maps/place/47.56583,14.24032","Location")</f>
        <v>Location</v>
      </c>
      <c r="E4234" t="s">
        <v>36392</v>
      </c>
      <c r="F4234" t="s">
        <v>36393</v>
      </c>
      <c r="G4234" t="s">
        <v>1095</v>
      </c>
      <c r="H4234" t="s">
        <v>1096</v>
      </c>
      <c r="I4234" t="s">
        <v>451</v>
      </c>
      <c r="J4234" t="s">
        <v>22</v>
      </c>
      <c r="K4234" t="s">
        <v>36394</v>
      </c>
      <c r="L4234" t="s">
        <v>36397</v>
      </c>
      <c r="M4234" t="s">
        <v>25</v>
      </c>
      <c r="N4234" t="s">
        <v>36398</v>
      </c>
      <c r="O4234" t="s">
        <v>25</v>
      </c>
      <c r="P4234" t="s">
        <v>36399</v>
      </c>
      <c r="Q4234" t="s">
        <v>29</v>
      </c>
      <c r="R4234" t="s">
        <v>36395</v>
      </c>
      <c r="S4234" t="s">
        <v>36396</v>
      </c>
    </row>
    <row r="4235" spans="1:19" x14ac:dyDescent="0.25">
      <c r="A4235" s="1">
        <v>4233</v>
      </c>
      <c r="B4235" t="str">
        <f>HYPERLINK("https://www.dasschnelle.at/linder-und-gruber-schladming-martin-luther-straße","Website")</f>
        <v>Website</v>
      </c>
      <c r="C4235" t="str">
        <f>HYPERLINK("http://www.linder-gruber.at","Website")</f>
        <v>Website</v>
      </c>
      <c r="D4235" t="str">
        <f>HYPERLINK("http://www.google.com/maps/place/47.3907949,13.6884239","Location")</f>
        <v>Location</v>
      </c>
      <c r="E4235" t="s">
        <v>36400</v>
      </c>
      <c r="F4235" t="s">
        <v>36401</v>
      </c>
      <c r="G4235" t="s">
        <v>1269</v>
      </c>
      <c r="H4235" t="s">
        <v>1270</v>
      </c>
      <c r="I4235" t="s">
        <v>451</v>
      </c>
      <c r="J4235" t="s">
        <v>22</v>
      </c>
      <c r="K4235" t="s">
        <v>36402</v>
      </c>
      <c r="L4235" t="s">
        <v>36405</v>
      </c>
      <c r="M4235" t="s">
        <v>25</v>
      </c>
      <c r="N4235" t="s">
        <v>36406</v>
      </c>
      <c r="O4235" t="s">
        <v>25</v>
      </c>
      <c r="P4235" t="s">
        <v>697</v>
      </c>
      <c r="Q4235" t="s">
        <v>29</v>
      </c>
      <c r="R4235" t="s">
        <v>36403</v>
      </c>
      <c r="S4235" t="s">
        <v>36404</v>
      </c>
    </row>
    <row r="4236" spans="1:19" x14ac:dyDescent="0.25">
      <c r="A4236" s="1">
        <v>4234</v>
      </c>
      <c r="B4236" t="str">
        <f>HYPERLINK("https://www.dasschnelle.at/rehart-afsaneh-dr-wieselburg-handel-mazzetti-weg","Website")</f>
        <v>Website</v>
      </c>
      <c r="C4236" t="str">
        <f>HYPERLINK("https://www.dasschnelle.at/rehart-afsaneh-dr-wieselburg-handel-mazzetti-weg","Website")</f>
        <v>Website</v>
      </c>
      <c r="D4236" t="str">
        <f>HYPERLINK("http://www.google.com/maps/place/48.13249,15.13727","Location")</f>
        <v>Location</v>
      </c>
      <c r="E4236" t="s">
        <v>36407</v>
      </c>
      <c r="F4236" t="s">
        <v>36408</v>
      </c>
      <c r="G4236" t="s">
        <v>9881</v>
      </c>
      <c r="H4236" t="s">
        <v>10007</v>
      </c>
      <c r="I4236" t="s">
        <v>177</v>
      </c>
      <c r="J4236" t="s">
        <v>22</v>
      </c>
      <c r="K4236" t="s">
        <v>36409</v>
      </c>
      <c r="L4236" t="s">
        <v>36412</v>
      </c>
      <c r="M4236" t="s">
        <v>36413</v>
      </c>
      <c r="N4236" t="s">
        <v>36414</v>
      </c>
      <c r="O4236" t="s">
        <v>25</v>
      </c>
      <c r="P4236" t="s">
        <v>36415</v>
      </c>
      <c r="Q4236" t="s">
        <v>29</v>
      </c>
      <c r="R4236" t="s">
        <v>36410</v>
      </c>
      <c r="S4236" t="s">
        <v>36411</v>
      </c>
    </row>
    <row r="4237" spans="1:19" x14ac:dyDescent="0.25">
      <c r="A4237" s="1">
        <v>4235</v>
      </c>
      <c r="B4237" t="str">
        <f>HYPERLINK("https://www.dasschnelle.at/hoidn-ingeborg-dachdecker-u-warenhandelsgesmbh-leopoldsdorf-hauptstraße","Website")</f>
        <v>Website</v>
      </c>
      <c r="C4237" t="str">
        <f>HYPERLINK("http://www.hoidn.at","Website")</f>
        <v>Website</v>
      </c>
      <c r="D4237" t="str">
        <f>HYPERLINK("http://www.google.com/maps/place/48.10827,16.39543","Location")</f>
        <v>Location</v>
      </c>
      <c r="E4237" t="s">
        <v>36416</v>
      </c>
      <c r="F4237" t="s">
        <v>36417</v>
      </c>
      <c r="G4237" t="s">
        <v>14824</v>
      </c>
      <c r="H4237" t="s">
        <v>14825</v>
      </c>
      <c r="I4237" t="s">
        <v>177</v>
      </c>
      <c r="J4237" t="s">
        <v>22</v>
      </c>
      <c r="K4237" t="s">
        <v>34644</v>
      </c>
      <c r="L4237" t="s">
        <v>36420</v>
      </c>
      <c r="M4237" t="s">
        <v>36421</v>
      </c>
      <c r="N4237" t="s">
        <v>36422</v>
      </c>
      <c r="O4237" t="s">
        <v>25</v>
      </c>
      <c r="P4237" t="s">
        <v>36423</v>
      </c>
      <c r="Q4237" t="s">
        <v>29</v>
      </c>
      <c r="R4237" t="s">
        <v>36418</v>
      </c>
      <c r="S4237" t="s">
        <v>36419</v>
      </c>
    </row>
    <row r="4238" spans="1:19" x14ac:dyDescent="0.25">
      <c r="A4238" s="1">
        <v>4236</v>
      </c>
      <c r="B4238" t="str">
        <f>HYPERLINK("https://www.dasschnelle.at/alte-stadtapotheke-ried-im-innkreis-hauptplatz","Website")</f>
        <v>Website</v>
      </c>
      <c r="C4238" t="str">
        <f>HYPERLINK("http://www.alte-stadtapotheke.at","Website")</f>
        <v>Website</v>
      </c>
      <c r="D4238" t="str">
        <f>HYPERLINK("http://www.google.com/maps/place/48.2097,13.48731","Location")</f>
        <v>Location</v>
      </c>
      <c r="E4238" t="s">
        <v>36424</v>
      </c>
      <c r="F4238" t="s">
        <v>36425</v>
      </c>
      <c r="G4238" t="s">
        <v>6245</v>
      </c>
      <c r="H4238" t="s">
        <v>6267</v>
      </c>
      <c r="I4238" t="s">
        <v>85</v>
      </c>
      <c r="J4238" t="s">
        <v>22</v>
      </c>
      <c r="K4238" t="s">
        <v>1594</v>
      </c>
      <c r="L4238" t="s">
        <v>36428</v>
      </c>
      <c r="M4238" t="s">
        <v>25</v>
      </c>
      <c r="N4238" t="s">
        <v>36429</v>
      </c>
      <c r="O4238" t="s">
        <v>36430</v>
      </c>
      <c r="P4238" t="s">
        <v>36431</v>
      </c>
      <c r="Q4238" t="s">
        <v>29</v>
      </c>
      <c r="R4238" t="s">
        <v>36426</v>
      </c>
      <c r="S4238" t="s">
        <v>36427</v>
      </c>
    </row>
    <row r="4239" spans="1:19" x14ac:dyDescent="0.25">
      <c r="A4239" s="1">
        <v>4237</v>
      </c>
      <c r="B4239" t="str">
        <f>HYPERLINK("https://www.dasschnelle.at/dullnigg-hubert-murau-auen","Website")</f>
        <v>Website</v>
      </c>
      <c r="C4239" t="str">
        <f>HYPERLINK("https://www.dasschnelle.at/dullnigg-hubert-murau-auen","Website")</f>
        <v>Website</v>
      </c>
      <c r="D4239" t="str">
        <f>HYPERLINK("http://www.google.com/maps/place/47.0716,14.18036","Location")</f>
        <v>Location</v>
      </c>
      <c r="E4239" t="s">
        <v>36432</v>
      </c>
      <c r="F4239" t="s">
        <v>36433</v>
      </c>
      <c r="G4239" t="s">
        <v>12112</v>
      </c>
      <c r="H4239" t="s">
        <v>12113</v>
      </c>
      <c r="I4239" t="s">
        <v>451</v>
      </c>
      <c r="J4239" t="s">
        <v>22</v>
      </c>
      <c r="K4239" t="s">
        <v>36434</v>
      </c>
      <c r="L4239" t="s">
        <v>36437</v>
      </c>
      <c r="M4239" t="s">
        <v>25</v>
      </c>
      <c r="N4239" t="s">
        <v>36438</v>
      </c>
      <c r="O4239" t="s">
        <v>25</v>
      </c>
      <c r="P4239" t="s">
        <v>36439</v>
      </c>
      <c r="Q4239" t="s">
        <v>29</v>
      </c>
      <c r="R4239" t="s">
        <v>36435</v>
      </c>
      <c r="S4239" t="s">
        <v>36436</v>
      </c>
    </row>
    <row r="4240" spans="1:19" x14ac:dyDescent="0.25">
      <c r="A4240" s="1">
        <v>4238</v>
      </c>
      <c r="B4240" t="str">
        <f>HYPERLINK("https://www.dasschnelle.at/bischof-stephan-st-peter-sankt-peter","Website")</f>
        <v>Website</v>
      </c>
      <c r="C4240" t="str">
        <f>HYPERLINK("http://www.bischof-dach.at","Website")</f>
        <v>Website</v>
      </c>
      <c r="D4240" t="str">
        <f>HYPERLINK("http://www.google.com/maps/place/47.1887871,14.1858623","Location")</f>
        <v>Location</v>
      </c>
      <c r="E4240" t="s">
        <v>36440</v>
      </c>
      <c r="F4240" t="s">
        <v>36441</v>
      </c>
      <c r="G4240" t="s">
        <v>12277</v>
      </c>
      <c r="H4240" t="s">
        <v>36443</v>
      </c>
      <c r="I4240" t="s">
        <v>451</v>
      </c>
      <c r="J4240" t="s">
        <v>22</v>
      </c>
      <c r="K4240" t="s">
        <v>36442</v>
      </c>
      <c r="L4240" t="s">
        <v>36446</v>
      </c>
      <c r="M4240" t="s">
        <v>36447</v>
      </c>
      <c r="N4240" t="s">
        <v>36448</v>
      </c>
      <c r="O4240" t="s">
        <v>25</v>
      </c>
      <c r="P4240" t="s">
        <v>36449</v>
      </c>
      <c r="Q4240" t="s">
        <v>29</v>
      </c>
      <c r="R4240" t="s">
        <v>36444</v>
      </c>
      <c r="S4240" t="s">
        <v>36445</v>
      </c>
    </row>
    <row r="4241" spans="1:19" x14ac:dyDescent="0.25">
      <c r="A4241" s="1">
        <v>4239</v>
      </c>
      <c r="B4241" t="str">
        <f>HYPERLINK("https://www.dasschnelle.at/feiel-karl-gesmbh-murau-märzenkeller","Website")</f>
        <v>Website</v>
      </c>
      <c r="C4241" t="str">
        <f>HYPERLINK("http://www.feiel-gmbh.at","Website")</f>
        <v>Website</v>
      </c>
      <c r="D4241" t="str">
        <f>HYPERLINK("http://www.google.com/maps/place/47.11321,14.16463","Location")</f>
        <v>Location</v>
      </c>
      <c r="E4241" t="s">
        <v>36450</v>
      </c>
      <c r="F4241" t="s">
        <v>36451</v>
      </c>
      <c r="G4241" t="s">
        <v>12112</v>
      </c>
      <c r="H4241" t="s">
        <v>12113</v>
      </c>
      <c r="I4241" t="s">
        <v>451</v>
      </c>
      <c r="J4241" t="s">
        <v>22</v>
      </c>
      <c r="K4241" t="s">
        <v>36452</v>
      </c>
      <c r="L4241" t="s">
        <v>36455</v>
      </c>
      <c r="M4241" t="s">
        <v>25</v>
      </c>
      <c r="N4241" t="s">
        <v>36456</v>
      </c>
      <c r="O4241" t="s">
        <v>36457</v>
      </c>
      <c r="P4241" t="s">
        <v>36458</v>
      </c>
      <c r="Q4241" t="s">
        <v>29</v>
      </c>
      <c r="R4241" t="s">
        <v>36453</v>
      </c>
      <c r="S4241" t="s">
        <v>36454</v>
      </c>
    </row>
    <row r="4242" spans="1:19" x14ac:dyDescent="0.25">
      <c r="A4242" s="1">
        <v>4240</v>
      </c>
      <c r="B4242" t="str">
        <f>HYPERLINK("https://www.dasschnelle.at/taferner-erich-katsch-an-der-mur-katsch-an-der-mur","Website")</f>
        <v>Website</v>
      </c>
      <c r="C4242" t="str">
        <f>HYPERLINK("https://www.dasschnelle.at/taferner-erich-katsch-an-der-mur-katsch-an-der-mur","Website")</f>
        <v>Website</v>
      </c>
      <c r="D4242" t="str">
        <f>HYPERLINK("http://www.google.com/maps/place/47.1430057,14.2856992","Location")</f>
        <v>Location</v>
      </c>
      <c r="E4242" t="s">
        <v>36459</v>
      </c>
      <c r="F4242" t="s">
        <v>36460</v>
      </c>
      <c r="G4242" t="s">
        <v>36462</v>
      </c>
      <c r="H4242" t="s">
        <v>36463</v>
      </c>
      <c r="I4242" t="s">
        <v>451</v>
      </c>
      <c r="J4242" t="s">
        <v>22</v>
      </c>
      <c r="K4242" t="s">
        <v>36461</v>
      </c>
      <c r="L4242" t="s">
        <v>36466</v>
      </c>
      <c r="M4242" t="s">
        <v>25</v>
      </c>
      <c r="N4242" t="s">
        <v>36467</v>
      </c>
      <c r="O4242" t="s">
        <v>25</v>
      </c>
      <c r="P4242" t="s">
        <v>36468</v>
      </c>
      <c r="Q4242" t="s">
        <v>29</v>
      </c>
      <c r="R4242" t="s">
        <v>36464</v>
      </c>
      <c r="S4242" t="s">
        <v>36465</v>
      </c>
    </row>
    <row r="4243" spans="1:19" x14ac:dyDescent="0.25">
      <c r="A4243" s="1">
        <v>4241</v>
      </c>
      <c r="B4243" t="str">
        <f>HYPERLINK("https://www.dasschnelle.at/wamprechtshammer-metalltechnik-gmbh-utzenaich-gewerbegebiet","Website")</f>
        <v>Website</v>
      </c>
      <c r="C4243" t="str">
        <f>HYPERLINK("http://www.wamprechtshammer.at","Website")</f>
        <v>Website</v>
      </c>
      <c r="D4243" t="str">
        <f>HYPERLINK("http://www.google.com/maps/place/48.27834,13.45795","Location")</f>
        <v>Location</v>
      </c>
      <c r="E4243" t="s">
        <v>36469</v>
      </c>
      <c r="F4243" t="s">
        <v>36470</v>
      </c>
      <c r="G4243" t="s">
        <v>6296</v>
      </c>
      <c r="H4243" t="s">
        <v>6297</v>
      </c>
      <c r="I4243" t="s">
        <v>85</v>
      </c>
      <c r="J4243" t="s">
        <v>22</v>
      </c>
      <c r="K4243" t="s">
        <v>16152</v>
      </c>
      <c r="L4243" t="s">
        <v>36473</v>
      </c>
      <c r="M4243" t="s">
        <v>25</v>
      </c>
      <c r="N4243" t="s">
        <v>36474</v>
      </c>
      <c r="O4243" t="s">
        <v>25</v>
      </c>
      <c r="P4243" t="s">
        <v>36475</v>
      </c>
      <c r="Q4243" t="s">
        <v>29</v>
      </c>
      <c r="R4243" t="s">
        <v>36471</v>
      </c>
      <c r="S4243" t="s">
        <v>36472</v>
      </c>
    </row>
    <row r="4244" spans="1:19" x14ac:dyDescent="0.25">
      <c r="A4244" s="1">
        <v>4242</v>
      </c>
      <c r="B4244" t="str">
        <f>HYPERLINK("https://www.dasschnelle.at/baumgartner-franz-ing-schwechat-wiener-straße","Website")</f>
        <v>Website</v>
      </c>
      <c r="C4244" t="str">
        <f>HYPERLINK("http://www.abs.co.at","Website")</f>
        <v>Website</v>
      </c>
      <c r="D4244" t="str">
        <f>HYPERLINK("http://www.google.com/maps/place/48.14393,16.47031","Location")</f>
        <v>Location</v>
      </c>
      <c r="E4244" t="s">
        <v>36476</v>
      </c>
      <c r="F4244" t="s">
        <v>36477</v>
      </c>
      <c r="G4244" t="s">
        <v>9769</v>
      </c>
      <c r="H4244" t="s">
        <v>9770</v>
      </c>
      <c r="I4244" t="s">
        <v>177</v>
      </c>
      <c r="J4244" t="s">
        <v>22</v>
      </c>
      <c r="K4244" t="s">
        <v>36478</v>
      </c>
      <c r="L4244" t="s">
        <v>36481</v>
      </c>
      <c r="M4244" t="s">
        <v>25</v>
      </c>
      <c r="N4244" t="s">
        <v>36482</v>
      </c>
      <c r="O4244" t="s">
        <v>25</v>
      </c>
      <c r="P4244" t="s">
        <v>36483</v>
      </c>
      <c r="Q4244" t="s">
        <v>29</v>
      </c>
      <c r="R4244" t="s">
        <v>36479</v>
      </c>
      <c r="S4244" t="s">
        <v>36480</v>
      </c>
    </row>
    <row r="4245" spans="1:19" x14ac:dyDescent="0.25">
      <c r="A4245" s="1">
        <v>4243</v>
      </c>
      <c r="B4245" t="str">
        <f>HYPERLINK("https://www.dasschnelle.at/walzer-bernhard-neumarkt-wiener-straße","Website")</f>
        <v>Website</v>
      </c>
      <c r="C4245" t="str">
        <f>HYPERLINK("http://www.walzer.cc","Website")</f>
        <v>Website</v>
      </c>
      <c r="D4245" t="str">
        <f>HYPERLINK("http://www.google.com/maps/place/47.0803709,14.4249739","Location")</f>
        <v>Location</v>
      </c>
      <c r="E4245" t="s">
        <v>36484</v>
      </c>
      <c r="F4245" t="s">
        <v>36485</v>
      </c>
      <c r="G4245" t="s">
        <v>12200</v>
      </c>
      <c r="H4245" t="s">
        <v>12227</v>
      </c>
      <c r="I4245" t="s">
        <v>451</v>
      </c>
      <c r="J4245" t="s">
        <v>22</v>
      </c>
      <c r="K4245" t="s">
        <v>14264</v>
      </c>
      <c r="L4245" t="s">
        <v>36488</v>
      </c>
      <c r="M4245" t="s">
        <v>25</v>
      </c>
      <c r="N4245" t="s">
        <v>36489</v>
      </c>
      <c r="O4245" t="s">
        <v>36490</v>
      </c>
      <c r="P4245" t="s">
        <v>36491</v>
      </c>
      <c r="Q4245" t="s">
        <v>29</v>
      </c>
      <c r="R4245" t="s">
        <v>36486</v>
      </c>
      <c r="S4245" t="s">
        <v>36487</v>
      </c>
    </row>
    <row r="4246" spans="1:19" x14ac:dyDescent="0.25">
      <c r="A4246" s="1">
        <v>4244</v>
      </c>
      <c r="B4246" t="str">
        <f>HYPERLINK("https://www.dasschnelle.at/wallgram-gerhard-sankt-georgen-bei-neumarkt-sankt-georgen-bei-neumarkt","Website")</f>
        <v>Website</v>
      </c>
      <c r="C4246" t="str">
        <f>HYPERLINK("https://www.dasschnelle.at/wallgram-gerhard-sankt-georgen-bei-neumarkt-sankt-georgen-bei-neumarkt","Website")</f>
        <v>Website</v>
      </c>
      <c r="D4246" t="str">
        <f>HYPERLINK("http://www.google.com/maps/place/47.0577748,14.4342222","Location")</f>
        <v>Location</v>
      </c>
      <c r="E4246" t="s">
        <v>36492</v>
      </c>
      <c r="F4246" t="s">
        <v>36493</v>
      </c>
      <c r="G4246" t="s">
        <v>12200</v>
      </c>
      <c r="H4246" t="s">
        <v>35548</v>
      </c>
      <c r="I4246" t="s">
        <v>451</v>
      </c>
      <c r="J4246" t="s">
        <v>22</v>
      </c>
      <c r="K4246" t="s">
        <v>36494</v>
      </c>
      <c r="L4246" t="s">
        <v>36497</v>
      </c>
      <c r="M4246" t="s">
        <v>36498</v>
      </c>
      <c r="N4246" t="s">
        <v>36499</v>
      </c>
      <c r="O4246" t="s">
        <v>25</v>
      </c>
      <c r="P4246" t="s">
        <v>36500</v>
      </c>
      <c r="Q4246" t="s">
        <v>29</v>
      </c>
      <c r="R4246" t="s">
        <v>36495</v>
      </c>
      <c r="S4246" t="s">
        <v>36496</v>
      </c>
    </row>
    <row r="4247" spans="1:19" x14ac:dyDescent="0.25">
      <c r="A4247" s="1">
        <v>4245</v>
      </c>
      <c r="B4247" t="str">
        <f>HYPERLINK("https://www.dasschnelle.at/steinberger-gerhard-neumarkt-freimoosstraße","Website")</f>
        <v>Website</v>
      </c>
      <c r="C4247" t="str">
        <f>HYPERLINK("http://www.bestattung-steinberger.at","Website")</f>
        <v>Website</v>
      </c>
      <c r="D4247" t="str">
        <f>HYPERLINK("http://www.google.com/maps/place/47.0694022,14.4316407","Location")</f>
        <v>Location</v>
      </c>
      <c r="E4247" t="s">
        <v>36501</v>
      </c>
      <c r="F4247" t="s">
        <v>36502</v>
      </c>
      <c r="G4247" t="s">
        <v>12200</v>
      </c>
      <c r="H4247" t="s">
        <v>12227</v>
      </c>
      <c r="I4247" t="s">
        <v>451</v>
      </c>
      <c r="J4247" t="s">
        <v>22</v>
      </c>
      <c r="K4247" t="s">
        <v>36503</v>
      </c>
      <c r="L4247" t="s">
        <v>36506</v>
      </c>
      <c r="M4247" t="s">
        <v>25</v>
      </c>
      <c r="N4247" t="s">
        <v>36507</v>
      </c>
      <c r="O4247" t="s">
        <v>25</v>
      </c>
      <c r="P4247" t="s">
        <v>36508</v>
      </c>
      <c r="Q4247" t="s">
        <v>29</v>
      </c>
      <c r="R4247" t="s">
        <v>36504</v>
      </c>
      <c r="S4247" t="s">
        <v>36505</v>
      </c>
    </row>
    <row r="4248" spans="1:19" x14ac:dyDescent="0.25">
      <c r="A4248" s="1">
        <v>4246</v>
      </c>
      <c r="B4248" t="str">
        <f>HYPERLINK("https://www.dasschnelle.at/fleischmann-und-petschnig-dachdeckungs-gesmbh-und-co-kg-neumarkt-freimoosstraße","Website")</f>
        <v>Website</v>
      </c>
      <c r="C4248" t="str">
        <f>HYPERLINK("http://www.fp-dach.at","Website")</f>
        <v>Website</v>
      </c>
      <c r="D4248" t="str">
        <f>HYPERLINK("http://www.google.com/maps/place/47.0686095,14.4308250","Location")</f>
        <v>Location</v>
      </c>
      <c r="E4248" t="s">
        <v>36509</v>
      </c>
      <c r="F4248" t="s">
        <v>36510</v>
      </c>
      <c r="G4248" t="s">
        <v>12200</v>
      </c>
      <c r="H4248" t="s">
        <v>12227</v>
      </c>
      <c r="I4248" t="s">
        <v>451</v>
      </c>
      <c r="J4248" t="s">
        <v>22</v>
      </c>
      <c r="K4248" t="s">
        <v>36511</v>
      </c>
      <c r="L4248" t="s">
        <v>36514</v>
      </c>
      <c r="M4248" t="s">
        <v>36515</v>
      </c>
      <c r="N4248" t="s">
        <v>36516</v>
      </c>
      <c r="O4248" t="s">
        <v>36517</v>
      </c>
      <c r="P4248" t="s">
        <v>36518</v>
      </c>
      <c r="Q4248" t="s">
        <v>29</v>
      </c>
      <c r="R4248" t="s">
        <v>36512</v>
      </c>
      <c r="S4248" t="s">
        <v>36513</v>
      </c>
    </row>
    <row r="4249" spans="1:19" x14ac:dyDescent="0.25">
      <c r="A4249" s="1">
        <v>4247</v>
      </c>
      <c r="B4249" t="str">
        <f>HYPERLINK("https://www.dasschnelle.at/maler-moser-tamsweg-peter-harperger-straße","Website")</f>
        <v>Website</v>
      </c>
      <c r="C4249" t="str">
        <f>HYPERLINK("http://www.maler-moser.at","Website")</f>
        <v>Website</v>
      </c>
      <c r="D4249" t="str">
        <f>HYPERLINK("http://www.google.com/maps/place/47.12921,13.80487","Location")</f>
        <v>Location</v>
      </c>
      <c r="E4249" t="s">
        <v>36519</v>
      </c>
      <c r="F4249" t="s">
        <v>36520</v>
      </c>
      <c r="G4249" t="s">
        <v>11522</v>
      </c>
      <c r="H4249" t="s">
        <v>11523</v>
      </c>
      <c r="I4249" t="s">
        <v>2239</v>
      </c>
      <c r="J4249" t="s">
        <v>22</v>
      </c>
      <c r="K4249" t="s">
        <v>36521</v>
      </c>
      <c r="L4249" t="s">
        <v>36524</v>
      </c>
      <c r="M4249" t="s">
        <v>25</v>
      </c>
      <c r="N4249" t="s">
        <v>36525</v>
      </c>
      <c r="O4249" t="s">
        <v>25</v>
      </c>
      <c r="P4249" t="s">
        <v>36526</v>
      </c>
      <c r="Q4249" t="s">
        <v>29</v>
      </c>
      <c r="R4249" t="s">
        <v>36522</v>
      </c>
      <c r="S4249" t="s">
        <v>36523</v>
      </c>
    </row>
    <row r="4250" spans="1:19" x14ac:dyDescent="0.25">
      <c r="A4250" s="1">
        <v>4248</v>
      </c>
      <c r="B4250" t="str">
        <f>HYPERLINK("https://www.dasschnelle.at/jud-fliesenleger-gmbh-und-co-kg-sankt-margarethen-im-lungau-pichlern","Website")</f>
        <v>Website</v>
      </c>
      <c r="C4250" t="str">
        <f>HYPERLINK("https://www.dasschnelle.at/jud-fliesenleger-gmbh-und-co-kg-sankt-margarethen-im-lungau-pichlern","Website")</f>
        <v>Website</v>
      </c>
      <c r="D4250" t="str">
        <f>HYPERLINK("http://www.google.com/maps/place/47.08628,13.71847","Location")</f>
        <v>Location</v>
      </c>
      <c r="E4250" t="s">
        <v>36527</v>
      </c>
      <c r="F4250" t="s">
        <v>36528</v>
      </c>
      <c r="G4250" t="s">
        <v>36530</v>
      </c>
      <c r="H4250" t="s">
        <v>36531</v>
      </c>
      <c r="I4250" t="s">
        <v>2239</v>
      </c>
      <c r="J4250" t="s">
        <v>22</v>
      </c>
      <c r="K4250" t="s">
        <v>36529</v>
      </c>
      <c r="L4250" t="s">
        <v>36534</v>
      </c>
      <c r="M4250" t="s">
        <v>25</v>
      </c>
      <c r="N4250" t="s">
        <v>36535</v>
      </c>
      <c r="O4250" t="s">
        <v>25</v>
      </c>
      <c r="P4250" t="s">
        <v>36536</v>
      </c>
      <c r="Q4250" t="s">
        <v>29</v>
      </c>
      <c r="R4250" t="s">
        <v>36532</v>
      </c>
      <c r="S4250" t="s">
        <v>36533</v>
      </c>
    </row>
    <row r="4251" spans="1:19" x14ac:dyDescent="0.25">
      <c r="A4251" s="1">
        <v>4249</v>
      </c>
      <c r="B4251" t="str">
        <f>HYPERLINK("https://www.dasschnelle.at/santner-markus-tamsweg-zinsgasse","Website")</f>
        <v>Website</v>
      </c>
      <c r="C4251" t="str">
        <f>HYPERLINK("http://www.msantner-installateur.com","Website")</f>
        <v>Website</v>
      </c>
      <c r="D4251" t="str">
        <f>HYPERLINK("http://www.google.com/maps/place/47.13381,13.80182","Location")</f>
        <v>Location</v>
      </c>
      <c r="E4251" t="s">
        <v>36537</v>
      </c>
      <c r="F4251" t="s">
        <v>36538</v>
      </c>
      <c r="G4251" t="s">
        <v>11522</v>
      </c>
      <c r="H4251" t="s">
        <v>11523</v>
      </c>
      <c r="I4251" t="s">
        <v>2239</v>
      </c>
      <c r="J4251" t="s">
        <v>22</v>
      </c>
      <c r="K4251" t="s">
        <v>36539</v>
      </c>
      <c r="L4251" t="s">
        <v>36542</v>
      </c>
      <c r="M4251" t="s">
        <v>25</v>
      </c>
      <c r="N4251" t="s">
        <v>36543</v>
      </c>
      <c r="O4251" t="s">
        <v>25</v>
      </c>
      <c r="P4251" t="s">
        <v>36544</v>
      </c>
      <c r="Q4251" t="s">
        <v>29</v>
      </c>
      <c r="R4251" t="s">
        <v>36540</v>
      </c>
      <c r="S4251" t="s">
        <v>36541</v>
      </c>
    </row>
    <row r="4252" spans="1:19" x14ac:dyDescent="0.25">
      <c r="A4252" s="1">
        <v>4250</v>
      </c>
      <c r="B4252" t="str">
        <f>HYPERLINK("https://www.dasschnelle.at/endmeier-manfred-ort-im-innkreis-aichberg","Website")</f>
        <v>Website</v>
      </c>
      <c r="C4252" t="str">
        <f>HYPERLINK("http://www.mandis-kfz.at","Website")</f>
        <v>Website</v>
      </c>
      <c r="D4252" t="str">
        <f>HYPERLINK("http://www.google.com/maps/place/48.3224674,13.4449753","Location")</f>
        <v>Location</v>
      </c>
      <c r="E4252" t="s">
        <v>36545</v>
      </c>
      <c r="F4252" t="s">
        <v>36546</v>
      </c>
      <c r="G4252" t="s">
        <v>6352</v>
      </c>
      <c r="H4252" t="s">
        <v>6353</v>
      </c>
      <c r="I4252" t="s">
        <v>85</v>
      </c>
      <c r="J4252" t="s">
        <v>22</v>
      </c>
      <c r="K4252" t="s">
        <v>36547</v>
      </c>
      <c r="L4252" t="s">
        <v>36550</v>
      </c>
      <c r="M4252" t="s">
        <v>25</v>
      </c>
      <c r="N4252" t="s">
        <v>36551</v>
      </c>
      <c r="O4252" t="s">
        <v>25</v>
      </c>
      <c r="P4252" t="s">
        <v>36552</v>
      </c>
      <c r="Q4252" t="s">
        <v>29</v>
      </c>
      <c r="R4252" t="s">
        <v>36548</v>
      </c>
      <c r="S4252" t="s">
        <v>36549</v>
      </c>
    </row>
    <row r="4253" spans="1:19" x14ac:dyDescent="0.25">
      <c r="A4253" s="1">
        <v>4251</v>
      </c>
      <c r="B4253" t="str">
        <f>HYPERLINK("https://www.dasschnelle.at/zöch-peter-dr-med-rottenmann-technologiepark","Website")</f>
        <v>Website</v>
      </c>
      <c r="C4253" t="str">
        <f>HYPERLINK("http://www.augenarzt-rottenmann.at","Website")</f>
        <v>Website</v>
      </c>
      <c r="D4253" t="str">
        <f>HYPERLINK("http://www.google.com/maps/place/47.52571,14.34234","Location")</f>
        <v>Location</v>
      </c>
      <c r="E4253" t="s">
        <v>36553</v>
      </c>
      <c r="F4253" t="s">
        <v>36554</v>
      </c>
      <c r="G4253" t="s">
        <v>36556</v>
      </c>
      <c r="H4253" t="s">
        <v>36557</v>
      </c>
      <c r="I4253" t="s">
        <v>451</v>
      </c>
      <c r="J4253" t="s">
        <v>22</v>
      </c>
      <c r="K4253" t="s">
        <v>36555</v>
      </c>
      <c r="L4253" t="s">
        <v>36560</v>
      </c>
      <c r="M4253" t="s">
        <v>36561</v>
      </c>
      <c r="N4253" t="s">
        <v>25</v>
      </c>
      <c r="O4253" t="s">
        <v>25</v>
      </c>
      <c r="P4253" t="s">
        <v>36562</v>
      </c>
      <c r="Q4253" t="s">
        <v>29</v>
      </c>
      <c r="R4253" t="s">
        <v>36558</v>
      </c>
      <c r="S4253" t="s">
        <v>36559</v>
      </c>
    </row>
    <row r="4254" spans="1:19" x14ac:dyDescent="0.25">
      <c r="A4254" s="1">
        <v>4252</v>
      </c>
      <c r="B4254" t="str">
        <f>HYPERLINK("https://www.dasschnelle.at/hehn-horst-gesmbh-schwechat-gewerbepark","Website")</f>
        <v>Website</v>
      </c>
      <c r="C4254" t="str">
        <f>HYPERLINK("http://www.hehn.at","Website")</f>
        <v>Website</v>
      </c>
      <c r="D4254" t="str">
        <f>HYPERLINK("http://www.google.com/maps/place/48.08178,16.53683","Location")</f>
        <v>Location</v>
      </c>
      <c r="E4254" t="s">
        <v>36563</v>
      </c>
      <c r="F4254" t="s">
        <v>36564</v>
      </c>
      <c r="G4254" t="s">
        <v>9769</v>
      </c>
      <c r="H4254" t="s">
        <v>9770</v>
      </c>
      <c r="I4254" t="s">
        <v>177</v>
      </c>
      <c r="J4254" t="s">
        <v>22</v>
      </c>
      <c r="K4254" t="s">
        <v>3971</v>
      </c>
      <c r="L4254" t="s">
        <v>36567</v>
      </c>
      <c r="M4254" t="s">
        <v>25</v>
      </c>
      <c r="N4254" t="s">
        <v>36568</v>
      </c>
      <c r="O4254" t="s">
        <v>25</v>
      </c>
      <c r="P4254" t="s">
        <v>36569</v>
      </c>
      <c r="Q4254" t="s">
        <v>29</v>
      </c>
      <c r="R4254" t="s">
        <v>36565</v>
      </c>
      <c r="S4254" t="s">
        <v>36566</v>
      </c>
    </row>
    <row r="4255" spans="1:19" x14ac:dyDescent="0.25">
      <c r="A4255" s="1">
        <v>4253</v>
      </c>
      <c r="B4255" t="str">
        <f>HYPERLINK("https://www.dasschnelle.at/virag-r-gesmbh-schwechat-himberger-straße","Website")</f>
        <v>Website</v>
      </c>
      <c r="C4255" t="str">
        <f>HYPERLINK("http://www.virag-thermenservice.at","Website")</f>
        <v>Website</v>
      </c>
      <c r="D4255" t="str">
        <f>HYPERLINK("http://www.google.com/maps/place/48.1253891,16.4726017","Location")</f>
        <v>Location</v>
      </c>
      <c r="E4255" t="s">
        <v>36570</v>
      </c>
      <c r="F4255" t="s">
        <v>36571</v>
      </c>
      <c r="G4255" t="s">
        <v>9769</v>
      </c>
      <c r="H4255" t="s">
        <v>9770</v>
      </c>
      <c r="I4255" t="s">
        <v>177</v>
      </c>
      <c r="J4255" t="s">
        <v>22</v>
      </c>
      <c r="K4255" t="s">
        <v>36572</v>
      </c>
      <c r="L4255" t="s">
        <v>36575</v>
      </c>
      <c r="M4255" t="s">
        <v>25</v>
      </c>
      <c r="N4255" t="s">
        <v>36576</v>
      </c>
      <c r="O4255" t="s">
        <v>36577</v>
      </c>
      <c r="P4255" t="s">
        <v>36578</v>
      </c>
      <c r="Q4255" t="s">
        <v>29</v>
      </c>
      <c r="R4255" t="s">
        <v>36573</v>
      </c>
      <c r="S4255" t="s">
        <v>36574</v>
      </c>
    </row>
    <row r="4256" spans="1:19" x14ac:dyDescent="0.25">
      <c r="A4256" s="1">
        <v>4254</v>
      </c>
      <c r="B4256" t="str">
        <f>HYPERLINK("https://www.dasschnelle.at/g-braumann-gesellschaft-m-b-h-andrichsfurt-furth","Website")</f>
        <v>Website</v>
      </c>
      <c r="C4256" t="str">
        <f>HYPERLINK("http://www.braumann.co.at","Website")</f>
        <v>Website</v>
      </c>
      <c r="D4256" t="str">
        <f>HYPERLINK("http://www.google.com/maps/place/48.2537616,13.5158002","Location")</f>
        <v>Location</v>
      </c>
      <c r="E4256" t="s">
        <v>36579</v>
      </c>
      <c r="F4256" t="s">
        <v>36580</v>
      </c>
      <c r="G4256" t="s">
        <v>28328</v>
      </c>
      <c r="H4256" t="s">
        <v>28329</v>
      </c>
      <c r="I4256" t="s">
        <v>85</v>
      </c>
      <c r="J4256" t="s">
        <v>22</v>
      </c>
      <c r="K4256" t="s">
        <v>36581</v>
      </c>
      <c r="L4256" t="s">
        <v>36584</v>
      </c>
      <c r="M4256" t="s">
        <v>25</v>
      </c>
      <c r="N4256" t="s">
        <v>36585</v>
      </c>
      <c r="O4256" t="s">
        <v>36586</v>
      </c>
      <c r="P4256" t="s">
        <v>36587</v>
      </c>
      <c r="Q4256" t="s">
        <v>29</v>
      </c>
      <c r="R4256" t="s">
        <v>36582</v>
      </c>
      <c r="S4256" t="s">
        <v>36583</v>
      </c>
    </row>
    <row r="4257" spans="1:19" x14ac:dyDescent="0.25">
      <c r="A4257" s="1">
        <v>4255</v>
      </c>
      <c r="B4257" t="str">
        <f>HYPERLINK("https://www.dasschnelle.at/illitsch-ingrid-murau-bahnhofviertel","Website")</f>
        <v>Website</v>
      </c>
      <c r="C4257" t="str">
        <f>HYPERLINK("http://www.taximurau.at","Website")</f>
        <v>Website</v>
      </c>
      <c r="D4257" t="str">
        <f>HYPERLINK("http://www.google.com/maps/place/47.10841,14.17712","Location")</f>
        <v>Location</v>
      </c>
      <c r="E4257" t="s">
        <v>36588</v>
      </c>
      <c r="F4257" t="s">
        <v>36589</v>
      </c>
      <c r="G4257" t="s">
        <v>12112</v>
      </c>
      <c r="H4257" t="s">
        <v>12113</v>
      </c>
      <c r="I4257" t="s">
        <v>451</v>
      </c>
      <c r="J4257" t="s">
        <v>22</v>
      </c>
      <c r="K4257" t="s">
        <v>36590</v>
      </c>
      <c r="L4257" t="s">
        <v>36593</v>
      </c>
      <c r="M4257" t="s">
        <v>25</v>
      </c>
      <c r="N4257" t="s">
        <v>36594</v>
      </c>
      <c r="O4257" t="s">
        <v>25</v>
      </c>
      <c r="P4257" t="s">
        <v>36595</v>
      </c>
      <c r="Q4257" t="s">
        <v>29</v>
      </c>
      <c r="R4257" t="s">
        <v>36591</v>
      </c>
      <c r="S4257" t="s">
        <v>36592</v>
      </c>
    </row>
    <row r="4258" spans="1:19" x14ac:dyDescent="0.25">
      <c r="A4258" s="1">
        <v>4256</v>
      </c>
      <c r="B4258" t="str">
        <f>HYPERLINK("https://www.dasschnelle.at/illitsch-felix-kfm-reifen-murau-bahnhofviertel","Website")</f>
        <v>Website</v>
      </c>
      <c r="C4258" t="str">
        <f>HYPERLINK("http://www.taximurau.at","Website")</f>
        <v>Website</v>
      </c>
      <c r="D4258" t="str">
        <f>HYPERLINK("http://www.google.com/maps/place/47.1084100,14.1771200","Location")</f>
        <v>Location</v>
      </c>
      <c r="E4258" t="s">
        <v>36596</v>
      </c>
      <c r="F4258" t="s">
        <v>36597</v>
      </c>
      <c r="G4258" t="s">
        <v>12112</v>
      </c>
      <c r="H4258" t="s">
        <v>12113</v>
      </c>
      <c r="I4258" t="s">
        <v>451</v>
      </c>
      <c r="J4258" t="s">
        <v>22</v>
      </c>
      <c r="K4258" t="s">
        <v>36590</v>
      </c>
      <c r="L4258" t="s">
        <v>36600</v>
      </c>
      <c r="M4258" t="s">
        <v>25</v>
      </c>
      <c r="N4258" t="s">
        <v>36601</v>
      </c>
      <c r="O4258" t="s">
        <v>25</v>
      </c>
      <c r="P4258" t="s">
        <v>36602</v>
      </c>
      <c r="Q4258" t="s">
        <v>29</v>
      </c>
      <c r="R4258" t="s">
        <v>36598</v>
      </c>
      <c r="S4258" t="s">
        <v>36599</v>
      </c>
    </row>
    <row r="4259" spans="1:19" x14ac:dyDescent="0.25">
      <c r="A4259" s="1">
        <v>4257</v>
      </c>
      <c r="B4259" t="str">
        <f>HYPERLINK("https://www.dasschnelle.at/haidenthaler-stephanie-gurten-hofmark","Website")</f>
        <v>Website</v>
      </c>
      <c r="C4259" t="str">
        <f>HYPERLINK("http://www.haareformer.at","Website")</f>
        <v>Website</v>
      </c>
      <c r="D4259" t="str">
        <f>HYPERLINK("http://www.google.com/maps/place/48.24185,13.34264","Location")</f>
        <v>Location</v>
      </c>
      <c r="E4259" t="s">
        <v>36603</v>
      </c>
      <c r="F4259" t="s">
        <v>36604</v>
      </c>
      <c r="G4259" t="s">
        <v>36606</v>
      </c>
      <c r="H4259" t="s">
        <v>36607</v>
      </c>
      <c r="I4259" t="s">
        <v>85</v>
      </c>
      <c r="J4259" t="s">
        <v>22</v>
      </c>
      <c r="K4259" t="s">
        <v>36605</v>
      </c>
      <c r="L4259" t="s">
        <v>36610</v>
      </c>
      <c r="M4259" t="s">
        <v>25</v>
      </c>
      <c r="N4259" t="s">
        <v>36611</v>
      </c>
      <c r="O4259" t="s">
        <v>25</v>
      </c>
      <c r="P4259" t="s">
        <v>36612</v>
      </c>
      <c r="Q4259" t="s">
        <v>29</v>
      </c>
      <c r="R4259" t="s">
        <v>36608</v>
      </c>
      <c r="S4259" t="s">
        <v>36609</v>
      </c>
    </row>
    <row r="4260" spans="1:19" x14ac:dyDescent="0.25">
      <c r="A4260" s="1">
        <v>4258</v>
      </c>
      <c r="B4260" t="str">
        <f>HYPERLINK("https://www.dasschnelle.at/egger-georg-mag-rosental-an-der-kainach-hauptstraße","Website")</f>
        <v>Website</v>
      </c>
      <c r="C4260" t="str">
        <f>HYPERLINK("https://www.dasschnelle.at/egger-georg-mag-rosental-an-der-kainach-hauptstra%C3%9Fe","Website")</f>
        <v>Website</v>
      </c>
      <c r="D4260" t="str">
        <f>HYPERLINK("http://www.google.com/maps/place/47.05318,15.11774","Location")</f>
        <v>Location</v>
      </c>
      <c r="E4260" t="s">
        <v>36613</v>
      </c>
      <c r="F4260" t="s">
        <v>36614</v>
      </c>
      <c r="G4260" t="s">
        <v>4689</v>
      </c>
      <c r="H4260" t="s">
        <v>4690</v>
      </c>
      <c r="I4260" t="s">
        <v>451</v>
      </c>
      <c r="J4260" t="s">
        <v>22</v>
      </c>
      <c r="K4260" t="s">
        <v>36615</v>
      </c>
      <c r="L4260" t="s">
        <v>36618</v>
      </c>
      <c r="M4260" t="s">
        <v>25</v>
      </c>
      <c r="N4260" t="s">
        <v>36619</v>
      </c>
      <c r="O4260" t="s">
        <v>25</v>
      </c>
      <c r="P4260" t="s">
        <v>36620</v>
      </c>
      <c r="Q4260" t="s">
        <v>29</v>
      </c>
      <c r="R4260" t="s">
        <v>36616</v>
      </c>
      <c r="S4260" t="s">
        <v>36617</v>
      </c>
    </row>
    <row r="4261" spans="1:19" x14ac:dyDescent="0.25">
      <c r="A4261" s="1">
        <v>4259</v>
      </c>
      <c r="B4261" t="str">
        <f>HYPERLINK("https://www.dasschnelle.at/hendlkönig-stefan-wochinz-gmbh-mörtelsdorf-gewerbepark-litzelsdorf","Website")</f>
        <v>Website</v>
      </c>
      <c r="C4261" t="str">
        <f>HYPERLINK("http://www.hendlkoenig.at","Website")</f>
        <v>Website</v>
      </c>
      <c r="D4261" t="str">
        <f>HYPERLINK("http://www.google.com/maps/place/47.13287,13.7934","Location")</f>
        <v>Location</v>
      </c>
      <c r="E4261" t="s">
        <v>36621</v>
      </c>
      <c r="F4261" t="s">
        <v>36622</v>
      </c>
      <c r="G4261" t="s">
        <v>11522</v>
      </c>
      <c r="H4261" t="s">
        <v>36624</v>
      </c>
      <c r="I4261" t="s">
        <v>2239</v>
      </c>
      <c r="J4261" t="s">
        <v>22</v>
      </c>
      <c r="K4261" t="s">
        <v>36623</v>
      </c>
      <c r="L4261" t="s">
        <v>36627</v>
      </c>
      <c r="M4261" t="s">
        <v>25</v>
      </c>
      <c r="N4261" t="s">
        <v>36628</v>
      </c>
      <c r="O4261" t="s">
        <v>25</v>
      </c>
      <c r="P4261" t="s">
        <v>36629</v>
      </c>
      <c r="Q4261" t="s">
        <v>29</v>
      </c>
      <c r="R4261" t="s">
        <v>36625</v>
      </c>
      <c r="S4261" t="s">
        <v>36626</v>
      </c>
    </row>
    <row r="4262" spans="1:19" x14ac:dyDescent="0.25">
      <c r="A4262" s="1">
        <v>4260</v>
      </c>
      <c r="B4262" t="str">
        <f>HYPERLINK("https://www.dasschnelle.at/wieland-herbert-sankt-michael-im-lungau-poststraße","Website")</f>
        <v>Website</v>
      </c>
      <c r="C4262" t="str">
        <f>HYPERLINK("http://www.ofen-fliesen-wieland.at","Website")</f>
        <v>Website</v>
      </c>
      <c r="D4262" t="str">
        <f>HYPERLINK("http://www.google.com/maps/place/47.0975,13.63713","Location")</f>
        <v>Location</v>
      </c>
      <c r="E4262" t="s">
        <v>36630</v>
      </c>
      <c r="F4262" t="s">
        <v>36631</v>
      </c>
      <c r="G4262" t="s">
        <v>11533</v>
      </c>
      <c r="H4262" t="s">
        <v>11534</v>
      </c>
      <c r="I4262" t="s">
        <v>2239</v>
      </c>
      <c r="J4262" t="s">
        <v>22</v>
      </c>
      <c r="K4262" t="s">
        <v>36632</v>
      </c>
      <c r="L4262" t="s">
        <v>36635</v>
      </c>
      <c r="M4262" t="s">
        <v>25</v>
      </c>
      <c r="N4262" t="s">
        <v>36636</v>
      </c>
      <c r="O4262" t="s">
        <v>25</v>
      </c>
      <c r="P4262" t="s">
        <v>36637</v>
      </c>
      <c r="Q4262" t="s">
        <v>29</v>
      </c>
      <c r="R4262" t="s">
        <v>36633</v>
      </c>
      <c r="S4262" t="s">
        <v>36634</v>
      </c>
    </row>
    <row r="4263" spans="1:19" x14ac:dyDescent="0.25">
      <c r="A4263" s="1">
        <v>4261</v>
      </c>
      <c r="B4263" t="str">
        <f>HYPERLINK("https://www.dasschnelle.at/kiesenhofer-herbert-dr-neufelden-markt","Website")</f>
        <v>Website</v>
      </c>
      <c r="C4263" t="str">
        <f>HYPERLINK("http://www.notariat-neufelden.at","Website")</f>
        <v>Website</v>
      </c>
      <c r="D4263" t="str">
        <f>HYPERLINK("http://www.google.com/maps/place/48.48495,14.0005","Location")</f>
        <v>Location</v>
      </c>
      <c r="E4263" t="s">
        <v>36638</v>
      </c>
      <c r="F4263" t="s">
        <v>36639</v>
      </c>
      <c r="G4263" t="s">
        <v>35885</v>
      </c>
      <c r="H4263" t="s">
        <v>35886</v>
      </c>
      <c r="I4263" t="s">
        <v>85</v>
      </c>
      <c r="J4263" t="s">
        <v>22</v>
      </c>
      <c r="K4263" t="s">
        <v>36640</v>
      </c>
      <c r="L4263" t="s">
        <v>36643</v>
      </c>
      <c r="M4263" t="s">
        <v>36644</v>
      </c>
      <c r="N4263" t="s">
        <v>36645</v>
      </c>
      <c r="O4263" t="s">
        <v>36646</v>
      </c>
      <c r="P4263" t="s">
        <v>36647</v>
      </c>
      <c r="Q4263" t="s">
        <v>29</v>
      </c>
      <c r="R4263" t="s">
        <v>36641</v>
      </c>
      <c r="S4263" t="s">
        <v>36642</v>
      </c>
    </row>
    <row r="4264" spans="1:19" x14ac:dyDescent="0.25">
      <c r="A4264" s="1">
        <v>4262</v>
      </c>
      <c r="B4264" t="str">
        <f>HYPERLINK("https://www.dasschnelle.at/maurer-petra-rohr-im-kremstal-bahnhofstraße","Website")</f>
        <v>Website</v>
      </c>
      <c r="C4264" t="str">
        <f>HYPERLINK("http://www.elektro-maurer.at","Website")</f>
        <v>Website</v>
      </c>
      <c r="D4264" t="str">
        <f>HYPERLINK("http://www.google.com/maps/place/48.0693826,14.1941134","Location")</f>
        <v>Location</v>
      </c>
      <c r="E4264" t="s">
        <v>36648</v>
      </c>
      <c r="F4264" t="s">
        <v>36649</v>
      </c>
      <c r="G4264" t="s">
        <v>36651</v>
      </c>
      <c r="H4264" t="s">
        <v>36652</v>
      </c>
      <c r="I4264" t="s">
        <v>85</v>
      </c>
      <c r="J4264" t="s">
        <v>22</v>
      </c>
      <c r="K4264" t="s">
        <v>36650</v>
      </c>
      <c r="L4264" t="s">
        <v>36655</v>
      </c>
      <c r="M4264" t="s">
        <v>25</v>
      </c>
      <c r="N4264" t="s">
        <v>36656</v>
      </c>
      <c r="O4264" t="s">
        <v>25</v>
      </c>
      <c r="P4264" t="s">
        <v>36657</v>
      </c>
      <c r="Q4264" t="s">
        <v>29</v>
      </c>
      <c r="R4264" t="s">
        <v>36653</v>
      </c>
      <c r="S4264" t="s">
        <v>36654</v>
      </c>
    </row>
    <row r="4265" spans="1:19" x14ac:dyDescent="0.25">
      <c r="A4265" s="1">
        <v>4263</v>
      </c>
      <c r="B4265" t="str">
        <f>HYPERLINK("https://www.dasschnelle.at/ofner-elisabeth-s-blumenhütt-l-wörschach-dorfstraße","Website")</f>
        <v>Website</v>
      </c>
      <c r="C4265" t="str">
        <f>HYPERLINK("https://www.dasschnelle.at/ofner-elisabeth-s-blumenh%C3%BCtt-l-w%C3%B6rschach-dorfstra%C3%9Fe","Website")</f>
        <v>Website</v>
      </c>
      <c r="D4265" t="str">
        <f>HYPERLINK("http://www.google.com/maps/place/47.554,14.14979","Location")</f>
        <v>Location</v>
      </c>
      <c r="E4265" t="s">
        <v>36658</v>
      </c>
      <c r="F4265" t="s">
        <v>36659</v>
      </c>
      <c r="G4265" t="s">
        <v>36661</v>
      </c>
      <c r="H4265" t="s">
        <v>36662</v>
      </c>
      <c r="I4265" t="s">
        <v>451</v>
      </c>
      <c r="J4265" t="s">
        <v>22</v>
      </c>
      <c r="K4265" t="s">
        <v>36660</v>
      </c>
      <c r="L4265" t="s">
        <v>36665</v>
      </c>
      <c r="M4265" t="s">
        <v>25</v>
      </c>
      <c r="N4265" t="s">
        <v>36666</v>
      </c>
      <c r="O4265" t="s">
        <v>25</v>
      </c>
      <c r="P4265" t="s">
        <v>36667</v>
      </c>
      <c r="Q4265" t="s">
        <v>29</v>
      </c>
      <c r="R4265" t="s">
        <v>36663</v>
      </c>
      <c r="S4265" t="s">
        <v>36664</v>
      </c>
    </row>
    <row r="4266" spans="1:19" x14ac:dyDescent="0.25">
      <c r="A4266" s="1">
        <v>4264</v>
      </c>
      <c r="B4266" t="str">
        <f>HYPERLINK("https://www.dasschnelle.at/frisiersalon-rosemarie-ried-im-traunkreis-sportstraße","Website")</f>
        <v>Website</v>
      </c>
      <c r="C4266" t="str">
        <f>HYPERLINK("http://www.salon-rosemarie.at","Website")</f>
        <v>Website</v>
      </c>
      <c r="D4266" t="str">
        <f>HYPERLINK("http://www.google.com/maps/place/48.02411,14.08316","Location")</f>
        <v>Location</v>
      </c>
      <c r="E4266" t="s">
        <v>36668</v>
      </c>
      <c r="F4266" t="s">
        <v>36669</v>
      </c>
      <c r="G4266" t="s">
        <v>36671</v>
      </c>
      <c r="H4266" t="s">
        <v>36672</v>
      </c>
      <c r="I4266" t="s">
        <v>85</v>
      </c>
      <c r="J4266" t="s">
        <v>22</v>
      </c>
      <c r="K4266" t="s">
        <v>36670</v>
      </c>
      <c r="L4266" t="s">
        <v>36675</v>
      </c>
      <c r="M4266" t="s">
        <v>25</v>
      </c>
      <c r="N4266" t="s">
        <v>36676</v>
      </c>
      <c r="O4266" t="s">
        <v>25</v>
      </c>
      <c r="P4266" t="s">
        <v>36677</v>
      </c>
      <c r="Q4266" t="s">
        <v>29</v>
      </c>
      <c r="R4266" t="s">
        <v>36673</v>
      </c>
      <c r="S4266" t="s">
        <v>36674</v>
      </c>
    </row>
    <row r="4267" spans="1:19" x14ac:dyDescent="0.25">
      <c r="A4267" s="1">
        <v>4265</v>
      </c>
      <c r="B4267" t="str">
        <f>HYPERLINK("https://www.dasschnelle.at/öhlinger-walter-dipl-ing-rohrbach-linzer-straße","Website")</f>
        <v>Website</v>
      </c>
      <c r="C4267" t="str">
        <f>HYPERLINK("http://www.geo-rohrbach.at","Website")</f>
        <v>Website</v>
      </c>
      <c r="D4267" t="str">
        <f>HYPERLINK("http://www.google.com/maps/place/48.5710431,13.9935462","Location")</f>
        <v>Location</v>
      </c>
      <c r="E4267" t="s">
        <v>36678</v>
      </c>
      <c r="F4267" t="s">
        <v>36679</v>
      </c>
      <c r="G4267" t="s">
        <v>8561</v>
      </c>
      <c r="H4267" t="s">
        <v>8562</v>
      </c>
      <c r="I4267" t="s">
        <v>85</v>
      </c>
      <c r="J4267" t="s">
        <v>22</v>
      </c>
      <c r="K4267" t="s">
        <v>11279</v>
      </c>
      <c r="L4267" t="s">
        <v>36680</v>
      </c>
      <c r="M4267" t="s">
        <v>25</v>
      </c>
      <c r="N4267" t="s">
        <v>36681</v>
      </c>
      <c r="O4267" t="s">
        <v>25</v>
      </c>
      <c r="P4267" t="s">
        <v>36682</v>
      </c>
      <c r="Q4267" t="s">
        <v>29</v>
      </c>
      <c r="R4267" t="s">
        <v>35483</v>
      </c>
      <c r="S4267" t="s">
        <v>35484</v>
      </c>
    </row>
    <row r="4268" spans="1:19" x14ac:dyDescent="0.25">
      <c r="A4268" s="1">
        <v>4266</v>
      </c>
      <c r="B4268" t="str">
        <f>HYPERLINK("https://www.dasschnelle.at/weinmaier-friedrich-ried-im-traunkreis-am-riedfeld","Website")</f>
        <v>Website</v>
      </c>
      <c r="C4268" t="str">
        <f>HYPERLINK("https://www.dasschnelle.at/weinmaier-friedrich-ried-im-traunkreis-am-riedfeld","Website")</f>
        <v>Website</v>
      </c>
      <c r="D4268" t="str">
        <f>HYPERLINK("http://www.google.com/maps/place/48.02449,14.07863","Location")</f>
        <v>Location</v>
      </c>
      <c r="E4268" t="s">
        <v>36683</v>
      </c>
      <c r="F4268" t="s">
        <v>36684</v>
      </c>
      <c r="G4268" t="s">
        <v>36671</v>
      </c>
      <c r="H4268" t="s">
        <v>36672</v>
      </c>
      <c r="I4268" t="s">
        <v>85</v>
      </c>
      <c r="J4268" t="s">
        <v>22</v>
      </c>
      <c r="K4268" t="s">
        <v>36685</v>
      </c>
      <c r="L4268" t="s">
        <v>36688</v>
      </c>
      <c r="M4268" t="s">
        <v>25</v>
      </c>
      <c r="N4268" t="s">
        <v>36689</v>
      </c>
      <c r="O4268" t="s">
        <v>25</v>
      </c>
      <c r="P4268" t="s">
        <v>36690</v>
      </c>
      <c r="Q4268" t="s">
        <v>29</v>
      </c>
      <c r="R4268" t="s">
        <v>36686</v>
      </c>
      <c r="S4268" t="s">
        <v>36687</v>
      </c>
    </row>
    <row r="4269" spans="1:19" x14ac:dyDescent="0.25">
      <c r="A4269" s="1">
        <v>4267</v>
      </c>
      <c r="B4269" t="str">
        <f>HYPERLINK("https://www.dasschnelle.at/luger-wolfgang-dr-med-univ-rohrbach-stadtplatz","Website")</f>
        <v>Website</v>
      </c>
      <c r="C4269" t="str">
        <f>HYPERLINK("http://www.mdz-rohrbach.at","Website")</f>
        <v>Website</v>
      </c>
      <c r="D4269" t="str">
        <f>HYPERLINK("http://www.google.com/maps/place/48.5715425,13.9923940","Location")</f>
        <v>Location</v>
      </c>
      <c r="E4269" t="s">
        <v>36691</v>
      </c>
      <c r="F4269" t="s">
        <v>36692</v>
      </c>
      <c r="G4269" t="s">
        <v>8561</v>
      </c>
      <c r="H4269" t="s">
        <v>8562</v>
      </c>
      <c r="I4269" t="s">
        <v>85</v>
      </c>
      <c r="J4269" t="s">
        <v>22</v>
      </c>
      <c r="K4269" t="s">
        <v>8633</v>
      </c>
      <c r="L4269" t="s">
        <v>36693</v>
      </c>
      <c r="M4269" t="s">
        <v>25</v>
      </c>
      <c r="N4269" t="s">
        <v>36694</v>
      </c>
      <c r="O4269" t="s">
        <v>25</v>
      </c>
      <c r="P4269" t="s">
        <v>36695</v>
      </c>
      <c r="Q4269" t="s">
        <v>29</v>
      </c>
      <c r="R4269" t="s">
        <v>8634</v>
      </c>
      <c r="S4269" t="s">
        <v>8635</v>
      </c>
    </row>
    <row r="4270" spans="1:19" x14ac:dyDescent="0.25">
      <c r="A4270" s="1">
        <v>4268</v>
      </c>
      <c r="B4270" t="str">
        <f>HYPERLINK("https://www.dasschnelle.at/lts-lamprecht-rottenmann-boder-sonnenhang","Website")</f>
        <v>Website</v>
      </c>
      <c r="C4270" t="str">
        <f>HYPERLINK("http://www.lts-lamprecht.at","Website")</f>
        <v>Website</v>
      </c>
      <c r="D4270" t="str">
        <f>HYPERLINK("http://www.google.com/maps/place/47.52808,14.38212","Location")</f>
        <v>Location</v>
      </c>
      <c r="E4270" t="s">
        <v>36696</v>
      </c>
      <c r="F4270" t="s">
        <v>36697</v>
      </c>
      <c r="G4270" t="s">
        <v>36556</v>
      </c>
      <c r="H4270" t="s">
        <v>36557</v>
      </c>
      <c r="I4270" t="s">
        <v>451</v>
      </c>
      <c r="J4270" t="s">
        <v>22</v>
      </c>
      <c r="K4270" t="s">
        <v>36698</v>
      </c>
      <c r="L4270" t="s">
        <v>36701</v>
      </c>
      <c r="M4270" t="s">
        <v>25</v>
      </c>
      <c r="N4270" t="s">
        <v>36702</v>
      </c>
      <c r="O4270" t="s">
        <v>25</v>
      </c>
      <c r="P4270" t="s">
        <v>36703</v>
      </c>
      <c r="Q4270" t="s">
        <v>29</v>
      </c>
      <c r="R4270" t="s">
        <v>36699</v>
      </c>
      <c r="S4270" t="s">
        <v>36700</v>
      </c>
    </row>
    <row r="4271" spans="1:19" x14ac:dyDescent="0.25">
      <c r="A4271" s="1">
        <v>4269</v>
      </c>
      <c r="B4271" t="str">
        <f>HYPERLINK("https://www.dasschnelle.at/matlschweiger-franz-und-sohn-kg-trieben-gartengasse","Website")</f>
        <v>Website</v>
      </c>
      <c r="C4271" t="str">
        <f>HYPERLINK("http://members.aon.at/matlschweiger","Website")</f>
        <v>Website</v>
      </c>
      <c r="D4271" t="str">
        <f>HYPERLINK("http://www.google.com/maps/place/47.48621,14.48414","Location")</f>
        <v>Location</v>
      </c>
      <c r="E4271" t="s">
        <v>36704</v>
      </c>
      <c r="F4271" t="s">
        <v>36705</v>
      </c>
      <c r="G4271" t="s">
        <v>1221</v>
      </c>
      <c r="H4271" t="s">
        <v>1222</v>
      </c>
      <c r="I4271" t="s">
        <v>451</v>
      </c>
      <c r="J4271" t="s">
        <v>22</v>
      </c>
      <c r="K4271" t="s">
        <v>36706</v>
      </c>
      <c r="L4271" t="s">
        <v>36709</v>
      </c>
      <c r="M4271" t="s">
        <v>25</v>
      </c>
      <c r="N4271" t="s">
        <v>36710</v>
      </c>
      <c r="O4271" t="s">
        <v>25</v>
      </c>
      <c r="P4271" t="s">
        <v>36711</v>
      </c>
      <c r="Q4271" t="s">
        <v>29</v>
      </c>
      <c r="R4271" t="s">
        <v>36707</v>
      </c>
      <c r="S4271" t="s">
        <v>36708</v>
      </c>
    </row>
    <row r="4272" spans="1:19" x14ac:dyDescent="0.25">
      <c r="A4272" s="1">
        <v>4270</v>
      </c>
      <c r="B4272" t="str">
        <f>HYPERLINK("https://www.dasschnelle.at/molin-diana-selzthal-hauptstraße","Website")</f>
        <v>Website</v>
      </c>
      <c r="C4272" t="str">
        <f>HYPERLINK("https://www.dasschnelle.at/molin-diana-selzthal-hauptstra%C3%9Fe","Website")</f>
        <v>Website</v>
      </c>
      <c r="D4272" t="str">
        <f>HYPERLINK("http://www.google.com/maps/place/47.55168,14.3199","Location")</f>
        <v>Location</v>
      </c>
      <c r="E4272" t="s">
        <v>36712</v>
      </c>
      <c r="F4272" t="s">
        <v>36713</v>
      </c>
      <c r="G4272" t="s">
        <v>36715</v>
      </c>
      <c r="H4272" t="s">
        <v>36716</v>
      </c>
      <c r="I4272" t="s">
        <v>451</v>
      </c>
      <c r="J4272" t="s">
        <v>22</v>
      </c>
      <c r="K4272" t="s">
        <v>36714</v>
      </c>
      <c r="L4272" t="s">
        <v>36719</v>
      </c>
      <c r="M4272" t="s">
        <v>25</v>
      </c>
      <c r="N4272" t="s">
        <v>25</v>
      </c>
      <c r="O4272" t="s">
        <v>25</v>
      </c>
      <c r="P4272" t="s">
        <v>36720</v>
      </c>
      <c r="Q4272" t="s">
        <v>29</v>
      </c>
      <c r="R4272" t="s">
        <v>36717</v>
      </c>
      <c r="S4272" t="s">
        <v>36718</v>
      </c>
    </row>
    <row r="4273" spans="1:19" x14ac:dyDescent="0.25">
      <c r="A4273" s="1">
        <v>4271</v>
      </c>
      <c r="B4273" t="str">
        <f>HYPERLINK("https://www.dasschnelle.at/kw-kältetechnik-gmbh-söding-sankt-johann-packerstraße","Website")</f>
        <v>Website</v>
      </c>
      <c r="C4273" t="str">
        <f>HYPERLINK("http://www.kaeltewest.at","Website")</f>
        <v>Website</v>
      </c>
      <c r="D4273" t="str">
        <f>HYPERLINK("http://www.google.com/maps/place/47.00071,15.28155","Location")</f>
        <v>Location</v>
      </c>
      <c r="E4273" t="s">
        <v>36721</v>
      </c>
      <c r="F4273" t="s">
        <v>36722</v>
      </c>
      <c r="G4273" t="s">
        <v>4644</v>
      </c>
      <c r="H4273" t="s">
        <v>36724</v>
      </c>
      <c r="I4273" t="s">
        <v>451</v>
      </c>
      <c r="J4273" t="s">
        <v>22</v>
      </c>
      <c r="K4273" t="s">
        <v>36723</v>
      </c>
      <c r="L4273" t="s">
        <v>36727</v>
      </c>
      <c r="M4273" t="s">
        <v>25</v>
      </c>
      <c r="N4273" t="s">
        <v>36728</v>
      </c>
      <c r="O4273" t="s">
        <v>25</v>
      </c>
      <c r="P4273" t="s">
        <v>36729</v>
      </c>
      <c r="Q4273" t="s">
        <v>29</v>
      </c>
      <c r="R4273" t="s">
        <v>36725</v>
      </c>
      <c r="S4273" t="s">
        <v>36726</v>
      </c>
    </row>
    <row r="4274" spans="1:19" x14ac:dyDescent="0.25">
      <c r="A4274" s="1">
        <v>4272</v>
      </c>
      <c r="B4274" t="str">
        <f>HYPERLINK("https://www.dasschnelle.at/hojas-kathrin-köflach-grazerstraße","Website")</f>
        <v>Website</v>
      </c>
      <c r="C4274" t="str">
        <f>HYPERLINK("http://www.heizoel-steiermark.at","Website")</f>
        <v>Website</v>
      </c>
      <c r="D4274" t="str">
        <f>HYPERLINK("http://www.google.com/maps/place/47.06346,15.08861","Location")</f>
        <v>Location</v>
      </c>
      <c r="E4274" t="s">
        <v>36730</v>
      </c>
      <c r="F4274" t="s">
        <v>36731</v>
      </c>
      <c r="G4274" t="s">
        <v>4582</v>
      </c>
      <c r="H4274" t="s">
        <v>4583</v>
      </c>
      <c r="I4274" t="s">
        <v>451</v>
      </c>
      <c r="J4274" t="s">
        <v>22</v>
      </c>
      <c r="K4274" t="s">
        <v>36732</v>
      </c>
      <c r="L4274" t="s">
        <v>36735</v>
      </c>
      <c r="M4274" t="s">
        <v>25</v>
      </c>
      <c r="N4274" t="s">
        <v>36736</v>
      </c>
      <c r="O4274" t="s">
        <v>25</v>
      </c>
      <c r="P4274" t="s">
        <v>36737</v>
      </c>
      <c r="Q4274" t="s">
        <v>29</v>
      </c>
      <c r="R4274" t="s">
        <v>36733</v>
      </c>
      <c r="S4274" t="s">
        <v>36734</v>
      </c>
    </row>
    <row r="4275" spans="1:19" x14ac:dyDescent="0.25">
      <c r="A4275" s="1">
        <v>4273</v>
      </c>
      <c r="B4275" t="str">
        <f>HYPERLINK("https://www.dasschnelle.at/gamisch-heizungsbau-gesmbhundco-kg-obernberg-am-inn-salzburgerstraße","Website")</f>
        <v>Website</v>
      </c>
      <c r="C4275" t="str">
        <f>HYPERLINK("http://www.gamisch.at","Website")</f>
        <v>Website</v>
      </c>
      <c r="D4275" t="str">
        <f>HYPERLINK("http://www.google.com/maps/place/48.31772,13.32799","Location")</f>
        <v>Location</v>
      </c>
      <c r="E4275" t="s">
        <v>36738</v>
      </c>
      <c r="F4275" t="s">
        <v>36739</v>
      </c>
      <c r="G4275" t="s">
        <v>6276</v>
      </c>
      <c r="H4275" t="s">
        <v>36741</v>
      </c>
      <c r="I4275" t="s">
        <v>85</v>
      </c>
      <c r="J4275" t="s">
        <v>22</v>
      </c>
      <c r="K4275" t="s">
        <v>36740</v>
      </c>
      <c r="L4275" t="s">
        <v>36744</v>
      </c>
      <c r="M4275" t="s">
        <v>25</v>
      </c>
      <c r="N4275" t="s">
        <v>36745</v>
      </c>
      <c r="O4275" t="s">
        <v>25</v>
      </c>
      <c r="P4275" t="s">
        <v>36746</v>
      </c>
      <c r="Q4275" t="s">
        <v>29</v>
      </c>
      <c r="R4275" t="s">
        <v>36742</v>
      </c>
      <c r="S4275" t="s">
        <v>36743</v>
      </c>
    </row>
    <row r="4276" spans="1:19" x14ac:dyDescent="0.25">
      <c r="A4276" s="1">
        <v>4274</v>
      </c>
      <c r="B4276" t="str">
        <f>HYPERLINK("https://www.dasschnelle.at/der-eder-gmbh-eitzing-probenzing","Website")</f>
        <v>Website</v>
      </c>
      <c r="C4276" t="str">
        <f>HYPERLINK("http://www.der-eder.at","Website")</f>
        <v>Website</v>
      </c>
      <c r="D4276" t="str">
        <f>HYPERLINK("http://www.google.com/maps/place/48.2311471,13.4321475","Location")</f>
        <v>Location</v>
      </c>
      <c r="E4276" t="s">
        <v>36747</v>
      </c>
      <c r="F4276" t="s">
        <v>36748</v>
      </c>
      <c r="G4276" t="s">
        <v>36750</v>
      </c>
      <c r="H4276" t="s">
        <v>36751</v>
      </c>
      <c r="I4276" t="s">
        <v>85</v>
      </c>
      <c r="J4276" t="s">
        <v>22</v>
      </c>
      <c r="K4276" t="s">
        <v>36749</v>
      </c>
      <c r="L4276" t="s">
        <v>36754</v>
      </c>
      <c r="M4276" t="s">
        <v>25</v>
      </c>
      <c r="N4276" t="s">
        <v>36755</v>
      </c>
      <c r="O4276" t="s">
        <v>25</v>
      </c>
      <c r="P4276" t="s">
        <v>36756</v>
      </c>
      <c r="Q4276" t="s">
        <v>29</v>
      </c>
      <c r="R4276" t="s">
        <v>36752</v>
      </c>
      <c r="S4276" t="s">
        <v>36753</v>
      </c>
    </row>
    <row r="4277" spans="1:19" x14ac:dyDescent="0.25">
      <c r="A4277" s="1">
        <v>4275</v>
      </c>
      <c r="B4277" t="str">
        <f>HYPERLINK("https://www.dasschnelle.at/d-und-w-dach-west-gmbh-mooskirchen-kainachstraße","Website")</f>
        <v>Website</v>
      </c>
      <c r="C4277" t="str">
        <f>HYPERLINK("http://www.dachwest.at","Website")</f>
        <v>Website</v>
      </c>
      <c r="D4277" t="str">
        <f>HYPERLINK("http://www.google.com/maps/place/46.978069,15.2873023","Location")</f>
        <v>Location</v>
      </c>
      <c r="E4277" t="s">
        <v>36757</v>
      </c>
      <c r="F4277" t="s">
        <v>36758</v>
      </c>
      <c r="G4277" t="s">
        <v>36760</v>
      </c>
      <c r="H4277" t="s">
        <v>36761</v>
      </c>
      <c r="I4277" t="s">
        <v>451</v>
      </c>
      <c r="J4277" t="s">
        <v>22</v>
      </c>
      <c r="K4277" t="s">
        <v>36759</v>
      </c>
      <c r="L4277" t="s">
        <v>36764</v>
      </c>
      <c r="M4277" t="s">
        <v>25</v>
      </c>
      <c r="N4277" t="s">
        <v>36765</v>
      </c>
      <c r="O4277" t="s">
        <v>25</v>
      </c>
      <c r="P4277" t="s">
        <v>36766</v>
      </c>
      <c r="Q4277" t="s">
        <v>29</v>
      </c>
      <c r="R4277" t="s">
        <v>36762</v>
      </c>
      <c r="S4277" t="s">
        <v>36763</v>
      </c>
    </row>
    <row r="4278" spans="1:19" x14ac:dyDescent="0.25">
      <c r="A4278" s="1">
        <v>4276</v>
      </c>
      <c r="B4278" t="str">
        <f>HYPERLINK("https://www.dasschnelle.at/wirt-in-der-edt-landgasthaus-radner-elke-u-erwin-schart","Website")</f>
        <v>Website</v>
      </c>
      <c r="C4278" t="str">
        <f>HYPERLINK("http://www.wirt-edt.at","Website")</f>
        <v>Website</v>
      </c>
      <c r="D4278" t="str">
        <f>HYPERLINK("http://www.google.com/maps/place/48.0238931,13.9544490","Location")</f>
        <v>Location</v>
      </c>
      <c r="E4278" t="s">
        <v>36767</v>
      </c>
      <c r="F4278" t="s">
        <v>36768</v>
      </c>
      <c r="G4278" t="s">
        <v>6960</v>
      </c>
      <c r="H4278" t="s">
        <v>36386</v>
      </c>
      <c r="I4278" t="s">
        <v>85</v>
      </c>
      <c r="J4278" t="s">
        <v>22</v>
      </c>
      <c r="K4278" t="s">
        <v>25</v>
      </c>
      <c r="L4278" t="s">
        <v>36771</v>
      </c>
      <c r="M4278" t="s">
        <v>25</v>
      </c>
      <c r="N4278" t="s">
        <v>36772</v>
      </c>
      <c r="O4278" t="s">
        <v>25</v>
      </c>
      <c r="P4278" t="s">
        <v>36773</v>
      </c>
      <c r="Q4278" t="s">
        <v>29</v>
      </c>
      <c r="R4278" t="s">
        <v>36769</v>
      </c>
      <c r="S4278" t="s">
        <v>36770</v>
      </c>
    </row>
    <row r="4279" spans="1:19" x14ac:dyDescent="0.25">
      <c r="A4279" s="1">
        <v>4277</v>
      </c>
      <c r="B4279" t="str">
        <f>HYPERLINK("https://www.dasschnelle.at/hutterer-harald-vorchdorf-theuerwang","Website")</f>
        <v>Website</v>
      </c>
      <c r="C4279" t="str">
        <f>HYPERLINK("http://www.hutterer.biz","Website")</f>
        <v>Website</v>
      </c>
      <c r="D4279" t="str">
        <f>HYPERLINK("http://www.google.com/maps/place/47.9922820,13.9531450","Location")</f>
        <v>Location</v>
      </c>
      <c r="E4279" t="s">
        <v>36774</v>
      </c>
      <c r="F4279" t="s">
        <v>36775</v>
      </c>
      <c r="G4279" t="s">
        <v>6960</v>
      </c>
      <c r="H4279" t="s">
        <v>6961</v>
      </c>
      <c r="I4279" t="s">
        <v>85</v>
      </c>
      <c r="J4279" t="s">
        <v>22</v>
      </c>
      <c r="K4279" t="s">
        <v>36776</v>
      </c>
      <c r="L4279" t="s">
        <v>36779</v>
      </c>
      <c r="M4279" t="s">
        <v>25</v>
      </c>
      <c r="N4279" t="s">
        <v>36780</v>
      </c>
      <c r="O4279" t="s">
        <v>25</v>
      </c>
      <c r="P4279" t="s">
        <v>36781</v>
      </c>
      <c r="Q4279" t="s">
        <v>29</v>
      </c>
      <c r="R4279" t="s">
        <v>36777</v>
      </c>
      <c r="S4279" t="s">
        <v>36778</v>
      </c>
    </row>
    <row r="4280" spans="1:19" x14ac:dyDescent="0.25">
      <c r="A4280" s="1">
        <v>4278</v>
      </c>
      <c r="B4280" t="str">
        <f>HYPERLINK("https://www.dasschnelle.at/dong-s-cooking-steinhaus-bei-wels-reitingerstraße","Website")</f>
        <v>Website</v>
      </c>
      <c r="C4280" t="str">
        <f>HYPERLINK("http://www.dongscooking.com","Website")</f>
        <v>Website</v>
      </c>
      <c r="D4280" t="str">
        <f>HYPERLINK("http://www.google.com/maps/place/48.10354,14.0399","Location")</f>
        <v>Location</v>
      </c>
      <c r="E4280" t="s">
        <v>36782</v>
      </c>
      <c r="F4280" t="s">
        <v>36783</v>
      </c>
      <c r="G4280" t="s">
        <v>4965</v>
      </c>
      <c r="H4280" t="s">
        <v>36785</v>
      </c>
      <c r="I4280" t="s">
        <v>85</v>
      </c>
      <c r="J4280" t="s">
        <v>22</v>
      </c>
      <c r="K4280" t="s">
        <v>36784</v>
      </c>
      <c r="L4280" t="s">
        <v>36788</v>
      </c>
      <c r="M4280" t="s">
        <v>25</v>
      </c>
      <c r="N4280" t="s">
        <v>36789</v>
      </c>
      <c r="O4280" t="s">
        <v>25</v>
      </c>
      <c r="P4280" t="s">
        <v>36790</v>
      </c>
      <c r="Q4280" t="s">
        <v>29</v>
      </c>
      <c r="R4280" t="s">
        <v>36786</v>
      </c>
      <c r="S4280" t="s">
        <v>36787</v>
      </c>
    </row>
    <row r="4281" spans="1:19" x14ac:dyDescent="0.25">
      <c r="A4281" s="1">
        <v>4279</v>
      </c>
      <c r="B4281" t="str">
        <f>HYPERLINK("https://www.dasschnelle.at/moser-josef-steinerkirchen-schnelling","Website")</f>
        <v>Website</v>
      </c>
      <c r="C4281" t="str">
        <f>HYPERLINK("https://www.dasschnelle.at/moser-josef-steinerkirchen-schnelling","Website")</f>
        <v>Website</v>
      </c>
      <c r="D4281" t="str">
        <f>HYPERLINK("http://www.google.com/maps/place/48.0472734,13.9569902","Location")</f>
        <v>Location</v>
      </c>
      <c r="E4281" t="s">
        <v>36791</v>
      </c>
      <c r="F4281" t="s">
        <v>36792</v>
      </c>
      <c r="G4281" t="s">
        <v>10886</v>
      </c>
      <c r="H4281" t="s">
        <v>10914</v>
      </c>
      <c r="I4281" t="s">
        <v>85</v>
      </c>
      <c r="J4281" t="s">
        <v>22</v>
      </c>
      <c r="K4281" t="s">
        <v>36793</v>
      </c>
      <c r="L4281" t="s">
        <v>36796</v>
      </c>
      <c r="M4281" t="s">
        <v>25</v>
      </c>
      <c r="N4281" t="s">
        <v>36797</v>
      </c>
      <c r="O4281" t="s">
        <v>25</v>
      </c>
      <c r="P4281" t="s">
        <v>36798</v>
      </c>
      <c r="Q4281" t="s">
        <v>29</v>
      </c>
      <c r="R4281" t="s">
        <v>36794</v>
      </c>
      <c r="S4281" t="s">
        <v>36795</v>
      </c>
    </row>
    <row r="4282" spans="1:19" x14ac:dyDescent="0.25">
      <c r="A4282" s="1">
        <v>4280</v>
      </c>
      <c r="B4282" t="str">
        <f>HYPERLINK("https://www.dasschnelle.at/moser-kleinbichler-iris-dr-med-dent-murau-albert-sacherer-siedlung","Website")</f>
        <v>Website</v>
      </c>
      <c r="C4282" t="str">
        <f>HYPERLINK("http://www.moser-kleinbichler.at","Website")</f>
        <v>Website</v>
      </c>
      <c r="D4282" t="str">
        <f>HYPERLINK("http://www.google.com/maps/place/47.11807,14.17282","Location")</f>
        <v>Location</v>
      </c>
      <c r="E4282" t="s">
        <v>36799</v>
      </c>
      <c r="F4282" t="s">
        <v>36800</v>
      </c>
      <c r="G4282" t="s">
        <v>12112</v>
      </c>
      <c r="H4282" t="s">
        <v>12113</v>
      </c>
      <c r="I4282" t="s">
        <v>451</v>
      </c>
      <c r="J4282" t="s">
        <v>22</v>
      </c>
      <c r="K4282" t="s">
        <v>36801</v>
      </c>
      <c r="L4282" t="s">
        <v>36804</v>
      </c>
      <c r="M4282" t="s">
        <v>25</v>
      </c>
      <c r="N4282" t="s">
        <v>36805</v>
      </c>
      <c r="O4282" t="s">
        <v>25</v>
      </c>
      <c r="P4282" t="s">
        <v>36806</v>
      </c>
      <c r="Q4282" t="s">
        <v>29</v>
      </c>
      <c r="R4282" t="s">
        <v>36802</v>
      </c>
      <c r="S4282" t="s">
        <v>36803</v>
      </c>
    </row>
    <row r="4283" spans="1:19" x14ac:dyDescent="0.25">
      <c r="A4283" s="1">
        <v>4281</v>
      </c>
      <c r="B4283" t="str">
        <f>HYPERLINK("https://www.dasschnelle.at/martetschläger-gesmbh-vorchdorf-dr-mitterbauerstraße","Website")</f>
        <v>Website</v>
      </c>
      <c r="C4283" t="str">
        <f>HYPERLINK("http://www.martetschlaeger.net","Website")</f>
        <v>Website</v>
      </c>
      <c r="D4283" t="str">
        <f>HYPERLINK("http://www.google.com/maps/place/48.0106700,13.9160400","Location")</f>
        <v>Location</v>
      </c>
      <c r="E4283" t="s">
        <v>36807</v>
      </c>
      <c r="F4283" t="s">
        <v>36808</v>
      </c>
      <c r="G4283" t="s">
        <v>6960</v>
      </c>
      <c r="H4283" t="s">
        <v>6961</v>
      </c>
      <c r="I4283" t="s">
        <v>85</v>
      </c>
      <c r="J4283" t="s">
        <v>22</v>
      </c>
      <c r="K4283" t="s">
        <v>36809</v>
      </c>
      <c r="L4283" t="s">
        <v>36812</v>
      </c>
      <c r="M4283" t="s">
        <v>36813</v>
      </c>
      <c r="N4283" t="s">
        <v>36814</v>
      </c>
      <c r="O4283" t="s">
        <v>25</v>
      </c>
      <c r="P4283" t="s">
        <v>36815</v>
      </c>
      <c r="Q4283" t="s">
        <v>29</v>
      </c>
      <c r="R4283" t="s">
        <v>36810</v>
      </c>
      <c r="S4283" t="s">
        <v>36811</v>
      </c>
    </row>
    <row r="4284" spans="1:19" x14ac:dyDescent="0.25">
      <c r="A4284" s="1">
        <v>4282</v>
      </c>
      <c r="B4284" t="str">
        <f>HYPERLINK("https://www.dasschnelle.at/neumair-josef-hummelberg-hummelberg","Website")</f>
        <v>Website</v>
      </c>
      <c r="C4284" t="str">
        <f>HYPERLINK("http://www.tischlerei-neumair.at","Website")</f>
        <v>Website</v>
      </c>
      <c r="D4284" t="str">
        <f>HYPERLINK("http://www.google.com/maps/place/48.0672649,13.9554003","Location")</f>
        <v>Location</v>
      </c>
      <c r="E4284" t="s">
        <v>36816</v>
      </c>
      <c r="F4284" t="s">
        <v>36817</v>
      </c>
      <c r="G4284" t="s">
        <v>10886</v>
      </c>
      <c r="H4284" t="s">
        <v>36819</v>
      </c>
      <c r="I4284" t="s">
        <v>85</v>
      </c>
      <c r="J4284" t="s">
        <v>22</v>
      </c>
      <c r="K4284" t="s">
        <v>36818</v>
      </c>
      <c r="L4284" t="s">
        <v>36822</v>
      </c>
      <c r="M4284" t="s">
        <v>25</v>
      </c>
      <c r="N4284" t="s">
        <v>36823</v>
      </c>
      <c r="O4284" t="s">
        <v>25</v>
      </c>
      <c r="P4284" t="s">
        <v>36824</v>
      </c>
      <c r="Q4284" t="s">
        <v>29</v>
      </c>
      <c r="R4284" t="s">
        <v>36820</v>
      </c>
      <c r="S4284" t="s">
        <v>36821</v>
      </c>
    </row>
    <row r="4285" spans="1:19" x14ac:dyDescent="0.25">
      <c r="A4285" s="1">
        <v>4283</v>
      </c>
      <c r="B4285" t="str">
        <f>HYPERLINK("https://www.dasschnelle.at/stribl-silvia-rohrbach-stadtplatz","Website")</f>
        <v>Website</v>
      </c>
      <c r="C4285" t="str">
        <f>HYPERLINK("http://www.logopaedie-stribl.at","Website")</f>
        <v>Website</v>
      </c>
      <c r="D4285" t="str">
        <f>HYPERLINK("http://www.google.com/maps/place/48.5713454,13.9923906","Location")</f>
        <v>Location</v>
      </c>
      <c r="E4285" t="s">
        <v>36825</v>
      </c>
      <c r="F4285" t="s">
        <v>36826</v>
      </c>
      <c r="G4285" t="s">
        <v>8561</v>
      </c>
      <c r="H4285" t="s">
        <v>8562</v>
      </c>
      <c r="I4285" t="s">
        <v>85</v>
      </c>
      <c r="J4285" t="s">
        <v>22</v>
      </c>
      <c r="K4285" t="s">
        <v>29397</v>
      </c>
      <c r="L4285" t="s">
        <v>36827</v>
      </c>
      <c r="M4285" t="s">
        <v>25</v>
      </c>
      <c r="N4285" t="s">
        <v>36828</v>
      </c>
      <c r="O4285" t="s">
        <v>25</v>
      </c>
      <c r="P4285" t="s">
        <v>36829</v>
      </c>
      <c r="Q4285" t="s">
        <v>29</v>
      </c>
      <c r="R4285" t="s">
        <v>35223</v>
      </c>
      <c r="S4285" t="s">
        <v>35224</v>
      </c>
    </row>
    <row r="4286" spans="1:19" x14ac:dyDescent="0.25">
      <c r="A4286" s="1">
        <v>4284</v>
      </c>
      <c r="B4286" t="str">
        <f>HYPERLINK("https://www.dasschnelle.at/lichtenwagner-stadler-rohrbach-haslacher-str","Website")</f>
        <v>Website</v>
      </c>
      <c r="C4286" t="str">
        <f>HYPERLINK("http://www.lichtenwagner.at","Website")</f>
        <v>Website</v>
      </c>
      <c r="D4286" t="str">
        <f>HYPERLINK("http://www.google.com/maps/place/48.5694013,13.9963444","Location")</f>
        <v>Location</v>
      </c>
      <c r="E4286" t="s">
        <v>36830</v>
      </c>
      <c r="F4286" t="s">
        <v>36831</v>
      </c>
      <c r="G4286" t="s">
        <v>8561</v>
      </c>
      <c r="H4286" t="s">
        <v>8562</v>
      </c>
      <c r="I4286" t="s">
        <v>85</v>
      </c>
      <c r="J4286" t="s">
        <v>22</v>
      </c>
      <c r="K4286" t="s">
        <v>36832</v>
      </c>
      <c r="L4286" t="s">
        <v>36835</v>
      </c>
      <c r="M4286" t="s">
        <v>25</v>
      </c>
      <c r="N4286" t="s">
        <v>36836</v>
      </c>
      <c r="O4286" t="s">
        <v>25</v>
      </c>
      <c r="P4286" t="s">
        <v>36837</v>
      </c>
      <c r="Q4286" t="s">
        <v>29</v>
      </c>
      <c r="R4286" t="s">
        <v>36833</v>
      </c>
      <c r="S4286" t="s">
        <v>36834</v>
      </c>
    </row>
    <row r="4287" spans="1:19" x14ac:dyDescent="0.25">
      <c r="A4287" s="1">
        <v>4285</v>
      </c>
      <c r="B4287" t="str">
        <f>HYPERLINK("https://www.dasschnelle.at/rak-gerhard-dr-med-univ-rohrbach-akademiestraße","Website")</f>
        <v>Website</v>
      </c>
      <c r="C4287" t="str">
        <f>HYPERLINK("http://www.zahngesundheit.at","Website")</f>
        <v>Website</v>
      </c>
      <c r="D4287" t="str">
        <f>HYPERLINK("http://www.google.com/maps/place/48.5710628,13.9888710","Location")</f>
        <v>Location</v>
      </c>
      <c r="E4287" t="s">
        <v>36838</v>
      </c>
      <c r="F4287" t="s">
        <v>36839</v>
      </c>
      <c r="G4287" t="s">
        <v>8561</v>
      </c>
      <c r="H4287" t="s">
        <v>8562</v>
      </c>
      <c r="I4287" t="s">
        <v>85</v>
      </c>
      <c r="J4287" t="s">
        <v>22</v>
      </c>
      <c r="K4287" t="s">
        <v>36840</v>
      </c>
      <c r="L4287" t="s">
        <v>36843</v>
      </c>
      <c r="M4287" t="s">
        <v>25</v>
      </c>
      <c r="N4287" t="s">
        <v>36844</v>
      </c>
      <c r="O4287" t="s">
        <v>25</v>
      </c>
      <c r="P4287" t="s">
        <v>36845</v>
      </c>
      <c r="Q4287" t="s">
        <v>29</v>
      </c>
      <c r="R4287" t="s">
        <v>36841</v>
      </c>
      <c r="S4287" t="s">
        <v>36842</v>
      </c>
    </row>
    <row r="4288" spans="1:19" x14ac:dyDescent="0.25">
      <c r="A4288" s="1">
        <v>4286</v>
      </c>
      <c r="B4288" t="str">
        <f>HYPERLINK("https://www.dasschnelle.at/getzendorfer-bernd-dr-med-peilstein-im-mühlviertel-marktstraße","Website")</f>
        <v>Website</v>
      </c>
      <c r="C4288" t="str">
        <f>HYPERLINK("http://www.getzendorfer.at","Website")</f>
        <v>Website</v>
      </c>
      <c r="D4288" t="str">
        <f>HYPERLINK("http://www.google.com/maps/place/48.6178,13.89484","Location")</f>
        <v>Location</v>
      </c>
      <c r="E4288" t="s">
        <v>36846</v>
      </c>
      <c r="F4288" t="s">
        <v>36847</v>
      </c>
      <c r="G4288" t="s">
        <v>8571</v>
      </c>
      <c r="H4288" t="s">
        <v>8572</v>
      </c>
      <c r="I4288" t="s">
        <v>85</v>
      </c>
      <c r="J4288" t="s">
        <v>22</v>
      </c>
      <c r="K4288" t="s">
        <v>36848</v>
      </c>
      <c r="L4288" t="s">
        <v>36851</v>
      </c>
      <c r="M4288" t="s">
        <v>25</v>
      </c>
      <c r="N4288" t="s">
        <v>36852</v>
      </c>
      <c r="O4288" t="s">
        <v>25</v>
      </c>
      <c r="P4288" t="s">
        <v>36853</v>
      </c>
      <c r="Q4288" t="s">
        <v>29</v>
      </c>
      <c r="R4288" t="s">
        <v>36849</v>
      </c>
      <c r="S4288" t="s">
        <v>36850</v>
      </c>
    </row>
    <row r="4289" spans="1:19" x14ac:dyDescent="0.25">
      <c r="A4289" s="1">
        <v>4287</v>
      </c>
      <c r="B4289" t="str">
        <f>HYPERLINK("https://www.dasschnelle.at/ecc-ecocare-wirtschaftsberatung-gmbh-rohrbach-berggasse","Website")</f>
        <v>Website</v>
      </c>
      <c r="C4289" t="str">
        <f>HYPERLINK("http://www.ecc-ecocare.com","Website")</f>
        <v>Website</v>
      </c>
      <c r="D4289" t="str">
        <f>HYPERLINK("http://www.google.com/maps/place/48.5728169,13.9921506","Location")</f>
        <v>Location</v>
      </c>
      <c r="E4289" t="s">
        <v>36854</v>
      </c>
      <c r="F4289" t="s">
        <v>36855</v>
      </c>
      <c r="G4289" t="s">
        <v>8561</v>
      </c>
      <c r="H4289" t="s">
        <v>8562</v>
      </c>
      <c r="I4289" t="s">
        <v>85</v>
      </c>
      <c r="J4289" t="s">
        <v>22</v>
      </c>
      <c r="K4289" t="s">
        <v>36856</v>
      </c>
      <c r="L4289" t="s">
        <v>36859</v>
      </c>
      <c r="M4289" t="s">
        <v>25</v>
      </c>
      <c r="N4289" t="s">
        <v>36860</v>
      </c>
      <c r="O4289" t="s">
        <v>25</v>
      </c>
      <c r="P4289" t="s">
        <v>36861</v>
      </c>
      <c r="Q4289" t="s">
        <v>29</v>
      </c>
      <c r="R4289" t="s">
        <v>36857</v>
      </c>
      <c r="S4289" t="s">
        <v>36858</v>
      </c>
    </row>
    <row r="4290" spans="1:19" x14ac:dyDescent="0.25">
      <c r="A4290" s="1">
        <v>4288</v>
      </c>
      <c r="B4290" t="str">
        <f>HYPERLINK("https://www.dasschnelle.at/ehs-steuerberatungs-gmbh-rohrbach-berggasse","Website")</f>
        <v>Website</v>
      </c>
      <c r="C4290" t="str">
        <f>HYPERLINK("http://www.ehs.gmbh","Website")</f>
        <v>Website</v>
      </c>
      <c r="D4290" t="str">
        <f>HYPERLINK("http://www.google.com/maps/place/48.5728169,13.9921506","Location")</f>
        <v>Location</v>
      </c>
      <c r="E4290" t="s">
        <v>36862</v>
      </c>
      <c r="F4290" t="s">
        <v>36863</v>
      </c>
      <c r="G4290" t="s">
        <v>8561</v>
      </c>
      <c r="H4290" t="s">
        <v>8562</v>
      </c>
      <c r="I4290" t="s">
        <v>85</v>
      </c>
      <c r="J4290" t="s">
        <v>22</v>
      </c>
      <c r="K4290" t="s">
        <v>36856</v>
      </c>
      <c r="L4290" t="s">
        <v>36864</v>
      </c>
      <c r="M4290" t="s">
        <v>25</v>
      </c>
      <c r="N4290" t="s">
        <v>36865</v>
      </c>
      <c r="O4290" t="s">
        <v>25</v>
      </c>
      <c r="P4290" t="s">
        <v>36866</v>
      </c>
      <c r="Q4290" t="s">
        <v>29</v>
      </c>
      <c r="R4290" t="s">
        <v>36857</v>
      </c>
      <c r="S4290" t="s">
        <v>36858</v>
      </c>
    </row>
    <row r="4291" spans="1:19" x14ac:dyDescent="0.25">
      <c r="A4291" s="1">
        <v>4289</v>
      </c>
      <c r="B4291" t="str">
        <f>HYPERLINK("https://www.dasschnelle.at/buttinger-erwin-gurten-am-unteren-anger","Website")</f>
        <v>Website</v>
      </c>
      <c r="C4291" t="str">
        <f>HYPERLINK("http://www.elektro-net.at","Website")</f>
        <v>Website</v>
      </c>
      <c r="D4291" t="str">
        <f>HYPERLINK("http://www.google.com/maps/place/48.24206,13.35046","Location")</f>
        <v>Location</v>
      </c>
      <c r="E4291" t="s">
        <v>36867</v>
      </c>
      <c r="F4291" t="s">
        <v>36868</v>
      </c>
      <c r="G4291" t="s">
        <v>36606</v>
      </c>
      <c r="H4291" t="s">
        <v>36607</v>
      </c>
      <c r="I4291" t="s">
        <v>85</v>
      </c>
      <c r="J4291" t="s">
        <v>22</v>
      </c>
      <c r="K4291" t="s">
        <v>36869</v>
      </c>
      <c r="L4291" t="s">
        <v>36872</v>
      </c>
      <c r="M4291" t="s">
        <v>25</v>
      </c>
      <c r="N4291" t="s">
        <v>36873</v>
      </c>
      <c r="O4291" t="s">
        <v>36874</v>
      </c>
      <c r="P4291" t="s">
        <v>36875</v>
      </c>
      <c r="Q4291" t="s">
        <v>29</v>
      </c>
      <c r="R4291" t="s">
        <v>36870</v>
      </c>
      <c r="S4291" t="s">
        <v>36871</v>
      </c>
    </row>
    <row r="4292" spans="1:19" x14ac:dyDescent="0.25">
      <c r="A4292" s="1">
        <v>4290</v>
      </c>
      <c r="B4292" t="str">
        <f>HYPERLINK("https://www.dasschnelle.at/steinmaurer-karl-sattledt-maidorf","Website")</f>
        <v>Website</v>
      </c>
      <c r="C4292" t="str">
        <f>HYPERLINK("http://www.steinmaurer-schlosserei.at","Website")</f>
        <v>Website</v>
      </c>
      <c r="D4292" t="str">
        <f>HYPERLINK("http://www.google.com/maps/place/48.0604881,14.0522264","Location")</f>
        <v>Location</v>
      </c>
      <c r="E4292" t="s">
        <v>36876</v>
      </c>
      <c r="F4292" t="s">
        <v>36877</v>
      </c>
      <c r="G4292" t="s">
        <v>10896</v>
      </c>
      <c r="H4292" t="s">
        <v>10897</v>
      </c>
      <c r="I4292" t="s">
        <v>85</v>
      </c>
      <c r="J4292" t="s">
        <v>22</v>
      </c>
      <c r="K4292" t="s">
        <v>36878</v>
      </c>
      <c r="L4292" t="s">
        <v>36881</v>
      </c>
      <c r="M4292" t="s">
        <v>25</v>
      </c>
      <c r="N4292" t="s">
        <v>36882</v>
      </c>
      <c r="O4292" t="s">
        <v>36883</v>
      </c>
      <c r="P4292" t="s">
        <v>36884</v>
      </c>
      <c r="Q4292" t="s">
        <v>29</v>
      </c>
      <c r="R4292" t="s">
        <v>36879</v>
      </c>
      <c r="S4292" t="s">
        <v>36880</v>
      </c>
    </row>
    <row r="4293" spans="1:19" x14ac:dyDescent="0.25">
      <c r="A4293" s="1">
        <v>4291</v>
      </c>
      <c r="B4293" t="str">
        <f>HYPERLINK("https://www.dasschnelle.at/trummer-und-partnerinnen-steuerberatung-gmbh-irdning-ahornerstraße","Website")</f>
        <v>Website</v>
      </c>
      <c r="C4293" t="str">
        <f>HYPERLINK("http://www.trummer-partnerinnen.at","Website")</f>
        <v>Website</v>
      </c>
      <c r="D4293" t="str">
        <f>HYPERLINK("http://www.google.com/maps/place/47.50723,14.10871","Location")</f>
        <v>Location</v>
      </c>
      <c r="E4293" t="s">
        <v>36885</v>
      </c>
      <c r="F4293" t="s">
        <v>36886</v>
      </c>
      <c r="G4293" t="s">
        <v>36888</v>
      </c>
      <c r="H4293" t="s">
        <v>36889</v>
      </c>
      <c r="I4293" t="s">
        <v>451</v>
      </c>
      <c r="J4293" t="s">
        <v>22</v>
      </c>
      <c r="K4293" t="s">
        <v>36887</v>
      </c>
      <c r="L4293" t="s">
        <v>25</v>
      </c>
      <c r="M4293" t="s">
        <v>36892</v>
      </c>
      <c r="N4293" t="s">
        <v>36893</v>
      </c>
      <c r="O4293" t="s">
        <v>25</v>
      </c>
      <c r="P4293" t="s">
        <v>36894</v>
      </c>
      <c r="Q4293" t="s">
        <v>29</v>
      </c>
      <c r="R4293" t="s">
        <v>36890</v>
      </c>
      <c r="S4293" t="s">
        <v>36891</v>
      </c>
    </row>
    <row r="4294" spans="1:19" x14ac:dyDescent="0.25">
      <c r="A4294" s="1">
        <v>4292</v>
      </c>
      <c r="B4294" t="str">
        <f>HYPERLINK("https://www.dasschnelle.at/hartig-ruth-dr-scheibbs-hauptstraße","Website")</f>
        <v>Website</v>
      </c>
      <c r="C4294" t="str">
        <f>HYPERLINK("https://www.dasschnelle.at/hartig-ruth-dr-scheibbs-hauptstra%C3%9Fe","Website")</f>
        <v>Website</v>
      </c>
      <c r="D4294" t="str">
        <f>HYPERLINK("http://www.google.com/maps/place/48.00722,15.16543","Location")</f>
        <v>Location</v>
      </c>
      <c r="E4294" t="s">
        <v>36895</v>
      </c>
      <c r="F4294" t="s">
        <v>36896</v>
      </c>
      <c r="G4294" t="s">
        <v>9836</v>
      </c>
      <c r="H4294" t="s">
        <v>9837</v>
      </c>
      <c r="I4294" t="s">
        <v>177</v>
      </c>
      <c r="J4294" t="s">
        <v>22</v>
      </c>
      <c r="K4294" t="s">
        <v>3090</v>
      </c>
      <c r="L4294" t="s">
        <v>36898</v>
      </c>
      <c r="M4294" t="s">
        <v>25</v>
      </c>
      <c r="N4294" t="s">
        <v>36899</v>
      </c>
      <c r="O4294" t="s">
        <v>25</v>
      </c>
      <c r="P4294" t="s">
        <v>36900</v>
      </c>
      <c r="Q4294" t="s">
        <v>29</v>
      </c>
      <c r="R4294" t="s">
        <v>23415</v>
      </c>
      <c r="S4294" t="s">
        <v>36897</v>
      </c>
    </row>
    <row r="4295" spans="1:19" x14ac:dyDescent="0.25">
      <c r="A4295" s="1">
        <v>4293</v>
      </c>
      <c r="B4295" t="str">
        <f>HYPERLINK("https://www.dasschnelle.at/kraft-michael-dipl-ta-murau-goethestraße","Website")</f>
        <v>Website</v>
      </c>
      <c r="C4295" t="str">
        <f>HYPERLINK("http://www.tierarztpraxiskraft.at","Website")</f>
        <v>Website</v>
      </c>
      <c r="D4295" t="str">
        <f>HYPERLINK("http://www.google.com/maps/place/47.11334,14.1724","Location")</f>
        <v>Location</v>
      </c>
      <c r="E4295" t="s">
        <v>36901</v>
      </c>
      <c r="F4295" t="s">
        <v>36902</v>
      </c>
      <c r="G4295" t="s">
        <v>12112</v>
      </c>
      <c r="H4295" t="s">
        <v>12113</v>
      </c>
      <c r="I4295" t="s">
        <v>451</v>
      </c>
      <c r="J4295" t="s">
        <v>22</v>
      </c>
      <c r="K4295" t="s">
        <v>36903</v>
      </c>
      <c r="L4295" t="s">
        <v>36906</v>
      </c>
      <c r="M4295" t="s">
        <v>25</v>
      </c>
      <c r="N4295" t="s">
        <v>36907</v>
      </c>
      <c r="O4295" t="s">
        <v>25</v>
      </c>
      <c r="P4295" t="s">
        <v>36908</v>
      </c>
      <c r="Q4295" t="s">
        <v>29</v>
      </c>
      <c r="R4295" t="s">
        <v>36904</v>
      </c>
      <c r="S4295" t="s">
        <v>36905</v>
      </c>
    </row>
    <row r="4296" spans="1:19" x14ac:dyDescent="0.25">
      <c r="A4296" s="1">
        <v>4294</v>
      </c>
      <c r="B4296" t="str">
        <f>HYPERLINK("https://www.dasschnelle.at/radner-bernhard-vorchdorf-schulstraße","Website")</f>
        <v>Website</v>
      </c>
      <c r="C4296" t="str">
        <f>HYPERLINK("http://www.bestattung-vorchdorf.at","Website")</f>
        <v>Website</v>
      </c>
      <c r="D4296" t="str">
        <f>HYPERLINK("http://www.google.com/maps/place/48.00719,13.92494","Location")</f>
        <v>Location</v>
      </c>
      <c r="E4296" t="s">
        <v>36909</v>
      </c>
      <c r="F4296" t="s">
        <v>36910</v>
      </c>
      <c r="G4296" t="s">
        <v>6960</v>
      </c>
      <c r="H4296" t="s">
        <v>6961</v>
      </c>
      <c r="I4296" t="s">
        <v>85</v>
      </c>
      <c r="J4296" t="s">
        <v>22</v>
      </c>
      <c r="K4296" t="s">
        <v>36911</v>
      </c>
      <c r="L4296" t="s">
        <v>36914</v>
      </c>
      <c r="M4296" t="s">
        <v>36915</v>
      </c>
      <c r="N4296" t="s">
        <v>36916</v>
      </c>
      <c r="O4296" t="s">
        <v>25</v>
      </c>
      <c r="P4296" t="s">
        <v>36917</v>
      </c>
      <c r="Q4296" t="s">
        <v>29</v>
      </c>
      <c r="R4296" t="s">
        <v>36912</v>
      </c>
      <c r="S4296" t="s">
        <v>36913</v>
      </c>
    </row>
    <row r="4297" spans="1:19" x14ac:dyDescent="0.25">
      <c r="A4297" s="1">
        <v>4295</v>
      </c>
      <c r="B4297" t="str">
        <f>HYPERLINK("https://www.dasschnelle.at/scheuerer-gerald-tamsweg-mörtelsdorf","Website")</f>
        <v>Website</v>
      </c>
      <c r="C4297" t="str">
        <f>HYPERLINK("https://www.dasschnelle.at/scheuerer-gerald-tamsweg-m%C3%B6rtelsdorf","Website")</f>
        <v>Website</v>
      </c>
      <c r="D4297" t="str">
        <f>HYPERLINK("http://www.google.com/maps/place/47.1289800,13.7886800","Location")</f>
        <v>Location</v>
      </c>
      <c r="E4297" t="s">
        <v>36918</v>
      </c>
      <c r="F4297" t="s">
        <v>36919</v>
      </c>
      <c r="G4297" t="s">
        <v>11522</v>
      </c>
      <c r="H4297" t="s">
        <v>11523</v>
      </c>
      <c r="I4297" t="s">
        <v>2239</v>
      </c>
      <c r="J4297" t="s">
        <v>22</v>
      </c>
      <c r="K4297" t="s">
        <v>36920</v>
      </c>
      <c r="L4297" t="s">
        <v>36923</v>
      </c>
      <c r="M4297" t="s">
        <v>25</v>
      </c>
      <c r="N4297" t="s">
        <v>36924</v>
      </c>
      <c r="O4297" t="s">
        <v>36925</v>
      </c>
      <c r="P4297" t="s">
        <v>36926</v>
      </c>
      <c r="Q4297" t="s">
        <v>29</v>
      </c>
      <c r="R4297" t="s">
        <v>36921</v>
      </c>
      <c r="S4297" t="s">
        <v>36922</v>
      </c>
    </row>
    <row r="4298" spans="1:19" x14ac:dyDescent="0.25">
      <c r="A4298" s="1">
        <v>4296</v>
      </c>
      <c r="B4298" t="str">
        <f>HYPERLINK("https://www.dasschnelle.at/schnitzer-gesmbh-trautenfels-niederstuttern","Website")</f>
        <v>Website</v>
      </c>
      <c r="C4298" t="str">
        <f>HYPERLINK("http://www.auto-schnitzer.at","Website")</f>
        <v>Website</v>
      </c>
      <c r="D4298" t="str">
        <f>HYPERLINK("http://www.google.com/maps/place/47.50929,14.0538","Location")</f>
        <v>Location</v>
      </c>
      <c r="E4298" t="s">
        <v>36927</v>
      </c>
      <c r="F4298" t="s">
        <v>36928</v>
      </c>
      <c r="G4298" t="s">
        <v>36930</v>
      </c>
      <c r="H4298" t="s">
        <v>36931</v>
      </c>
      <c r="I4298" t="s">
        <v>451</v>
      </c>
      <c r="J4298" t="s">
        <v>22</v>
      </c>
      <c r="K4298" t="s">
        <v>36929</v>
      </c>
      <c r="L4298" t="s">
        <v>36934</v>
      </c>
      <c r="M4298" t="s">
        <v>36935</v>
      </c>
      <c r="N4298" t="s">
        <v>36936</v>
      </c>
      <c r="O4298" t="s">
        <v>25</v>
      </c>
      <c r="P4298" t="s">
        <v>36937</v>
      </c>
      <c r="Q4298" t="s">
        <v>29</v>
      </c>
      <c r="R4298" t="s">
        <v>36932</v>
      </c>
      <c r="S4298" t="s">
        <v>36933</v>
      </c>
    </row>
    <row r="4299" spans="1:19" x14ac:dyDescent="0.25">
      <c r="A4299" s="1">
        <v>4297</v>
      </c>
      <c r="B4299" t="str">
        <f>HYPERLINK("https://www.dasschnelle.at/punkenhofer-martina-bad-mitterndorf-obersdorf","Website")</f>
        <v>Website</v>
      </c>
      <c r="C4299" t="str">
        <f>HYPERLINK("http://punkenhofer.suzuki.at","Website")</f>
        <v>Website</v>
      </c>
      <c r="D4299" t="str">
        <f>HYPERLINK("http://www.google.com/maps/place/47.5673131,13.8988719","Location")</f>
        <v>Location</v>
      </c>
      <c r="E4299" t="s">
        <v>36938</v>
      </c>
      <c r="F4299" t="s">
        <v>36939</v>
      </c>
      <c r="G4299" t="s">
        <v>1133</v>
      </c>
      <c r="H4299" t="s">
        <v>1134</v>
      </c>
      <c r="I4299" t="s">
        <v>451</v>
      </c>
      <c r="J4299" t="s">
        <v>22</v>
      </c>
      <c r="K4299" t="s">
        <v>36940</v>
      </c>
      <c r="L4299" t="s">
        <v>36943</v>
      </c>
      <c r="M4299" t="s">
        <v>25</v>
      </c>
      <c r="N4299" t="s">
        <v>36944</v>
      </c>
      <c r="O4299" t="s">
        <v>25</v>
      </c>
      <c r="P4299" t="s">
        <v>36945</v>
      </c>
      <c r="Q4299" t="s">
        <v>29</v>
      </c>
      <c r="R4299" t="s">
        <v>36941</v>
      </c>
      <c r="S4299" t="s">
        <v>36942</v>
      </c>
    </row>
    <row r="4300" spans="1:19" x14ac:dyDescent="0.25">
      <c r="A4300" s="1">
        <v>4298</v>
      </c>
      <c r="B4300" t="str">
        <f>HYPERLINK("https://www.dasschnelle.at/modl-manfred-ing-altenmarkt-bei-sankt-gallen-altenmarkt-bei-sankt-gallen","Website")</f>
        <v>Website</v>
      </c>
      <c r="C4300" t="str">
        <f>HYPERLINK("https://www.dasschnelle.at/modl-manfred-ing-altenmarkt-bei-sankt-gallen-altenmarkt-bei-sankt-gallen","Website")</f>
        <v>Website</v>
      </c>
      <c r="D4300" t="str">
        <f>HYPERLINK("http://www.google.com/maps/place/47.7248806,14.6504538","Location")</f>
        <v>Location</v>
      </c>
      <c r="E4300" t="s">
        <v>36946</v>
      </c>
      <c r="F4300" t="s">
        <v>36947</v>
      </c>
      <c r="G4300" t="s">
        <v>36949</v>
      </c>
      <c r="H4300" t="s">
        <v>36950</v>
      </c>
      <c r="I4300" t="s">
        <v>451</v>
      </c>
      <c r="J4300" t="s">
        <v>22</v>
      </c>
      <c r="K4300" t="s">
        <v>36948</v>
      </c>
      <c r="L4300" t="s">
        <v>36953</v>
      </c>
      <c r="M4300" t="s">
        <v>25</v>
      </c>
      <c r="N4300" t="s">
        <v>36954</v>
      </c>
      <c r="O4300" t="s">
        <v>25</v>
      </c>
      <c r="P4300" t="s">
        <v>36955</v>
      </c>
      <c r="Q4300" t="s">
        <v>29</v>
      </c>
      <c r="R4300" t="s">
        <v>36951</v>
      </c>
      <c r="S4300" t="s">
        <v>36952</v>
      </c>
    </row>
    <row r="4301" spans="1:19" x14ac:dyDescent="0.25">
      <c r="A4301" s="1">
        <v>4299</v>
      </c>
      <c r="B4301" t="str">
        <f>HYPERLINK("https://www.dasschnelle.at/rumpf-stefan-pichling-bei-köflach-alois-geißler-straße","Website")</f>
        <v>Website</v>
      </c>
      <c r="C4301" t="str">
        <f>HYPERLINK("https://www.dasschnelle.at/rumpf-stefan-pichling-bei-k%C3%B6flach-alois-gei%C3%9Fler-stra%C3%9Fe","Website")</f>
        <v>Website</v>
      </c>
      <c r="D4301" t="str">
        <f>HYPERLINK("http://www.google.com/maps/place/47.04532,15.0769","Location")</f>
        <v>Location</v>
      </c>
      <c r="E4301" t="s">
        <v>36956</v>
      </c>
      <c r="F4301" t="s">
        <v>36957</v>
      </c>
      <c r="G4301" t="s">
        <v>4582</v>
      </c>
      <c r="H4301" t="s">
        <v>36959</v>
      </c>
      <c r="I4301" t="s">
        <v>451</v>
      </c>
      <c r="J4301" t="s">
        <v>22</v>
      </c>
      <c r="K4301" t="s">
        <v>36958</v>
      </c>
      <c r="L4301" t="s">
        <v>36962</v>
      </c>
      <c r="M4301" t="s">
        <v>25</v>
      </c>
      <c r="N4301" t="s">
        <v>36963</v>
      </c>
      <c r="O4301" t="s">
        <v>25</v>
      </c>
      <c r="P4301" t="s">
        <v>36964</v>
      </c>
      <c r="Q4301" t="s">
        <v>29</v>
      </c>
      <c r="R4301" t="s">
        <v>36960</v>
      </c>
      <c r="S4301" t="s">
        <v>36961</v>
      </c>
    </row>
    <row r="4302" spans="1:19" x14ac:dyDescent="0.25">
      <c r="A4302" s="1">
        <v>4300</v>
      </c>
      <c r="B4302" t="str">
        <f>HYPERLINK("https://www.dasschnelle.at/autohaus-gspandl-gesmbh-köflach-hauptstraße","Website")</f>
        <v>Website</v>
      </c>
      <c r="C4302" t="str">
        <f>HYPERLINK("http://www.auto-gspandl.at","Website")</f>
        <v>Website</v>
      </c>
      <c r="D4302" t="str">
        <f>HYPERLINK("http://www.google.com/maps/place/47.06324,15.09971","Location")</f>
        <v>Location</v>
      </c>
      <c r="E4302" t="s">
        <v>36965</v>
      </c>
      <c r="F4302" t="s">
        <v>36966</v>
      </c>
      <c r="G4302" t="s">
        <v>4582</v>
      </c>
      <c r="H4302" t="s">
        <v>4583</v>
      </c>
      <c r="I4302" t="s">
        <v>451</v>
      </c>
      <c r="J4302" t="s">
        <v>22</v>
      </c>
      <c r="K4302" t="s">
        <v>36967</v>
      </c>
      <c r="L4302" t="s">
        <v>36970</v>
      </c>
      <c r="M4302" t="s">
        <v>25</v>
      </c>
      <c r="N4302" t="s">
        <v>36971</v>
      </c>
      <c r="O4302" t="s">
        <v>25</v>
      </c>
      <c r="P4302" t="s">
        <v>36972</v>
      </c>
      <c r="Q4302" t="s">
        <v>29</v>
      </c>
      <c r="R4302" t="s">
        <v>36968</v>
      </c>
      <c r="S4302" t="s">
        <v>36969</v>
      </c>
    </row>
    <row r="4303" spans="1:19" x14ac:dyDescent="0.25">
      <c r="A4303" s="1">
        <v>4301</v>
      </c>
      <c r="B4303" t="str">
        <f>HYPERLINK("https://www.dasschnelle.at/haar-monie-friseursalon-rosental-an-der-kainach-hauptstraße","Website")</f>
        <v>Website</v>
      </c>
      <c r="C4303" t="str">
        <f>HYPERLINK("http://www.salon-hairmony.at","Website")</f>
        <v>Website</v>
      </c>
      <c r="D4303" t="str">
        <f>HYPERLINK("http://www.google.com/maps/place/47.05261,15.12209","Location")</f>
        <v>Location</v>
      </c>
      <c r="E4303" t="s">
        <v>36973</v>
      </c>
      <c r="F4303" t="s">
        <v>36974</v>
      </c>
      <c r="G4303" t="s">
        <v>4689</v>
      </c>
      <c r="H4303" t="s">
        <v>4690</v>
      </c>
      <c r="I4303" t="s">
        <v>451</v>
      </c>
      <c r="J4303" t="s">
        <v>22</v>
      </c>
      <c r="K4303" t="s">
        <v>16819</v>
      </c>
      <c r="L4303" t="s">
        <v>36977</v>
      </c>
      <c r="M4303" t="s">
        <v>25</v>
      </c>
      <c r="N4303" t="s">
        <v>36978</v>
      </c>
      <c r="O4303" t="s">
        <v>25</v>
      </c>
      <c r="P4303" t="s">
        <v>36979</v>
      </c>
      <c r="Q4303" t="s">
        <v>29</v>
      </c>
      <c r="R4303" t="s">
        <v>36975</v>
      </c>
      <c r="S4303" t="s">
        <v>36976</v>
      </c>
    </row>
    <row r="4304" spans="1:19" x14ac:dyDescent="0.25">
      <c r="A4304" s="1">
        <v>4302</v>
      </c>
      <c r="B4304" t="str">
        <f>HYPERLINK("https://www.dasschnelle.at/karl-schneeberger-swimmbad-montage-technik-e-u-vorchdorf-albenedt","Website")</f>
        <v>Website</v>
      </c>
      <c r="C4304" t="str">
        <f>HYPERLINK("http://www.schwimmbad1a.at","Website")</f>
        <v>Website</v>
      </c>
      <c r="D4304" t="str">
        <f>HYPERLINK("http://www.google.com/maps/place/47.9973549,13.9785936","Location")</f>
        <v>Location</v>
      </c>
      <c r="E4304" t="s">
        <v>36980</v>
      </c>
      <c r="F4304" t="s">
        <v>36981</v>
      </c>
      <c r="G4304" t="s">
        <v>6960</v>
      </c>
      <c r="H4304" t="s">
        <v>6961</v>
      </c>
      <c r="I4304" t="s">
        <v>85</v>
      </c>
      <c r="J4304" t="s">
        <v>22</v>
      </c>
      <c r="K4304" t="s">
        <v>36982</v>
      </c>
      <c r="L4304" t="s">
        <v>36985</v>
      </c>
      <c r="M4304" t="s">
        <v>36985</v>
      </c>
      <c r="N4304" t="s">
        <v>36986</v>
      </c>
      <c r="O4304" t="s">
        <v>36987</v>
      </c>
      <c r="P4304" t="s">
        <v>36988</v>
      </c>
      <c r="Q4304" t="s">
        <v>29</v>
      </c>
      <c r="R4304" t="s">
        <v>36983</v>
      </c>
      <c r="S4304" t="s">
        <v>36984</v>
      </c>
    </row>
    <row r="4305" spans="1:19" x14ac:dyDescent="0.25">
      <c r="A4305" s="1">
        <v>4303</v>
      </c>
      <c r="B4305" t="str">
        <f>HYPERLINK("https://www.dasschnelle.at/riesinger-friedrich-mag-ulrichsberg-ledermühlweg","Website")</f>
        <v>Website</v>
      </c>
      <c r="C4305" t="str">
        <f>HYPERLINK("https://www.dasschnelle.at/riesinger-friedrich-mag-ulrichsberg-lederm%C3%BChlweg","Website")</f>
        <v>Website</v>
      </c>
      <c r="D4305" t="str">
        <f>HYPERLINK("http://www.google.com/maps/place/48.67148,13.91761","Location")</f>
        <v>Location</v>
      </c>
      <c r="E4305" t="s">
        <v>36989</v>
      </c>
      <c r="F4305" t="s">
        <v>36990</v>
      </c>
      <c r="G4305" t="s">
        <v>8779</v>
      </c>
      <c r="H4305" t="s">
        <v>8780</v>
      </c>
      <c r="I4305" t="s">
        <v>85</v>
      </c>
      <c r="J4305" t="s">
        <v>22</v>
      </c>
      <c r="K4305" t="s">
        <v>36991</v>
      </c>
      <c r="L4305" t="s">
        <v>36994</v>
      </c>
      <c r="M4305" t="s">
        <v>25</v>
      </c>
      <c r="N4305" t="s">
        <v>36995</v>
      </c>
      <c r="O4305" t="s">
        <v>25</v>
      </c>
      <c r="P4305" t="s">
        <v>36996</v>
      </c>
      <c r="Q4305" t="s">
        <v>29</v>
      </c>
      <c r="R4305" t="s">
        <v>36992</v>
      </c>
      <c r="S4305" t="s">
        <v>36993</v>
      </c>
    </row>
    <row r="4306" spans="1:19" x14ac:dyDescent="0.25">
      <c r="A4306" s="1">
        <v>4304</v>
      </c>
      <c r="B4306" t="str">
        <f>HYPERLINK("https://www.dasschnelle.at/blumen-edith-aigen-im-ennstal-aigen","Website")</f>
        <v>Website</v>
      </c>
      <c r="C4306" t="str">
        <f>HYPERLINK("https://www.dasschnelle.at/blumen-edith-aigen-im-ennstal-aigen","Website")</f>
        <v>Website</v>
      </c>
      <c r="D4306" t="str">
        <f>HYPERLINK("http://www.google.com/maps/place/47.5205048,14.1428632","Location")</f>
        <v>Location</v>
      </c>
      <c r="E4306" t="s">
        <v>36997</v>
      </c>
      <c r="F4306" t="s">
        <v>36998</v>
      </c>
      <c r="G4306" t="s">
        <v>1249</v>
      </c>
      <c r="H4306" t="s">
        <v>1250</v>
      </c>
      <c r="I4306" t="s">
        <v>451</v>
      </c>
      <c r="J4306" t="s">
        <v>22</v>
      </c>
      <c r="K4306" t="s">
        <v>36999</v>
      </c>
      <c r="L4306" t="s">
        <v>37002</v>
      </c>
      <c r="M4306" t="s">
        <v>25</v>
      </c>
      <c r="N4306" t="s">
        <v>25</v>
      </c>
      <c r="O4306" t="s">
        <v>25</v>
      </c>
      <c r="P4306" t="s">
        <v>37003</v>
      </c>
      <c r="Q4306" t="s">
        <v>29</v>
      </c>
      <c r="R4306" t="s">
        <v>37000</v>
      </c>
      <c r="S4306" t="s">
        <v>37001</v>
      </c>
    </row>
    <row r="4307" spans="1:19" x14ac:dyDescent="0.25">
      <c r="A4307" s="1">
        <v>4305</v>
      </c>
      <c r="B4307" t="str">
        <f>HYPERLINK("https://www.dasschnelle.at/höfl-manfred-krakaudorf-krakaudorf","Website")</f>
        <v>Website</v>
      </c>
      <c r="C4307" t="str">
        <f>HYPERLINK("http://www.hoeflmalerei.at","Website")</f>
        <v>Website</v>
      </c>
      <c r="D4307" t="str">
        <f>HYPERLINK("http://www.google.com/maps/place/47.1817291,14.0191956","Location")</f>
        <v>Location</v>
      </c>
      <c r="E4307" t="s">
        <v>37004</v>
      </c>
      <c r="F4307" t="s">
        <v>37005</v>
      </c>
      <c r="G4307" t="s">
        <v>12039</v>
      </c>
      <c r="H4307" t="s">
        <v>37007</v>
      </c>
      <c r="I4307" t="s">
        <v>451</v>
      </c>
      <c r="J4307" t="s">
        <v>22</v>
      </c>
      <c r="K4307" t="s">
        <v>37006</v>
      </c>
      <c r="L4307" t="s">
        <v>37010</v>
      </c>
      <c r="M4307" t="s">
        <v>37011</v>
      </c>
      <c r="N4307" t="s">
        <v>37012</v>
      </c>
      <c r="O4307" t="s">
        <v>37013</v>
      </c>
      <c r="P4307" t="s">
        <v>37014</v>
      </c>
      <c r="Q4307" t="s">
        <v>29</v>
      </c>
      <c r="R4307" t="s">
        <v>37008</v>
      </c>
      <c r="S4307" t="s">
        <v>37009</v>
      </c>
    </row>
    <row r="4308" spans="1:19" x14ac:dyDescent="0.25">
      <c r="A4308" s="1">
        <v>4306</v>
      </c>
      <c r="B4308" t="str">
        <f>HYPERLINK("https://www.dasschnelle.at/blumenhaus-reiter-gmbh-eberschwang-königsberger-straße","Website")</f>
        <v>Website</v>
      </c>
      <c r="C4308" t="str">
        <f>HYPERLINK("http://www.blumen-reiter.at","Website")</f>
        <v>Website</v>
      </c>
      <c r="D4308" t="str">
        <f>HYPERLINK("http://www.google.com/maps/place/48.1639366,13.5629726","Location")</f>
        <v>Location</v>
      </c>
      <c r="E4308" t="s">
        <v>37015</v>
      </c>
      <c r="F4308" t="s">
        <v>37016</v>
      </c>
      <c r="G4308" t="s">
        <v>6316</v>
      </c>
      <c r="H4308" t="s">
        <v>37018</v>
      </c>
      <c r="I4308" t="s">
        <v>85</v>
      </c>
      <c r="J4308" t="s">
        <v>22</v>
      </c>
      <c r="K4308" t="s">
        <v>37017</v>
      </c>
      <c r="L4308" t="s">
        <v>37021</v>
      </c>
      <c r="M4308" t="s">
        <v>25</v>
      </c>
      <c r="N4308" t="s">
        <v>37022</v>
      </c>
      <c r="O4308" t="s">
        <v>25</v>
      </c>
      <c r="P4308" t="s">
        <v>37023</v>
      </c>
      <c r="Q4308" t="s">
        <v>29</v>
      </c>
      <c r="R4308" t="s">
        <v>37019</v>
      </c>
      <c r="S4308" t="s">
        <v>37020</v>
      </c>
    </row>
    <row r="4309" spans="1:19" x14ac:dyDescent="0.25">
      <c r="A4309" s="1">
        <v>4307</v>
      </c>
      <c r="B4309" t="str">
        <f>HYPERLINK("https://www.dasschnelle.at/kalb-leonhard-ing-sankt-michael-im-lungau-gewerbestraße","Website")</f>
        <v>Website</v>
      </c>
      <c r="C4309" t="str">
        <f>HYPERLINK("http://www.kalb.co.at","Website")</f>
        <v>Website</v>
      </c>
      <c r="D4309" t="str">
        <f>HYPERLINK("http://www.google.com/maps/place/47.0959,13.62924","Location")</f>
        <v>Location</v>
      </c>
      <c r="E4309" t="s">
        <v>37024</v>
      </c>
      <c r="F4309" t="s">
        <v>37025</v>
      </c>
      <c r="G4309" t="s">
        <v>11533</v>
      </c>
      <c r="H4309" t="s">
        <v>11534</v>
      </c>
      <c r="I4309" t="s">
        <v>2239</v>
      </c>
      <c r="J4309" t="s">
        <v>22</v>
      </c>
      <c r="K4309" t="s">
        <v>37026</v>
      </c>
      <c r="L4309" t="s">
        <v>37029</v>
      </c>
      <c r="M4309" t="s">
        <v>25</v>
      </c>
      <c r="N4309" t="s">
        <v>37030</v>
      </c>
      <c r="O4309" t="s">
        <v>25</v>
      </c>
      <c r="P4309" t="s">
        <v>37031</v>
      </c>
      <c r="Q4309" t="s">
        <v>29</v>
      </c>
      <c r="R4309" t="s">
        <v>37027</v>
      </c>
      <c r="S4309" t="s">
        <v>37028</v>
      </c>
    </row>
    <row r="4310" spans="1:19" x14ac:dyDescent="0.25">
      <c r="A4310" s="1">
        <v>4308</v>
      </c>
      <c r="B4310" t="str">
        <f>HYPERLINK("https://www.dasschnelle.at/reiter-elisabeth-st-martin-im-mühlkreis-birnbergstr","Website")</f>
        <v>Website</v>
      </c>
      <c r="C4310" t="str">
        <f>HYPERLINK("http://www.reiter-buchhaltung.at","Website")</f>
        <v>Website</v>
      </c>
      <c r="D4310" t="str">
        <f>HYPERLINK("http://www.google.com/maps/place/48.39887,14.07545","Location")</f>
        <v>Location</v>
      </c>
      <c r="E4310" t="s">
        <v>37032</v>
      </c>
      <c r="F4310" t="s">
        <v>37033</v>
      </c>
      <c r="G4310" t="s">
        <v>35206</v>
      </c>
      <c r="H4310" t="s">
        <v>35215</v>
      </c>
      <c r="I4310" t="s">
        <v>85</v>
      </c>
      <c r="J4310" t="s">
        <v>22</v>
      </c>
      <c r="K4310" t="s">
        <v>37034</v>
      </c>
      <c r="L4310" t="s">
        <v>37037</v>
      </c>
      <c r="M4310" t="s">
        <v>25</v>
      </c>
      <c r="N4310" t="s">
        <v>37038</v>
      </c>
      <c r="O4310" t="s">
        <v>25</v>
      </c>
      <c r="P4310" t="s">
        <v>37039</v>
      </c>
      <c r="Q4310" t="s">
        <v>29</v>
      </c>
      <c r="R4310" t="s">
        <v>37035</v>
      </c>
      <c r="S4310" t="s">
        <v>37036</v>
      </c>
    </row>
    <row r="4311" spans="1:19" x14ac:dyDescent="0.25">
      <c r="A4311" s="1">
        <v>4309</v>
      </c>
      <c r="B4311" t="str">
        <f>HYPERLINK("https://www.dasschnelle.at/tierarztpraxis-putzleinsdorf-thomas-u-andrea-nigl-putzleinsdorf-fischerhäusl","Website")</f>
        <v>Website</v>
      </c>
      <c r="C4311" t="str">
        <f>HYPERLINK("http://www.tierarztpraxisputzleinsdorf.at","Website")</f>
        <v>Website</v>
      </c>
      <c r="D4311" t="str">
        <f>HYPERLINK("http://www.google.com/maps/place/48.5187280,13.8670660","Location")</f>
        <v>Location</v>
      </c>
      <c r="E4311" t="s">
        <v>37040</v>
      </c>
      <c r="F4311" t="s">
        <v>37041</v>
      </c>
      <c r="G4311" t="s">
        <v>8761</v>
      </c>
      <c r="H4311" t="s">
        <v>8762</v>
      </c>
      <c r="I4311" t="s">
        <v>85</v>
      </c>
      <c r="J4311" t="s">
        <v>22</v>
      </c>
      <c r="K4311" t="s">
        <v>34751</v>
      </c>
      <c r="L4311" t="s">
        <v>34754</v>
      </c>
      <c r="M4311" t="s">
        <v>25</v>
      </c>
      <c r="N4311" t="s">
        <v>34755</v>
      </c>
      <c r="O4311" t="s">
        <v>37042</v>
      </c>
      <c r="P4311" t="s">
        <v>37043</v>
      </c>
      <c r="Q4311" t="s">
        <v>29</v>
      </c>
      <c r="R4311" t="s">
        <v>34752</v>
      </c>
      <c r="S4311" t="s">
        <v>34753</v>
      </c>
    </row>
    <row r="4312" spans="1:19" x14ac:dyDescent="0.25">
      <c r="A4312" s="1">
        <v>4310</v>
      </c>
      <c r="B4312" t="str">
        <f>HYPERLINK("https://www.dasschnelle.at/strodl-kerstin-stainach-gymnasiumgasse","Website")</f>
        <v>Website</v>
      </c>
      <c r="C4312" t="str">
        <f>HYPERLINK("http://www.strodl-stein.com","Website")</f>
        <v>Website</v>
      </c>
      <c r="D4312" t="str">
        <f>HYPERLINK("http://www.google.com/maps/place/47.53089,14.10754","Location")</f>
        <v>Location</v>
      </c>
      <c r="E4312" t="s">
        <v>37044</v>
      </c>
      <c r="F4312" t="s">
        <v>37045</v>
      </c>
      <c r="G4312" t="s">
        <v>1113</v>
      </c>
      <c r="H4312" t="s">
        <v>1114</v>
      </c>
      <c r="I4312" t="s">
        <v>451</v>
      </c>
      <c r="J4312" t="s">
        <v>22</v>
      </c>
      <c r="K4312" t="s">
        <v>37046</v>
      </c>
      <c r="L4312" t="s">
        <v>37049</v>
      </c>
      <c r="M4312" t="s">
        <v>25</v>
      </c>
      <c r="N4312" t="s">
        <v>37050</v>
      </c>
      <c r="O4312" t="s">
        <v>37051</v>
      </c>
      <c r="P4312" t="s">
        <v>37052</v>
      </c>
      <c r="Q4312" t="s">
        <v>29</v>
      </c>
      <c r="R4312" t="s">
        <v>37047</v>
      </c>
      <c r="S4312" t="s">
        <v>37048</v>
      </c>
    </row>
    <row r="4313" spans="1:19" x14ac:dyDescent="0.25">
      <c r="A4313" s="1">
        <v>4311</v>
      </c>
      <c r="B4313" t="str">
        <f>HYPERLINK("https://www.dasschnelle.at/autohaus-griessner-gmbh-mauterndorf-markt","Website")</f>
        <v>Website</v>
      </c>
      <c r="C4313" t="str">
        <f>HYPERLINK("http://www.autohaus-griessner.at","Website")</f>
        <v>Website</v>
      </c>
      <c r="D4313" t="str">
        <f>HYPERLINK("http://www.google.com/maps/place/47.13376,13.68422","Location")</f>
        <v>Location</v>
      </c>
      <c r="E4313" t="s">
        <v>37053</v>
      </c>
      <c r="F4313" t="s">
        <v>37054</v>
      </c>
      <c r="G4313" t="s">
        <v>11544</v>
      </c>
      <c r="H4313" t="s">
        <v>11545</v>
      </c>
      <c r="I4313" t="s">
        <v>2239</v>
      </c>
      <c r="J4313" t="s">
        <v>22</v>
      </c>
      <c r="K4313" t="s">
        <v>37055</v>
      </c>
      <c r="L4313" t="s">
        <v>37058</v>
      </c>
      <c r="M4313" t="s">
        <v>37059</v>
      </c>
      <c r="N4313" t="s">
        <v>37060</v>
      </c>
      <c r="O4313" t="s">
        <v>25</v>
      </c>
      <c r="P4313" t="s">
        <v>37061</v>
      </c>
      <c r="Q4313" t="s">
        <v>29</v>
      </c>
      <c r="R4313" t="s">
        <v>37056</v>
      </c>
      <c r="S4313" t="s">
        <v>37057</v>
      </c>
    </row>
    <row r="4314" spans="1:19" x14ac:dyDescent="0.25">
      <c r="A4314" s="1">
        <v>4312</v>
      </c>
      <c r="B4314" t="str">
        <f>HYPERLINK("https://www.dasschnelle.at/wohleser-gisela-dr-med-helfenberg-leonfeldner-straße","Website")</f>
        <v>Website</v>
      </c>
      <c r="C4314" t="str">
        <f>HYPERLINK("https://www.dasschnelle.at/wohleser-gisela-dr-med-helfenberg-leonfeldner-stra%C3%9Fe","Website")</f>
        <v>Website</v>
      </c>
      <c r="D4314" t="str">
        <f>HYPERLINK("http://www.google.com/maps/place/48.5439383,14.1435650","Location")</f>
        <v>Location</v>
      </c>
      <c r="E4314" t="s">
        <v>37062</v>
      </c>
      <c r="F4314" t="s">
        <v>37063</v>
      </c>
      <c r="G4314" t="s">
        <v>27303</v>
      </c>
      <c r="H4314" t="s">
        <v>37065</v>
      </c>
      <c r="I4314" t="s">
        <v>85</v>
      </c>
      <c r="J4314" t="s">
        <v>22</v>
      </c>
      <c r="K4314" t="s">
        <v>37064</v>
      </c>
      <c r="L4314" t="s">
        <v>37068</v>
      </c>
      <c r="M4314" t="s">
        <v>25</v>
      </c>
      <c r="N4314" t="s">
        <v>25</v>
      </c>
      <c r="O4314" t="s">
        <v>25</v>
      </c>
      <c r="P4314" t="s">
        <v>37069</v>
      </c>
      <c r="Q4314" t="s">
        <v>29</v>
      </c>
      <c r="R4314" t="s">
        <v>37066</v>
      </c>
      <c r="S4314" t="s">
        <v>37067</v>
      </c>
    </row>
    <row r="4315" spans="1:19" x14ac:dyDescent="0.25">
      <c r="A4315" s="1">
        <v>4313</v>
      </c>
      <c r="B4315" t="str">
        <f>HYPERLINK("https://www.dasschnelle.at/dr-haider-und-dr-weberndorfer-rohrbach-stadtplatz","Website")</f>
        <v>Website</v>
      </c>
      <c r="C4315" t="str">
        <f>HYPERLINK("http://www.mdz-rohrbach.at","Website")</f>
        <v>Website</v>
      </c>
      <c r="D4315" t="str">
        <f>HYPERLINK("http://www.google.com/maps/place/48.5715425,13.9923940","Location")</f>
        <v>Location</v>
      </c>
      <c r="E4315" t="s">
        <v>37070</v>
      </c>
      <c r="F4315" t="s">
        <v>37071</v>
      </c>
      <c r="G4315" t="s">
        <v>8561</v>
      </c>
      <c r="H4315" t="s">
        <v>8562</v>
      </c>
      <c r="I4315" t="s">
        <v>85</v>
      </c>
      <c r="J4315" t="s">
        <v>22</v>
      </c>
      <c r="K4315" t="s">
        <v>8633</v>
      </c>
      <c r="L4315" t="s">
        <v>37072</v>
      </c>
      <c r="M4315" t="s">
        <v>25</v>
      </c>
      <c r="N4315" t="s">
        <v>37073</v>
      </c>
      <c r="O4315" t="s">
        <v>25</v>
      </c>
      <c r="P4315" t="s">
        <v>37074</v>
      </c>
      <c r="Q4315" t="s">
        <v>29</v>
      </c>
      <c r="R4315" t="s">
        <v>8634</v>
      </c>
      <c r="S4315" t="s">
        <v>8635</v>
      </c>
    </row>
    <row r="4316" spans="1:19" x14ac:dyDescent="0.25">
      <c r="A4316" s="1">
        <v>4314</v>
      </c>
      <c r="B4316" t="str">
        <f>HYPERLINK("https://www.dasschnelle.at/tierarztpraxis-amadeus-ried-im-innkreis-auleiten","Website")</f>
        <v>Website</v>
      </c>
      <c r="C4316" t="str">
        <f>HYPERLINK("http://www.tiereliebenamadeus.at","Website")</f>
        <v>Website</v>
      </c>
      <c r="D4316" t="str">
        <f>HYPERLINK("http://www.google.com/maps/place/48.19275,13.49925","Location")</f>
        <v>Location</v>
      </c>
      <c r="E4316" t="s">
        <v>37075</v>
      </c>
      <c r="F4316" t="s">
        <v>37076</v>
      </c>
      <c r="G4316" t="s">
        <v>6245</v>
      </c>
      <c r="H4316" t="s">
        <v>6267</v>
      </c>
      <c r="I4316" t="s">
        <v>85</v>
      </c>
      <c r="J4316" t="s">
        <v>22</v>
      </c>
      <c r="K4316" t="s">
        <v>37077</v>
      </c>
      <c r="L4316" t="s">
        <v>37080</v>
      </c>
      <c r="M4316" t="s">
        <v>25</v>
      </c>
      <c r="N4316" t="s">
        <v>37081</v>
      </c>
      <c r="O4316" t="s">
        <v>25</v>
      </c>
      <c r="P4316" t="s">
        <v>37082</v>
      </c>
      <c r="Q4316" t="s">
        <v>29</v>
      </c>
      <c r="R4316" t="s">
        <v>37078</v>
      </c>
      <c r="S4316" t="s">
        <v>37079</v>
      </c>
    </row>
    <row r="4317" spans="1:19" x14ac:dyDescent="0.25">
      <c r="A4317" s="1">
        <v>4315</v>
      </c>
      <c r="B4317" t="str">
        <f>HYPERLINK("https://www.dasschnelle.at/scheidl-wilhelm-gesmbh-kremsmünster-heiligenkreuz","Website")</f>
        <v>Website</v>
      </c>
      <c r="C4317" t="str">
        <f>HYPERLINK("http://www.peugeot-scheidl.at","Website")</f>
        <v>Website</v>
      </c>
      <c r="D4317" t="str">
        <f>HYPERLINK("http://www.google.com/maps/place/48.0644,14.10072","Location")</f>
        <v>Location</v>
      </c>
      <c r="E4317" t="s">
        <v>37083</v>
      </c>
      <c r="F4317" t="s">
        <v>37084</v>
      </c>
      <c r="G4317" t="s">
        <v>9173</v>
      </c>
      <c r="H4317" t="s">
        <v>9174</v>
      </c>
      <c r="I4317" t="s">
        <v>85</v>
      </c>
      <c r="J4317" t="s">
        <v>22</v>
      </c>
      <c r="K4317" t="s">
        <v>37085</v>
      </c>
      <c r="L4317" t="s">
        <v>37088</v>
      </c>
      <c r="M4317" t="s">
        <v>37089</v>
      </c>
      <c r="N4317" t="s">
        <v>37090</v>
      </c>
      <c r="O4317" t="s">
        <v>25</v>
      </c>
      <c r="P4317" t="s">
        <v>37091</v>
      </c>
      <c r="Q4317" t="s">
        <v>29</v>
      </c>
      <c r="R4317" t="s">
        <v>37086</v>
      </c>
      <c r="S4317" t="s">
        <v>37087</v>
      </c>
    </row>
    <row r="4318" spans="1:19" x14ac:dyDescent="0.25">
      <c r="A4318" s="1">
        <v>4316</v>
      </c>
      <c r="B4318" t="str">
        <f>HYPERLINK("https://www.dasschnelle.at/muhr-alois-werkstätte-u-nutzfahrzeughandel-inh-kurt-werner-wagner-e-u-taiskirchen-im-innkreis-kainzing","Website")</f>
        <v>Website</v>
      </c>
      <c r="C4318" t="str">
        <f>HYPERLINK("http://www.lkw-muhr.at","Website")</f>
        <v>Website</v>
      </c>
      <c r="D4318" t="str">
        <f>HYPERLINK("http://www.google.com/maps/place/48.2636480,13.5490813","Location")</f>
        <v>Location</v>
      </c>
      <c r="E4318" t="s">
        <v>37092</v>
      </c>
      <c r="F4318" t="s">
        <v>37093</v>
      </c>
      <c r="G4318" t="s">
        <v>37095</v>
      </c>
      <c r="H4318" t="s">
        <v>37096</v>
      </c>
      <c r="I4318" t="s">
        <v>85</v>
      </c>
      <c r="J4318" t="s">
        <v>22</v>
      </c>
      <c r="K4318" t="s">
        <v>37094</v>
      </c>
      <c r="L4318" t="s">
        <v>37099</v>
      </c>
      <c r="M4318" t="s">
        <v>25</v>
      </c>
      <c r="N4318" t="s">
        <v>37100</v>
      </c>
      <c r="O4318" t="s">
        <v>25</v>
      </c>
      <c r="P4318" t="s">
        <v>37101</v>
      </c>
      <c r="Q4318" t="s">
        <v>29</v>
      </c>
      <c r="R4318" t="s">
        <v>37097</v>
      </c>
      <c r="S4318" t="s">
        <v>37098</v>
      </c>
    </row>
    <row r="4319" spans="1:19" x14ac:dyDescent="0.25">
      <c r="A4319" s="1">
        <v>4317</v>
      </c>
      <c r="B4319" t="str">
        <f>HYPERLINK("https://www.dasschnelle.at/lasnik-kg-rosental-an-der-kainach-hauptstraße","Website")</f>
        <v>Website</v>
      </c>
      <c r="C4319" t="str">
        <f>HYPERLINK("http://www.lasnik.at","Website")</f>
        <v>Website</v>
      </c>
      <c r="D4319" t="str">
        <f>HYPERLINK("http://www.google.com/maps/place/47.05387,15.11776","Location")</f>
        <v>Location</v>
      </c>
      <c r="E4319" t="s">
        <v>37102</v>
      </c>
      <c r="F4319" t="s">
        <v>37103</v>
      </c>
      <c r="G4319" t="s">
        <v>4689</v>
      </c>
      <c r="H4319" t="s">
        <v>4690</v>
      </c>
      <c r="I4319" t="s">
        <v>451</v>
      </c>
      <c r="J4319" t="s">
        <v>22</v>
      </c>
      <c r="K4319" t="s">
        <v>8829</v>
      </c>
      <c r="L4319" t="s">
        <v>37106</v>
      </c>
      <c r="M4319" t="s">
        <v>25</v>
      </c>
      <c r="N4319" t="s">
        <v>37107</v>
      </c>
      <c r="O4319" t="s">
        <v>25</v>
      </c>
      <c r="P4319" t="s">
        <v>37108</v>
      </c>
      <c r="Q4319" t="s">
        <v>29</v>
      </c>
      <c r="R4319" t="s">
        <v>37104</v>
      </c>
      <c r="S4319" t="s">
        <v>37105</v>
      </c>
    </row>
    <row r="4320" spans="1:19" x14ac:dyDescent="0.25">
      <c r="A4320" s="1">
        <v>4318</v>
      </c>
      <c r="B4320" t="str">
        <f>HYPERLINK("https://www.dasschnelle.at/versicherungsagentur-voitsberg-hauptplatz","Website")</f>
        <v>Website</v>
      </c>
      <c r="C4320" t="str">
        <f>HYPERLINK("https://www.dasschnelle.at/versicherungsagentur-voitsberg-hauptplatz","Website")</f>
        <v>Website</v>
      </c>
      <c r="D4320" t="str">
        <f>HYPERLINK("http://www.google.com/maps/place/47.0485000,15.1515000","Location")</f>
        <v>Location</v>
      </c>
      <c r="E4320" t="s">
        <v>37109</v>
      </c>
      <c r="F4320" t="s">
        <v>37110</v>
      </c>
      <c r="G4320" t="s">
        <v>4572</v>
      </c>
      <c r="H4320" t="s">
        <v>4573</v>
      </c>
      <c r="I4320" t="s">
        <v>451</v>
      </c>
      <c r="J4320" t="s">
        <v>22</v>
      </c>
      <c r="K4320" t="s">
        <v>37111</v>
      </c>
      <c r="L4320" t="s">
        <v>37114</v>
      </c>
      <c r="M4320" t="s">
        <v>25</v>
      </c>
      <c r="N4320" t="s">
        <v>37115</v>
      </c>
      <c r="O4320" t="s">
        <v>25</v>
      </c>
      <c r="P4320" t="s">
        <v>37116</v>
      </c>
      <c r="Q4320" t="s">
        <v>29</v>
      </c>
      <c r="R4320" t="s">
        <v>37112</v>
      </c>
      <c r="S4320" t="s">
        <v>37113</v>
      </c>
    </row>
    <row r="4321" spans="1:19" x14ac:dyDescent="0.25">
      <c r="A4321" s="1">
        <v>4319</v>
      </c>
      <c r="B4321" t="str">
        <f>HYPERLINK("https://www.dasschnelle.at/autohaus-scherz-gmbh-kainach-bei-voitsberg-breitenbach","Website")</f>
        <v>Website</v>
      </c>
      <c r="C4321" t="str">
        <f>HYPERLINK("http://www.auto-scherz.at","Website")</f>
        <v>Website</v>
      </c>
      <c r="D4321" t="str">
        <f>HYPERLINK("http://www.google.com/maps/place/47.1560799,15.0615353","Location")</f>
        <v>Location</v>
      </c>
      <c r="E4321" t="s">
        <v>37117</v>
      </c>
      <c r="F4321" t="s">
        <v>37118</v>
      </c>
      <c r="G4321" t="s">
        <v>37120</v>
      </c>
      <c r="H4321" t="s">
        <v>37121</v>
      </c>
      <c r="I4321" t="s">
        <v>451</v>
      </c>
      <c r="J4321" t="s">
        <v>22</v>
      </c>
      <c r="K4321" t="s">
        <v>37119</v>
      </c>
      <c r="L4321" t="s">
        <v>37124</v>
      </c>
      <c r="M4321" t="s">
        <v>25</v>
      </c>
      <c r="N4321" t="s">
        <v>37125</v>
      </c>
      <c r="O4321" t="s">
        <v>25</v>
      </c>
      <c r="P4321" t="s">
        <v>37126</v>
      </c>
      <c r="Q4321" t="s">
        <v>29</v>
      </c>
      <c r="R4321" t="s">
        <v>37122</v>
      </c>
      <c r="S4321" t="s">
        <v>37123</v>
      </c>
    </row>
    <row r="4322" spans="1:19" x14ac:dyDescent="0.25">
      <c r="A4322" s="1">
        <v>4320</v>
      </c>
      <c r="B4322" t="str">
        <f>HYPERLINK("https://www.dasschnelle.at/jammernegg-kg-köflach-peter-rosegger-gasse","Website")</f>
        <v>Website</v>
      </c>
      <c r="C4322" t="str">
        <f>HYPERLINK("http://www.jammernegg.co.at","Website")</f>
        <v>Website</v>
      </c>
      <c r="D4322" t="str">
        <f>HYPERLINK("http://www.google.com/maps/place/47.06549,15.08311","Location")</f>
        <v>Location</v>
      </c>
      <c r="E4322" t="s">
        <v>37127</v>
      </c>
      <c r="F4322" t="s">
        <v>37128</v>
      </c>
      <c r="G4322" t="s">
        <v>4582</v>
      </c>
      <c r="H4322" t="s">
        <v>4583</v>
      </c>
      <c r="I4322" t="s">
        <v>451</v>
      </c>
      <c r="J4322" t="s">
        <v>22</v>
      </c>
      <c r="K4322" t="s">
        <v>37129</v>
      </c>
      <c r="L4322" t="s">
        <v>37132</v>
      </c>
      <c r="M4322" t="s">
        <v>25</v>
      </c>
      <c r="N4322" t="s">
        <v>37133</v>
      </c>
      <c r="O4322" t="s">
        <v>25</v>
      </c>
      <c r="P4322" t="s">
        <v>37134</v>
      </c>
      <c r="Q4322" t="s">
        <v>29</v>
      </c>
      <c r="R4322" t="s">
        <v>37130</v>
      </c>
      <c r="S4322" t="s">
        <v>37131</v>
      </c>
    </row>
    <row r="4323" spans="1:19" x14ac:dyDescent="0.25">
      <c r="A4323" s="1">
        <v>4321</v>
      </c>
      <c r="B4323" t="str">
        <f>HYPERLINK("https://www.dasschnelle.at/lindlbauer-franz-ried-im-innkreis-pattigham","Website")</f>
        <v>Website</v>
      </c>
      <c r="C4323" t="str">
        <f>HYPERLINK("http://www.tischlerei-lindlbauer.at","Website")</f>
        <v>Website</v>
      </c>
      <c r="D4323" t="str">
        <f>HYPERLINK("http://www.google.com/maps/place/48.1717920,13.4666855","Location")</f>
        <v>Location</v>
      </c>
      <c r="E4323" t="s">
        <v>37135</v>
      </c>
      <c r="F4323" t="s">
        <v>37136</v>
      </c>
      <c r="G4323" t="s">
        <v>6245</v>
      </c>
      <c r="H4323" t="s">
        <v>6267</v>
      </c>
      <c r="I4323" t="s">
        <v>85</v>
      </c>
      <c r="J4323" t="s">
        <v>22</v>
      </c>
      <c r="K4323" t="s">
        <v>37137</v>
      </c>
      <c r="L4323" t="s">
        <v>37140</v>
      </c>
      <c r="M4323" t="s">
        <v>25</v>
      </c>
      <c r="N4323" t="s">
        <v>37141</v>
      </c>
      <c r="O4323" t="s">
        <v>25</v>
      </c>
      <c r="P4323" t="s">
        <v>37142</v>
      </c>
      <c r="Q4323" t="s">
        <v>29</v>
      </c>
      <c r="R4323" t="s">
        <v>37138</v>
      </c>
      <c r="S4323" t="s">
        <v>37139</v>
      </c>
    </row>
    <row r="4324" spans="1:19" x14ac:dyDescent="0.25">
      <c r="A4324" s="1">
        <v>4322</v>
      </c>
      <c r="B4324" t="str">
        <f>HYPERLINK("https://www.dasschnelle.at/raudner-johann-kainach-bei-voitsberg-hemmerberg","Website")</f>
        <v>Website</v>
      </c>
      <c r="C4324" t="str">
        <f>HYPERLINK("http://www.johann-raudner.at","Website")</f>
        <v>Website</v>
      </c>
      <c r="D4324" t="str">
        <f>HYPERLINK("http://www.google.com/maps/place/47.1326024,15.0993680","Location")</f>
        <v>Location</v>
      </c>
      <c r="E4324" t="s">
        <v>37143</v>
      </c>
      <c r="F4324" t="s">
        <v>37144</v>
      </c>
      <c r="G4324" t="s">
        <v>37120</v>
      </c>
      <c r="H4324" t="s">
        <v>37121</v>
      </c>
      <c r="I4324" t="s">
        <v>451</v>
      </c>
      <c r="J4324" t="s">
        <v>22</v>
      </c>
      <c r="K4324" t="s">
        <v>37145</v>
      </c>
      <c r="L4324" t="s">
        <v>37148</v>
      </c>
      <c r="M4324" t="s">
        <v>25</v>
      </c>
      <c r="N4324" t="s">
        <v>37149</v>
      </c>
      <c r="O4324" t="s">
        <v>25</v>
      </c>
      <c r="P4324" t="s">
        <v>37150</v>
      </c>
      <c r="Q4324" t="s">
        <v>29</v>
      </c>
      <c r="R4324" t="s">
        <v>37146</v>
      </c>
      <c r="S4324" t="s">
        <v>37147</v>
      </c>
    </row>
    <row r="4325" spans="1:19" x14ac:dyDescent="0.25">
      <c r="A4325" s="1">
        <v>4323</v>
      </c>
      <c r="B4325" t="str">
        <f>HYPERLINK("https://www.dasschnelle.at/flatscher-jutta-dr-med-univ-sierning-kirchenplatz","Website")</f>
        <v>Website</v>
      </c>
      <c r="C4325" t="str">
        <f>HYPERLINK("https://www.dasschnelle.at/flatscher-jutta-dr-med-univ-sierning-kirchenplatz","Website")</f>
        <v>Website</v>
      </c>
      <c r="D4325" t="str">
        <f>HYPERLINK("http://www.google.com/maps/place/48.05035,14.30938","Location")</f>
        <v>Location</v>
      </c>
      <c r="E4325" t="s">
        <v>37151</v>
      </c>
      <c r="F4325" t="s">
        <v>37152</v>
      </c>
      <c r="G4325" t="s">
        <v>11083</v>
      </c>
      <c r="H4325" t="s">
        <v>11084</v>
      </c>
      <c r="I4325" t="s">
        <v>85</v>
      </c>
      <c r="J4325" t="s">
        <v>22</v>
      </c>
      <c r="K4325" t="s">
        <v>37153</v>
      </c>
      <c r="L4325" t="s">
        <v>37156</v>
      </c>
      <c r="M4325" t="s">
        <v>25</v>
      </c>
      <c r="N4325" t="s">
        <v>37157</v>
      </c>
      <c r="O4325" t="s">
        <v>25</v>
      </c>
      <c r="P4325" t="s">
        <v>37158</v>
      </c>
      <c r="Q4325" t="s">
        <v>29</v>
      </c>
      <c r="R4325" t="s">
        <v>37154</v>
      </c>
      <c r="S4325" t="s">
        <v>37155</v>
      </c>
    </row>
    <row r="4326" spans="1:19" x14ac:dyDescent="0.25">
      <c r="A4326" s="1">
        <v>4324</v>
      </c>
      <c r="B4326" t="str">
        <f>HYPERLINK("https://www.dasschnelle.at/aigner-dach-ges-m-b-h-sankt-michael-im-lungau-gewerbestraße","Website")</f>
        <v>Website</v>
      </c>
      <c r="C4326" t="str">
        <f>HYPERLINK("http://www.aignerdach.at","Website")</f>
        <v>Website</v>
      </c>
      <c r="D4326" t="str">
        <f>HYPERLINK("http://www.google.com/maps/place/47.09701,13.6312","Location")</f>
        <v>Location</v>
      </c>
      <c r="E4326" t="s">
        <v>37159</v>
      </c>
      <c r="F4326" t="s">
        <v>37160</v>
      </c>
      <c r="G4326" t="s">
        <v>11533</v>
      </c>
      <c r="H4326" t="s">
        <v>11534</v>
      </c>
      <c r="I4326" t="s">
        <v>2239</v>
      </c>
      <c r="J4326" t="s">
        <v>22</v>
      </c>
      <c r="K4326" t="s">
        <v>37161</v>
      </c>
      <c r="L4326" t="s">
        <v>37164</v>
      </c>
      <c r="M4326" t="s">
        <v>25</v>
      </c>
      <c r="N4326" t="s">
        <v>37165</v>
      </c>
      <c r="O4326" t="s">
        <v>25</v>
      </c>
      <c r="P4326" t="s">
        <v>37166</v>
      </c>
      <c r="Q4326" t="s">
        <v>29</v>
      </c>
      <c r="R4326" t="s">
        <v>37162</v>
      </c>
      <c r="S4326" t="s">
        <v>37163</v>
      </c>
    </row>
    <row r="4327" spans="1:19" x14ac:dyDescent="0.25">
      <c r="A4327" s="1">
        <v>4325</v>
      </c>
      <c r="B4327" t="str">
        <f>HYPERLINK("https://www.dasschnelle.at/baudendistel-stefan-köflach-grazerstraße","Website")</f>
        <v>Website</v>
      </c>
      <c r="C4327" t="str">
        <f>HYPERLINK("http://www.baudendistel.at","Website")</f>
        <v>Website</v>
      </c>
      <c r="D4327" t="str">
        <f>HYPERLINK("http://www.google.com/maps/place/47.06429,15.08741","Location")</f>
        <v>Location</v>
      </c>
      <c r="E4327" t="s">
        <v>37167</v>
      </c>
      <c r="F4327" t="s">
        <v>37168</v>
      </c>
      <c r="G4327" t="s">
        <v>4582</v>
      </c>
      <c r="H4327" t="s">
        <v>4583</v>
      </c>
      <c r="I4327" t="s">
        <v>451</v>
      </c>
      <c r="J4327" t="s">
        <v>22</v>
      </c>
      <c r="K4327" t="s">
        <v>37169</v>
      </c>
      <c r="L4327" t="s">
        <v>37172</v>
      </c>
      <c r="M4327" t="s">
        <v>25</v>
      </c>
      <c r="N4327" t="s">
        <v>37173</v>
      </c>
      <c r="O4327" t="s">
        <v>25</v>
      </c>
      <c r="P4327" t="s">
        <v>37174</v>
      </c>
      <c r="Q4327" t="s">
        <v>29</v>
      </c>
      <c r="R4327" t="s">
        <v>37170</v>
      </c>
      <c r="S4327" t="s">
        <v>37171</v>
      </c>
    </row>
    <row r="4328" spans="1:19" x14ac:dyDescent="0.25">
      <c r="A4328" s="1">
        <v>4326</v>
      </c>
      <c r="B4328" t="str">
        <f>HYPERLINK("https://www.dasschnelle.at/liebl-holweg-inh-fabian-günther-köflach-judenburgerstraße","Website")</f>
        <v>Website</v>
      </c>
      <c r="C4328" t="str">
        <f>HYPERLINK("http://www.glaserei-lieblholweg.at","Website")</f>
        <v>Website</v>
      </c>
      <c r="D4328" t="str">
        <f>HYPERLINK("http://www.google.com/maps/place/47.06467,15.07883","Location")</f>
        <v>Location</v>
      </c>
      <c r="E4328" t="s">
        <v>37175</v>
      </c>
      <c r="F4328" t="s">
        <v>37176</v>
      </c>
      <c r="G4328" t="s">
        <v>4582</v>
      </c>
      <c r="H4328" t="s">
        <v>4583</v>
      </c>
      <c r="I4328" t="s">
        <v>451</v>
      </c>
      <c r="J4328" t="s">
        <v>22</v>
      </c>
      <c r="K4328" t="s">
        <v>37177</v>
      </c>
      <c r="L4328" t="s">
        <v>37180</v>
      </c>
      <c r="M4328" t="s">
        <v>25</v>
      </c>
      <c r="N4328" t="s">
        <v>37181</v>
      </c>
      <c r="O4328" t="s">
        <v>25</v>
      </c>
      <c r="P4328" t="s">
        <v>37182</v>
      </c>
      <c r="Q4328" t="s">
        <v>29</v>
      </c>
      <c r="R4328" t="s">
        <v>37178</v>
      </c>
      <c r="S4328" t="s">
        <v>37179</v>
      </c>
    </row>
    <row r="4329" spans="1:19" x14ac:dyDescent="0.25">
      <c r="A4329" s="1">
        <v>4327</v>
      </c>
      <c r="B4329" t="str">
        <f>HYPERLINK("https://www.dasschnelle.at/traussnigg-h-gesmbh-köflach-judenburgerstraße","Website")</f>
        <v>Website</v>
      </c>
      <c r="C4329" t="str">
        <f>HYPERLINK("http://www.traussnigg.at","Website")</f>
        <v>Website</v>
      </c>
      <c r="D4329" t="str">
        <f>HYPERLINK("http://www.google.com/maps/place/47.06509,15.07728","Location")</f>
        <v>Location</v>
      </c>
      <c r="E4329" t="s">
        <v>37183</v>
      </c>
      <c r="F4329" t="s">
        <v>37184</v>
      </c>
      <c r="G4329" t="s">
        <v>4582</v>
      </c>
      <c r="H4329" t="s">
        <v>4583</v>
      </c>
      <c r="I4329" t="s">
        <v>451</v>
      </c>
      <c r="J4329" t="s">
        <v>22</v>
      </c>
      <c r="K4329" t="s">
        <v>37185</v>
      </c>
      <c r="L4329" t="s">
        <v>37188</v>
      </c>
      <c r="M4329" t="s">
        <v>37189</v>
      </c>
      <c r="N4329" t="s">
        <v>37190</v>
      </c>
      <c r="O4329" t="s">
        <v>25</v>
      </c>
      <c r="P4329" t="s">
        <v>37191</v>
      </c>
      <c r="Q4329" t="s">
        <v>29</v>
      </c>
      <c r="R4329" t="s">
        <v>37186</v>
      </c>
      <c r="S4329" t="s">
        <v>37187</v>
      </c>
    </row>
    <row r="4330" spans="1:19" x14ac:dyDescent="0.25">
      <c r="A4330" s="1">
        <v>4328</v>
      </c>
      <c r="B4330" t="str">
        <f>HYPERLINK("https://www.dasschnelle.at/gasthaus-thöny-maria-lankowitz-hauptstraße","Website")</f>
        <v>Website</v>
      </c>
      <c r="C4330" t="str">
        <f>HYPERLINK("https://www.dasschnelle.at/gasthaus-th%C3%B6ny-maria-lankowitz-hauptstra%C3%9Fe","Website")</f>
        <v>Website</v>
      </c>
      <c r="D4330" t="str">
        <f>HYPERLINK("http://www.google.com/maps/place/47.06231,15.06636","Location")</f>
        <v>Location</v>
      </c>
      <c r="E4330" t="s">
        <v>37192</v>
      </c>
      <c r="F4330" t="s">
        <v>37193</v>
      </c>
      <c r="G4330" t="s">
        <v>37194</v>
      </c>
      <c r="H4330" t="s">
        <v>37195</v>
      </c>
      <c r="I4330" t="s">
        <v>451</v>
      </c>
      <c r="J4330" t="s">
        <v>22</v>
      </c>
      <c r="K4330" t="s">
        <v>12380</v>
      </c>
      <c r="L4330" t="s">
        <v>37198</v>
      </c>
      <c r="M4330" t="s">
        <v>25</v>
      </c>
      <c r="N4330" t="s">
        <v>37199</v>
      </c>
      <c r="O4330" t="s">
        <v>25</v>
      </c>
      <c r="P4330" t="s">
        <v>37200</v>
      </c>
      <c r="Q4330" t="s">
        <v>29</v>
      </c>
      <c r="R4330" t="s">
        <v>37196</v>
      </c>
      <c r="S4330" t="s">
        <v>37197</v>
      </c>
    </row>
    <row r="4331" spans="1:19" x14ac:dyDescent="0.25">
      <c r="A4331" s="1">
        <v>4329</v>
      </c>
      <c r="B4331" t="str">
        <f>HYPERLINK("https://www.dasschnelle.at/steyrtalapotheke-neuzeug-josef-teufel-platz","Website")</f>
        <v>Website</v>
      </c>
      <c r="C4331" t="str">
        <f>HYPERLINK("http://www.gesundheitsgreisslerei.at","Website")</f>
        <v>Website</v>
      </c>
      <c r="D4331" t="str">
        <f>HYPERLINK("http://www.google.com/maps/place/48.04826,14.33574","Location")</f>
        <v>Location</v>
      </c>
      <c r="E4331" t="s">
        <v>37201</v>
      </c>
      <c r="F4331" t="s">
        <v>37202</v>
      </c>
      <c r="G4331" t="s">
        <v>11109</v>
      </c>
      <c r="H4331" t="s">
        <v>11110</v>
      </c>
      <c r="I4331" t="s">
        <v>85</v>
      </c>
      <c r="J4331" t="s">
        <v>22</v>
      </c>
      <c r="K4331" t="s">
        <v>37203</v>
      </c>
      <c r="L4331" t="s">
        <v>37206</v>
      </c>
      <c r="M4331" t="s">
        <v>25</v>
      </c>
      <c r="N4331" t="s">
        <v>37207</v>
      </c>
      <c r="O4331" t="s">
        <v>25</v>
      </c>
      <c r="P4331" t="s">
        <v>37208</v>
      </c>
      <c r="Q4331" t="s">
        <v>29</v>
      </c>
      <c r="R4331" t="s">
        <v>37204</v>
      </c>
      <c r="S4331" t="s">
        <v>37205</v>
      </c>
    </row>
    <row r="4332" spans="1:19" x14ac:dyDescent="0.25">
      <c r="A4332" s="1">
        <v>4330</v>
      </c>
      <c r="B4332" t="str">
        <f>HYPERLINK("https://www.dasschnelle.at/physio-aktiv-eberstalzell-sonnleiten","Website")</f>
        <v>Website</v>
      </c>
      <c r="C4332" t="str">
        <f>HYPERLINK("http://www.physioaktiv-eberstalzell.at","Website")</f>
        <v>Website</v>
      </c>
      <c r="D4332" t="str">
        <f>HYPERLINK("http://www.google.com/maps/place/48.04624,13.98033","Location")</f>
        <v>Location</v>
      </c>
      <c r="E4332" t="s">
        <v>37209</v>
      </c>
      <c r="F4332" t="s">
        <v>37210</v>
      </c>
      <c r="G4332" t="s">
        <v>10923</v>
      </c>
      <c r="H4332" t="s">
        <v>10924</v>
      </c>
      <c r="I4332" t="s">
        <v>85</v>
      </c>
      <c r="J4332" t="s">
        <v>22</v>
      </c>
      <c r="K4332" t="s">
        <v>37211</v>
      </c>
      <c r="L4332" t="s">
        <v>37214</v>
      </c>
      <c r="M4332" t="s">
        <v>25</v>
      </c>
      <c r="N4332" t="s">
        <v>37215</v>
      </c>
      <c r="O4332" t="s">
        <v>25</v>
      </c>
      <c r="P4332" t="s">
        <v>37216</v>
      </c>
      <c r="Q4332" t="s">
        <v>29</v>
      </c>
      <c r="R4332" t="s">
        <v>37212</v>
      </c>
      <c r="S4332" t="s">
        <v>37213</v>
      </c>
    </row>
    <row r="4333" spans="1:19" x14ac:dyDescent="0.25">
      <c r="A4333" s="1">
        <v>4331</v>
      </c>
      <c r="B4333" t="str">
        <f>HYPERLINK("https://www.dasschnelle.at/dan-küchenstudio-kremsmünster-hauptstraße","Website")</f>
        <v>Website</v>
      </c>
      <c r="C4333" t="str">
        <f>HYPERLINK("http://www.moeha.at","Website")</f>
        <v>Website</v>
      </c>
      <c r="D4333" t="str">
        <f>HYPERLINK("http://www.google.com/maps/place/48.0524,14.12779","Location")</f>
        <v>Location</v>
      </c>
      <c r="E4333" t="s">
        <v>37217</v>
      </c>
      <c r="F4333" t="s">
        <v>37218</v>
      </c>
      <c r="G4333" t="s">
        <v>9173</v>
      </c>
      <c r="H4333" t="s">
        <v>9174</v>
      </c>
      <c r="I4333" t="s">
        <v>85</v>
      </c>
      <c r="J4333" t="s">
        <v>22</v>
      </c>
      <c r="K4333" t="s">
        <v>37219</v>
      </c>
      <c r="L4333" t="s">
        <v>37222</v>
      </c>
      <c r="M4333" t="s">
        <v>25</v>
      </c>
      <c r="N4333" t="s">
        <v>37223</v>
      </c>
      <c r="O4333" t="s">
        <v>25</v>
      </c>
      <c r="P4333" t="s">
        <v>37224</v>
      </c>
      <c r="Q4333" t="s">
        <v>29</v>
      </c>
      <c r="R4333" t="s">
        <v>37220</v>
      </c>
      <c r="S4333" t="s">
        <v>37221</v>
      </c>
    </row>
    <row r="4334" spans="1:19" x14ac:dyDescent="0.25">
      <c r="A4334" s="1">
        <v>4332</v>
      </c>
      <c r="B4334" t="str">
        <f>HYPERLINK("https://www.dasschnelle.at/eiböck-doris-mag-haslach-an-der-mühl-marktplatz","Website")</f>
        <v>Website</v>
      </c>
      <c r="C4334" t="str">
        <f>HYPERLINK("http://www.apotheke-haslach.at","Website")</f>
        <v>Website</v>
      </c>
      <c r="D4334" t="str">
        <f>HYPERLINK("http://www.google.com/maps/place/48.57573,14.03878","Location")</f>
        <v>Location</v>
      </c>
      <c r="E4334" t="s">
        <v>37225</v>
      </c>
      <c r="F4334" t="s">
        <v>37226</v>
      </c>
      <c r="G4334" t="s">
        <v>35103</v>
      </c>
      <c r="H4334" t="s">
        <v>35104</v>
      </c>
      <c r="I4334" t="s">
        <v>85</v>
      </c>
      <c r="J4334" t="s">
        <v>22</v>
      </c>
      <c r="K4334" t="s">
        <v>37227</v>
      </c>
      <c r="L4334" t="s">
        <v>37230</v>
      </c>
      <c r="M4334" t="s">
        <v>25</v>
      </c>
      <c r="N4334" t="s">
        <v>37231</v>
      </c>
      <c r="O4334" t="s">
        <v>37232</v>
      </c>
      <c r="P4334" t="s">
        <v>37233</v>
      </c>
      <c r="Q4334" t="s">
        <v>29</v>
      </c>
      <c r="R4334" t="s">
        <v>37228</v>
      </c>
      <c r="S4334" t="s">
        <v>37229</v>
      </c>
    </row>
    <row r="4335" spans="1:19" x14ac:dyDescent="0.25">
      <c r="A4335" s="1">
        <v>4333</v>
      </c>
      <c r="B4335" t="str">
        <f>HYPERLINK("https://www.dasschnelle.at/kopf-stefanie-kremsmünster-rathausplatz","Website")</f>
        <v>Website</v>
      </c>
      <c r="C4335" t="str">
        <f>HYPERLINK("http://www.gh-huethmayr.at","Website")</f>
        <v>Website</v>
      </c>
      <c r="D4335" t="str">
        <f>HYPERLINK("http://www.google.com/maps/place/48.05297,14.12906","Location")</f>
        <v>Location</v>
      </c>
      <c r="E4335" t="s">
        <v>37234</v>
      </c>
      <c r="F4335" t="s">
        <v>37235</v>
      </c>
      <c r="G4335" t="s">
        <v>9173</v>
      </c>
      <c r="H4335" t="s">
        <v>9174</v>
      </c>
      <c r="I4335" t="s">
        <v>85</v>
      </c>
      <c r="J4335" t="s">
        <v>22</v>
      </c>
      <c r="K4335" t="s">
        <v>37236</v>
      </c>
      <c r="L4335" t="s">
        <v>37239</v>
      </c>
      <c r="M4335" t="s">
        <v>25</v>
      </c>
      <c r="N4335" t="s">
        <v>37240</v>
      </c>
      <c r="O4335" t="s">
        <v>25</v>
      </c>
      <c r="P4335" t="s">
        <v>37241</v>
      </c>
      <c r="Q4335" t="s">
        <v>29</v>
      </c>
      <c r="R4335" t="s">
        <v>37237</v>
      </c>
      <c r="S4335" t="s">
        <v>37238</v>
      </c>
    </row>
    <row r="4336" spans="1:19" x14ac:dyDescent="0.25">
      <c r="A4336" s="1">
        <v>4334</v>
      </c>
      <c r="B4336" t="str">
        <f>HYPERLINK("https://www.dasschnelle.at/ucar-mehmet-rottenmann-hauptstraße","Website")</f>
        <v>Website</v>
      </c>
      <c r="C4336" t="str">
        <f>HYPERLINK("http://www.cafe-uni-treff.at","Website")</f>
        <v>Website</v>
      </c>
      <c r="D4336" t="str">
        <f>HYPERLINK("http://www.google.com/maps/place/47.52428,14.34439","Location")</f>
        <v>Location</v>
      </c>
      <c r="E4336" t="s">
        <v>37242</v>
      </c>
      <c r="F4336" t="s">
        <v>37243</v>
      </c>
      <c r="G4336" t="s">
        <v>36556</v>
      </c>
      <c r="H4336" t="s">
        <v>36557</v>
      </c>
      <c r="I4336" t="s">
        <v>451</v>
      </c>
      <c r="J4336" t="s">
        <v>22</v>
      </c>
      <c r="K4336" t="s">
        <v>37244</v>
      </c>
      <c r="L4336" t="s">
        <v>37247</v>
      </c>
      <c r="M4336" t="s">
        <v>25</v>
      </c>
      <c r="N4336" t="s">
        <v>37248</v>
      </c>
      <c r="O4336" t="s">
        <v>25</v>
      </c>
      <c r="P4336" t="s">
        <v>37249</v>
      </c>
      <c r="Q4336" t="s">
        <v>29</v>
      </c>
      <c r="R4336" t="s">
        <v>37245</v>
      </c>
      <c r="S4336" t="s">
        <v>37246</v>
      </c>
    </row>
    <row r="4337" spans="1:19" x14ac:dyDescent="0.25">
      <c r="A4337" s="1">
        <v>4335</v>
      </c>
      <c r="B4337" t="str">
        <f>HYPERLINK("https://www.dasschnelle.at/lehner-alois-bad-hall-quellenstraße","Website")</f>
        <v>Website</v>
      </c>
      <c r="C4337" t="str">
        <f>HYPERLINK("http://www.glas-lehner.at","Website")</f>
        <v>Website</v>
      </c>
      <c r="D4337" t="str">
        <f>HYPERLINK("http://www.google.com/maps/place/48.0387200,14.2000300","Location")</f>
        <v>Location</v>
      </c>
      <c r="E4337" t="s">
        <v>37250</v>
      </c>
      <c r="F4337" t="s">
        <v>37251</v>
      </c>
      <c r="G4337" t="s">
        <v>2280</v>
      </c>
      <c r="H4337" t="s">
        <v>2281</v>
      </c>
      <c r="I4337" t="s">
        <v>85</v>
      </c>
      <c r="J4337" t="s">
        <v>22</v>
      </c>
      <c r="K4337" t="s">
        <v>37252</v>
      </c>
      <c r="L4337" t="s">
        <v>37255</v>
      </c>
      <c r="M4337" t="s">
        <v>37256</v>
      </c>
      <c r="N4337" t="s">
        <v>37257</v>
      </c>
      <c r="O4337" t="s">
        <v>25</v>
      </c>
      <c r="P4337" t="s">
        <v>37258</v>
      </c>
      <c r="Q4337" t="s">
        <v>29</v>
      </c>
      <c r="R4337" t="s">
        <v>37253</v>
      </c>
      <c r="S4337" t="s">
        <v>37254</v>
      </c>
    </row>
    <row r="4338" spans="1:19" x14ac:dyDescent="0.25">
      <c r="A4338" s="1">
        <v>4336</v>
      </c>
      <c r="B4338" t="str">
        <f>HYPERLINK("https://www.dasschnelle.at/mörtenhuber-manfred-kremsmünster-welser-straße","Website")</f>
        <v>Website</v>
      </c>
      <c r="C4338" t="str">
        <f>HYPERLINK("http://www.bestattung-moertenhuber.at","Website")</f>
        <v>Website</v>
      </c>
      <c r="D4338" t="str">
        <f>HYPERLINK("http://www.google.com/maps/place/48.05424,14.13221","Location")</f>
        <v>Location</v>
      </c>
      <c r="E4338" t="s">
        <v>37259</v>
      </c>
      <c r="F4338" t="s">
        <v>37260</v>
      </c>
      <c r="G4338" t="s">
        <v>9173</v>
      </c>
      <c r="H4338" t="s">
        <v>9174</v>
      </c>
      <c r="I4338" t="s">
        <v>85</v>
      </c>
      <c r="J4338" t="s">
        <v>22</v>
      </c>
      <c r="K4338" t="s">
        <v>37261</v>
      </c>
      <c r="L4338" t="s">
        <v>37264</v>
      </c>
      <c r="M4338" t="s">
        <v>25</v>
      </c>
      <c r="N4338" t="s">
        <v>37265</v>
      </c>
      <c r="O4338" t="s">
        <v>25</v>
      </c>
      <c r="P4338" t="s">
        <v>37266</v>
      </c>
      <c r="Q4338" t="s">
        <v>29</v>
      </c>
      <c r="R4338" t="s">
        <v>37262</v>
      </c>
      <c r="S4338" t="s">
        <v>37263</v>
      </c>
    </row>
    <row r="4339" spans="1:19" x14ac:dyDescent="0.25">
      <c r="A4339" s="1">
        <v>4337</v>
      </c>
      <c r="B4339" t="str">
        <f>HYPERLINK("https://www.dasschnelle.at/diermayr-gerhard-mehrnbach-asenham","Website")</f>
        <v>Website</v>
      </c>
      <c r="C4339" t="str">
        <f>HYPERLINK("http://www.kfz-diermayr.com","Website")</f>
        <v>Website</v>
      </c>
      <c r="D4339" t="str">
        <f>HYPERLINK("http://www.google.com/maps/place/48.2166206,13.4435609","Location")</f>
        <v>Location</v>
      </c>
      <c r="E4339" t="s">
        <v>37267</v>
      </c>
      <c r="F4339" t="s">
        <v>37268</v>
      </c>
      <c r="G4339" t="s">
        <v>6256</v>
      </c>
      <c r="H4339" t="s">
        <v>6257</v>
      </c>
      <c r="I4339" t="s">
        <v>85</v>
      </c>
      <c r="J4339" t="s">
        <v>22</v>
      </c>
      <c r="K4339" t="s">
        <v>37269</v>
      </c>
      <c r="L4339" t="s">
        <v>37272</v>
      </c>
      <c r="M4339" t="s">
        <v>25</v>
      </c>
      <c r="N4339" t="s">
        <v>37273</v>
      </c>
      <c r="O4339" t="s">
        <v>25</v>
      </c>
      <c r="P4339" t="s">
        <v>37274</v>
      </c>
      <c r="Q4339" t="s">
        <v>29</v>
      </c>
      <c r="R4339" t="s">
        <v>37270</v>
      </c>
      <c r="S4339" t="s">
        <v>37271</v>
      </c>
    </row>
    <row r="4340" spans="1:19" x14ac:dyDescent="0.25">
      <c r="A4340" s="1">
        <v>4338</v>
      </c>
      <c r="B4340" t="str">
        <f>HYPERLINK("https://www.dasschnelle.at/schöllhuber-erwin-kremsmünster-kremsegger-straße","Website")</f>
        <v>Website</v>
      </c>
      <c r="C4340" t="str">
        <f>HYPERLINK("http://www.adautodienst.at","Website")</f>
        <v>Website</v>
      </c>
      <c r="D4340" t="str">
        <f>HYPERLINK("http://www.google.com/maps/place/48.05783,14.13767","Location")</f>
        <v>Location</v>
      </c>
      <c r="E4340" t="s">
        <v>37275</v>
      </c>
      <c r="F4340" t="s">
        <v>37276</v>
      </c>
      <c r="G4340" t="s">
        <v>9173</v>
      </c>
      <c r="H4340" t="s">
        <v>9174</v>
      </c>
      <c r="I4340" t="s">
        <v>85</v>
      </c>
      <c r="J4340" t="s">
        <v>22</v>
      </c>
      <c r="K4340" t="s">
        <v>37277</v>
      </c>
      <c r="L4340" t="s">
        <v>37280</v>
      </c>
      <c r="M4340" t="s">
        <v>25</v>
      </c>
      <c r="N4340" t="s">
        <v>37281</v>
      </c>
      <c r="O4340" t="s">
        <v>25</v>
      </c>
      <c r="P4340" t="s">
        <v>37282</v>
      </c>
      <c r="Q4340" t="s">
        <v>29</v>
      </c>
      <c r="R4340" t="s">
        <v>37278</v>
      </c>
      <c r="S4340" t="s">
        <v>37279</v>
      </c>
    </row>
    <row r="4341" spans="1:19" x14ac:dyDescent="0.25">
      <c r="A4341" s="1">
        <v>4339</v>
      </c>
      <c r="B4341" t="str">
        <f>HYPERLINK("https://www.dasschnelle.at/stift-kremsmünster-kremsmünster-stift","Website")</f>
        <v>Website</v>
      </c>
      <c r="C4341" t="str">
        <f>HYPERLINK("http://www.stiftsschank.at","Website")</f>
        <v>Website</v>
      </c>
      <c r="D4341" t="str">
        <f>HYPERLINK("http://www.google.com/maps/place/48.05522,14.12903","Location")</f>
        <v>Location</v>
      </c>
      <c r="E4341" t="s">
        <v>37283</v>
      </c>
      <c r="F4341" t="s">
        <v>37284</v>
      </c>
      <c r="G4341" t="s">
        <v>9173</v>
      </c>
      <c r="H4341" t="s">
        <v>9174</v>
      </c>
      <c r="I4341" t="s">
        <v>85</v>
      </c>
      <c r="J4341" t="s">
        <v>22</v>
      </c>
      <c r="K4341" t="s">
        <v>37285</v>
      </c>
      <c r="L4341" t="s">
        <v>37288</v>
      </c>
      <c r="M4341" t="s">
        <v>25</v>
      </c>
      <c r="N4341" t="s">
        <v>37289</v>
      </c>
      <c r="O4341" t="s">
        <v>25</v>
      </c>
      <c r="P4341" t="s">
        <v>37290</v>
      </c>
      <c r="Q4341" t="s">
        <v>29</v>
      </c>
      <c r="R4341" t="s">
        <v>37286</v>
      </c>
      <c r="S4341" t="s">
        <v>37287</v>
      </c>
    </row>
    <row r="4342" spans="1:19" x14ac:dyDescent="0.25">
      <c r="A4342" s="1">
        <v>4340</v>
      </c>
      <c r="B4342" t="str">
        <f>HYPERLINK("https://www.dasschnelle.at/salon-erika-kremsmünster-franz-hönig-straße","Website")</f>
        <v>Website</v>
      </c>
      <c r="C4342" t="str">
        <f>HYPERLINK("http://www.friseursalon-erika.sta.io","Website")</f>
        <v>Website</v>
      </c>
      <c r="D4342" t="str">
        <f>HYPERLINK("http://www.google.com/maps/place/48.05249,14.12965","Location")</f>
        <v>Location</v>
      </c>
      <c r="E4342" t="s">
        <v>37291</v>
      </c>
      <c r="F4342" t="s">
        <v>37292</v>
      </c>
      <c r="G4342" t="s">
        <v>9173</v>
      </c>
      <c r="H4342" t="s">
        <v>9174</v>
      </c>
      <c r="I4342" t="s">
        <v>85</v>
      </c>
      <c r="J4342" t="s">
        <v>22</v>
      </c>
      <c r="K4342" t="s">
        <v>37293</v>
      </c>
      <c r="L4342" t="s">
        <v>37296</v>
      </c>
      <c r="M4342" t="s">
        <v>25</v>
      </c>
      <c r="N4342" t="s">
        <v>37297</v>
      </c>
      <c r="O4342" t="s">
        <v>25</v>
      </c>
      <c r="P4342" t="s">
        <v>37298</v>
      </c>
      <c r="Q4342" t="s">
        <v>29</v>
      </c>
      <c r="R4342" t="s">
        <v>37294</v>
      </c>
      <c r="S4342" t="s">
        <v>37295</v>
      </c>
    </row>
    <row r="4343" spans="1:19" x14ac:dyDescent="0.25">
      <c r="A4343" s="1">
        <v>4341</v>
      </c>
      <c r="B4343" t="str">
        <f>HYPERLINK("https://www.dasschnelle.at/jansch-metallbau-kremsmünster-gablonzer-straße","Website")</f>
        <v>Website</v>
      </c>
      <c r="C4343" t="str">
        <f>HYPERLINK("http://www.jansch.at","Website")</f>
        <v>Website</v>
      </c>
      <c r="D4343" t="str">
        <f>HYPERLINK("http://www.google.com/maps/place/48.05162,14.12632","Location")</f>
        <v>Location</v>
      </c>
      <c r="E4343" t="s">
        <v>37299</v>
      </c>
      <c r="F4343" t="s">
        <v>37300</v>
      </c>
      <c r="G4343" t="s">
        <v>9173</v>
      </c>
      <c r="H4343" t="s">
        <v>9174</v>
      </c>
      <c r="I4343" t="s">
        <v>85</v>
      </c>
      <c r="J4343" t="s">
        <v>22</v>
      </c>
      <c r="K4343" t="s">
        <v>37301</v>
      </c>
      <c r="L4343" t="s">
        <v>37304</v>
      </c>
      <c r="M4343" t="s">
        <v>25</v>
      </c>
      <c r="N4343" t="s">
        <v>37305</v>
      </c>
      <c r="O4343" t="s">
        <v>25</v>
      </c>
      <c r="P4343" t="s">
        <v>37306</v>
      </c>
      <c r="Q4343" t="s">
        <v>29</v>
      </c>
      <c r="R4343" t="s">
        <v>37302</v>
      </c>
      <c r="S4343" t="s">
        <v>37303</v>
      </c>
    </row>
    <row r="4344" spans="1:19" x14ac:dyDescent="0.25">
      <c r="A4344" s="1">
        <v>4342</v>
      </c>
      <c r="B4344" t="str">
        <f>HYPERLINK("https://www.dasschnelle.at/tadic-goran-gmbh-bad-aussee-erich-landgrebe-weg","Website")</f>
        <v>Website</v>
      </c>
      <c r="C4344" t="str">
        <f>HYPERLINK("http://www.tadic.at","Website")</f>
        <v>Website</v>
      </c>
      <c r="D4344" t="str">
        <f>HYPERLINK("http://www.google.com/maps/place/47.60547,13.77857","Location")</f>
        <v>Location</v>
      </c>
      <c r="E4344" t="s">
        <v>37307</v>
      </c>
      <c r="F4344" t="s">
        <v>37308</v>
      </c>
      <c r="G4344" t="s">
        <v>1195</v>
      </c>
      <c r="H4344" t="s">
        <v>1196</v>
      </c>
      <c r="I4344" t="s">
        <v>451</v>
      </c>
      <c r="J4344" t="s">
        <v>22</v>
      </c>
      <c r="K4344" t="s">
        <v>37309</v>
      </c>
      <c r="L4344" t="s">
        <v>37312</v>
      </c>
      <c r="M4344" t="s">
        <v>25</v>
      </c>
      <c r="N4344" t="s">
        <v>37313</v>
      </c>
      <c r="O4344" t="s">
        <v>37314</v>
      </c>
      <c r="P4344" t="s">
        <v>37315</v>
      </c>
      <c r="Q4344" t="s">
        <v>29</v>
      </c>
      <c r="R4344" t="s">
        <v>37310</v>
      </c>
      <c r="S4344" t="s">
        <v>37311</v>
      </c>
    </row>
    <row r="4345" spans="1:19" x14ac:dyDescent="0.25">
      <c r="A4345" s="1">
        <v>4343</v>
      </c>
      <c r="B4345" t="str">
        <f>HYPERLINK("https://www.dasschnelle.at/oberndorfer-erwin-kremsmünster-bad-haller-straße","Website")</f>
        <v>Website</v>
      </c>
      <c r="C4345" t="str">
        <f>HYPERLINK("http://www.oberndorfer-steinbau.at","Website")</f>
        <v>Website</v>
      </c>
      <c r="D4345" t="str">
        <f>HYPERLINK("http://www.google.com/maps/place/48.05601,14.15039","Location")</f>
        <v>Location</v>
      </c>
      <c r="E4345" t="s">
        <v>37316</v>
      </c>
      <c r="F4345" t="s">
        <v>37317</v>
      </c>
      <c r="G4345" t="s">
        <v>9173</v>
      </c>
      <c r="H4345" t="s">
        <v>9174</v>
      </c>
      <c r="I4345" t="s">
        <v>85</v>
      </c>
      <c r="J4345" t="s">
        <v>22</v>
      </c>
      <c r="K4345" t="s">
        <v>37318</v>
      </c>
      <c r="L4345" t="s">
        <v>37321</v>
      </c>
      <c r="M4345" t="s">
        <v>37322</v>
      </c>
      <c r="N4345" t="s">
        <v>37323</v>
      </c>
      <c r="O4345" t="s">
        <v>25</v>
      </c>
      <c r="P4345" t="s">
        <v>37324</v>
      </c>
      <c r="Q4345" t="s">
        <v>29</v>
      </c>
      <c r="R4345" t="s">
        <v>37319</v>
      </c>
      <c r="S4345" t="s">
        <v>37320</v>
      </c>
    </row>
    <row r="4346" spans="1:19" x14ac:dyDescent="0.25">
      <c r="A4346" s="1">
        <v>4344</v>
      </c>
      <c r="B4346" t="str">
        <f>HYPERLINK("https://www.dasschnelle.at/amatschek-herwig-renofix-kremsmünster-neuhofstraße","Website")</f>
        <v>Website</v>
      </c>
      <c r="C4346" t="str">
        <f>HYPERLINK("http://www.renofix-amatschek.at","Website")</f>
        <v>Website</v>
      </c>
      <c r="D4346" t="str">
        <f>HYPERLINK("http://www.google.com/maps/place/48.05678,14.1224","Location")</f>
        <v>Location</v>
      </c>
      <c r="E4346" t="s">
        <v>37325</v>
      </c>
      <c r="F4346" t="s">
        <v>37326</v>
      </c>
      <c r="G4346" t="s">
        <v>9173</v>
      </c>
      <c r="H4346" t="s">
        <v>9174</v>
      </c>
      <c r="I4346" t="s">
        <v>85</v>
      </c>
      <c r="J4346" t="s">
        <v>22</v>
      </c>
      <c r="K4346" t="s">
        <v>37327</v>
      </c>
      <c r="L4346" t="s">
        <v>37330</v>
      </c>
      <c r="M4346" t="s">
        <v>25</v>
      </c>
      <c r="N4346" t="s">
        <v>37331</v>
      </c>
      <c r="O4346" t="s">
        <v>25</v>
      </c>
      <c r="P4346" t="s">
        <v>37332</v>
      </c>
      <c r="Q4346" t="s">
        <v>29</v>
      </c>
      <c r="R4346" t="s">
        <v>37328</v>
      </c>
      <c r="S4346" t="s">
        <v>37329</v>
      </c>
    </row>
    <row r="4347" spans="1:19" x14ac:dyDescent="0.25">
      <c r="A4347" s="1">
        <v>4345</v>
      </c>
      <c r="B4347" t="str">
        <f>HYPERLINK("https://www.dasschnelle.at/schopper-bau-gmbh-kremsmünster-bahnhofstraße","Website")</f>
        <v>Website</v>
      </c>
      <c r="C4347" t="str">
        <f>HYPERLINK("http://www.schopper-bau.at","Website")</f>
        <v>Website</v>
      </c>
      <c r="D4347" t="str">
        <f>HYPERLINK("http://www.google.com/maps/place/48.05434,14.13464","Location")</f>
        <v>Location</v>
      </c>
      <c r="E4347" t="s">
        <v>37333</v>
      </c>
      <c r="F4347" t="s">
        <v>37334</v>
      </c>
      <c r="G4347" t="s">
        <v>9173</v>
      </c>
      <c r="H4347" t="s">
        <v>9174</v>
      </c>
      <c r="I4347" t="s">
        <v>85</v>
      </c>
      <c r="J4347" t="s">
        <v>22</v>
      </c>
      <c r="K4347" t="s">
        <v>37335</v>
      </c>
      <c r="L4347" t="s">
        <v>37337</v>
      </c>
      <c r="M4347" t="s">
        <v>25</v>
      </c>
      <c r="N4347" t="s">
        <v>37338</v>
      </c>
      <c r="O4347" t="s">
        <v>37339</v>
      </c>
      <c r="P4347" t="s">
        <v>37340</v>
      </c>
      <c r="Q4347" t="s">
        <v>29</v>
      </c>
      <c r="R4347" t="s">
        <v>9343</v>
      </c>
      <c r="S4347" t="s">
        <v>37336</v>
      </c>
    </row>
    <row r="4348" spans="1:19" x14ac:dyDescent="0.25">
      <c r="A4348" s="1">
        <v>4346</v>
      </c>
      <c r="B4348" t="str">
        <f>HYPERLINK("https://www.dasschnelle.at/haarstudio-andrea-lohnsburg-marktplatz","Website")</f>
        <v>Website</v>
      </c>
      <c r="C4348" t="str">
        <f>HYPERLINK("https://www.dasschnelle.at/haarstudio-andrea-lohnsburg-marktplatz","Website")</f>
        <v>Website</v>
      </c>
      <c r="D4348" t="str">
        <f>HYPERLINK("http://www.google.com/maps/place/48.1441427,13.4050309","Location")</f>
        <v>Location</v>
      </c>
      <c r="E4348" t="s">
        <v>37341</v>
      </c>
      <c r="F4348" t="s">
        <v>37342</v>
      </c>
      <c r="G4348" t="s">
        <v>37343</v>
      </c>
      <c r="H4348" t="s">
        <v>37344</v>
      </c>
      <c r="I4348" t="s">
        <v>85</v>
      </c>
      <c r="J4348" t="s">
        <v>22</v>
      </c>
      <c r="K4348" t="s">
        <v>10799</v>
      </c>
      <c r="L4348" t="s">
        <v>37347</v>
      </c>
      <c r="M4348" t="s">
        <v>25</v>
      </c>
      <c r="N4348" t="s">
        <v>37348</v>
      </c>
      <c r="O4348" t="s">
        <v>25</v>
      </c>
      <c r="P4348" t="s">
        <v>37349</v>
      </c>
      <c r="Q4348" t="s">
        <v>29</v>
      </c>
      <c r="R4348" t="s">
        <v>37345</v>
      </c>
      <c r="S4348" t="s">
        <v>37346</v>
      </c>
    </row>
    <row r="4349" spans="1:19" x14ac:dyDescent="0.25">
      <c r="A4349" s="1">
        <v>4347</v>
      </c>
      <c r="B4349" t="str">
        <f>HYPERLINK("https://www.dasschnelle.at/topfenster-ried-im-innkreis-oberbrunnerstraße","Website")</f>
        <v>Website</v>
      </c>
      <c r="C4349" t="str">
        <f>HYPERLINK("http://www.topfenster.co.at","Website")</f>
        <v>Website</v>
      </c>
      <c r="D4349" t="str">
        <f>HYPERLINK("http://www.google.com/maps/place/48.1575700,13.4870200","Location")</f>
        <v>Location</v>
      </c>
      <c r="E4349" t="s">
        <v>37350</v>
      </c>
      <c r="F4349" t="s">
        <v>37351</v>
      </c>
      <c r="G4349" t="s">
        <v>6245</v>
      </c>
      <c r="H4349" t="s">
        <v>6267</v>
      </c>
      <c r="I4349" t="s">
        <v>85</v>
      </c>
      <c r="J4349" t="s">
        <v>22</v>
      </c>
      <c r="K4349" t="s">
        <v>37352</v>
      </c>
      <c r="L4349" t="s">
        <v>37355</v>
      </c>
      <c r="M4349" t="s">
        <v>25</v>
      </c>
      <c r="N4349" t="s">
        <v>37356</v>
      </c>
      <c r="O4349" t="s">
        <v>37357</v>
      </c>
      <c r="P4349" t="s">
        <v>37358</v>
      </c>
      <c r="Q4349" t="s">
        <v>29</v>
      </c>
      <c r="R4349" t="s">
        <v>37353</v>
      </c>
      <c r="S4349" t="s">
        <v>37354</v>
      </c>
    </row>
    <row r="4350" spans="1:19" x14ac:dyDescent="0.25">
      <c r="A4350" s="1">
        <v>4348</v>
      </c>
      <c r="B4350" t="str">
        <f>HYPERLINK("https://www.dasschnelle.at/aigner-johannes-vorchdorf-bahnhofstraße","Website")</f>
        <v>Website</v>
      </c>
      <c r="C4350" t="str">
        <f>HYPERLINK("http://www.aigner-raum.at","Website")</f>
        <v>Website</v>
      </c>
      <c r="D4350" t="str">
        <f>HYPERLINK("http://www.google.com/maps/place/48.00017,13.92158","Location")</f>
        <v>Location</v>
      </c>
      <c r="E4350" t="s">
        <v>37359</v>
      </c>
      <c r="F4350" t="s">
        <v>37360</v>
      </c>
      <c r="G4350" t="s">
        <v>6960</v>
      </c>
      <c r="H4350" t="s">
        <v>6961</v>
      </c>
      <c r="I4350" t="s">
        <v>85</v>
      </c>
      <c r="J4350" t="s">
        <v>22</v>
      </c>
      <c r="K4350" t="s">
        <v>37361</v>
      </c>
      <c r="L4350" t="s">
        <v>37364</v>
      </c>
      <c r="M4350" t="s">
        <v>25</v>
      </c>
      <c r="N4350" t="s">
        <v>37365</v>
      </c>
      <c r="O4350" t="s">
        <v>25</v>
      </c>
      <c r="P4350" t="s">
        <v>37366</v>
      </c>
      <c r="Q4350" t="s">
        <v>29</v>
      </c>
      <c r="R4350" t="s">
        <v>37362</v>
      </c>
      <c r="S4350" t="s">
        <v>37363</v>
      </c>
    </row>
    <row r="4351" spans="1:19" x14ac:dyDescent="0.25">
      <c r="A4351" s="1">
        <v>4349</v>
      </c>
      <c r="B4351" t="str">
        <f>HYPERLINK("https://www.dasschnelle.at/garten-werk-vorchdorf-streiningerstraße","Website")</f>
        <v>Website</v>
      </c>
      <c r="C4351" t="str">
        <f>HYPERLINK("http://www.gartenwerk.at","Website")</f>
        <v>Website</v>
      </c>
      <c r="D4351" t="str">
        <f>HYPERLINK("http://www.google.com/maps/place/48.01047,13.93165","Location")</f>
        <v>Location</v>
      </c>
      <c r="E4351" t="s">
        <v>37367</v>
      </c>
      <c r="F4351" t="s">
        <v>37368</v>
      </c>
      <c r="G4351" t="s">
        <v>6960</v>
      </c>
      <c r="H4351" t="s">
        <v>6961</v>
      </c>
      <c r="I4351" t="s">
        <v>85</v>
      </c>
      <c r="J4351" t="s">
        <v>22</v>
      </c>
      <c r="K4351" t="s">
        <v>37369</v>
      </c>
      <c r="L4351" t="s">
        <v>37372</v>
      </c>
      <c r="M4351" t="s">
        <v>25</v>
      </c>
      <c r="N4351" t="s">
        <v>37373</v>
      </c>
      <c r="O4351" t="s">
        <v>25</v>
      </c>
      <c r="P4351" t="s">
        <v>37374</v>
      </c>
      <c r="Q4351" t="s">
        <v>29</v>
      </c>
      <c r="R4351" t="s">
        <v>37370</v>
      </c>
      <c r="S4351" t="s">
        <v>37371</v>
      </c>
    </row>
    <row r="4352" spans="1:19" x14ac:dyDescent="0.25">
      <c r="A4352" s="1">
        <v>4350</v>
      </c>
      <c r="B4352" t="str">
        <f>HYPERLINK("https://www.dasschnelle.at/fellner-design-tischlerei-eberstalzell-panoramastraße","Website")</f>
        <v>Website</v>
      </c>
      <c r="C4352" t="str">
        <f>HYPERLINK("https://www.dasschnelle.at/fellner-design-tischlerei-eberstalzell-panoramastra%C3%9Fe","Website")</f>
        <v>Website</v>
      </c>
      <c r="D4352" t="str">
        <f>HYPERLINK("http://www.google.com/maps/place/48.04131,13.97887","Location")</f>
        <v>Location</v>
      </c>
      <c r="E4352" t="s">
        <v>37375</v>
      </c>
      <c r="F4352" t="s">
        <v>37376</v>
      </c>
      <c r="G4352" t="s">
        <v>10923</v>
      </c>
      <c r="H4352" t="s">
        <v>10924</v>
      </c>
      <c r="I4352" t="s">
        <v>85</v>
      </c>
      <c r="J4352" t="s">
        <v>22</v>
      </c>
      <c r="K4352" t="s">
        <v>37377</v>
      </c>
      <c r="L4352" t="s">
        <v>37379</v>
      </c>
      <c r="M4352" t="s">
        <v>25</v>
      </c>
      <c r="N4352" t="s">
        <v>37380</v>
      </c>
      <c r="O4352" t="s">
        <v>25</v>
      </c>
      <c r="P4352" t="s">
        <v>37381</v>
      </c>
      <c r="Q4352" t="s">
        <v>29</v>
      </c>
      <c r="R4352" t="s">
        <v>37378</v>
      </c>
      <c r="S4352" t="s">
        <v>28351</v>
      </c>
    </row>
    <row r="4353" spans="1:19" x14ac:dyDescent="0.25">
      <c r="A4353" s="1">
        <v>4351</v>
      </c>
      <c r="B4353" t="str">
        <f>HYPERLINK("https://www.dasschnelle.at/sturm-installationen-waldzell-winterbahn","Website")</f>
        <v>Website</v>
      </c>
      <c r="C4353" t="str">
        <f>HYPERLINK("http://sturm-installationen.at","Website")</f>
        <v>Website</v>
      </c>
      <c r="D4353" t="str">
        <f>HYPERLINK("http://www.google.com/maps/place/48.136547,13.4247678","Location")</f>
        <v>Location</v>
      </c>
      <c r="E4353" t="s">
        <v>37382</v>
      </c>
      <c r="F4353" t="s">
        <v>37383</v>
      </c>
      <c r="G4353" t="s">
        <v>37385</v>
      </c>
      <c r="H4353" t="s">
        <v>37386</v>
      </c>
      <c r="I4353" t="s">
        <v>85</v>
      </c>
      <c r="J4353" t="s">
        <v>22</v>
      </c>
      <c r="K4353" t="s">
        <v>37384</v>
      </c>
      <c r="L4353" t="s">
        <v>37389</v>
      </c>
      <c r="M4353" t="s">
        <v>25</v>
      </c>
      <c r="N4353" t="s">
        <v>37390</v>
      </c>
      <c r="O4353" t="s">
        <v>25</v>
      </c>
      <c r="P4353" t="s">
        <v>37391</v>
      </c>
      <c r="Q4353" t="s">
        <v>29</v>
      </c>
      <c r="R4353" t="s">
        <v>37387</v>
      </c>
      <c r="S4353" t="s">
        <v>37388</v>
      </c>
    </row>
    <row r="4354" spans="1:19" x14ac:dyDescent="0.25">
      <c r="A4354" s="1">
        <v>4352</v>
      </c>
      <c r="B4354" t="str">
        <f>HYPERLINK("https://www.dasschnelle.at/raumausstatter-stempfer-gmbh-waldzell-steitzing","Website")</f>
        <v>Website</v>
      </c>
      <c r="C4354" t="str">
        <f>HYPERLINK("http://www.raumausstatter-stempfer.at","Website")</f>
        <v>Website</v>
      </c>
      <c r="D4354" t="str">
        <f>HYPERLINK("http://www.google.com/maps/place/48.13079,13.42484","Location")</f>
        <v>Location</v>
      </c>
      <c r="E4354" t="s">
        <v>37392</v>
      </c>
      <c r="F4354" t="s">
        <v>37393</v>
      </c>
      <c r="G4354" t="s">
        <v>37385</v>
      </c>
      <c r="H4354" t="s">
        <v>37386</v>
      </c>
      <c r="I4354" t="s">
        <v>85</v>
      </c>
      <c r="J4354" t="s">
        <v>22</v>
      </c>
      <c r="K4354" t="s">
        <v>37394</v>
      </c>
      <c r="L4354" t="s">
        <v>37397</v>
      </c>
      <c r="M4354" t="s">
        <v>25</v>
      </c>
      <c r="N4354" t="s">
        <v>37398</v>
      </c>
      <c r="O4354" t="s">
        <v>25</v>
      </c>
      <c r="P4354" t="s">
        <v>37399</v>
      </c>
      <c r="Q4354" t="s">
        <v>29</v>
      </c>
      <c r="R4354" t="s">
        <v>37395</v>
      </c>
      <c r="S4354" t="s">
        <v>37396</v>
      </c>
    </row>
    <row r="4355" spans="1:19" x14ac:dyDescent="0.25">
      <c r="A4355" s="1">
        <v>4353</v>
      </c>
      <c r="B4355" t="str">
        <f>HYPERLINK("https://www.dasschnelle.at/bestattung-puttinger-mehrnbach-sieber","Website")</f>
        <v>Website</v>
      </c>
      <c r="C4355" t="str">
        <f>HYPERLINK("http://www.bestattung-puttinger.at","Website")</f>
        <v>Website</v>
      </c>
      <c r="D4355" t="str">
        <f>HYPERLINK("http://www.google.com/maps/place/48.1904248,13.4313885","Location")</f>
        <v>Location</v>
      </c>
      <c r="E4355" t="s">
        <v>37400</v>
      </c>
      <c r="F4355" t="s">
        <v>37401</v>
      </c>
      <c r="G4355" t="s">
        <v>6256</v>
      </c>
      <c r="H4355" t="s">
        <v>6257</v>
      </c>
      <c r="I4355" t="s">
        <v>85</v>
      </c>
      <c r="J4355" t="s">
        <v>22</v>
      </c>
      <c r="K4355" t="s">
        <v>37402</v>
      </c>
      <c r="L4355" t="s">
        <v>37405</v>
      </c>
      <c r="M4355" t="s">
        <v>25</v>
      </c>
      <c r="N4355" t="s">
        <v>37406</v>
      </c>
      <c r="O4355" t="s">
        <v>25</v>
      </c>
      <c r="P4355" t="s">
        <v>37407</v>
      </c>
      <c r="Q4355" t="s">
        <v>29</v>
      </c>
      <c r="R4355" t="s">
        <v>37403</v>
      </c>
      <c r="S4355" t="s">
        <v>37404</v>
      </c>
    </row>
    <row r="4356" spans="1:19" x14ac:dyDescent="0.25">
      <c r="A4356" s="1">
        <v>4354</v>
      </c>
      <c r="B4356" t="str">
        <f>HYPERLINK("https://www.dasschnelle.at/glaserei-karl-vorchdorf-albenedt","Website")</f>
        <v>Website</v>
      </c>
      <c r="C4356" t="str">
        <f>HYPERLINK("http://www.glasereikarl.at","Website")</f>
        <v>Website</v>
      </c>
      <c r="D4356" t="str">
        <f>HYPERLINK("http://www.google.com/maps/place/47.9995300,13.9771300","Location")</f>
        <v>Location</v>
      </c>
      <c r="E4356" t="s">
        <v>37408</v>
      </c>
      <c r="F4356" t="s">
        <v>37409</v>
      </c>
      <c r="G4356" t="s">
        <v>6960</v>
      </c>
      <c r="H4356" t="s">
        <v>6961</v>
      </c>
      <c r="I4356" t="s">
        <v>85</v>
      </c>
      <c r="J4356" t="s">
        <v>22</v>
      </c>
      <c r="K4356" t="s">
        <v>35967</v>
      </c>
      <c r="L4356" t="s">
        <v>37412</v>
      </c>
      <c r="M4356" t="s">
        <v>25</v>
      </c>
      <c r="N4356" t="s">
        <v>37413</v>
      </c>
      <c r="O4356" t="s">
        <v>25</v>
      </c>
      <c r="P4356" t="s">
        <v>37414</v>
      </c>
      <c r="Q4356" t="s">
        <v>29</v>
      </c>
      <c r="R4356" t="s">
        <v>37410</v>
      </c>
      <c r="S4356" t="s">
        <v>37411</v>
      </c>
    </row>
    <row r="4357" spans="1:19" x14ac:dyDescent="0.25">
      <c r="A4357" s="1">
        <v>4355</v>
      </c>
      <c r="B4357" t="str">
        <f>HYPERLINK("https://www.dasschnelle.at/öffentlicher-notar-dr-paul-neundlinger-und-partner-rohrbach-stifterstraße","Website")</f>
        <v>Website</v>
      </c>
      <c r="C4357" t="str">
        <f>HYPERLINK("http://www.notariat-rohrbach.at","Website")</f>
        <v>Website</v>
      </c>
      <c r="D4357" t="str">
        <f>HYPERLINK("http://www.google.com/maps/place/48.5704412,13.9959952","Location")</f>
        <v>Location</v>
      </c>
      <c r="E4357" t="s">
        <v>37415</v>
      </c>
      <c r="F4357" t="s">
        <v>37416</v>
      </c>
      <c r="G4357" t="s">
        <v>8561</v>
      </c>
      <c r="H4357" t="s">
        <v>8562</v>
      </c>
      <c r="I4357" t="s">
        <v>85</v>
      </c>
      <c r="J4357" t="s">
        <v>22</v>
      </c>
      <c r="K4357" t="s">
        <v>37417</v>
      </c>
      <c r="L4357" t="s">
        <v>37420</v>
      </c>
      <c r="M4357" t="s">
        <v>25</v>
      </c>
      <c r="N4357" t="s">
        <v>37421</v>
      </c>
      <c r="O4357" t="s">
        <v>37422</v>
      </c>
      <c r="P4357" t="s">
        <v>37423</v>
      </c>
      <c r="Q4357" t="s">
        <v>29</v>
      </c>
      <c r="R4357" t="s">
        <v>37418</v>
      </c>
      <c r="S4357" t="s">
        <v>37419</v>
      </c>
    </row>
    <row r="4358" spans="1:19" x14ac:dyDescent="0.25">
      <c r="A4358" s="1">
        <v>4356</v>
      </c>
      <c r="B4358" t="str">
        <f>HYPERLINK("https://www.dasschnelle.at/atzelhuber-gerhard-waldneukirchen-dorfplatz","Website")</f>
        <v>Website</v>
      </c>
      <c r="C4358" t="str">
        <f>HYPERLINK("https://www.dasschnelle.at/atzelhuber-gerhard-waldneukirchen-dorfplatz","Website")</f>
        <v>Website</v>
      </c>
      <c r="D4358" t="str">
        <f>HYPERLINK("http://www.google.com/maps/place/47.99646,14.26011","Location")</f>
        <v>Location</v>
      </c>
      <c r="E4358" t="s">
        <v>37424</v>
      </c>
      <c r="F4358" t="s">
        <v>37425</v>
      </c>
      <c r="G4358" t="s">
        <v>2268</v>
      </c>
      <c r="H4358" t="s">
        <v>2269</v>
      </c>
      <c r="I4358" t="s">
        <v>85</v>
      </c>
      <c r="J4358" t="s">
        <v>22</v>
      </c>
      <c r="K4358" t="s">
        <v>37426</v>
      </c>
      <c r="L4358" t="s">
        <v>37429</v>
      </c>
      <c r="M4358" t="s">
        <v>25</v>
      </c>
      <c r="N4358" t="s">
        <v>37430</v>
      </c>
      <c r="O4358" t="s">
        <v>25</v>
      </c>
      <c r="P4358" t="s">
        <v>37431</v>
      </c>
      <c r="Q4358" t="s">
        <v>29</v>
      </c>
      <c r="R4358" t="s">
        <v>37427</v>
      </c>
      <c r="S4358" t="s">
        <v>37428</v>
      </c>
    </row>
    <row r="4359" spans="1:19" x14ac:dyDescent="0.25">
      <c r="A4359" s="1">
        <v>4357</v>
      </c>
      <c r="B4359" t="str">
        <f>HYPERLINK("https://www.dasschnelle.at/rathmayr-ursula-dr-ried-im-innkreis-bahnhofstraße","Website")</f>
        <v>Website</v>
      </c>
      <c r="C4359" t="str">
        <f>HYPERLINK("https://www.dasschnelle.at/rathmayr-ursula-dr-ried-im-innkreis-bahnhofstra%C3%9Fe","Website")</f>
        <v>Website</v>
      </c>
      <c r="D4359" t="str">
        <f>HYPERLINK("http://www.google.com/maps/place/48.2041,13.4899","Location")</f>
        <v>Location</v>
      </c>
      <c r="E4359" t="s">
        <v>37432</v>
      </c>
      <c r="F4359" t="s">
        <v>37433</v>
      </c>
      <c r="G4359" t="s">
        <v>6245</v>
      </c>
      <c r="H4359" t="s">
        <v>6267</v>
      </c>
      <c r="I4359" t="s">
        <v>85</v>
      </c>
      <c r="J4359" t="s">
        <v>22</v>
      </c>
      <c r="K4359" t="s">
        <v>32587</v>
      </c>
      <c r="L4359" t="s">
        <v>37436</v>
      </c>
      <c r="M4359" t="s">
        <v>25</v>
      </c>
      <c r="N4359" t="s">
        <v>25</v>
      </c>
      <c r="O4359" t="s">
        <v>25</v>
      </c>
      <c r="P4359" t="s">
        <v>37437</v>
      </c>
      <c r="Q4359" t="s">
        <v>29</v>
      </c>
      <c r="R4359" t="s">
        <v>37434</v>
      </c>
      <c r="S4359" t="s">
        <v>37435</v>
      </c>
    </row>
    <row r="4360" spans="1:19" x14ac:dyDescent="0.25">
      <c r="A4360" s="1">
        <v>4358</v>
      </c>
      <c r="B4360" t="str">
        <f>HYPERLINK("https://www.dasschnelle.at/auer-armin-heinz-hall","Website")</f>
        <v>Website</v>
      </c>
      <c r="C4360" t="str">
        <f>HYPERLINK("http://www.ihrmaler.at","Website")</f>
        <v>Website</v>
      </c>
      <c r="D4360" t="str">
        <f>HYPERLINK("http://www.google.com/maps/place/47.6031934,14.4588777","Location")</f>
        <v>Location</v>
      </c>
      <c r="E4360" t="s">
        <v>37438</v>
      </c>
      <c r="F4360" t="s">
        <v>37439</v>
      </c>
      <c r="G4360" t="s">
        <v>37440</v>
      </c>
      <c r="H4360" t="s">
        <v>37441</v>
      </c>
      <c r="I4360" t="s">
        <v>451</v>
      </c>
      <c r="J4360" t="s">
        <v>22</v>
      </c>
      <c r="K4360" t="s">
        <v>25</v>
      </c>
      <c r="L4360" t="s">
        <v>37444</v>
      </c>
      <c r="M4360" t="s">
        <v>25</v>
      </c>
      <c r="N4360" t="s">
        <v>37445</v>
      </c>
      <c r="O4360" t="s">
        <v>25</v>
      </c>
      <c r="P4360" t="s">
        <v>37446</v>
      </c>
      <c r="Q4360" t="s">
        <v>29</v>
      </c>
      <c r="R4360" t="s">
        <v>37442</v>
      </c>
      <c r="S4360" t="s">
        <v>37443</v>
      </c>
    </row>
    <row r="4361" spans="1:19" x14ac:dyDescent="0.25">
      <c r="A4361" s="1">
        <v>4359</v>
      </c>
      <c r="B4361" t="str">
        <f>HYPERLINK("https://www.dasschnelle.at/ofner-hermann-pichling-bei-köflach-moosgasse","Website")</f>
        <v>Website</v>
      </c>
      <c r="C4361" t="str">
        <f>HYPERLINK("https://www.dasschnelle.at/ofner-hermann-pichling-bei-k%C3%B6flach-moosgasse","Website")</f>
        <v>Website</v>
      </c>
      <c r="D4361" t="str">
        <f>HYPERLINK("http://www.google.com/maps/place/47.04572,15.07476","Location")</f>
        <v>Location</v>
      </c>
      <c r="E4361" t="s">
        <v>37447</v>
      </c>
      <c r="F4361" t="s">
        <v>37448</v>
      </c>
      <c r="G4361" t="s">
        <v>4582</v>
      </c>
      <c r="H4361" t="s">
        <v>36959</v>
      </c>
      <c r="I4361" t="s">
        <v>451</v>
      </c>
      <c r="J4361" t="s">
        <v>22</v>
      </c>
      <c r="K4361" t="s">
        <v>37449</v>
      </c>
      <c r="L4361" t="s">
        <v>37452</v>
      </c>
      <c r="M4361" t="s">
        <v>25</v>
      </c>
      <c r="N4361" t="s">
        <v>37453</v>
      </c>
      <c r="O4361" t="s">
        <v>25</v>
      </c>
      <c r="P4361" t="s">
        <v>37454</v>
      </c>
      <c r="Q4361" t="s">
        <v>29</v>
      </c>
      <c r="R4361" t="s">
        <v>37450</v>
      </c>
      <c r="S4361" t="s">
        <v>37451</v>
      </c>
    </row>
    <row r="4362" spans="1:19" x14ac:dyDescent="0.25">
      <c r="A4362" s="1">
        <v>4360</v>
      </c>
      <c r="B4362" t="str">
        <f>HYPERLINK("https://www.dasschnelle.at/gruber-walter-bauelemente-gesmbh-kremsmünster-wolfgangstein","Website")</f>
        <v>Website</v>
      </c>
      <c r="C4362" t="str">
        <f>HYPERLINK("http://www.wgfenster.at","Website")</f>
        <v>Website</v>
      </c>
      <c r="D4362" t="str">
        <f>HYPERLINK("http://www.google.com/maps/place/48.07377,14.16324","Location")</f>
        <v>Location</v>
      </c>
      <c r="E4362" t="s">
        <v>37455</v>
      </c>
      <c r="F4362" t="s">
        <v>37456</v>
      </c>
      <c r="G4362" t="s">
        <v>9173</v>
      </c>
      <c r="H4362" t="s">
        <v>9174</v>
      </c>
      <c r="I4362" t="s">
        <v>85</v>
      </c>
      <c r="J4362" t="s">
        <v>22</v>
      </c>
      <c r="K4362" t="s">
        <v>37457</v>
      </c>
      <c r="L4362" t="s">
        <v>37460</v>
      </c>
      <c r="M4362" t="s">
        <v>37461</v>
      </c>
      <c r="N4362" t="s">
        <v>37462</v>
      </c>
      <c r="O4362" t="s">
        <v>25</v>
      </c>
      <c r="P4362" t="s">
        <v>37463</v>
      </c>
      <c r="Q4362" t="s">
        <v>29</v>
      </c>
      <c r="R4362" t="s">
        <v>37458</v>
      </c>
      <c r="S4362" t="s">
        <v>37459</v>
      </c>
    </row>
    <row r="4363" spans="1:19" x14ac:dyDescent="0.25">
      <c r="A4363" s="1">
        <v>4361</v>
      </c>
      <c r="B4363" t="str">
        <f>HYPERLINK("https://www.dasschnelle.at/hauser-bertold-mag-obernberg-am-inn-marktplatz","Website")</f>
        <v>Website</v>
      </c>
      <c r="C4363" t="str">
        <f>HYPERLINK("http://www.notar-obernberg.at","Website")</f>
        <v>Website</v>
      </c>
      <c r="D4363" t="str">
        <f>HYPERLINK("http://www.google.com/maps/place/48.32176,13.33488","Location")</f>
        <v>Location</v>
      </c>
      <c r="E4363" t="s">
        <v>37464</v>
      </c>
      <c r="F4363" t="s">
        <v>37465</v>
      </c>
      <c r="G4363" t="s">
        <v>6276</v>
      </c>
      <c r="H4363" t="s">
        <v>36741</v>
      </c>
      <c r="I4363" t="s">
        <v>85</v>
      </c>
      <c r="J4363" t="s">
        <v>22</v>
      </c>
      <c r="K4363" t="s">
        <v>10799</v>
      </c>
      <c r="L4363" t="s">
        <v>37468</v>
      </c>
      <c r="M4363" t="s">
        <v>25</v>
      </c>
      <c r="N4363" t="s">
        <v>37469</v>
      </c>
      <c r="O4363" t="s">
        <v>25</v>
      </c>
      <c r="P4363" t="s">
        <v>37470</v>
      </c>
      <c r="Q4363" t="s">
        <v>29</v>
      </c>
      <c r="R4363" t="s">
        <v>37466</v>
      </c>
      <c r="S4363" t="s">
        <v>37467</v>
      </c>
    </row>
    <row r="4364" spans="1:19" x14ac:dyDescent="0.25">
      <c r="A4364" s="1">
        <v>4362</v>
      </c>
      <c r="B4364" t="str">
        <f>HYPERLINK("https://www.dasschnelle.at/physioreha-heinzl-und-team-rohrbach-gerberweg","Website")</f>
        <v>Website</v>
      </c>
      <c r="C4364" t="str">
        <f>HYPERLINK("https://www.dasschnelle.at/physioreha-heinzl-und-team-rohrbach-gerberweg","Website")</f>
        <v>Website</v>
      </c>
      <c r="D4364" t="str">
        <f>HYPERLINK("http://www.google.com/maps/place/48.5739620,13.9919209","Location")</f>
        <v>Location</v>
      </c>
      <c r="E4364" t="s">
        <v>37471</v>
      </c>
      <c r="F4364" t="s">
        <v>37472</v>
      </c>
      <c r="G4364" t="s">
        <v>8561</v>
      </c>
      <c r="H4364" t="s">
        <v>8562</v>
      </c>
      <c r="I4364" t="s">
        <v>85</v>
      </c>
      <c r="J4364" t="s">
        <v>22</v>
      </c>
      <c r="K4364" t="s">
        <v>37473</v>
      </c>
      <c r="L4364" t="s">
        <v>37476</v>
      </c>
      <c r="M4364" t="s">
        <v>25</v>
      </c>
      <c r="N4364" t="s">
        <v>37477</v>
      </c>
      <c r="O4364" t="s">
        <v>25</v>
      </c>
      <c r="P4364" t="s">
        <v>37478</v>
      </c>
      <c r="Q4364" t="s">
        <v>29</v>
      </c>
      <c r="R4364" t="s">
        <v>37474</v>
      </c>
      <c r="S4364" t="s">
        <v>37475</v>
      </c>
    </row>
    <row r="4365" spans="1:19" x14ac:dyDescent="0.25">
      <c r="A4365" s="1">
        <v>4363</v>
      </c>
      <c r="B4365" t="str">
        <f>HYPERLINK("https://www.dasschnelle.at/gegenleitner-und-lang-gmbh-seat-autohaus-bad-hall-steyrer-straße","Website")</f>
        <v>Website</v>
      </c>
      <c r="C4365" t="str">
        <f>HYPERLINK("http://www.gegenleitner-lang.at","Website")</f>
        <v>Website</v>
      </c>
      <c r="D4365" t="str">
        <f>HYPERLINK("http://www.google.com/maps/place/48.03046,14.21674","Location")</f>
        <v>Location</v>
      </c>
      <c r="E4365" t="s">
        <v>37479</v>
      </c>
      <c r="F4365" t="s">
        <v>37480</v>
      </c>
      <c r="G4365" t="s">
        <v>2280</v>
      </c>
      <c r="H4365" t="s">
        <v>2281</v>
      </c>
      <c r="I4365" t="s">
        <v>85</v>
      </c>
      <c r="J4365" t="s">
        <v>22</v>
      </c>
      <c r="K4365" t="s">
        <v>37481</v>
      </c>
      <c r="L4365" t="s">
        <v>37484</v>
      </c>
      <c r="M4365" t="s">
        <v>37485</v>
      </c>
      <c r="N4365" t="s">
        <v>37486</v>
      </c>
      <c r="O4365" t="s">
        <v>25</v>
      </c>
      <c r="P4365" t="s">
        <v>37487</v>
      </c>
      <c r="Q4365" t="s">
        <v>29</v>
      </c>
      <c r="R4365" t="s">
        <v>37482</v>
      </c>
      <c r="S4365" t="s">
        <v>37483</v>
      </c>
    </row>
    <row r="4366" spans="1:19" x14ac:dyDescent="0.25">
      <c r="A4366" s="1">
        <v>4364</v>
      </c>
      <c r="B4366" t="str">
        <f>HYPERLINK("https://www.dasschnelle.at/tierarztpraxis-schmelz-schönegg","Website")</f>
        <v>Website</v>
      </c>
      <c r="C4366" t="str">
        <f>HYPERLINK("http://www.vetkomplett.at","Website")</f>
        <v>Website</v>
      </c>
      <c r="D4366" t="str">
        <f>HYPERLINK("http://www.google.com/maps/place/48.5909000,14.1951535","Location")</f>
        <v>Location</v>
      </c>
      <c r="E4366" t="s">
        <v>37488</v>
      </c>
      <c r="F4366" t="s">
        <v>37489</v>
      </c>
      <c r="G4366" t="s">
        <v>27292</v>
      </c>
      <c r="H4366" t="s">
        <v>37490</v>
      </c>
      <c r="I4366" t="s">
        <v>85</v>
      </c>
      <c r="J4366" t="s">
        <v>22</v>
      </c>
      <c r="K4366" t="s">
        <v>25</v>
      </c>
      <c r="L4366" t="s">
        <v>37493</v>
      </c>
      <c r="M4366" t="s">
        <v>25</v>
      </c>
      <c r="N4366" t="s">
        <v>37494</v>
      </c>
      <c r="O4366" t="s">
        <v>37495</v>
      </c>
      <c r="P4366" t="s">
        <v>37496</v>
      </c>
      <c r="Q4366" t="s">
        <v>29</v>
      </c>
      <c r="R4366" t="s">
        <v>37491</v>
      </c>
      <c r="S4366" t="s">
        <v>37492</v>
      </c>
    </row>
    <row r="4367" spans="1:19" x14ac:dyDescent="0.25">
      <c r="A4367" s="1">
        <v>4365</v>
      </c>
      <c r="B4367" t="str">
        <f>HYPERLINK("https://www.dasschnelle.at/elektro-kremsmair-gmbh-ried-im-traunkreis-großendorf","Website")</f>
        <v>Website</v>
      </c>
      <c r="C4367" t="str">
        <f>HYPERLINK("http://www.elektro-kremsmair.at","Website")</f>
        <v>Website</v>
      </c>
      <c r="D4367" t="str">
        <f>HYPERLINK("http://www.google.com/maps/place/48.03899,14.0395","Location")</f>
        <v>Location</v>
      </c>
      <c r="E4367" t="s">
        <v>37497</v>
      </c>
      <c r="F4367" t="s">
        <v>37498</v>
      </c>
      <c r="G4367" t="s">
        <v>36671</v>
      </c>
      <c r="H4367" t="s">
        <v>36672</v>
      </c>
      <c r="I4367" t="s">
        <v>85</v>
      </c>
      <c r="J4367" t="s">
        <v>22</v>
      </c>
      <c r="K4367" t="s">
        <v>37499</v>
      </c>
      <c r="L4367" t="s">
        <v>37502</v>
      </c>
      <c r="M4367" t="s">
        <v>37503</v>
      </c>
      <c r="N4367" t="s">
        <v>37504</v>
      </c>
      <c r="O4367" t="s">
        <v>25</v>
      </c>
      <c r="P4367" t="s">
        <v>37505</v>
      </c>
      <c r="Q4367" t="s">
        <v>29</v>
      </c>
      <c r="R4367" t="s">
        <v>37500</v>
      </c>
      <c r="S4367" t="s">
        <v>37501</v>
      </c>
    </row>
    <row r="4368" spans="1:19" x14ac:dyDescent="0.25">
      <c r="A4368" s="1">
        <v>4366</v>
      </c>
      <c r="B4368" t="str">
        <f>HYPERLINK("https://www.dasschnelle.at/tilger-gottfried-niederwölz-bahnhofstraße","Website")</f>
        <v>Website</v>
      </c>
      <c r="C4368" t="str">
        <f>HYPERLINK("http://www.ft-tiger.at","Website")</f>
        <v>Website</v>
      </c>
      <c r="D4368" t="str">
        <f>HYPERLINK("http://www.google.com/maps/place/47.1466779,14.3742101","Location")</f>
        <v>Location</v>
      </c>
      <c r="E4368" t="s">
        <v>37506</v>
      </c>
      <c r="F4368" t="s">
        <v>37507</v>
      </c>
      <c r="G4368" t="s">
        <v>35538</v>
      </c>
      <c r="H4368" t="s">
        <v>35539</v>
      </c>
      <c r="I4368" t="s">
        <v>451</v>
      </c>
      <c r="J4368" t="s">
        <v>22</v>
      </c>
      <c r="K4368" t="s">
        <v>37508</v>
      </c>
      <c r="L4368" t="s">
        <v>37511</v>
      </c>
      <c r="M4368" t="s">
        <v>25</v>
      </c>
      <c r="N4368" t="s">
        <v>37512</v>
      </c>
      <c r="O4368" t="s">
        <v>25</v>
      </c>
      <c r="P4368" t="s">
        <v>37513</v>
      </c>
      <c r="Q4368" t="s">
        <v>29</v>
      </c>
      <c r="R4368" t="s">
        <v>37509</v>
      </c>
      <c r="S4368" t="s">
        <v>37510</v>
      </c>
    </row>
    <row r="4369" spans="1:19" x14ac:dyDescent="0.25">
      <c r="A4369" s="1">
        <v>4367</v>
      </c>
      <c r="B4369" t="str">
        <f>HYPERLINK("https://www.dasschnelle.at/lintner-elisabeth-dr-med-bad-schallerbach-welser-straße","Website")</f>
        <v>Website</v>
      </c>
      <c r="C4369" t="str">
        <f>HYPERLINK("https://www.dasschnelle.at/lintner-elisabeth-dr-med-bad-schallerbach-welser-stra%C3%9Fe","Website")</f>
        <v>Website</v>
      </c>
      <c r="D4369" t="str">
        <f>HYPERLINK("http://www.google.com/maps/place/48.22738,13.92523","Location")</f>
        <v>Location</v>
      </c>
      <c r="E4369" t="s">
        <v>37514</v>
      </c>
      <c r="F4369" t="s">
        <v>37515</v>
      </c>
      <c r="G4369" t="s">
        <v>37516</v>
      </c>
      <c r="H4369" t="s">
        <v>37517</v>
      </c>
      <c r="I4369" t="s">
        <v>85</v>
      </c>
      <c r="J4369" t="s">
        <v>22</v>
      </c>
      <c r="K4369" t="s">
        <v>28637</v>
      </c>
      <c r="L4369" t="s">
        <v>37520</v>
      </c>
      <c r="M4369" t="s">
        <v>25</v>
      </c>
      <c r="N4369" t="s">
        <v>25</v>
      </c>
      <c r="O4369" t="s">
        <v>25</v>
      </c>
      <c r="P4369" t="s">
        <v>37521</v>
      </c>
      <c r="Q4369" t="s">
        <v>29</v>
      </c>
      <c r="R4369" t="s">
        <v>37518</v>
      </c>
      <c r="S4369" t="s">
        <v>37519</v>
      </c>
    </row>
    <row r="4370" spans="1:19" x14ac:dyDescent="0.25">
      <c r="A4370" s="1">
        <v>4368</v>
      </c>
      <c r="B4370" t="str">
        <f>HYPERLINK("https://www.dasschnelle.at/würtz-peter-dr-grieskirchen-uferstraße","Website")</f>
        <v>Website</v>
      </c>
      <c r="C4370" t="str">
        <f>HYPERLINK("http://www.dr-wuertz.at","Website")</f>
        <v>Website</v>
      </c>
      <c r="D4370" t="str">
        <f>HYPERLINK("http://www.google.com/maps/place/48.23373,13.83004","Location")</f>
        <v>Location</v>
      </c>
      <c r="E4370" t="s">
        <v>37522</v>
      </c>
      <c r="F4370" t="s">
        <v>37523</v>
      </c>
      <c r="G4370" t="s">
        <v>4826</v>
      </c>
      <c r="H4370" t="s">
        <v>4827</v>
      </c>
      <c r="I4370" t="s">
        <v>85</v>
      </c>
      <c r="J4370" t="s">
        <v>22</v>
      </c>
      <c r="K4370" t="s">
        <v>37524</v>
      </c>
      <c r="L4370" t="s">
        <v>37527</v>
      </c>
      <c r="M4370" t="s">
        <v>25</v>
      </c>
      <c r="N4370" t="s">
        <v>37528</v>
      </c>
      <c r="O4370" t="s">
        <v>25</v>
      </c>
      <c r="P4370" t="s">
        <v>37529</v>
      </c>
      <c r="Q4370" t="s">
        <v>29</v>
      </c>
      <c r="R4370" t="s">
        <v>37525</v>
      </c>
      <c r="S4370" t="s">
        <v>37526</v>
      </c>
    </row>
    <row r="4371" spans="1:19" x14ac:dyDescent="0.25">
      <c r="A4371" s="1">
        <v>4369</v>
      </c>
      <c r="B4371" t="str">
        <f>HYPERLINK("https://www.dasschnelle.at/rührlinger-josef-kremsmünster-hehenberg","Website")</f>
        <v>Website</v>
      </c>
      <c r="C4371" t="str">
        <f>HYPERLINK("http://www.rstore.at","Website")</f>
        <v>Website</v>
      </c>
      <c r="D4371" t="str">
        <f>HYPERLINK("http://www.google.com/maps/place/48.0499562,14.2009035","Location")</f>
        <v>Location</v>
      </c>
      <c r="E4371" t="s">
        <v>37530</v>
      </c>
      <c r="F4371" t="s">
        <v>37531</v>
      </c>
      <c r="G4371" t="s">
        <v>2280</v>
      </c>
      <c r="H4371" t="s">
        <v>9174</v>
      </c>
      <c r="I4371" t="s">
        <v>85</v>
      </c>
      <c r="J4371" t="s">
        <v>22</v>
      </c>
      <c r="K4371" t="s">
        <v>37532</v>
      </c>
      <c r="L4371" t="s">
        <v>37535</v>
      </c>
      <c r="M4371" t="s">
        <v>25</v>
      </c>
      <c r="N4371" t="s">
        <v>37536</v>
      </c>
      <c r="O4371" t="s">
        <v>25</v>
      </c>
      <c r="P4371" t="s">
        <v>37537</v>
      </c>
      <c r="Q4371" t="s">
        <v>29</v>
      </c>
      <c r="R4371" t="s">
        <v>37533</v>
      </c>
      <c r="S4371" t="s">
        <v>37534</v>
      </c>
    </row>
    <row r="4372" spans="1:19" x14ac:dyDescent="0.25">
      <c r="A4372" s="1">
        <v>4370</v>
      </c>
      <c r="B4372" t="str">
        <f>HYPERLINK("https://www.dasschnelle.at/wiesinger-treuhand-wirtschaftstreuhand-gmbh-bad-schallerbach-linzer-straße","Website")</f>
        <v>Website</v>
      </c>
      <c r="C4372" t="str">
        <f>HYPERLINK("http://www.wiesinger-treuhand.at","Website")</f>
        <v>Website</v>
      </c>
      <c r="D4372" t="str">
        <f>HYPERLINK("http://www.google.com/maps/place/48.23024,13.92218","Location")</f>
        <v>Location</v>
      </c>
      <c r="E4372" t="s">
        <v>37538</v>
      </c>
      <c r="F4372" t="s">
        <v>37539</v>
      </c>
      <c r="G4372" t="s">
        <v>37516</v>
      </c>
      <c r="H4372" t="s">
        <v>37517</v>
      </c>
      <c r="I4372" t="s">
        <v>85</v>
      </c>
      <c r="J4372" t="s">
        <v>22</v>
      </c>
      <c r="K4372" t="s">
        <v>37540</v>
      </c>
      <c r="L4372" t="s">
        <v>37543</v>
      </c>
      <c r="M4372" t="s">
        <v>25</v>
      </c>
      <c r="N4372" t="s">
        <v>37544</v>
      </c>
      <c r="O4372" t="s">
        <v>25</v>
      </c>
      <c r="P4372" t="s">
        <v>37545</v>
      </c>
      <c r="Q4372" t="s">
        <v>29</v>
      </c>
      <c r="R4372" t="s">
        <v>37541</v>
      </c>
      <c r="S4372" t="s">
        <v>37542</v>
      </c>
    </row>
    <row r="4373" spans="1:19" x14ac:dyDescent="0.25">
      <c r="A4373" s="1">
        <v>4371</v>
      </c>
      <c r="B4373" t="str">
        <f>HYPERLINK("https://www.dasschnelle.at/öller-isabella-bad-hall-pfarrkirchnerstraße","Website")</f>
        <v>Website</v>
      </c>
      <c r="C4373" t="str">
        <f>HYPERLINK("http://www.taxi-isabella.at","Website")</f>
        <v>Website</v>
      </c>
      <c r="D4373" t="str">
        <f>HYPERLINK("http://www.google.com/maps/place/48.0295,14.19881","Location")</f>
        <v>Location</v>
      </c>
      <c r="E4373" t="s">
        <v>37546</v>
      </c>
      <c r="F4373" t="s">
        <v>37547</v>
      </c>
      <c r="G4373" t="s">
        <v>2280</v>
      </c>
      <c r="H4373" t="s">
        <v>2281</v>
      </c>
      <c r="I4373" t="s">
        <v>85</v>
      </c>
      <c r="J4373" t="s">
        <v>22</v>
      </c>
      <c r="K4373" t="s">
        <v>37548</v>
      </c>
      <c r="L4373" t="s">
        <v>37551</v>
      </c>
      <c r="M4373" t="s">
        <v>25</v>
      </c>
      <c r="N4373" t="s">
        <v>37552</v>
      </c>
      <c r="O4373" t="s">
        <v>25</v>
      </c>
      <c r="P4373" t="s">
        <v>37553</v>
      </c>
      <c r="Q4373" t="s">
        <v>29</v>
      </c>
      <c r="R4373" t="s">
        <v>37549</v>
      </c>
      <c r="S4373" t="s">
        <v>37550</v>
      </c>
    </row>
    <row r="4374" spans="1:19" x14ac:dyDescent="0.25">
      <c r="A4374" s="1">
        <v>4372</v>
      </c>
      <c r="B4374" t="str">
        <f>HYPERLINK("https://www.dasschnelle.at/schumm-eva-dr-grieskirchen-oberer-stadtplatz","Website")</f>
        <v>Website</v>
      </c>
      <c r="C4374" t="str">
        <f>HYPERLINK("https://www.dasschnelle.at/schumm-eva-dr-grieskirchen-oberer-stadtplatz","Website")</f>
        <v>Website</v>
      </c>
      <c r="D4374" t="str">
        <f>HYPERLINK("http://www.google.com/maps/place/48.23542,13.82656","Location")</f>
        <v>Location</v>
      </c>
      <c r="E4374" t="s">
        <v>37554</v>
      </c>
      <c r="F4374" t="s">
        <v>37555</v>
      </c>
      <c r="G4374" t="s">
        <v>4826</v>
      </c>
      <c r="H4374" t="s">
        <v>4827</v>
      </c>
      <c r="I4374" t="s">
        <v>85</v>
      </c>
      <c r="J4374" t="s">
        <v>22</v>
      </c>
      <c r="K4374" t="s">
        <v>37556</v>
      </c>
      <c r="L4374" t="s">
        <v>37559</v>
      </c>
      <c r="M4374" t="s">
        <v>25</v>
      </c>
      <c r="N4374" t="s">
        <v>25</v>
      </c>
      <c r="O4374" t="s">
        <v>25</v>
      </c>
      <c r="P4374" t="s">
        <v>37560</v>
      </c>
      <c r="Q4374" t="s">
        <v>29</v>
      </c>
      <c r="R4374" t="s">
        <v>37557</v>
      </c>
      <c r="S4374" t="s">
        <v>37558</v>
      </c>
    </row>
    <row r="4375" spans="1:19" x14ac:dyDescent="0.25">
      <c r="A4375" s="1">
        <v>4373</v>
      </c>
      <c r="B4375" t="str">
        <f>HYPERLINK("https://www.dasschnelle.at/öztürk-nülüfer-bad-hall-kirchenstraße","Website")</f>
        <v>Website</v>
      </c>
      <c r="C4375" t="str">
        <f>HYPERLINK("http://www.pizzakebabtreff-badhall.at","Website")</f>
        <v>Website</v>
      </c>
      <c r="D4375" t="str">
        <f>HYPERLINK("http://www.google.com/maps/place/48.03548,14.20748","Location")</f>
        <v>Location</v>
      </c>
      <c r="E4375" t="s">
        <v>37561</v>
      </c>
      <c r="F4375" t="s">
        <v>37562</v>
      </c>
      <c r="G4375" t="s">
        <v>2280</v>
      </c>
      <c r="H4375" t="s">
        <v>2281</v>
      </c>
      <c r="I4375" t="s">
        <v>85</v>
      </c>
      <c r="J4375" t="s">
        <v>22</v>
      </c>
      <c r="K4375" t="s">
        <v>37563</v>
      </c>
      <c r="L4375" t="s">
        <v>37566</v>
      </c>
      <c r="M4375" t="s">
        <v>25</v>
      </c>
      <c r="N4375" t="s">
        <v>37567</v>
      </c>
      <c r="O4375" t="s">
        <v>25</v>
      </c>
      <c r="P4375" t="s">
        <v>37568</v>
      </c>
      <c r="Q4375" t="s">
        <v>29</v>
      </c>
      <c r="R4375" t="s">
        <v>37564</v>
      </c>
      <c r="S4375" t="s">
        <v>37565</v>
      </c>
    </row>
    <row r="4376" spans="1:19" x14ac:dyDescent="0.25">
      <c r="A4376" s="1">
        <v>4374</v>
      </c>
      <c r="B4376" t="str">
        <f>HYPERLINK("https://www.dasschnelle.at/santer-margarita-dr-grieskirchen-zauneggerstraße","Website")</f>
        <v>Website</v>
      </c>
      <c r="C4376" t="str">
        <f>HYPERLINK("http://www.dr-santer.at","Website")</f>
        <v>Website</v>
      </c>
      <c r="D4376" t="str">
        <f>HYPERLINK("http://www.google.com/maps/place/48.2338264,13.8328585","Location")</f>
        <v>Location</v>
      </c>
      <c r="E4376" t="s">
        <v>37569</v>
      </c>
      <c r="F4376" t="s">
        <v>37570</v>
      </c>
      <c r="G4376" t="s">
        <v>4826</v>
      </c>
      <c r="H4376" t="s">
        <v>4827</v>
      </c>
      <c r="I4376" t="s">
        <v>85</v>
      </c>
      <c r="J4376" t="s">
        <v>22</v>
      </c>
      <c r="K4376" t="s">
        <v>37571</v>
      </c>
      <c r="L4376" t="s">
        <v>37574</v>
      </c>
      <c r="M4376" t="s">
        <v>25</v>
      </c>
      <c r="N4376" t="s">
        <v>37575</v>
      </c>
      <c r="O4376" t="s">
        <v>37576</v>
      </c>
      <c r="P4376" t="s">
        <v>697</v>
      </c>
      <c r="Q4376" t="s">
        <v>29</v>
      </c>
      <c r="R4376" t="s">
        <v>37572</v>
      </c>
      <c r="S4376" t="s">
        <v>37573</v>
      </c>
    </row>
    <row r="4377" spans="1:19" x14ac:dyDescent="0.25">
      <c r="A4377" s="1">
        <v>4375</v>
      </c>
      <c r="B4377" t="str">
        <f>HYPERLINK("https://www.dasschnelle.at/platzer-josef-sattledt-giering","Website")</f>
        <v>Website</v>
      </c>
      <c r="C4377" t="str">
        <f>HYPERLINK("http://www.husqvarna.at","Website")</f>
        <v>Website</v>
      </c>
      <c r="D4377" t="str">
        <f>HYPERLINK("http://www.google.com/maps/place/48.0838133,14.0846690","Location")</f>
        <v>Location</v>
      </c>
      <c r="E4377" t="s">
        <v>37577</v>
      </c>
      <c r="F4377" t="s">
        <v>37578</v>
      </c>
      <c r="G4377" t="s">
        <v>10896</v>
      </c>
      <c r="H4377" t="s">
        <v>10897</v>
      </c>
      <c r="I4377" t="s">
        <v>85</v>
      </c>
      <c r="J4377" t="s">
        <v>22</v>
      </c>
      <c r="K4377" t="s">
        <v>37579</v>
      </c>
      <c r="L4377" t="s">
        <v>37582</v>
      </c>
      <c r="M4377" t="s">
        <v>25</v>
      </c>
      <c r="N4377" t="s">
        <v>37583</v>
      </c>
      <c r="O4377" t="s">
        <v>25</v>
      </c>
      <c r="P4377" t="s">
        <v>37584</v>
      </c>
      <c r="Q4377" t="s">
        <v>29</v>
      </c>
      <c r="R4377" t="s">
        <v>37580</v>
      </c>
      <c r="S4377" t="s">
        <v>37581</v>
      </c>
    </row>
    <row r="4378" spans="1:19" x14ac:dyDescent="0.25">
      <c r="A4378" s="1">
        <v>4376</v>
      </c>
      <c r="B4378" t="str">
        <f>HYPERLINK("https://www.dasschnelle.at/gundendorfer-gesmbh-vorchdorf-hummelbrunn","Website")</f>
        <v>Website</v>
      </c>
      <c r="C4378" t="str">
        <f>HYPERLINK("http://www.auto-gundendorfer.at","Website")</f>
        <v>Website</v>
      </c>
      <c r="D4378" t="str">
        <f>HYPERLINK("http://www.google.com/maps/place/48.01837,13.93865","Location")</f>
        <v>Location</v>
      </c>
      <c r="E4378" t="s">
        <v>37585</v>
      </c>
      <c r="F4378" t="s">
        <v>37586</v>
      </c>
      <c r="G4378" t="s">
        <v>6960</v>
      </c>
      <c r="H4378" t="s">
        <v>6961</v>
      </c>
      <c r="I4378" t="s">
        <v>85</v>
      </c>
      <c r="J4378" t="s">
        <v>22</v>
      </c>
      <c r="K4378" t="s">
        <v>37587</v>
      </c>
      <c r="L4378" t="s">
        <v>37590</v>
      </c>
      <c r="M4378" t="s">
        <v>25</v>
      </c>
      <c r="N4378" t="s">
        <v>37591</v>
      </c>
      <c r="O4378" t="s">
        <v>25</v>
      </c>
      <c r="P4378" t="s">
        <v>37592</v>
      </c>
      <c r="Q4378" t="s">
        <v>29</v>
      </c>
      <c r="R4378" t="s">
        <v>37588</v>
      </c>
      <c r="S4378" t="s">
        <v>37589</v>
      </c>
    </row>
    <row r="4379" spans="1:19" x14ac:dyDescent="0.25">
      <c r="A4379" s="1">
        <v>4377</v>
      </c>
      <c r="B4379" t="str">
        <f>HYPERLINK("https://www.dasschnelle.at/müller-florian-dr-kristein-astner-straße","Website")</f>
        <v>Website</v>
      </c>
      <c r="C4379" t="str">
        <f>HYPERLINK("http://www.zahnarzt-drmueller.at","Website")</f>
        <v>Website</v>
      </c>
      <c r="D4379" t="str">
        <f>HYPERLINK("http://www.google.com/maps/place/48.21625,14.44116","Location")</f>
        <v>Location</v>
      </c>
      <c r="E4379" t="s">
        <v>37593</v>
      </c>
      <c r="F4379" t="s">
        <v>37594</v>
      </c>
      <c r="G4379" t="s">
        <v>3307</v>
      </c>
      <c r="H4379" t="s">
        <v>37596</v>
      </c>
      <c r="I4379" t="s">
        <v>85</v>
      </c>
      <c r="J4379" t="s">
        <v>22</v>
      </c>
      <c r="K4379" t="s">
        <v>37595</v>
      </c>
      <c r="L4379" t="s">
        <v>37599</v>
      </c>
      <c r="M4379" t="s">
        <v>25</v>
      </c>
      <c r="N4379" t="s">
        <v>37600</v>
      </c>
      <c r="O4379" t="s">
        <v>25</v>
      </c>
      <c r="P4379" t="s">
        <v>37601</v>
      </c>
      <c r="Q4379" t="s">
        <v>29</v>
      </c>
      <c r="R4379" t="s">
        <v>37597</v>
      </c>
      <c r="S4379" t="s">
        <v>37598</v>
      </c>
    </row>
    <row r="4380" spans="1:19" x14ac:dyDescent="0.25">
      <c r="A4380" s="1">
        <v>4378</v>
      </c>
      <c r="B4380" t="str">
        <f>HYPERLINK("https://www.dasschnelle.at/haslmaier-robert-bestattung-sarleinsbach-innerödt","Website")</f>
        <v>Website</v>
      </c>
      <c r="C4380" t="str">
        <f>HYPERLINK("http://www.haslmaier.com","Website")</f>
        <v>Website</v>
      </c>
      <c r="D4380" t="str">
        <f>HYPERLINK("http://www.google.com/maps/place/48.5865670,13.8657359","Location")</f>
        <v>Location</v>
      </c>
      <c r="E4380" t="s">
        <v>37602</v>
      </c>
      <c r="F4380" t="s">
        <v>37603</v>
      </c>
      <c r="G4380" t="s">
        <v>35492</v>
      </c>
      <c r="H4380" t="s">
        <v>35493</v>
      </c>
      <c r="I4380" t="s">
        <v>85</v>
      </c>
      <c r="J4380" t="s">
        <v>22</v>
      </c>
      <c r="K4380" t="s">
        <v>37604</v>
      </c>
      <c r="L4380" t="s">
        <v>37607</v>
      </c>
      <c r="M4380" t="s">
        <v>25</v>
      </c>
      <c r="N4380" t="s">
        <v>37608</v>
      </c>
      <c r="O4380" t="s">
        <v>25</v>
      </c>
      <c r="P4380" t="s">
        <v>37609</v>
      </c>
      <c r="Q4380" t="s">
        <v>29</v>
      </c>
      <c r="R4380" t="s">
        <v>37605</v>
      </c>
      <c r="S4380" t="s">
        <v>37606</v>
      </c>
    </row>
    <row r="4381" spans="1:19" x14ac:dyDescent="0.25">
      <c r="A4381" s="1">
        <v>4379</v>
      </c>
      <c r="B4381" t="str">
        <f>HYPERLINK("https://www.dasschnelle.at/resch-martin-kollerschlag-haselbach","Website")</f>
        <v>Website</v>
      </c>
      <c r="C4381" t="str">
        <f>HYPERLINK("https://www.dasschnelle.at/resch-martin-kollerschlag-haselbach","Website")</f>
        <v>Website</v>
      </c>
      <c r="D4381" t="str">
        <f>HYPERLINK("http://www.google.com/maps/place/48.58664,13.98762","Location")</f>
        <v>Location</v>
      </c>
      <c r="E4381" t="s">
        <v>37610</v>
      </c>
      <c r="F4381" t="s">
        <v>37611</v>
      </c>
      <c r="G4381" t="s">
        <v>8669</v>
      </c>
      <c r="H4381" t="s">
        <v>8670</v>
      </c>
      <c r="I4381" t="s">
        <v>85</v>
      </c>
      <c r="J4381" t="s">
        <v>22</v>
      </c>
      <c r="K4381" t="s">
        <v>37612</v>
      </c>
      <c r="L4381" t="s">
        <v>37615</v>
      </c>
      <c r="M4381" t="s">
        <v>25</v>
      </c>
      <c r="N4381" t="s">
        <v>37616</v>
      </c>
      <c r="O4381" t="s">
        <v>25</v>
      </c>
      <c r="P4381" t="s">
        <v>37617</v>
      </c>
      <c r="Q4381" t="s">
        <v>29</v>
      </c>
      <c r="R4381" t="s">
        <v>37613</v>
      </c>
      <c r="S4381" t="s">
        <v>37614</v>
      </c>
    </row>
    <row r="4382" spans="1:19" x14ac:dyDescent="0.25">
      <c r="A4382" s="1">
        <v>4380</v>
      </c>
      <c r="B4382" t="str">
        <f>HYPERLINK("https://www.dasschnelle.at/mühllechner-agnes-ddr-enns-kathrein-straße","Website")</f>
        <v>Website</v>
      </c>
      <c r="C4382" t="str">
        <f>HYPERLINK("http://www.zahnarzt-muehllechner.at","Website")</f>
        <v>Website</v>
      </c>
      <c r="D4382" t="str">
        <f>HYPERLINK("http://www.google.com/maps/place/48.22068,14.47279","Location")</f>
        <v>Location</v>
      </c>
      <c r="E4382" t="s">
        <v>37618</v>
      </c>
      <c r="F4382" t="s">
        <v>37619</v>
      </c>
      <c r="G4382" t="s">
        <v>3307</v>
      </c>
      <c r="H4382" t="s">
        <v>3308</v>
      </c>
      <c r="I4382" t="s">
        <v>85</v>
      </c>
      <c r="J4382" t="s">
        <v>22</v>
      </c>
      <c r="K4382" t="s">
        <v>37620</v>
      </c>
      <c r="L4382" t="s">
        <v>37623</v>
      </c>
      <c r="M4382" t="s">
        <v>25</v>
      </c>
      <c r="N4382" t="s">
        <v>37624</v>
      </c>
      <c r="O4382" t="s">
        <v>25</v>
      </c>
      <c r="P4382" t="s">
        <v>37625</v>
      </c>
      <c r="Q4382" t="s">
        <v>29</v>
      </c>
      <c r="R4382" t="s">
        <v>37621</v>
      </c>
      <c r="S4382" t="s">
        <v>37622</v>
      </c>
    </row>
    <row r="4383" spans="1:19" x14ac:dyDescent="0.25">
      <c r="A4383" s="1">
        <v>4381</v>
      </c>
      <c r="B4383" t="str">
        <f>HYPERLINK("https://www.dasschnelle.at/wollendorfer-andreas-niederkappel-haar","Website")</f>
        <v>Website</v>
      </c>
      <c r="C4383" t="str">
        <f>HYPERLINK("http://www.wollendorfer.com","Website")</f>
        <v>Website</v>
      </c>
      <c r="D4383" t="str">
        <f>HYPERLINK("http://www.google.com/maps/place/48.4665587,13.9022800","Location")</f>
        <v>Location</v>
      </c>
      <c r="E4383" t="s">
        <v>37626</v>
      </c>
      <c r="F4383" t="s">
        <v>37627</v>
      </c>
      <c r="G4383" t="s">
        <v>35333</v>
      </c>
      <c r="H4383" t="s">
        <v>35334</v>
      </c>
      <c r="I4383" t="s">
        <v>85</v>
      </c>
      <c r="J4383" t="s">
        <v>22</v>
      </c>
      <c r="K4383" t="s">
        <v>37628</v>
      </c>
      <c r="L4383" t="s">
        <v>37631</v>
      </c>
      <c r="M4383" t="s">
        <v>25</v>
      </c>
      <c r="N4383" t="s">
        <v>37632</v>
      </c>
      <c r="O4383" t="s">
        <v>25</v>
      </c>
      <c r="P4383" t="s">
        <v>37633</v>
      </c>
      <c r="Q4383" t="s">
        <v>29</v>
      </c>
      <c r="R4383" t="s">
        <v>37629</v>
      </c>
      <c r="S4383" t="s">
        <v>37630</v>
      </c>
    </row>
    <row r="4384" spans="1:19" x14ac:dyDescent="0.25">
      <c r="A4384" s="1">
        <v>4382</v>
      </c>
      <c r="B4384" t="str">
        <f>HYPERLINK("https://www.dasschnelle.at/isg-ried-im-innkreis-riedauer-straße","Website")</f>
        <v>Website</v>
      </c>
      <c r="C4384" t="str">
        <f>HYPERLINK("http://www.isg-wohnen.at","Website")</f>
        <v>Website</v>
      </c>
      <c r="D4384" t="str">
        <f>HYPERLINK("http://www.google.com/maps/place/48.21622,13.4946","Location")</f>
        <v>Location</v>
      </c>
      <c r="E4384" t="s">
        <v>37634</v>
      </c>
      <c r="F4384" t="s">
        <v>37635</v>
      </c>
      <c r="G4384" t="s">
        <v>6245</v>
      </c>
      <c r="H4384" t="s">
        <v>6267</v>
      </c>
      <c r="I4384" t="s">
        <v>85</v>
      </c>
      <c r="J4384" t="s">
        <v>22</v>
      </c>
      <c r="K4384" t="s">
        <v>37636</v>
      </c>
      <c r="L4384" t="s">
        <v>37639</v>
      </c>
      <c r="M4384" t="s">
        <v>37640</v>
      </c>
      <c r="N4384" t="s">
        <v>37641</v>
      </c>
      <c r="O4384" t="s">
        <v>25</v>
      </c>
      <c r="P4384" t="s">
        <v>37642</v>
      </c>
      <c r="Q4384" t="s">
        <v>29</v>
      </c>
      <c r="R4384" t="s">
        <v>37637</v>
      </c>
      <c r="S4384" t="s">
        <v>37638</v>
      </c>
    </row>
    <row r="4385" spans="1:19" x14ac:dyDescent="0.25">
      <c r="A4385" s="1">
        <v>4383</v>
      </c>
      <c r="B4385" t="str">
        <f>HYPERLINK("https://www.dasschnelle.at/grünseis-gebäudetechnik-e-u-hohenzell-lindenweg","Website")</f>
        <v>Website</v>
      </c>
      <c r="C4385" t="str">
        <f>HYPERLINK("http://www.gruenseis.at","Website")</f>
        <v>Website</v>
      </c>
      <c r="D4385" t="str">
        <f>HYPERLINK("http://www.google.com/maps/place/48.19311,13.50711","Location")</f>
        <v>Location</v>
      </c>
      <c r="E4385" t="s">
        <v>37643</v>
      </c>
      <c r="F4385" t="s">
        <v>37644</v>
      </c>
      <c r="G4385" t="s">
        <v>37646</v>
      </c>
      <c r="H4385" t="s">
        <v>37647</v>
      </c>
      <c r="I4385" t="s">
        <v>85</v>
      </c>
      <c r="J4385" t="s">
        <v>22</v>
      </c>
      <c r="K4385" t="s">
        <v>37645</v>
      </c>
      <c r="L4385" t="s">
        <v>37650</v>
      </c>
      <c r="M4385" t="s">
        <v>25</v>
      </c>
      <c r="N4385" t="s">
        <v>37651</v>
      </c>
      <c r="O4385" t="s">
        <v>25</v>
      </c>
      <c r="P4385" t="s">
        <v>37652</v>
      </c>
      <c r="Q4385" t="s">
        <v>29</v>
      </c>
      <c r="R4385" t="s">
        <v>37648</v>
      </c>
      <c r="S4385" t="s">
        <v>37649</v>
      </c>
    </row>
    <row r="4386" spans="1:19" x14ac:dyDescent="0.25">
      <c r="A4386" s="1">
        <v>4384</v>
      </c>
      <c r="B4386" t="str">
        <f>HYPERLINK("https://www.dasschnelle.at/gföller-horst-dieter-bärnbach-oberdorfer-straße","Website")</f>
        <v>Website</v>
      </c>
      <c r="C4386" t="str">
        <f>HYPERLINK("http://www.glas-gfoeller.at","Website")</f>
        <v>Website</v>
      </c>
      <c r="D4386" t="str">
        <f>HYPERLINK("http://www.google.com/maps/place/47.0596991,15.1346705","Location")</f>
        <v>Location</v>
      </c>
      <c r="E4386" t="s">
        <v>37653</v>
      </c>
      <c r="F4386" t="s">
        <v>37654</v>
      </c>
      <c r="G4386" t="s">
        <v>4592</v>
      </c>
      <c r="H4386" t="s">
        <v>4593</v>
      </c>
      <c r="I4386" t="s">
        <v>451</v>
      </c>
      <c r="J4386" t="s">
        <v>22</v>
      </c>
      <c r="K4386" t="s">
        <v>37655</v>
      </c>
      <c r="L4386" t="s">
        <v>37658</v>
      </c>
      <c r="M4386" t="s">
        <v>25</v>
      </c>
      <c r="N4386" t="s">
        <v>37659</v>
      </c>
      <c r="O4386" t="s">
        <v>25</v>
      </c>
      <c r="P4386" t="s">
        <v>37660</v>
      </c>
      <c r="Q4386" t="s">
        <v>29</v>
      </c>
      <c r="R4386" t="s">
        <v>37656</v>
      </c>
      <c r="S4386" t="s">
        <v>37657</v>
      </c>
    </row>
    <row r="4387" spans="1:19" x14ac:dyDescent="0.25">
      <c r="A4387" s="1">
        <v>4385</v>
      </c>
      <c r="B4387" t="str">
        <f>HYPERLINK("https://www.dasschnelle.at/schriebl-christian-maria-lankowitz-pendlstraße","Website")</f>
        <v>Website</v>
      </c>
      <c r="C4387" t="str">
        <f>HYPERLINK("https://www.dasschnelle.at/schriebl-christian-maria-lankowitz-pendlstra%C3%9Fe","Website")</f>
        <v>Website</v>
      </c>
      <c r="D4387" t="str">
        <f>HYPERLINK("http://www.google.com/maps/place/47.059,15.06421","Location")</f>
        <v>Location</v>
      </c>
      <c r="E4387" t="s">
        <v>37661</v>
      </c>
      <c r="F4387" t="s">
        <v>37662</v>
      </c>
      <c r="G4387" t="s">
        <v>37194</v>
      </c>
      <c r="H4387" t="s">
        <v>37195</v>
      </c>
      <c r="I4387" t="s">
        <v>451</v>
      </c>
      <c r="J4387" t="s">
        <v>22</v>
      </c>
      <c r="K4387" t="s">
        <v>37663</v>
      </c>
      <c r="L4387" t="s">
        <v>37666</v>
      </c>
      <c r="M4387" t="s">
        <v>25</v>
      </c>
      <c r="N4387" t="s">
        <v>37667</v>
      </c>
      <c r="O4387" t="s">
        <v>25</v>
      </c>
      <c r="P4387" t="s">
        <v>37668</v>
      </c>
      <c r="Q4387" t="s">
        <v>29</v>
      </c>
      <c r="R4387" t="s">
        <v>37664</v>
      </c>
      <c r="S4387" t="s">
        <v>37665</v>
      </c>
    </row>
    <row r="4388" spans="1:19" x14ac:dyDescent="0.25">
      <c r="A4388" s="1">
        <v>4386</v>
      </c>
      <c r="B4388" t="str">
        <f>HYPERLINK("https://www.dasschnelle.at/car-trade-gebrauchtwagen-gmbh-söding-packerstraße","Website")</f>
        <v>Website</v>
      </c>
      <c r="C4388" t="str">
        <f>HYPERLINK("http://www.car-trade.at","Website")</f>
        <v>Website</v>
      </c>
      <c r="D4388" t="str">
        <f>HYPERLINK("http://www.google.com/maps/place/47.0021684,15.2729593","Location")</f>
        <v>Location</v>
      </c>
      <c r="E4388" t="s">
        <v>37669</v>
      </c>
      <c r="F4388" t="s">
        <v>37670</v>
      </c>
      <c r="G4388" t="s">
        <v>4644</v>
      </c>
      <c r="H4388" t="s">
        <v>37672</v>
      </c>
      <c r="I4388" t="s">
        <v>451</v>
      </c>
      <c r="J4388" t="s">
        <v>22</v>
      </c>
      <c r="K4388" t="s">
        <v>37671</v>
      </c>
      <c r="L4388" t="s">
        <v>37675</v>
      </c>
      <c r="M4388" t="s">
        <v>25</v>
      </c>
      <c r="N4388" t="s">
        <v>37676</v>
      </c>
      <c r="O4388" t="s">
        <v>25</v>
      </c>
      <c r="P4388" t="s">
        <v>37677</v>
      </c>
      <c r="Q4388" t="s">
        <v>29</v>
      </c>
      <c r="R4388" t="s">
        <v>37673</v>
      </c>
      <c r="S4388" t="s">
        <v>37674</v>
      </c>
    </row>
    <row r="4389" spans="1:19" x14ac:dyDescent="0.25">
      <c r="A4389" s="1">
        <v>4387</v>
      </c>
      <c r="B4389" t="str">
        <f>HYPERLINK("https://www.dasschnelle.at/pinter-verena-ried-im-innkreis-kirchenplatz","Website")</f>
        <v>Website</v>
      </c>
      <c r="C4389" t="str">
        <f>HYPERLINK("http://www.haarmonie.co.at","Website")</f>
        <v>Website</v>
      </c>
      <c r="D4389" t="str">
        <f>HYPERLINK("http://www.google.com/maps/place/48.20953,13.48903","Location")</f>
        <v>Location</v>
      </c>
      <c r="E4389" t="s">
        <v>37678</v>
      </c>
      <c r="F4389" t="s">
        <v>37679</v>
      </c>
      <c r="G4389" t="s">
        <v>6245</v>
      </c>
      <c r="H4389" t="s">
        <v>6267</v>
      </c>
      <c r="I4389" t="s">
        <v>85</v>
      </c>
      <c r="J4389" t="s">
        <v>22</v>
      </c>
      <c r="K4389" t="s">
        <v>32309</v>
      </c>
      <c r="L4389" t="s">
        <v>37682</v>
      </c>
      <c r="M4389" t="s">
        <v>25</v>
      </c>
      <c r="N4389" t="s">
        <v>37683</v>
      </c>
      <c r="O4389" t="s">
        <v>25</v>
      </c>
      <c r="P4389" t="s">
        <v>37684</v>
      </c>
      <c r="Q4389" t="s">
        <v>29</v>
      </c>
      <c r="R4389" t="s">
        <v>37680</v>
      </c>
      <c r="S4389" t="s">
        <v>37681</v>
      </c>
    </row>
    <row r="4390" spans="1:19" x14ac:dyDescent="0.25">
      <c r="A4390" s="1">
        <v>4388</v>
      </c>
      <c r="B4390" t="str">
        <f>HYPERLINK("https://www.dasschnelle.at/gittmaier-josef-pilgersham-pilgersham","Website")</f>
        <v>Website</v>
      </c>
      <c r="C4390" t="str">
        <f>HYPERLINK("https://www.dasschnelle.at/gittmaier-josef-pilgersham-pilgersham","Website")</f>
        <v>Website</v>
      </c>
      <c r="D4390" t="str">
        <f>HYPERLINK("http://www.google.com/maps/place/48.1766425,13.5845632","Location")</f>
        <v>Location</v>
      </c>
      <c r="E4390" t="s">
        <v>37685</v>
      </c>
      <c r="F4390" t="s">
        <v>37686</v>
      </c>
      <c r="G4390" t="s">
        <v>37688</v>
      </c>
      <c r="H4390" t="s">
        <v>37689</v>
      </c>
      <c r="I4390" t="s">
        <v>85</v>
      </c>
      <c r="J4390" t="s">
        <v>22</v>
      </c>
      <c r="K4390" t="s">
        <v>37687</v>
      </c>
      <c r="L4390" t="s">
        <v>37692</v>
      </c>
      <c r="M4390" t="s">
        <v>25</v>
      </c>
      <c r="N4390" t="s">
        <v>37693</v>
      </c>
      <c r="O4390" t="s">
        <v>25</v>
      </c>
      <c r="P4390" t="s">
        <v>37694</v>
      </c>
      <c r="Q4390" t="s">
        <v>29</v>
      </c>
      <c r="R4390" t="s">
        <v>37690</v>
      </c>
      <c r="S4390" t="s">
        <v>37691</v>
      </c>
    </row>
    <row r="4391" spans="1:19" x14ac:dyDescent="0.25">
      <c r="A4391" s="1">
        <v>4389</v>
      </c>
      <c r="B4391" t="str">
        <f>HYPERLINK("https://www.dasschnelle.at/dorfwirt-fischlham-fischlham-thalheimerstrasse","Website")</f>
        <v>Website</v>
      </c>
      <c r="C4391" t="str">
        <f>HYPERLINK("http://www.dorfwirt-fischlham.at","Website")</f>
        <v>Website</v>
      </c>
      <c r="D4391" t="str">
        <f>HYPERLINK("http://www.google.com/maps/place/48.0788700,13.9573100","Location")</f>
        <v>Location</v>
      </c>
      <c r="E4391" t="s">
        <v>37695</v>
      </c>
      <c r="F4391" t="s">
        <v>37696</v>
      </c>
      <c r="G4391" t="s">
        <v>10886</v>
      </c>
      <c r="H4391" t="s">
        <v>37698</v>
      </c>
      <c r="I4391" t="s">
        <v>85</v>
      </c>
      <c r="J4391" t="s">
        <v>22</v>
      </c>
      <c r="K4391" t="s">
        <v>37697</v>
      </c>
      <c r="L4391" t="s">
        <v>37701</v>
      </c>
      <c r="M4391" t="s">
        <v>25</v>
      </c>
      <c r="N4391" t="s">
        <v>37702</v>
      </c>
      <c r="O4391" t="s">
        <v>25</v>
      </c>
      <c r="P4391" t="s">
        <v>37703</v>
      </c>
      <c r="Q4391" t="s">
        <v>29</v>
      </c>
      <c r="R4391" t="s">
        <v>37699</v>
      </c>
      <c r="S4391" t="s">
        <v>37700</v>
      </c>
    </row>
    <row r="4392" spans="1:19" x14ac:dyDescent="0.25">
      <c r="A4392" s="1">
        <v>4390</v>
      </c>
      <c r="B4392" t="str">
        <f>HYPERLINK("https://www.dasschnelle.at/schaubmayr-martin-dr-med-dent-msc-altenfelden-veldenstr","Website")</f>
        <v>Website</v>
      </c>
      <c r="C4392" t="str">
        <f>HYPERLINK("http://www.zahnaerzte-altenfelden.com","Website")</f>
        <v>Website</v>
      </c>
      <c r="D4392" t="str">
        <f>HYPERLINK("http://www.google.com/maps/place/48.48385,13.97192","Location")</f>
        <v>Location</v>
      </c>
      <c r="E4392" t="s">
        <v>37704</v>
      </c>
      <c r="F4392" t="s">
        <v>37705</v>
      </c>
      <c r="G4392" t="s">
        <v>8733</v>
      </c>
      <c r="H4392" t="s">
        <v>8734</v>
      </c>
      <c r="I4392" t="s">
        <v>85</v>
      </c>
      <c r="J4392" t="s">
        <v>22</v>
      </c>
      <c r="K4392" t="s">
        <v>37706</v>
      </c>
      <c r="L4392" t="s">
        <v>37709</v>
      </c>
      <c r="M4392" t="s">
        <v>25</v>
      </c>
      <c r="N4392" t="s">
        <v>37710</v>
      </c>
      <c r="O4392" t="s">
        <v>25</v>
      </c>
      <c r="P4392" t="s">
        <v>37711</v>
      </c>
      <c r="Q4392" t="s">
        <v>29</v>
      </c>
      <c r="R4392" t="s">
        <v>37707</v>
      </c>
      <c r="S4392" t="s">
        <v>37708</v>
      </c>
    </row>
    <row r="4393" spans="1:19" x14ac:dyDescent="0.25">
      <c r="A4393" s="1">
        <v>4391</v>
      </c>
      <c r="B4393" t="str">
        <f>HYPERLINK("https://www.dasschnelle.at/glaser-stefan-dr-ried-im-innkreis-friedrich-thurner-straße","Website")</f>
        <v>Website</v>
      </c>
      <c r="C4393" t="str">
        <f>HYPERLINK("http://www.ra-glaser.at","Website")</f>
        <v>Website</v>
      </c>
      <c r="D4393" t="str">
        <f>HYPERLINK("http://www.google.com/maps/place/48.21179,13.48498","Location")</f>
        <v>Location</v>
      </c>
      <c r="E4393" t="s">
        <v>37712</v>
      </c>
      <c r="F4393" t="s">
        <v>37713</v>
      </c>
      <c r="G4393" t="s">
        <v>6245</v>
      </c>
      <c r="H4393" t="s">
        <v>6267</v>
      </c>
      <c r="I4393" t="s">
        <v>85</v>
      </c>
      <c r="J4393" t="s">
        <v>22</v>
      </c>
      <c r="K4393" t="s">
        <v>37714</v>
      </c>
      <c r="L4393" t="s">
        <v>37717</v>
      </c>
      <c r="M4393" t="s">
        <v>25</v>
      </c>
      <c r="N4393" t="s">
        <v>37718</v>
      </c>
      <c r="O4393" t="s">
        <v>37719</v>
      </c>
      <c r="P4393" t="s">
        <v>37720</v>
      </c>
      <c r="Q4393" t="s">
        <v>29</v>
      </c>
      <c r="R4393" t="s">
        <v>37715</v>
      </c>
      <c r="S4393" t="s">
        <v>37716</v>
      </c>
    </row>
    <row r="4394" spans="1:19" x14ac:dyDescent="0.25">
      <c r="A4394" s="1">
        <v>4392</v>
      </c>
      <c r="B4394" t="str">
        <f>HYPERLINK("https://www.dasschnelle.at/hornof-roland-dr-med-ried-im-innkreis-josef-kränzl-straße","Website")</f>
        <v>Website</v>
      </c>
      <c r="C4394" t="str">
        <f>HYPERLINK("http://www.hornof-chirurg.at","Website")</f>
        <v>Website</v>
      </c>
      <c r="D4394" t="str">
        <f>HYPERLINK("http://www.google.com/maps/place/48.20308,13.48551","Location")</f>
        <v>Location</v>
      </c>
      <c r="E4394" t="s">
        <v>37721</v>
      </c>
      <c r="F4394" t="s">
        <v>37722</v>
      </c>
      <c r="G4394" t="s">
        <v>6245</v>
      </c>
      <c r="H4394" t="s">
        <v>6267</v>
      </c>
      <c r="I4394" t="s">
        <v>85</v>
      </c>
      <c r="J4394" t="s">
        <v>22</v>
      </c>
      <c r="K4394" t="s">
        <v>37723</v>
      </c>
      <c r="L4394" t="s">
        <v>37726</v>
      </c>
      <c r="M4394" t="s">
        <v>25</v>
      </c>
      <c r="N4394" t="s">
        <v>37727</v>
      </c>
      <c r="O4394" t="s">
        <v>25</v>
      </c>
      <c r="P4394" t="s">
        <v>37728</v>
      </c>
      <c r="Q4394" t="s">
        <v>29</v>
      </c>
      <c r="R4394" t="s">
        <v>37724</v>
      </c>
      <c r="S4394" t="s">
        <v>37725</v>
      </c>
    </row>
    <row r="4395" spans="1:19" x14ac:dyDescent="0.25">
      <c r="A4395" s="1">
        <v>4393</v>
      </c>
      <c r="B4395" t="str">
        <f>HYPERLINK("https://www.dasschnelle.at/kerbl-carmen-waldneukirchen-bad-haller-straße","Website")</f>
        <v>Website</v>
      </c>
      <c r="C4395" t="str">
        <f>HYPERLINK("http://www.carmen-hairstyling.at","Website")</f>
        <v>Website</v>
      </c>
      <c r="D4395" t="str">
        <f>HYPERLINK("http://www.google.com/maps/place/47.9979,14.26105","Location")</f>
        <v>Location</v>
      </c>
      <c r="E4395" t="s">
        <v>37729</v>
      </c>
      <c r="F4395" t="s">
        <v>37730</v>
      </c>
      <c r="G4395" t="s">
        <v>2268</v>
      </c>
      <c r="H4395" t="s">
        <v>2269</v>
      </c>
      <c r="I4395" t="s">
        <v>85</v>
      </c>
      <c r="J4395" t="s">
        <v>22</v>
      </c>
      <c r="K4395" t="s">
        <v>37731</v>
      </c>
      <c r="L4395" t="s">
        <v>37734</v>
      </c>
      <c r="M4395" t="s">
        <v>25</v>
      </c>
      <c r="N4395" t="s">
        <v>37735</v>
      </c>
      <c r="O4395" t="s">
        <v>25</v>
      </c>
      <c r="P4395" t="s">
        <v>37736</v>
      </c>
      <c r="Q4395" t="s">
        <v>29</v>
      </c>
      <c r="R4395" t="s">
        <v>37732</v>
      </c>
      <c r="S4395" t="s">
        <v>37733</v>
      </c>
    </row>
    <row r="4396" spans="1:19" x14ac:dyDescent="0.25">
      <c r="A4396" s="1">
        <v>4394</v>
      </c>
      <c r="B4396" t="str">
        <f>HYPERLINK("https://www.dasschnelle.at/ep-exklusiv-elektrohandel-und-service-gmbh-bad-hall-adlwanger-straße","Website")</f>
        <v>Website</v>
      </c>
      <c r="C4396" t="str">
        <f>HYPERLINK("http://www.expert-exklusiv.at","Website")</f>
        <v>Website</v>
      </c>
      <c r="D4396" t="str">
        <f>HYPERLINK("http://www.google.com/maps/place/48.03005,14.21555","Location")</f>
        <v>Location</v>
      </c>
      <c r="E4396" t="s">
        <v>37737</v>
      </c>
      <c r="F4396" t="s">
        <v>37738</v>
      </c>
      <c r="G4396" t="s">
        <v>2280</v>
      </c>
      <c r="H4396" t="s">
        <v>2281</v>
      </c>
      <c r="I4396" t="s">
        <v>85</v>
      </c>
      <c r="J4396" t="s">
        <v>22</v>
      </c>
      <c r="K4396" t="s">
        <v>37739</v>
      </c>
      <c r="L4396" t="s">
        <v>37742</v>
      </c>
      <c r="M4396" t="s">
        <v>25</v>
      </c>
      <c r="N4396" t="s">
        <v>37743</v>
      </c>
      <c r="O4396" t="s">
        <v>25</v>
      </c>
      <c r="P4396" t="s">
        <v>37744</v>
      </c>
      <c r="Q4396" t="s">
        <v>29</v>
      </c>
      <c r="R4396" t="s">
        <v>37740</v>
      </c>
      <c r="S4396" t="s">
        <v>37741</v>
      </c>
    </row>
    <row r="4397" spans="1:19" x14ac:dyDescent="0.25">
      <c r="A4397" s="1">
        <v>4395</v>
      </c>
      <c r="B4397" t="str">
        <f>HYPERLINK("https://www.dasschnelle.at/dedic-redzo-weißenbach-bei-liezen-hauptstraße","Website")</f>
        <v>Website</v>
      </c>
      <c r="C4397" t="str">
        <f>HYPERLINK("http://www.trockenbau-dedic.at","Website")</f>
        <v>Website</v>
      </c>
      <c r="D4397" t="str">
        <f>HYPERLINK("http://www.google.com/maps/place/47.56856,14.20785","Location")</f>
        <v>Location</v>
      </c>
      <c r="E4397" t="s">
        <v>37745</v>
      </c>
      <c r="F4397" t="s">
        <v>37746</v>
      </c>
      <c r="G4397" t="s">
        <v>1095</v>
      </c>
      <c r="H4397" t="s">
        <v>37748</v>
      </c>
      <c r="I4397" t="s">
        <v>451</v>
      </c>
      <c r="J4397" t="s">
        <v>22</v>
      </c>
      <c r="K4397" t="s">
        <v>37747</v>
      </c>
      <c r="L4397" t="s">
        <v>37751</v>
      </c>
      <c r="M4397" t="s">
        <v>25</v>
      </c>
      <c r="N4397" t="s">
        <v>37752</v>
      </c>
      <c r="O4397" t="s">
        <v>37753</v>
      </c>
      <c r="P4397" t="s">
        <v>37754</v>
      </c>
      <c r="Q4397" t="s">
        <v>29</v>
      </c>
      <c r="R4397" t="s">
        <v>37749</v>
      </c>
      <c r="S4397" t="s">
        <v>37750</v>
      </c>
    </row>
    <row r="4398" spans="1:19" x14ac:dyDescent="0.25">
      <c r="A4398" s="1">
        <v>4396</v>
      </c>
      <c r="B4398" t="str">
        <f>HYPERLINK("https://www.dasschnelle.at/weisl-kfz-gmbh-donnersbach","Website")</f>
        <v>Website</v>
      </c>
      <c r="C4398" t="str">
        <f>HYPERLINK("http://www.kfz-weisl.at","Website")</f>
        <v>Website</v>
      </c>
      <c r="D4398" t="str">
        <f>HYPERLINK("http://www.google.com/maps/place/47.4665483,14.1275280","Location")</f>
        <v>Location</v>
      </c>
      <c r="E4398" t="s">
        <v>37755</v>
      </c>
      <c r="F4398" t="s">
        <v>37756</v>
      </c>
      <c r="G4398" t="s">
        <v>1185</v>
      </c>
      <c r="H4398" t="s">
        <v>37757</v>
      </c>
      <c r="I4398" t="s">
        <v>451</v>
      </c>
      <c r="J4398" t="s">
        <v>22</v>
      </c>
      <c r="K4398" t="s">
        <v>25</v>
      </c>
      <c r="L4398" t="s">
        <v>37760</v>
      </c>
      <c r="M4398" t="s">
        <v>25</v>
      </c>
      <c r="N4398" t="s">
        <v>37761</v>
      </c>
      <c r="O4398" t="s">
        <v>25</v>
      </c>
      <c r="P4398" t="s">
        <v>37762</v>
      </c>
      <c r="Q4398" t="s">
        <v>29</v>
      </c>
      <c r="R4398" t="s">
        <v>37758</v>
      </c>
      <c r="S4398" t="s">
        <v>37759</v>
      </c>
    </row>
    <row r="4399" spans="1:19" x14ac:dyDescent="0.25">
      <c r="A4399" s="1">
        <v>4397</v>
      </c>
      <c r="B4399" t="str">
        <f>HYPERLINK("https://www.dasschnelle.at/peer-martina-ried-im-innkreis-haydnstraße","Website")</f>
        <v>Website</v>
      </c>
      <c r="C4399" t="str">
        <f>HYPERLINK("https://www.dasschnelle.at/peer-martina-ried-im-innkreis-haydnstra%C3%9Fe","Website")</f>
        <v>Website</v>
      </c>
      <c r="D4399" t="str">
        <f>HYPERLINK("http://www.google.com/maps/place/48.2165500,13.4846500","Location")</f>
        <v>Location</v>
      </c>
      <c r="E4399" t="s">
        <v>37763</v>
      </c>
      <c r="F4399" t="s">
        <v>37764</v>
      </c>
      <c r="G4399" t="s">
        <v>6245</v>
      </c>
      <c r="H4399" t="s">
        <v>6267</v>
      </c>
      <c r="I4399" t="s">
        <v>85</v>
      </c>
      <c r="J4399" t="s">
        <v>22</v>
      </c>
      <c r="K4399" t="s">
        <v>37765</v>
      </c>
      <c r="L4399" t="s">
        <v>37768</v>
      </c>
      <c r="M4399" t="s">
        <v>25</v>
      </c>
      <c r="N4399" t="s">
        <v>37769</v>
      </c>
      <c r="O4399" t="s">
        <v>25</v>
      </c>
      <c r="P4399" t="s">
        <v>37770</v>
      </c>
      <c r="Q4399" t="s">
        <v>29</v>
      </c>
      <c r="R4399" t="s">
        <v>37766</v>
      </c>
      <c r="S4399" t="s">
        <v>37767</v>
      </c>
    </row>
    <row r="4400" spans="1:19" x14ac:dyDescent="0.25">
      <c r="A4400" s="1">
        <v>4398</v>
      </c>
      <c r="B4400" t="str">
        <f>HYPERLINK("https://www.dasschnelle.at/veit-wolfgang-ddr-schlüßlberg-marktplatz","Website")</f>
        <v>Website</v>
      </c>
      <c r="C4400" t="str">
        <f>HYPERLINK("http://www.zahnarzt-schluesslberg.at","Website")</f>
        <v>Website</v>
      </c>
      <c r="D4400" t="str">
        <f>HYPERLINK("http://www.google.com/maps/place/48.22268,13.86693","Location")</f>
        <v>Location</v>
      </c>
      <c r="E4400" t="s">
        <v>37771</v>
      </c>
      <c r="F4400" t="s">
        <v>37772</v>
      </c>
      <c r="G4400" t="s">
        <v>7450</v>
      </c>
      <c r="H4400" t="s">
        <v>7451</v>
      </c>
      <c r="I4400" t="s">
        <v>85</v>
      </c>
      <c r="J4400" t="s">
        <v>22</v>
      </c>
      <c r="K4400" t="s">
        <v>229</v>
      </c>
      <c r="L4400" t="s">
        <v>37775</v>
      </c>
      <c r="M4400" t="s">
        <v>25</v>
      </c>
      <c r="N4400" t="s">
        <v>25</v>
      </c>
      <c r="O4400" t="s">
        <v>25</v>
      </c>
      <c r="P4400" t="s">
        <v>37776</v>
      </c>
      <c r="Q4400" t="s">
        <v>29</v>
      </c>
      <c r="R4400" t="s">
        <v>37773</v>
      </c>
      <c r="S4400" t="s">
        <v>37774</v>
      </c>
    </row>
    <row r="4401" spans="1:19" x14ac:dyDescent="0.25">
      <c r="A4401" s="1">
        <v>4399</v>
      </c>
      <c r="B4401" t="str">
        <f>HYPERLINK("https://www.dasschnelle.at/gruber-michael-kremsmünster-subiacostraße","Website")</f>
        <v>Website</v>
      </c>
      <c r="C4401" t="str">
        <f>HYPERLINK("http://www.gruber-stein.at","Website")</f>
        <v>Website</v>
      </c>
      <c r="D4401" t="str">
        <f>HYPERLINK("http://www.google.com/maps/place/48.05227,14.12357","Location")</f>
        <v>Location</v>
      </c>
      <c r="E4401" t="s">
        <v>37777</v>
      </c>
      <c r="F4401" t="s">
        <v>37778</v>
      </c>
      <c r="G4401" t="s">
        <v>9173</v>
      </c>
      <c r="H4401" t="s">
        <v>9174</v>
      </c>
      <c r="I4401" t="s">
        <v>85</v>
      </c>
      <c r="J4401" t="s">
        <v>22</v>
      </c>
      <c r="K4401" t="s">
        <v>37779</v>
      </c>
      <c r="L4401" t="s">
        <v>37782</v>
      </c>
      <c r="M4401" t="s">
        <v>25</v>
      </c>
      <c r="N4401" t="s">
        <v>37783</v>
      </c>
      <c r="O4401" t="s">
        <v>25</v>
      </c>
      <c r="P4401" t="s">
        <v>37784</v>
      </c>
      <c r="Q4401" t="s">
        <v>29</v>
      </c>
      <c r="R4401" t="s">
        <v>37780</v>
      </c>
      <c r="S4401" t="s">
        <v>37781</v>
      </c>
    </row>
    <row r="4402" spans="1:19" x14ac:dyDescent="0.25">
      <c r="A4402" s="1">
        <v>4400</v>
      </c>
      <c r="B4402" t="str">
        <f>HYPERLINK("https://www.dasschnelle.at/hilbel-wolfgang-bad-mitterndorf","Website")</f>
        <v>Website</v>
      </c>
      <c r="C4402" t="str">
        <f>HYPERLINK("http://www.hilbel.at","Website")</f>
        <v>Website</v>
      </c>
      <c r="D4402" t="str">
        <f>HYPERLINK("http://www.google.com/maps/place/47.5562770,13.9361732","Location")</f>
        <v>Location</v>
      </c>
      <c r="E4402" t="s">
        <v>37785</v>
      </c>
      <c r="F4402" t="s">
        <v>37786</v>
      </c>
      <c r="G4402" t="s">
        <v>1133</v>
      </c>
      <c r="H4402" t="s">
        <v>1134</v>
      </c>
      <c r="I4402" t="s">
        <v>451</v>
      </c>
      <c r="J4402" t="s">
        <v>22</v>
      </c>
      <c r="K4402" t="s">
        <v>25</v>
      </c>
      <c r="L4402" t="s">
        <v>37789</v>
      </c>
      <c r="M4402" t="s">
        <v>25</v>
      </c>
      <c r="N4402" t="s">
        <v>37790</v>
      </c>
      <c r="O4402" t="s">
        <v>25</v>
      </c>
      <c r="P4402" t="s">
        <v>37791</v>
      </c>
      <c r="Q4402" t="s">
        <v>29</v>
      </c>
      <c r="R4402" t="s">
        <v>37787</v>
      </c>
      <c r="S4402" t="s">
        <v>37788</v>
      </c>
    </row>
    <row r="4403" spans="1:19" x14ac:dyDescent="0.25">
      <c r="A4403" s="1">
        <v>4401</v>
      </c>
      <c r="B4403" t="str">
        <f>HYPERLINK("https://www.dasschnelle.at/holzbau-und-abbundzentrum-reinhard-hansmann-gmbh-oberwölz-vorstadt","Website")</f>
        <v>Website</v>
      </c>
      <c r="C4403" t="str">
        <f>HYPERLINK("http://www.holzbau-hansmann.com","Website")</f>
        <v>Website</v>
      </c>
      <c r="D4403" t="str">
        <f>HYPERLINK("http://www.google.com/maps/place/47.1994094,14.2832497","Location")</f>
        <v>Location</v>
      </c>
      <c r="E4403" t="s">
        <v>37792</v>
      </c>
      <c r="F4403" t="s">
        <v>37793</v>
      </c>
      <c r="G4403" t="s">
        <v>12102</v>
      </c>
      <c r="H4403" t="s">
        <v>37795</v>
      </c>
      <c r="I4403" t="s">
        <v>451</v>
      </c>
      <c r="J4403" t="s">
        <v>22</v>
      </c>
      <c r="K4403" t="s">
        <v>37794</v>
      </c>
      <c r="L4403" t="s">
        <v>37798</v>
      </c>
      <c r="M4403" t="s">
        <v>25</v>
      </c>
      <c r="N4403" t="s">
        <v>37799</v>
      </c>
      <c r="O4403" t="s">
        <v>25</v>
      </c>
      <c r="P4403" t="s">
        <v>37800</v>
      </c>
      <c r="Q4403" t="s">
        <v>29</v>
      </c>
      <c r="R4403" t="s">
        <v>37796</v>
      </c>
      <c r="S4403" t="s">
        <v>37797</v>
      </c>
    </row>
    <row r="4404" spans="1:19" x14ac:dyDescent="0.25">
      <c r="A4404" s="1">
        <v>4402</v>
      </c>
      <c r="B4404" t="str">
        <f>HYPERLINK("https://www.dasschnelle.at/huemer-gmbh-eberstalzell-wipfing","Website")</f>
        <v>Website</v>
      </c>
      <c r="C4404" t="str">
        <f>HYPERLINK("http://www.huemer-energietechnik.at","Website")</f>
        <v>Website</v>
      </c>
      <c r="D4404" t="str">
        <f>HYPERLINK("http://www.google.com/maps/place/48.0397242,14.0000111","Location")</f>
        <v>Location</v>
      </c>
      <c r="E4404" t="s">
        <v>37801</v>
      </c>
      <c r="F4404" t="s">
        <v>37802</v>
      </c>
      <c r="G4404" t="s">
        <v>10923</v>
      </c>
      <c r="H4404" t="s">
        <v>10924</v>
      </c>
      <c r="I4404" t="s">
        <v>85</v>
      </c>
      <c r="J4404" t="s">
        <v>22</v>
      </c>
      <c r="K4404" t="s">
        <v>37803</v>
      </c>
      <c r="L4404" t="s">
        <v>37806</v>
      </c>
      <c r="M4404" t="s">
        <v>25</v>
      </c>
      <c r="N4404" t="s">
        <v>37807</v>
      </c>
      <c r="O4404" t="s">
        <v>37808</v>
      </c>
      <c r="P4404" t="s">
        <v>37809</v>
      </c>
      <c r="Q4404" t="s">
        <v>29</v>
      </c>
      <c r="R4404" t="s">
        <v>37804</v>
      </c>
      <c r="S4404" t="s">
        <v>37805</v>
      </c>
    </row>
    <row r="4405" spans="1:19" x14ac:dyDescent="0.25">
      <c r="A4405" s="1">
        <v>4403</v>
      </c>
      <c r="B4405" t="str">
        <f>HYPERLINK("https://www.dasschnelle.at/murtax-steuerberatungs-gmbh-murau-bundesstraße","Website")</f>
        <v>Website</v>
      </c>
      <c r="C4405" t="str">
        <f>HYPERLINK("http://www.murtax.at","Website")</f>
        <v>Website</v>
      </c>
      <c r="D4405" t="str">
        <f>HYPERLINK("http://www.google.com/maps/place/47.11291,14.17693","Location")</f>
        <v>Location</v>
      </c>
      <c r="E4405" t="s">
        <v>37810</v>
      </c>
      <c r="F4405" t="s">
        <v>37811</v>
      </c>
      <c r="G4405" t="s">
        <v>12112</v>
      </c>
      <c r="H4405" t="s">
        <v>12113</v>
      </c>
      <c r="I4405" t="s">
        <v>451</v>
      </c>
      <c r="J4405" t="s">
        <v>22</v>
      </c>
      <c r="K4405" t="s">
        <v>37812</v>
      </c>
      <c r="L4405" t="s">
        <v>37815</v>
      </c>
      <c r="M4405" t="s">
        <v>25</v>
      </c>
      <c r="N4405" t="s">
        <v>37816</v>
      </c>
      <c r="O4405" t="s">
        <v>37817</v>
      </c>
      <c r="P4405" t="s">
        <v>697</v>
      </c>
      <c r="Q4405" t="s">
        <v>29</v>
      </c>
      <c r="R4405" t="s">
        <v>37813</v>
      </c>
      <c r="S4405" t="s">
        <v>37814</v>
      </c>
    </row>
    <row r="4406" spans="1:19" x14ac:dyDescent="0.25">
      <c r="A4406" s="1">
        <v>4404</v>
      </c>
      <c r="B4406" t="str">
        <f>HYPERLINK("https://www.dasschnelle.at/krankenbeförderung-gramberger-tumeltsham-innviertlerstraße","Website")</f>
        <v>Website</v>
      </c>
      <c r="C4406" t="str">
        <f>HYPERLINK("http://www.krankenbefoerderung.at","Website")</f>
        <v>Website</v>
      </c>
      <c r="D4406" t="str">
        <f>HYPERLINK("http://www.google.com/maps/place/48.22645,13.4958","Location")</f>
        <v>Location</v>
      </c>
      <c r="E4406" t="s">
        <v>37818</v>
      </c>
      <c r="F4406" t="s">
        <v>37819</v>
      </c>
      <c r="G4406" t="s">
        <v>37821</v>
      </c>
      <c r="H4406" t="s">
        <v>37822</v>
      </c>
      <c r="I4406" t="s">
        <v>85</v>
      </c>
      <c r="J4406" t="s">
        <v>22</v>
      </c>
      <c r="K4406" t="s">
        <v>37820</v>
      </c>
      <c r="L4406" t="s">
        <v>37825</v>
      </c>
      <c r="M4406" t="s">
        <v>25</v>
      </c>
      <c r="N4406" t="s">
        <v>37826</v>
      </c>
      <c r="O4406" t="s">
        <v>25</v>
      </c>
      <c r="P4406" t="s">
        <v>37827</v>
      </c>
      <c r="Q4406" t="s">
        <v>29</v>
      </c>
      <c r="R4406" t="s">
        <v>37823</v>
      </c>
      <c r="S4406" t="s">
        <v>37824</v>
      </c>
    </row>
    <row r="4407" spans="1:19" x14ac:dyDescent="0.25">
      <c r="A4407" s="1">
        <v>4405</v>
      </c>
      <c r="B4407" t="str">
        <f>HYPERLINK("https://www.dasschnelle.at/ehs-einfinger-gmbh-tumeltsham-holzhäuseln","Website")</f>
        <v>Website</v>
      </c>
      <c r="C4407" t="str">
        <f>HYPERLINK("http://www.einfinger.at","Website")</f>
        <v>Website</v>
      </c>
      <c r="D4407" t="str">
        <f>HYPERLINK("http://www.google.com/maps/place/48.2378727,13.5143638","Location")</f>
        <v>Location</v>
      </c>
      <c r="E4407" t="s">
        <v>37828</v>
      </c>
      <c r="F4407" t="s">
        <v>37829</v>
      </c>
      <c r="G4407" t="s">
        <v>37821</v>
      </c>
      <c r="H4407" t="s">
        <v>37822</v>
      </c>
      <c r="I4407" t="s">
        <v>85</v>
      </c>
      <c r="J4407" t="s">
        <v>22</v>
      </c>
      <c r="K4407" t="s">
        <v>37830</v>
      </c>
      <c r="L4407" t="s">
        <v>37833</v>
      </c>
      <c r="M4407" t="s">
        <v>25</v>
      </c>
      <c r="N4407" t="s">
        <v>37834</v>
      </c>
      <c r="O4407" t="s">
        <v>37835</v>
      </c>
      <c r="P4407" t="s">
        <v>37836</v>
      </c>
      <c r="Q4407" t="s">
        <v>29</v>
      </c>
      <c r="R4407" t="s">
        <v>37831</v>
      </c>
      <c r="S4407" t="s">
        <v>37832</v>
      </c>
    </row>
    <row r="4408" spans="1:19" x14ac:dyDescent="0.25">
      <c r="A4408" s="1">
        <v>4406</v>
      </c>
      <c r="B4408" t="str">
        <f>HYPERLINK("https://www.dasschnelle.at/studio-heidi-med-fusspflege-ligist-ligist","Website")</f>
        <v>Website</v>
      </c>
      <c r="C4408" t="str">
        <f>HYPERLINK("http://www.wohl.org","Website")</f>
        <v>Website</v>
      </c>
      <c r="D4408" t="str">
        <f>HYPERLINK("http://www.google.com/maps/place/46.9960907,15.2058251","Location")</f>
        <v>Location</v>
      </c>
      <c r="E4408" t="s">
        <v>37837</v>
      </c>
      <c r="F4408" t="s">
        <v>37838</v>
      </c>
      <c r="G4408" t="s">
        <v>4699</v>
      </c>
      <c r="H4408" t="s">
        <v>37840</v>
      </c>
      <c r="I4408" t="s">
        <v>451</v>
      </c>
      <c r="J4408" t="s">
        <v>22</v>
      </c>
      <c r="K4408" t="s">
        <v>37839</v>
      </c>
      <c r="L4408" t="s">
        <v>37843</v>
      </c>
      <c r="M4408" t="s">
        <v>25</v>
      </c>
      <c r="N4408" t="s">
        <v>37844</v>
      </c>
      <c r="O4408" t="s">
        <v>25</v>
      </c>
      <c r="P4408" t="s">
        <v>37845</v>
      </c>
      <c r="Q4408" t="s">
        <v>29</v>
      </c>
      <c r="R4408" t="s">
        <v>37841</v>
      </c>
      <c r="S4408" t="s">
        <v>37842</v>
      </c>
    </row>
    <row r="4409" spans="1:19" x14ac:dyDescent="0.25">
      <c r="A4409" s="1">
        <v>4407</v>
      </c>
      <c r="B4409" t="str">
        <f>HYPERLINK("https://www.dasschnelle.at/elektrotechnik-wagnest-e-u-ligist-markt-ligist","Website")</f>
        <v>Website</v>
      </c>
      <c r="C4409" t="str">
        <f>HYPERLINK("https://www.dasschnelle.at/elektrotechnik-wagnest-e-u-ligist-markt-ligist","Website")</f>
        <v>Website</v>
      </c>
      <c r="D4409" t="str">
        <f>HYPERLINK("http://www.google.com/maps/place/46.9937447,15.2066351","Location")</f>
        <v>Location</v>
      </c>
      <c r="E4409" t="s">
        <v>37846</v>
      </c>
      <c r="F4409" t="s">
        <v>37847</v>
      </c>
      <c r="G4409" t="s">
        <v>4699</v>
      </c>
      <c r="H4409" t="s">
        <v>4700</v>
      </c>
      <c r="I4409" t="s">
        <v>451</v>
      </c>
      <c r="J4409" t="s">
        <v>22</v>
      </c>
      <c r="K4409" t="s">
        <v>37848</v>
      </c>
      <c r="L4409" t="s">
        <v>37851</v>
      </c>
      <c r="M4409" t="s">
        <v>25</v>
      </c>
      <c r="N4409" t="s">
        <v>37852</v>
      </c>
      <c r="O4409" t="s">
        <v>25</v>
      </c>
      <c r="P4409" t="s">
        <v>37853</v>
      </c>
      <c r="Q4409" t="s">
        <v>29</v>
      </c>
      <c r="R4409" t="s">
        <v>37849</v>
      </c>
      <c r="S4409" t="s">
        <v>37850</v>
      </c>
    </row>
    <row r="4410" spans="1:19" x14ac:dyDescent="0.25">
      <c r="A4410" s="1">
        <v>4408</v>
      </c>
      <c r="B4410" t="str">
        <f>HYPERLINK("https://www.dasschnelle.at/taxi-blitz-bärnbach-kleegasse","Website")</f>
        <v>Website</v>
      </c>
      <c r="C4410" t="str">
        <f>HYPERLINK("http://www.taxiblitz.at","Website")</f>
        <v>Website</v>
      </c>
      <c r="D4410" t="str">
        <f>HYPERLINK("http://www.google.com/maps/place/47.07549,15.12412","Location")</f>
        <v>Location</v>
      </c>
      <c r="E4410" t="s">
        <v>37854</v>
      </c>
      <c r="F4410" t="s">
        <v>37855</v>
      </c>
      <c r="G4410" t="s">
        <v>4592</v>
      </c>
      <c r="H4410" t="s">
        <v>4593</v>
      </c>
      <c r="I4410" t="s">
        <v>451</v>
      </c>
      <c r="J4410" t="s">
        <v>22</v>
      </c>
      <c r="K4410" t="s">
        <v>37856</v>
      </c>
      <c r="L4410" t="s">
        <v>37859</v>
      </c>
      <c r="M4410" t="s">
        <v>25</v>
      </c>
      <c r="N4410" t="s">
        <v>37860</v>
      </c>
      <c r="O4410" t="s">
        <v>25</v>
      </c>
      <c r="P4410" t="s">
        <v>37861</v>
      </c>
      <c r="Q4410" t="s">
        <v>29</v>
      </c>
      <c r="R4410" t="s">
        <v>37857</v>
      </c>
      <c r="S4410" t="s">
        <v>37858</v>
      </c>
    </row>
    <row r="4411" spans="1:19" x14ac:dyDescent="0.25">
      <c r="A4411" s="1">
        <v>4409</v>
      </c>
      <c r="B4411" t="str">
        <f>HYPERLINK("https://www.dasschnelle.at/best-pizzeria-kebaphaus-voitsberg-hauptplatz","Website")</f>
        <v>Website</v>
      </c>
      <c r="C4411" t="str">
        <f>HYPERLINK("https://www.dasschnelle.at/best-pizzeria-kebaphaus-voitsberg-hauptplatz","Website")</f>
        <v>Website</v>
      </c>
      <c r="D4411" t="str">
        <f>HYPERLINK("http://www.google.com/maps/place/47.0492500,15.1515400","Location")</f>
        <v>Location</v>
      </c>
      <c r="E4411" t="s">
        <v>37862</v>
      </c>
      <c r="F4411" t="s">
        <v>37863</v>
      </c>
      <c r="G4411" t="s">
        <v>4572</v>
      </c>
      <c r="H4411" t="s">
        <v>4573</v>
      </c>
      <c r="I4411" t="s">
        <v>451</v>
      </c>
      <c r="J4411" t="s">
        <v>22</v>
      </c>
      <c r="K4411" t="s">
        <v>36215</v>
      </c>
      <c r="L4411" t="s">
        <v>37866</v>
      </c>
      <c r="M4411" t="s">
        <v>25</v>
      </c>
      <c r="N4411" t="s">
        <v>37867</v>
      </c>
      <c r="O4411" t="s">
        <v>25</v>
      </c>
      <c r="P4411" t="s">
        <v>37868</v>
      </c>
      <c r="Q4411" t="s">
        <v>29</v>
      </c>
      <c r="R4411" t="s">
        <v>37864</v>
      </c>
      <c r="S4411" t="s">
        <v>37865</v>
      </c>
    </row>
    <row r="4412" spans="1:19" x14ac:dyDescent="0.25">
      <c r="A4412" s="1">
        <v>4410</v>
      </c>
      <c r="B4412" t="str">
        <f>HYPERLINK("https://www.dasschnelle.at/anabith-gebäudetechnik-gmbh-stallhofen-södingberg","Website")</f>
        <v>Website</v>
      </c>
      <c r="C4412" t="str">
        <f>HYPERLINK("http://www.anabith-gwh.at","Website")</f>
        <v>Website</v>
      </c>
      <c r="D4412" t="str">
        <f>HYPERLINK("http://www.google.com/maps/place/47.0738800,15.2033400","Location")</f>
        <v>Location</v>
      </c>
      <c r="E4412" t="s">
        <v>37869</v>
      </c>
      <c r="F4412" t="s">
        <v>37870</v>
      </c>
      <c r="G4412" t="s">
        <v>37872</v>
      </c>
      <c r="H4412" t="s">
        <v>37873</v>
      </c>
      <c r="I4412" t="s">
        <v>451</v>
      </c>
      <c r="J4412" t="s">
        <v>22</v>
      </c>
      <c r="K4412" t="s">
        <v>37871</v>
      </c>
      <c r="L4412" t="s">
        <v>37876</v>
      </c>
      <c r="M4412" t="s">
        <v>25</v>
      </c>
      <c r="N4412" t="s">
        <v>37877</v>
      </c>
      <c r="O4412" t="s">
        <v>25</v>
      </c>
      <c r="P4412" t="s">
        <v>37878</v>
      </c>
      <c r="Q4412" t="s">
        <v>29</v>
      </c>
      <c r="R4412" t="s">
        <v>37874</v>
      </c>
      <c r="S4412" t="s">
        <v>37875</v>
      </c>
    </row>
    <row r="4413" spans="1:19" x14ac:dyDescent="0.25">
      <c r="A4413" s="1">
        <v>4411</v>
      </c>
      <c r="B4413" t="str">
        <f>HYPERLINK("https://www.dasschnelle.at/pichler-markus-bau-und-landmaschinentechnik-bärnbach-bergstraße","Website")</f>
        <v>Website</v>
      </c>
      <c r="C4413" t="str">
        <f>HYPERLINK("http://www.technik-pichler.at","Website")</f>
        <v>Website</v>
      </c>
      <c r="D4413" t="str">
        <f>HYPERLINK("http://www.google.com/maps/place/47.1030600,15.1399600","Location")</f>
        <v>Location</v>
      </c>
      <c r="E4413" t="s">
        <v>37879</v>
      </c>
      <c r="F4413" t="s">
        <v>37880</v>
      </c>
      <c r="G4413" t="s">
        <v>4592</v>
      </c>
      <c r="H4413" t="s">
        <v>4593</v>
      </c>
      <c r="I4413" t="s">
        <v>451</v>
      </c>
      <c r="J4413" t="s">
        <v>22</v>
      </c>
      <c r="K4413" t="s">
        <v>37881</v>
      </c>
      <c r="L4413" t="s">
        <v>37884</v>
      </c>
      <c r="M4413" t="s">
        <v>25</v>
      </c>
      <c r="N4413" t="s">
        <v>37885</v>
      </c>
      <c r="O4413" t="s">
        <v>25</v>
      </c>
      <c r="P4413" t="s">
        <v>37886</v>
      </c>
      <c r="Q4413" t="s">
        <v>29</v>
      </c>
      <c r="R4413" t="s">
        <v>37882</v>
      </c>
      <c r="S4413" t="s">
        <v>37883</v>
      </c>
    </row>
    <row r="4414" spans="1:19" x14ac:dyDescent="0.25">
      <c r="A4414" s="1">
        <v>4412</v>
      </c>
      <c r="B4414" t="str">
        <f>HYPERLINK("https://www.dasschnelle.at/spenglerei-mitterbucher-gmbh-und-co-kg-neuhofen-im-innkreis-hauptstraße","Website")</f>
        <v>Website</v>
      </c>
      <c r="C4414" t="str">
        <f>HYPERLINK("http://www.spenglerei-mitterbucher.at","Website")</f>
        <v>Website</v>
      </c>
      <c r="D4414" t="str">
        <f>HYPERLINK("http://www.google.com/maps/place/48.19172,13.47193","Location")</f>
        <v>Location</v>
      </c>
      <c r="E4414" t="s">
        <v>37887</v>
      </c>
      <c r="F4414" t="s">
        <v>37888</v>
      </c>
      <c r="G4414" t="s">
        <v>36206</v>
      </c>
      <c r="H4414" t="s">
        <v>36207</v>
      </c>
      <c r="I4414" t="s">
        <v>85</v>
      </c>
      <c r="J4414" t="s">
        <v>22</v>
      </c>
      <c r="K4414" t="s">
        <v>12380</v>
      </c>
      <c r="L4414" t="s">
        <v>37891</v>
      </c>
      <c r="M4414" t="s">
        <v>25</v>
      </c>
      <c r="N4414" t="s">
        <v>37892</v>
      </c>
      <c r="O4414" t="s">
        <v>25</v>
      </c>
      <c r="P4414" t="s">
        <v>37893</v>
      </c>
      <c r="Q4414" t="s">
        <v>29</v>
      </c>
      <c r="R4414" t="s">
        <v>37889</v>
      </c>
      <c r="S4414" t="s">
        <v>37890</v>
      </c>
    </row>
    <row r="4415" spans="1:19" x14ac:dyDescent="0.25">
      <c r="A4415" s="1">
        <v>4413</v>
      </c>
      <c r="B4415" t="str">
        <f>HYPERLINK("https://www.dasschnelle.at/tippler-energie-bau-gmbh-stallhofen-gewerbepark","Website")</f>
        <v>Website</v>
      </c>
      <c r="C4415" t="str">
        <f>HYPERLINK("http://www.tippler.at","Website")</f>
        <v>Website</v>
      </c>
      <c r="D4415" t="str">
        <f>HYPERLINK("http://www.google.com/maps/place/47.04355,15.23278","Location")</f>
        <v>Location</v>
      </c>
      <c r="E4415" t="s">
        <v>37894</v>
      </c>
      <c r="F4415" t="s">
        <v>37895</v>
      </c>
      <c r="G4415" t="s">
        <v>37872</v>
      </c>
      <c r="H4415" t="s">
        <v>37873</v>
      </c>
      <c r="I4415" t="s">
        <v>451</v>
      </c>
      <c r="J4415" t="s">
        <v>22</v>
      </c>
      <c r="K4415" t="s">
        <v>3971</v>
      </c>
      <c r="L4415" t="s">
        <v>37898</v>
      </c>
      <c r="M4415" t="s">
        <v>25</v>
      </c>
      <c r="N4415" t="s">
        <v>37899</v>
      </c>
      <c r="O4415" t="s">
        <v>25</v>
      </c>
      <c r="P4415" t="s">
        <v>37900</v>
      </c>
      <c r="Q4415" t="s">
        <v>29</v>
      </c>
      <c r="R4415" t="s">
        <v>37896</v>
      </c>
      <c r="S4415" t="s">
        <v>37897</v>
      </c>
    </row>
    <row r="4416" spans="1:19" x14ac:dyDescent="0.25">
      <c r="A4416" s="1">
        <v>4414</v>
      </c>
      <c r="B4416" t="str">
        <f>HYPERLINK("https://www.dasschnelle.at/terschan-michael-bärnbach-piberstraße","Website")</f>
        <v>Website</v>
      </c>
      <c r="C4416" t="str">
        <f>HYPERLINK("http://www.steinmetzterschan.at","Website")</f>
        <v>Website</v>
      </c>
      <c r="D4416" t="str">
        <f>HYPERLINK("http://www.google.com/maps/place/47.07008,15.12165","Location")</f>
        <v>Location</v>
      </c>
      <c r="E4416" t="s">
        <v>37901</v>
      </c>
      <c r="F4416" t="s">
        <v>37902</v>
      </c>
      <c r="G4416" t="s">
        <v>4592</v>
      </c>
      <c r="H4416" t="s">
        <v>4593</v>
      </c>
      <c r="I4416" t="s">
        <v>451</v>
      </c>
      <c r="J4416" t="s">
        <v>22</v>
      </c>
      <c r="K4416" t="s">
        <v>37903</v>
      </c>
      <c r="L4416" t="s">
        <v>37906</v>
      </c>
      <c r="M4416" t="s">
        <v>37907</v>
      </c>
      <c r="N4416" t="s">
        <v>37908</v>
      </c>
      <c r="O4416" t="s">
        <v>25</v>
      </c>
      <c r="P4416" t="s">
        <v>37909</v>
      </c>
      <c r="Q4416" t="s">
        <v>29</v>
      </c>
      <c r="R4416" t="s">
        <v>37904</v>
      </c>
      <c r="S4416" t="s">
        <v>37905</v>
      </c>
    </row>
    <row r="4417" spans="1:19" x14ac:dyDescent="0.25">
      <c r="A4417" s="1">
        <v>4415</v>
      </c>
      <c r="B4417" t="str">
        <f>HYPERLINK("https://www.dasschnelle.at/pansi-fit-kg-söding-packerstraße","Website")</f>
        <v>Website</v>
      </c>
      <c r="C4417" t="str">
        <f>HYPERLINK("http://www.mp-massagefit.com","Website")</f>
        <v>Website</v>
      </c>
      <c r="D4417" t="str">
        <f>HYPERLINK("http://www.google.com/maps/place/46.9971846,15.2959748","Location")</f>
        <v>Location</v>
      </c>
      <c r="E4417" t="s">
        <v>37910</v>
      </c>
      <c r="F4417" t="s">
        <v>37911</v>
      </c>
      <c r="G4417" t="s">
        <v>4644</v>
      </c>
      <c r="H4417" t="s">
        <v>37672</v>
      </c>
      <c r="I4417" t="s">
        <v>451</v>
      </c>
      <c r="J4417" t="s">
        <v>22</v>
      </c>
      <c r="K4417" t="s">
        <v>37912</v>
      </c>
      <c r="L4417" t="s">
        <v>37915</v>
      </c>
      <c r="M4417" t="s">
        <v>25</v>
      </c>
      <c r="N4417" t="s">
        <v>37916</v>
      </c>
      <c r="O4417" t="s">
        <v>25</v>
      </c>
      <c r="P4417" t="s">
        <v>697</v>
      </c>
      <c r="Q4417" t="s">
        <v>29</v>
      </c>
      <c r="R4417" t="s">
        <v>37913</v>
      </c>
      <c r="S4417" t="s">
        <v>37914</v>
      </c>
    </row>
    <row r="4418" spans="1:19" x14ac:dyDescent="0.25">
      <c r="A4418" s="1">
        <v>4416</v>
      </c>
      <c r="B4418" t="str">
        <f>HYPERLINK("https://www.dasschnelle.at/optik-löffler-og-lieboch-packerstraße","Website")</f>
        <v>Website</v>
      </c>
      <c r="C4418" t="str">
        <f>HYPERLINK("http://www.optik-loeffler.at","Website")</f>
        <v>Website</v>
      </c>
      <c r="D4418" t="str">
        <f>HYPERLINK("http://www.google.com/maps/place/46.9747600,15.3328000","Location")</f>
        <v>Location</v>
      </c>
      <c r="E4418" t="s">
        <v>37917</v>
      </c>
      <c r="F4418" t="s">
        <v>37918</v>
      </c>
      <c r="G4418" t="s">
        <v>4655</v>
      </c>
      <c r="H4418" t="s">
        <v>4656</v>
      </c>
      <c r="I4418" t="s">
        <v>451</v>
      </c>
      <c r="J4418" t="s">
        <v>22</v>
      </c>
      <c r="K4418" t="s">
        <v>37919</v>
      </c>
      <c r="L4418" t="s">
        <v>37922</v>
      </c>
      <c r="M4418" t="s">
        <v>25</v>
      </c>
      <c r="N4418" t="s">
        <v>37923</v>
      </c>
      <c r="O4418" t="s">
        <v>25</v>
      </c>
      <c r="P4418" t="s">
        <v>37924</v>
      </c>
      <c r="Q4418" t="s">
        <v>29</v>
      </c>
      <c r="R4418" t="s">
        <v>37920</v>
      </c>
      <c r="S4418" t="s">
        <v>37921</v>
      </c>
    </row>
    <row r="4419" spans="1:19" x14ac:dyDescent="0.25">
      <c r="A4419" s="1">
        <v>4417</v>
      </c>
      <c r="B4419" t="str">
        <f>HYPERLINK("https://www.dasschnelle.at/da-moarhof-st-marienkirchen-am-hausruck-hatting","Website")</f>
        <v>Website</v>
      </c>
      <c r="C4419" t="str">
        <f>HYPERLINK("http://www.damoarhof.at","Website")</f>
        <v>Website</v>
      </c>
      <c r="D4419" t="str">
        <f>HYPERLINK("http://www.google.com/maps/place/48.1847836,13.5907838","Location")</f>
        <v>Location</v>
      </c>
      <c r="E4419" t="s">
        <v>37925</v>
      </c>
      <c r="F4419" t="s">
        <v>37926</v>
      </c>
      <c r="G4419" t="s">
        <v>37688</v>
      </c>
      <c r="H4419" t="s">
        <v>37928</v>
      </c>
      <c r="I4419" t="s">
        <v>85</v>
      </c>
      <c r="J4419" t="s">
        <v>22</v>
      </c>
      <c r="K4419" t="s">
        <v>37927</v>
      </c>
      <c r="L4419" t="s">
        <v>37931</v>
      </c>
      <c r="M4419" t="s">
        <v>25</v>
      </c>
      <c r="N4419" t="s">
        <v>37932</v>
      </c>
      <c r="O4419" t="s">
        <v>25</v>
      </c>
      <c r="P4419" t="s">
        <v>37933</v>
      </c>
      <c r="Q4419" t="s">
        <v>29</v>
      </c>
      <c r="R4419" t="s">
        <v>37929</v>
      </c>
      <c r="S4419" t="s">
        <v>37930</v>
      </c>
    </row>
    <row r="4420" spans="1:19" x14ac:dyDescent="0.25">
      <c r="A4420" s="1">
        <v>4418</v>
      </c>
      <c r="B4420" t="str">
        <f>HYPERLINK("https://www.dasschnelle.at/mitter-markus-liezen-bahnhofstraße","Website")</f>
        <v>Website</v>
      </c>
      <c r="C4420" t="str">
        <f>HYPERLINK("http://www.ofenstudio.co.at/start.html","Website")</f>
        <v>Website</v>
      </c>
      <c r="D4420" t="str">
        <f>HYPERLINK("http://www.google.com/maps/place/47.56277,14.24218","Location")</f>
        <v>Location</v>
      </c>
      <c r="E4420" t="s">
        <v>37934</v>
      </c>
      <c r="F4420" t="s">
        <v>37935</v>
      </c>
      <c r="G4420" t="s">
        <v>1095</v>
      </c>
      <c r="H4420" t="s">
        <v>1096</v>
      </c>
      <c r="I4420" t="s">
        <v>451</v>
      </c>
      <c r="J4420" t="s">
        <v>22</v>
      </c>
      <c r="K4420" t="s">
        <v>5656</v>
      </c>
      <c r="L4420" t="s">
        <v>37938</v>
      </c>
      <c r="M4420" t="s">
        <v>25</v>
      </c>
      <c r="N4420" t="s">
        <v>37939</v>
      </c>
      <c r="O4420" t="s">
        <v>25</v>
      </c>
      <c r="P4420" t="s">
        <v>37940</v>
      </c>
      <c r="Q4420" t="s">
        <v>29</v>
      </c>
      <c r="R4420" t="s">
        <v>37936</v>
      </c>
      <c r="S4420" t="s">
        <v>37937</v>
      </c>
    </row>
    <row r="4421" spans="1:19" x14ac:dyDescent="0.25">
      <c r="A4421" s="1">
        <v>4419</v>
      </c>
      <c r="B4421" t="str">
        <f>HYPERLINK("https://www.dasschnelle.at/gattermaier-gmbh-dobl-dobl","Website")</f>
        <v>Website</v>
      </c>
      <c r="C4421" t="str">
        <f>HYPERLINK("http://www.gattermaier.at","Website")</f>
        <v>Website</v>
      </c>
      <c r="D4421" t="str">
        <f>HYPERLINK("http://www.google.com/maps/place/48.2549472,13.4115000","Location")</f>
        <v>Location</v>
      </c>
      <c r="E4421" t="s">
        <v>37941</v>
      </c>
      <c r="F4421" t="s">
        <v>37942</v>
      </c>
      <c r="G4421" t="s">
        <v>37944</v>
      </c>
      <c r="H4421" t="s">
        <v>37945</v>
      </c>
      <c r="I4421" t="s">
        <v>85</v>
      </c>
      <c r="J4421" t="s">
        <v>22</v>
      </c>
      <c r="K4421" t="s">
        <v>37943</v>
      </c>
      <c r="L4421" t="s">
        <v>37948</v>
      </c>
      <c r="M4421" t="s">
        <v>25</v>
      </c>
      <c r="N4421" t="s">
        <v>37949</v>
      </c>
      <c r="O4421" t="s">
        <v>37950</v>
      </c>
      <c r="P4421" t="s">
        <v>37951</v>
      </c>
      <c r="Q4421" t="s">
        <v>29</v>
      </c>
      <c r="R4421" t="s">
        <v>37946</v>
      </c>
      <c r="S4421" t="s">
        <v>37947</v>
      </c>
    </row>
    <row r="4422" spans="1:19" x14ac:dyDescent="0.25">
      <c r="A4422" s="1">
        <v>4420</v>
      </c>
      <c r="B4422" t="str">
        <f>HYPERLINK("https://www.dasschnelle.at/malerei-schaubmaier-st-johann-am-wimberg-pesenbachstrasse","Website")</f>
        <v>Website</v>
      </c>
      <c r="C4422" t="str">
        <f>HYPERLINK("http://www.malerei-schaubmaier.at","Website")</f>
        <v>Website</v>
      </c>
      <c r="D4422" t="str">
        <f>HYPERLINK("http://www.google.com/maps/place/48.49384,14.12277","Location")</f>
        <v>Location</v>
      </c>
      <c r="E4422" t="s">
        <v>37952</v>
      </c>
      <c r="F4422" t="s">
        <v>37953</v>
      </c>
      <c r="G4422" t="s">
        <v>8723</v>
      </c>
      <c r="H4422" t="s">
        <v>37955</v>
      </c>
      <c r="I4422" t="s">
        <v>85</v>
      </c>
      <c r="J4422" t="s">
        <v>22</v>
      </c>
      <c r="K4422" t="s">
        <v>37954</v>
      </c>
      <c r="L4422" t="s">
        <v>37958</v>
      </c>
      <c r="M4422" t="s">
        <v>25</v>
      </c>
      <c r="N4422" t="s">
        <v>37959</v>
      </c>
      <c r="O4422" t="s">
        <v>25</v>
      </c>
      <c r="P4422" t="s">
        <v>37960</v>
      </c>
      <c r="Q4422" t="s">
        <v>29</v>
      </c>
      <c r="R4422" t="s">
        <v>37956</v>
      </c>
      <c r="S4422" t="s">
        <v>37957</v>
      </c>
    </row>
    <row r="4423" spans="1:19" x14ac:dyDescent="0.25">
      <c r="A4423" s="1">
        <v>4421</v>
      </c>
      <c r="B4423" t="str">
        <f>HYPERLINK("https://www.dasschnelle.at/hauzenberger-installationstechnik-e-u-sankt-peter-sonnweg","Website")</f>
        <v>Website</v>
      </c>
      <c r="C4423" t="str">
        <f>HYPERLINK("http://www.hauzenberger.co.at","Website")</f>
        <v>Website</v>
      </c>
      <c r="D4423" t="str">
        <f>HYPERLINK("http://www.google.com/maps/place/48.5026146,14.0891848","Location")</f>
        <v>Location</v>
      </c>
      <c r="E4423" t="s">
        <v>37961</v>
      </c>
      <c r="F4423" t="s">
        <v>37962</v>
      </c>
      <c r="G4423" t="s">
        <v>8591</v>
      </c>
      <c r="H4423" t="s">
        <v>8592</v>
      </c>
      <c r="I4423" t="s">
        <v>85</v>
      </c>
      <c r="J4423" t="s">
        <v>22</v>
      </c>
      <c r="K4423" t="s">
        <v>37963</v>
      </c>
      <c r="L4423" t="s">
        <v>37966</v>
      </c>
      <c r="M4423" t="s">
        <v>25</v>
      </c>
      <c r="N4423" t="s">
        <v>37967</v>
      </c>
      <c r="O4423" t="s">
        <v>25</v>
      </c>
      <c r="P4423" t="s">
        <v>37968</v>
      </c>
      <c r="Q4423" t="s">
        <v>29</v>
      </c>
      <c r="R4423" t="s">
        <v>37964</v>
      </c>
      <c r="S4423" t="s">
        <v>37965</v>
      </c>
    </row>
    <row r="4424" spans="1:19" x14ac:dyDescent="0.25">
      <c r="A4424" s="1">
        <v>4422</v>
      </c>
      <c r="B4424" t="str">
        <f>HYPERLINK("https://www.dasschnelle.at/edlinger-knöchl-gudrun-dr-schlüßlberg-alte-rosenau","Website")</f>
        <v>Website</v>
      </c>
      <c r="C4424" t="str">
        <f>HYPERLINK("http://www.kinderarzt-edlinger.at","Website")</f>
        <v>Website</v>
      </c>
      <c r="D4424" t="str">
        <f>HYPERLINK("http://www.google.com/maps/place/48.2254328,13.8552064","Location")</f>
        <v>Location</v>
      </c>
      <c r="E4424" t="s">
        <v>37969</v>
      </c>
      <c r="F4424" t="s">
        <v>37970</v>
      </c>
      <c r="G4424" t="s">
        <v>7450</v>
      </c>
      <c r="H4424" t="s">
        <v>7451</v>
      </c>
      <c r="I4424" t="s">
        <v>85</v>
      </c>
      <c r="J4424" t="s">
        <v>22</v>
      </c>
      <c r="K4424" t="s">
        <v>37971</v>
      </c>
      <c r="L4424" t="s">
        <v>37974</v>
      </c>
      <c r="M4424" t="s">
        <v>25</v>
      </c>
      <c r="N4424" t="s">
        <v>37975</v>
      </c>
      <c r="O4424" t="s">
        <v>25</v>
      </c>
      <c r="P4424" t="s">
        <v>37976</v>
      </c>
      <c r="Q4424" t="s">
        <v>29</v>
      </c>
      <c r="R4424" t="s">
        <v>37972</v>
      </c>
      <c r="S4424" t="s">
        <v>37973</v>
      </c>
    </row>
    <row r="4425" spans="1:19" x14ac:dyDescent="0.25">
      <c r="A4425" s="1">
        <v>4423</v>
      </c>
      <c r="B4425" t="str">
        <f>HYPERLINK("https://www.dasschnelle.at/pferdepraxis-horsemed-schwechat-weglgasse","Website")</f>
        <v>Website</v>
      </c>
      <c r="C4425" t="str">
        <f>HYPERLINK("http://www.horsemed.at","Website")</f>
        <v>Website</v>
      </c>
      <c r="D4425" t="str">
        <f>HYPERLINK("http://www.google.com/maps/place/48.1423,16.47838","Location")</f>
        <v>Location</v>
      </c>
      <c r="E4425" t="s">
        <v>37977</v>
      </c>
      <c r="F4425" t="s">
        <v>37978</v>
      </c>
      <c r="G4425" t="s">
        <v>9769</v>
      </c>
      <c r="H4425" t="s">
        <v>9770</v>
      </c>
      <c r="I4425" t="s">
        <v>177</v>
      </c>
      <c r="J4425" t="s">
        <v>22</v>
      </c>
      <c r="K4425" t="s">
        <v>37979</v>
      </c>
      <c r="L4425" t="s">
        <v>37982</v>
      </c>
      <c r="M4425" t="s">
        <v>25</v>
      </c>
      <c r="N4425" t="s">
        <v>37983</v>
      </c>
      <c r="O4425" t="s">
        <v>25</v>
      </c>
      <c r="P4425" t="s">
        <v>37984</v>
      </c>
      <c r="Q4425" t="s">
        <v>29</v>
      </c>
      <c r="R4425" t="s">
        <v>37980</v>
      </c>
      <c r="S4425" t="s">
        <v>37981</v>
      </c>
    </row>
    <row r="4426" spans="1:19" x14ac:dyDescent="0.25">
      <c r="A4426" s="1">
        <v>4424</v>
      </c>
      <c r="B4426" t="str">
        <f>HYPERLINK("https://www.dasschnelle.at/winter-spenglerei-dachdeckerei-gesmbh-waldneukirchen-grünburger-straße","Website")</f>
        <v>Website</v>
      </c>
      <c r="C4426" t="str">
        <f>HYPERLINK("http://www.spenglerei-winter.at","Website")</f>
        <v>Website</v>
      </c>
      <c r="D4426" t="str">
        <f>HYPERLINK("http://www.google.com/maps/place/47.99237,14.27439","Location")</f>
        <v>Location</v>
      </c>
      <c r="E4426" t="s">
        <v>37985</v>
      </c>
      <c r="F4426" t="s">
        <v>37986</v>
      </c>
      <c r="G4426" t="s">
        <v>2268</v>
      </c>
      <c r="H4426" t="s">
        <v>2269</v>
      </c>
      <c r="I4426" t="s">
        <v>85</v>
      </c>
      <c r="J4426" t="s">
        <v>22</v>
      </c>
      <c r="K4426" t="s">
        <v>37987</v>
      </c>
      <c r="L4426" t="s">
        <v>37990</v>
      </c>
      <c r="M4426" t="s">
        <v>25</v>
      </c>
      <c r="N4426" t="s">
        <v>37991</v>
      </c>
      <c r="O4426" t="s">
        <v>25</v>
      </c>
      <c r="P4426" t="s">
        <v>37992</v>
      </c>
      <c r="Q4426" t="s">
        <v>29</v>
      </c>
      <c r="R4426" t="s">
        <v>37988</v>
      </c>
      <c r="S4426" t="s">
        <v>37989</v>
      </c>
    </row>
    <row r="4427" spans="1:19" x14ac:dyDescent="0.25">
      <c r="A4427" s="1">
        <v>4425</v>
      </c>
      <c r="B4427" t="str">
        <f>HYPERLINK("https://www.dasschnelle.at/spenglerei-dachdeckerei-winter-waldneukirchen-grünburger-straße","Website")</f>
        <v>Website</v>
      </c>
      <c r="C4427" t="str">
        <f>HYPERLINK("http://www.spenglerei-winter.at","Website")</f>
        <v>Website</v>
      </c>
      <c r="D4427" t="str">
        <f>HYPERLINK("http://www.google.com/maps/place/47.99237,14.27439","Location")</f>
        <v>Location</v>
      </c>
      <c r="E4427" t="s">
        <v>37993</v>
      </c>
      <c r="F4427" t="s">
        <v>37994</v>
      </c>
      <c r="G4427" t="s">
        <v>2268</v>
      </c>
      <c r="H4427" t="s">
        <v>2269</v>
      </c>
      <c r="I4427" t="s">
        <v>85</v>
      </c>
      <c r="J4427" t="s">
        <v>22</v>
      </c>
      <c r="K4427" t="s">
        <v>37987</v>
      </c>
      <c r="L4427" t="s">
        <v>37990</v>
      </c>
      <c r="M4427" t="s">
        <v>25</v>
      </c>
      <c r="N4427" t="s">
        <v>37991</v>
      </c>
      <c r="O4427" t="s">
        <v>37995</v>
      </c>
      <c r="P4427" t="s">
        <v>37996</v>
      </c>
      <c r="Q4427" t="s">
        <v>29</v>
      </c>
      <c r="R4427" t="s">
        <v>37988</v>
      </c>
      <c r="S4427" t="s">
        <v>37989</v>
      </c>
    </row>
    <row r="4428" spans="1:19" x14ac:dyDescent="0.25">
      <c r="A4428" s="1">
        <v>4426</v>
      </c>
      <c r="B4428" t="str">
        <f>HYPERLINK("https://www.dasschnelle.at/elektrohaus-gabriel-gesmbh-ulrichsberg-markt","Website")</f>
        <v>Website</v>
      </c>
      <c r="C4428" t="str">
        <f>HYPERLINK("http://www.redzac-gabriel.at","Website")</f>
        <v>Website</v>
      </c>
      <c r="D4428" t="str">
        <f>HYPERLINK("http://www.google.com/maps/place/48.67516,13.91243","Location")</f>
        <v>Location</v>
      </c>
      <c r="E4428" t="s">
        <v>37997</v>
      </c>
      <c r="F4428" t="s">
        <v>37998</v>
      </c>
      <c r="G4428" t="s">
        <v>8779</v>
      </c>
      <c r="H4428" t="s">
        <v>8780</v>
      </c>
      <c r="I4428" t="s">
        <v>85</v>
      </c>
      <c r="J4428" t="s">
        <v>22</v>
      </c>
      <c r="K4428" t="s">
        <v>36640</v>
      </c>
      <c r="L4428" t="s">
        <v>38001</v>
      </c>
      <c r="M4428" t="s">
        <v>25</v>
      </c>
      <c r="N4428" t="s">
        <v>38002</v>
      </c>
      <c r="O4428" t="s">
        <v>25</v>
      </c>
      <c r="P4428" t="s">
        <v>38003</v>
      </c>
      <c r="Q4428" t="s">
        <v>29</v>
      </c>
      <c r="R4428" t="s">
        <v>37999</v>
      </c>
      <c r="S4428" t="s">
        <v>38000</v>
      </c>
    </row>
    <row r="4429" spans="1:19" x14ac:dyDescent="0.25">
      <c r="A4429" s="1">
        <v>4427</v>
      </c>
      <c r="B4429" t="str">
        <f>HYPERLINK("https://www.dasschnelle.at/leodolter-adolf-dr-med-peuerbach-hauptstraße","Website")</f>
        <v>Website</v>
      </c>
      <c r="C4429" t="str">
        <f>HYPERLINK("http://www.frauenarzt-leodolter.at","Website")</f>
        <v>Website</v>
      </c>
      <c r="D4429" t="str">
        <f>HYPERLINK("http://www.google.com/maps/place/48.3445432,13.7723189","Location")</f>
        <v>Location</v>
      </c>
      <c r="E4429" t="s">
        <v>38004</v>
      </c>
      <c r="F4429" t="s">
        <v>38005</v>
      </c>
      <c r="G4429" t="s">
        <v>7303</v>
      </c>
      <c r="H4429" t="s">
        <v>7304</v>
      </c>
      <c r="I4429" t="s">
        <v>85</v>
      </c>
      <c r="J4429" t="s">
        <v>22</v>
      </c>
      <c r="K4429" t="s">
        <v>32165</v>
      </c>
      <c r="L4429" t="s">
        <v>38008</v>
      </c>
      <c r="M4429" t="s">
        <v>25</v>
      </c>
      <c r="N4429" t="s">
        <v>38009</v>
      </c>
      <c r="O4429" t="s">
        <v>25</v>
      </c>
      <c r="P4429" t="s">
        <v>38010</v>
      </c>
      <c r="Q4429" t="s">
        <v>29</v>
      </c>
      <c r="R4429" t="s">
        <v>38006</v>
      </c>
      <c r="S4429" t="s">
        <v>38007</v>
      </c>
    </row>
    <row r="4430" spans="1:19" x14ac:dyDescent="0.25">
      <c r="A4430" s="1">
        <v>4428</v>
      </c>
      <c r="B4430" t="str">
        <f>HYPERLINK("https://www.dasschnelle.at/bertlwieser-andreas-sankt-oswald-bei-haslach-st-oswald","Website")</f>
        <v>Website</v>
      </c>
      <c r="C4430" t="str">
        <f>HYPERLINK("https://www.dasschnelle.at/bertlwieser-andreas-sankt-oswald-bei-haslach-st-oswald","Website")</f>
        <v>Website</v>
      </c>
      <c r="D4430" t="str">
        <f>HYPERLINK("http://www.google.com/maps/place/48.6202976,14.0317727","Location")</f>
        <v>Location</v>
      </c>
      <c r="E4430" t="s">
        <v>38011</v>
      </c>
      <c r="F4430" t="s">
        <v>38012</v>
      </c>
      <c r="G4430" t="s">
        <v>35103</v>
      </c>
      <c r="H4430" t="s">
        <v>38014</v>
      </c>
      <c r="I4430" t="s">
        <v>85</v>
      </c>
      <c r="J4430" t="s">
        <v>22</v>
      </c>
      <c r="K4430" t="s">
        <v>38013</v>
      </c>
      <c r="L4430" t="s">
        <v>38017</v>
      </c>
      <c r="M4430" t="s">
        <v>25</v>
      </c>
      <c r="N4430" t="s">
        <v>38018</v>
      </c>
      <c r="O4430" t="s">
        <v>25</v>
      </c>
      <c r="P4430" t="s">
        <v>38019</v>
      </c>
      <c r="Q4430" t="s">
        <v>29</v>
      </c>
      <c r="R4430" t="s">
        <v>38015</v>
      </c>
      <c r="S4430" t="s">
        <v>38016</v>
      </c>
    </row>
    <row r="4431" spans="1:19" x14ac:dyDescent="0.25">
      <c r="A4431" s="1">
        <v>4429</v>
      </c>
      <c r="B4431" t="str">
        <f>HYPERLINK("https://www.dasschnelle.at/költringer-michaela-dipl-ried-im-innkreis-dietmarstraße","Website")</f>
        <v>Website</v>
      </c>
      <c r="C4431" t="str">
        <f>HYPERLINK("http://www.michaela-koeltringer.at","Website")</f>
        <v>Website</v>
      </c>
      <c r="D4431" t="str">
        <f>HYPERLINK("http://www.google.com/maps/place/48.20366,13.49078","Location")</f>
        <v>Location</v>
      </c>
      <c r="E4431" t="s">
        <v>38020</v>
      </c>
      <c r="F4431" t="s">
        <v>38021</v>
      </c>
      <c r="G4431" t="s">
        <v>6245</v>
      </c>
      <c r="H4431" t="s">
        <v>6267</v>
      </c>
      <c r="I4431" t="s">
        <v>85</v>
      </c>
      <c r="J4431" t="s">
        <v>22</v>
      </c>
      <c r="K4431" t="s">
        <v>38022</v>
      </c>
      <c r="L4431" t="s">
        <v>38025</v>
      </c>
      <c r="M4431" t="s">
        <v>25</v>
      </c>
      <c r="N4431" t="s">
        <v>38026</v>
      </c>
      <c r="O4431" t="s">
        <v>25</v>
      </c>
      <c r="P4431" t="s">
        <v>38027</v>
      </c>
      <c r="Q4431" t="s">
        <v>29</v>
      </c>
      <c r="R4431" t="s">
        <v>38023</v>
      </c>
      <c r="S4431" t="s">
        <v>38024</v>
      </c>
    </row>
    <row r="4432" spans="1:19" x14ac:dyDescent="0.25">
      <c r="A4432" s="1">
        <v>4430</v>
      </c>
      <c r="B4432" t="str">
        <f>HYPERLINK("https://www.dasschnelle.at/madlmayr-gmbh-und-cokg-st-oswald-bei-haslach","Website")</f>
        <v>Website</v>
      </c>
      <c r="C4432" t="str">
        <f>HYPERLINK("http://www.auto-madlmayr.at","Website")</f>
        <v>Website</v>
      </c>
      <c r="D4432" t="str">
        <f>HYPERLINK("http://www.google.com/maps/place/48.6074601,14.0278963","Location")</f>
        <v>Location</v>
      </c>
      <c r="E4432" t="s">
        <v>38028</v>
      </c>
      <c r="F4432" t="s">
        <v>38029</v>
      </c>
      <c r="G4432" t="s">
        <v>35103</v>
      </c>
      <c r="H4432" t="s">
        <v>38030</v>
      </c>
      <c r="I4432" t="s">
        <v>85</v>
      </c>
      <c r="J4432" t="s">
        <v>22</v>
      </c>
      <c r="K4432" t="s">
        <v>25</v>
      </c>
      <c r="L4432" t="s">
        <v>38033</v>
      </c>
      <c r="M4432" t="s">
        <v>25</v>
      </c>
      <c r="N4432" t="s">
        <v>38034</v>
      </c>
      <c r="O4432" t="s">
        <v>25</v>
      </c>
      <c r="P4432" t="s">
        <v>38035</v>
      </c>
      <c r="Q4432" t="s">
        <v>29</v>
      </c>
      <c r="R4432" t="s">
        <v>38031</v>
      </c>
      <c r="S4432" t="s">
        <v>38032</v>
      </c>
    </row>
    <row r="4433" spans="1:19" x14ac:dyDescent="0.25">
      <c r="A4433" s="1">
        <v>4431</v>
      </c>
      <c r="B4433" t="str">
        <f>HYPERLINK("https://www.dasschnelle.at/singer-christoph-dr-med-ried-im-innkreis-josef-kränzl-straße","Website")</f>
        <v>Website</v>
      </c>
      <c r="C4433" t="str">
        <f>HYPERLINK("http://www.ortho-singer.at","Website")</f>
        <v>Website</v>
      </c>
      <c r="D4433" t="str">
        <f>HYPERLINK("http://www.google.com/maps/place/48.20308,13.48551","Location")</f>
        <v>Location</v>
      </c>
      <c r="E4433" t="s">
        <v>38036</v>
      </c>
      <c r="F4433" t="s">
        <v>38037</v>
      </c>
      <c r="G4433" t="s">
        <v>6245</v>
      </c>
      <c r="H4433" t="s">
        <v>6267</v>
      </c>
      <c r="I4433" t="s">
        <v>85</v>
      </c>
      <c r="J4433" t="s">
        <v>22</v>
      </c>
      <c r="K4433" t="s">
        <v>37723</v>
      </c>
      <c r="L4433" t="s">
        <v>38038</v>
      </c>
      <c r="M4433" t="s">
        <v>25</v>
      </c>
      <c r="N4433" t="s">
        <v>25</v>
      </c>
      <c r="O4433" t="s">
        <v>25</v>
      </c>
      <c r="P4433" t="s">
        <v>38039</v>
      </c>
      <c r="Q4433" t="s">
        <v>29</v>
      </c>
      <c r="R4433" t="s">
        <v>37724</v>
      </c>
      <c r="S4433" t="s">
        <v>37725</v>
      </c>
    </row>
    <row r="4434" spans="1:19" x14ac:dyDescent="0.25">
      <c r="A4434" s="1">
        <v>4432</v>
      </c>
      <c r="B4434" t="str">
        <f>HYPERLINK("https://www.dasschnelle.at/barteder-ewald-waldneukirchen-hametstraße","Website")</f>
        <v>Website</v>
      </c>
      <c r="C4434" t="str">
        <f>HYPERLINK("http://www.steinbacher-versicherung.at","Website")</f>
        <v>Website</v>
      </c>
      <c r="D4434" t="str">
        <f>HYPERLINK("http://www.google.com/maps/place/48.0149700,14.2762000","Location")</f>
        <v>Location</v>
      </c>
      <c r="E4434" t="s">
        <v>38040</v>
      </c>
      <c r="F4434" t="s">
        <v>38041</v>
      </c>
      <c r="G4434" t="s">
        <v>2268</v>
      </c>
      <c r="H4434" t="s">
        <v>2269</v>
      </c>
      <c r="I4434" t="s">
        <v>85</v>
      </c>
      <c r="J4434" t="s">
        <v>22</v>
      </c>
      <c r="K4434" t="s">
        <v>38042</v>
      </c>
      <c r="L4434" t="s">
        <v>38045</v>
      </c>
      <c r="M4434" t="s">
        <v>25</v>
      </c>
      <c r="N4434" t="s">
        <v>38046</v>
      </c>
      <c r="O4434" t="s">
        <v>25</v>
      </c>
      <c r="P4434" t="s">
        <v>38047</v>
      </c>
      <c r="Q4434" t="s">
        <v>29</v>
      </c>
      <c r="R4434" t="s">
        <v>38043</v>
      </c>
      <c r="S4434" t="s">
        <v>38044</v>
      </c>
    </row>
    <row r="4435" spans="1:19" x14ac:dyDescent="0.25">
      <c r="A4435" s="1">
        <v>4433</v>
      </c>
      <c r="B4435" t="str">
        <f>HYPERLINK("https://www.dasschnelle.at/plass-bernhard-gesmbh-bad-hall-mühlgruberstraße","Website")</f>
        <v>Website</v>
      </c>
      <c r="C4435" t="str">
        <f>HYPERLINK("https://www.dasschnelle.at/plass-bernhard-gesmbh-bad-hall-m%C3%BChlgruberstra%C3%9Fe","Website")</f>
        <v>Website</v>
      </c>
      <c r="D4435" t="str">
        <f>HYPERLINK("http://www.google.com/maps/place/48.02691,14.20328","Location")</f>
        <v>Location</v>
      </c>
      <c r="E4435" t="s">
        <v>38048</v>
      </c>
      <c r="F4435" t="s">
        <v>38049</v>
      </c>
      <c r="G4435" t="s">
        <v>2280</v>
      </c>
      <c r="H4435" t="s">
        <v>2281</v>
      </c>
      <c r="I4435" t="s">
        <v>85</v>
      </c>
      <c r="J4435" t="s">
        <v>22</v>
      </c>
      <c r="K4435" t="s">
        <v>38050</v>
      </c>
      <c r="L4435" t="s">
        <v>38053</v>
      </c>
      <c r="M4435" t="s">
        <v>25</v>
      </c>
      <c r="N4435" t="s">
        <v>38054</v>
      </c>
      <c r="O4435" t="s">
        <v>25</v>
      </c>
      <c r="P4435" t="s">
        <v>38055</v>
      </c>
      <c r="Q4435" t="s">
        <v>29</v>
      </c>
      <c r="R4435" t="s">
        <v>38051</v>
      </c>
      <c r="S4435" t="s">
        <v>38052</v>
      </c>
    </row>
    <row r="4436" spans="1:19" x14ac:dyDescent="0.25">
      <c r="A4436" s="1">
        <v>4434</v>
      </c>
      <c r="B4436" t="str">
        <f>HYPERLINK("https://www.dasschnelle.at/pilz-wörschach-betonwerk-baustoffhandel-bau-gesmbh-maitschern-am-lungengraben","Website")</f>
        <v>Website</v>
      </c>
      <c r="C4436" t="str">
        <f>HYPERLINK("http://www.pilz-woerschach.at","Website")</f>
        <v>Website</v>
      </c>
      <c r="D4436" t="str">
        <f>HYPERLINK("http://www.google.com/maps/place/47.54905,14.13426","Location")</f>
        <v>Location</v>
      </c>
      <c r="E4436" t="s">
        <v>38056</v>
      </c>
      <c r="F4436" t="s">
        <v>38057</v>
      </c>
      <c r="G4436" t="s">
        <v>36661</v>
      </c>
      <c r="H4436" t="s">
        <v>38059</v>
      </c>
      <c r="I4436" t="s">
        <v>451</v>
      </c>
      <c r="J4436" t="s">
        <v>22</v>
      </c>
      <c r="K4436" t="s">
        <v>38058</v>
      </c>
      <c r="L4436" t="s">
        <v>38062</v>
      </c>
      <c r="M4436" t="s">
        <v>25</v>
      </c>
      <c r="N4436" t="s">
        <v>38063</v>
      </c>
      <c r="O4436" t="s">
        <v>38064</v>
      </c>
      <c r="P4436" t="s">
        <v>38065</v>
      </c>
      <c r="Q4436" t="s">
        <v>29</v>
      </c>
      <c r="R4436" t="s">
        <v>38060</v>
      </c>
      <c r="S4436" t="s">
        <v>38061</v>
      </c>
    </row>
    <row r="4437" spans="1:19" x14ac:dyDescent="0.25">
      <c r="A4437" s="1">
        <v>4435</v>
      </c>
      <c r="B4437" t="str">
        <f>HYPERLINK("https://www.dasschnelle.at/apotheke-aktivapotheke-maria-lanzendorf-hauptstraße","Website")</f>
        <v>Website</v>
      </c>
      <c r="C4437" t="str">
        <f>HYPERLINK("http://www.aktivapotheke.at","Website")</f>
        <v>Website</v>
      </c>
      <c r="D4437" t="str">
        <f>HYPERLINK("http://www.google.com/maps/place/48.09943,16.41969","Location")</f>
        <v>Location</v>
      </c>
      <c r="E4437" t="s">
        <v>38066</v>
      </c>
      <c r="F4437" t="s">
        <v>38067</v>
      </c>
      <c r="G4437" t="s">
        <v>9787</v>
      </c>
      <c r="H4437" t="s">
        <v>9788</v>
      </c>
      <c r="I4437" t="s">
        <v>177</v>
      </c>
      <c r="J4437" t="s">
        <v>22</v>
      </c>
      <c r="K4437" t="s">
        <v>7548</v>
      </c>
      <c r="L4437" t="s">
        <v>38070</v>
      </c>
      <c r="M4437" t="s">
        <v>25</v>
      </c>
      <c r="N4437" t="s">
        <v>38071</v>
      </c>
      <c r="O4437" t="s">
        <v>25</v>
      </c>
      <c r="P4437" t="s">
        <v>38072</v>
      </c>
      <c r="Q4437" t="s">
        <v>29</v>
      </c>
      <c r="R4437" t="s">
        <v>38068</v>
      </c>
      <c r="S4437" t="s">
        <v>38069</v>
      </c>
    </row>
    <row r="4438" spans="1:19" x14ac:dyDescent="0.25">
      <c r="A4438" s="1">
        <v>4436</v>
      </c>
      <c r="B4438" t="str">
        <f>HYPERLINK("https://www.dasschnelle.at/apotheke-st-georgs-magpharm-ernst-meixner-kg-himberg-hauptplatz","Website")</f>
        <v>Website</v>
      </c>
      <c r="C4438" t="str">
        <f>HYPERLINK("http://www.apotheke-himberg.at","Website")</f>
        <v>Website</v>
      </c>
      <c r="D4438" t="str">
        <f>HYPERLINK("http://www.google.com/maps/place/48.08239,16.43918","Location")</f>
        <v>Location</v>
      </c>
      <c r="E4438" t="s">
        <v>38073</v>
      </c>
      <c r="F4438" t="s">
        <v>38074</v>
      </c>
      <c r="G4438" t="s">
        <v>9710</v>
      </c>
      <c r="H4438" t="s">
        <v>9711</v>
      </c>
      <c r="I4438" t="s">
        <v>177</v>
      </c>
      <c r="J4438" t="s">
        <v>22</v>
      </c>
      <c r="K4438" t="s">
        <v>16309</v>
      </c>
      <c r="L4438" t="s">
        <v>38077</v>
      </c>
      <c r="M4438" t="s">
        <v>38078</v>
      </c>
      <c r="N4438" t="s">
        <v>38079</v>
      </c>
      <c r="O4438" t="s">
        <v>25</v>
      </c>
      <c r="P4438" t="s">
        <v>38080</v>
      </c>
      <c r="Q4438" t="s">
        <v>29</v>
      </c>
      <c r="R4438" t="s">
        <v>38075</v>
      </c>
      <c r="S4438" t="s">
        <v>38076</v>
      </c>
    </row>
    <row r="4439" spans="1:19" x14ac:dyDescent="0.25">
      <c r="A4439" s="1">
        <v>4437</v>
      </c>
      <c r="B4439" t="str">
        <f>HYPERLINK("https://www.dasschnelle.at/mühlbacher-sascha-neundling-neundling","Website")</f>
        <v>Website</v>
      </c>
      <c r="C4439" t="str">
        <f>HYPERLINK("http://www.kfz-sascha.at","Website")</f>
        <v>Website</v>
      </c>
      <c r="D4439" t="str">
        <f>HYPERLINK("http://www.google.com/maps/place/48.1857188,13.3678887","Location")</f>
        <v>Location</v>
      </c>
      <c r="E4439" t="s">
        <v>38081</v>
      </c>
      <c r="F4439" t="s">
        <v>38082</v>
      </c>
      <c r="G4439" t="s">
        <v>38084</v>
      </c>
      <c r="H4439" t="s">
        <v>38085</v>
      </c>
      <c r="I4439" t="s">
        <v>85</v>
      </c>
      <c r="J4439" t="s">
        <v>22</v>
      </c>
      <c r="K4439" t="s">
        <v>38083</v>
      </c>
      <c r="L4439" t="s">
        <v>38088</v>
      </c>
      <c r="M4439" t="s">
        <v>25</v>
      </c>
      <c r="N4439" t="s">
        <v>38089</v>
      </c>
      <c r="O4439" t="s">
        <v>25</v>
      </c>
      <c r="P4439" t="s">
        <v>38090</v>
      </c>
      <c r="Q4439" t="s">
        <v>29</v>
      </c>
      <c r="R4439" t="s">
        <v>38086</v>
      </c>
      <c r="S4439" t="s">
        <v>38087</v>
      </c>
    </row>
    <row r="4440" spans="1:19" x14ac:dyDescent="0.25">
      <c r="A4440" s="1">
        <v>4438</v>
      </c>
      <c r="B4440" t="str">
        <f>HYPERLINK("https://www.dasschnelle.at/autohaus-mühlbacher-e-u-mettmach-rieder-straße","Website")</f>
        <v>Website</v>
      </c>
      <c r="C4440" t="str">
        <f>HYPERLINK("http://www.autohaus-muehlbacher.at","Website")</f>
        <v>Website</v>
      </c>
      <c r="D4440" t="str">
        <f>HYPERLINK("http://www.google.com/maps/place/48.1692200,13.3484400","Location")</f>
        <v>Location</v>
      </c>
      <c r="E4440" t="s">
        <v>38091</v>
      </c>
      <c r="F4440" t="s">
        <v>38092</v>
      </c>
      <c r="G4440" t="s">
        <v>38084</v>
      </c>
      <c r="H4440" t="s">
        <v>38094</v>
      </c>
      <c r="I4440" t="s">
        <v>85</v>
      </c>
      <c r="J4440" t="s">
        <v>22</v>
      </c>
      <c r="K4440" t="s">
        <v>38093</v>
      </c>
      <c r="L4440" t="s">
        <v>38097</v>
      </c>
      <c r="M4440" t="s">
        <v>25</v>
      </c>
      <c r="N4440" t="s">
        <v>38098</v>
      </c>
      <c r="O4440" t="s">
        <v>25</v>
      </c>
      <c r="P4440" t="s">
        <v>38099</v>
      </c>
      <c r="Q4440" t="s">
        <v>29</v>
      </c>
      <c r="R4440" t="s">
        <v>38095</v>
      </c>
      <c r="S4440" t="s">
        <v>38096</v>
      </c>
    </row>
    <row r="4441" spans="1:19" x14ac:dyDescent="0.25">
      <c r="A4441" s="1">
        <v>4439</v>
      </c>
      <c r="B4441" t="str">
        <f>HYPERLINK("https://www.dasschnelle.at/murauer-andreas-neuhofen-im-innkreis-kohlhof","Website")</f>
        <v>Website</v>
      </c>
      <c r="C4441" t="str">
        <f>HYPERLINK("http://www.tischler-murauer.at","Website")</f>
        <v>Website</v>
      </c>
      <c r="D4441" t="str">
        <f>HYPERLINK("http://www.google.com/maps/place/48.1795573,13.4440745","Location")</f>
        <v>Location</v>
      </c>
      <c r="E4441" t="s">
        <v>38100</v>
      </c>
      <c r="F4441" t="s">
        <v>38101</v>
      </c>
      <c r="G4441" t="s">
        <v>36206</v>
      </c>
      <c r="H4441" t="s">
        <v>36207</v>
      </c>
      <c r="I4441" t="s">
        <v>85</v>
      </c>
      <c r="J4441" t="s">
        <v>22</v>
      </c>
      <c r="K4441" t="s">
        <v>38102</v>
      </c>
      <c r="L4441" t="s">
        <v>38105</v>
      </c>
      <c r="M4441" t="s">
        <v>25</v>
      </c>
      <c r="N4441" t="s">
        <v>38106</v>
      </c>
      <c r="O4441" t="s">
        <v>25</v>
      </c>
      <c r="P4441" t="s">
        <v>38107</v>
      </c>
      <c r="Q4441" t="s">
        <v>29</v>
      </c>
      <c r="R4441" t="s">
        <v>38103</v>
      </c>
      <c r="S4441" t="s">
        <v>38104</v>
      </c>
    </row>
    <row r="4442" spans="1:19" x14ac:dyDescent="0.25">
      <c r="A4442" s="1">
        <v>4440</v>
      </c>
      <c r="B4442" t="str">
        <f>HYPERLINK("https://www.dasschnelle.at/haselgruber-gmbh-waldzell-wirmling","Website")</f>
        <v>Website</v>
      </c>
      <c r="C4442" t="str">
        <f>HYPERLINK("http://www.haselgruber.sta.io","Website")</f>
        <v>Website</v>
      </c>
      <c r="D4442" t="str">
        <f>HYPERLINK("http://www.google.com/maps/place/48.1056500,13.3913900","Location")</f>
        <v>Location</v>
      </c>
      <c r="E4442" t="s">
        <v>38108</v>
      </c>
      <c r="F4442" t="s">
        <v>38109</v>
      </c>
      <c r="G4442" t="s">
        <v>37385</v>
      </c>
      <c r="H4442" t="s">
        <v>37386</v>
      </c>
      <c r="I4442" t="s">
        <v>85</v>
      </c>
      <c r="J4442" t="s">
        <v>22</v>
      </c>
      <c r="K4442" t="s">
        <v>38110</v>
      </c>
      <c r="L4442" t="s">
        <v>38113</v>
      </c>
      <c r="M4442" t="s">
        <v>25</v>
      </c>
      <c r="N4442" t="s">
        <v>38114</v>
      </c>
      <c r="O4442" t="s">
        <v>38115</v>
      </c>
      <c r="P4442" t="s">
        <v>38116</v>
      </c>
      <c r="Q4442" t="s">
        <v>29</v>
      </c>
      <c r="R4442" t="s">
        <v>38111</v>
      </c>
      <c r="S4442" t="s">
        <v>38112</v>
      </c>
    </row>
    <row r="4443" spans="1:19" x14ac:dyDescent="0.25">
      <c r="A4443" s="1">
        <v>4441</v>
      </c>
      <c r="B4443" t="str">
        <f>HYPERLINK("https://www.dasschnelle.at/seyrlehner-gmbh-enns-astner-straße","Website")</f>
        <v>Website</v>
      </c>
      <c r="C4443" t="str">
        <f>HYPERLINK("http://www.seyrlehner.at","Website")</f>
        <v>Website</v>
      </c>
      <c r="D4443" t="str">
        <f>HYPERLINK("http://www.google.com/maps/place/48.21625,14.44116","Location")</f>
        <v>Location</v>
      </c>
      <c r="E4443" t="s">
        <v>38117</v>
      </c>
      <c r="F4443" t="s">
        <v>38118</v>
      </c>
      <c r="G4443" t="s">
        <v>3307</v>
      </c>
      <c r="H4443" t="s">
        <v>3308</v>
      </c>
      <c r="I4443" t="s">
        <v>85</v>
      </c>
      <c r="J4443" t="s">
        <v>22</v>
      </c>
      <c r="K4443" t="s">
        <v>37595</v>
      </c>
      <c r="L4443" t="s">
        <v>38119</v>
      </c>
      <c r="M4443" t="s">
        <v>25</v>
      </c>
      <c r="N4443" t="s">
        <v>38120</v>
      </c>
      <c r="O4443" t="s">
        <v>25</v>
      </c>
      <c r="P4443" t="s">
        <v>38121</v>
      </c>
      <c r="Q4443" t="s">
        <v>29</v>
      </c>
      <c r="R4443" t="s">
        <v>37597</v>
      </c>
      <c r="S4443" t="s">
        <v>37598</v>
      </c>
    </row>
    <row r="4444" spans="1:19" x14ac:dyDescent="0.25">
      <c r="A4444" s="1">
        <v>4442</v>
      </c>
      <c r="B4444" t="str">
        <f>HYPERLINK("https://www.dasschnelle.at/huber-hermann-gesmbh-enns-basilikastraße","Website")</f>
        <v>Website</v>
      </c>
      <c r="C4444" t="str">
        <f>HYPERLINK("http://www.steinmetz-enns.at","Website")</f>
        <v>Website</v>
      </c>
      <c r="D4444" t="str">
        <f>HYPERLINK("http://www.google.com/maps/place/48.21771,14.46501","Location")</f>
        <v>Location</v>
      </c>
      <c r="E4444" t="s">
        <v>38122</v>
      </c>
      <c r="F4444" t="s">
        <v>38123</v>
      </c>
      <c r="G4444" t="s">
        <v>3307</v>
      </c>
      <c r="H4444" t="s">
        <v>3308</v>
      </c>
      <c r="I4444" t="s">
        <v>85</v>
      </c>
      <c r="J4444" t="s">
        <v>22</v>
      </c>
      <c r="K4444" t="s">
        <v>38124</v>
      </c>
      <c r="L4444" t="s">
        <v>38127</v>
      </c>
      <c r="M4444" t="s">
        <v>38128</v>
      </c>
      <c r="N4444" t="s">
        <v>38129</v>
      </c>
      <c r="O4444" t="s">
        <v>25</v>
      </c>
      <c r="P4444" t="s">
        <v>38130</v>
      </c>
      <c r="Q4444" t="s">
        <v>29</v>
      </c>
      <c r="R4444" t="s">
        <v>38125</v>
      </c>
      <c r="S4444" t="s">
        <v>38126</v>
      </c>
    </row>
    <row r="4445" spans="1:19" x14ac:dyDescent="0.25">
      <c r="A4445" s="1">
        <v>4443</v>
      </c>
      <c r="B4445" t="str">
        <f>HYPERLINK("https://www.dasschnelle.at/rundholz-bau-gmbh-edelschrott-packer-straße","Website")</f>
        <v>Website</v>
      </c>
      <c r="C4445" t="str">
        <f>HYPERLINK("http://www.rundholz.bau.at","Website")</f>
        <v>Website</v>
      </c>
      <c r="D4445" t="str">
        <f>HYPERLINK("http://www.google.com/maps/place/47.02531,15.05894","Location")</f>
        <v>Location</v>
      </c>
      <c r="E4445" t="s">
        <v>38131</v>
      </c>
      <c r="F4445" t="s">
        <v>38132</v>
      </c>
      <c r="G4445" t="s">
        <v>38134</v>
      </c>
      <c r="H4445" t="s">
        <v>38135</v>
      </c>
      <c r="I4445" t="s">
        <v>451</v>
      </c>
      <c r="J4445" t="s">
        <v>22</v>
      </c>
      <c r="K4445" t="s">
        <v>38133</v>
      </c>
      <c r="L4445" t="s">
        <v>38138</v>
      </c>
      <c r="M4445" t="s">
        <v>25</v>
      </c>
      <c r="N4445" t="s">
        <v>38139</v>
      </c>
      <c r="O4445" t="s">
        <v>25</v>
      </c>
      <c r="P4445" t="s">
        <v>38140</v>
      </c>
      <c r="Q4445" t="s">
        <v>29</v>
      </c>
      <c r="R4445" t="s">
        <v>38136</v>
      </c>
      <c r="S4445" t="s">
        <v>38137</v>
      </c>
    </row>
    <row r="4446" spans="1:19" x14ac:dyDescent="0.25">
      <c r="A4446" s="1">
        <v>4444</v>
      </c>
      <c r="B4446" t="str">
        <f>HYPERLINK("https://www.dasschnelle.at/rößl-patrick-großwöllmiß","Website")</f>
        <v>Website</v>
      </c>
      <c r="C4446" t="str">
        <f>HYPERLINK("http://www.tischler-roessl.at","Website")</f>
        <v>Website</v>
      </c>
      <c r="D4446" t="str">
        <f>HYPERLINK("http://www.google.com/maps/place/47.0007988,15.1203140","Location")</f>
        <v>Location</v>
      </c>
      <c r="E4446" t="s">
        <v>38141</v>
      </c>
      <c r="F4446" t="s">
        <v>38142</v>
      </c>
      <c r="G4446" t="s">
        <v>4582</v>
      </c>
      <c r="H4446" t="s">
        <v>38143</v>
      </c>
      <c r="I4446" t="s">
        <v>451</v>
      </c>
      <c r="J4446" t="s">
        <v>22</v>
      </c>
      <c r="K4446" t="s">
        <v>25</v>
      </c>
      <c r="L4446" t="s">
        <v>38146</v>
      </c>
      <c r="M4446" t="s">
        <v>25</v>
      </c>
      <c r="N4446" t="s">
        <v>38147</v>
      </c>
      <c r="O4446" t="s">
        <v>25</v>
      </c>
      <c r="P4446" t="s">
        <v>38148</v>
      </c>
      <c r="Q4446" t="s">
        <v>29</v>
      </c>
      <c r="R4446" t="s">
        <v>38144</v>
      </c>
      <c r="S4446" t="s">
        <v>38145</v>
      </c>
    </row>
    <row r="4447" spans="1:19" x14ac:dyDescent="0.25">
      <c r="A4447" s="1">
        <v>4445</v>
      </c>
      <c r="B4447" t="str">
        <f>HYPERLINK("https://www.dasschnelle.at/sommer-christiana-bad-hall-grünburger-straße","Website")</f>
        <v>Website</v>
      </c>
      <c r="C4447" t="str">
        <f>HYPERLINK("http://www.wt-sommer.at","Website")</f>
        <v>Website</v>
      </c>
      <c r="D4447" t="str">
        <f>HYPERLINK("http://www.google.com/maps/place/48.02956,14.21655","Location")</f>
        <v>Location</v>
      </c>
      <c r="E4447" t="s">
        <v>38149</v>
      </c>
      <c r="F4447" t="s">
        <v>38150</v>
      </c>
      <c r="G4447" t="s">
        <v>2280</v>
      </c>
      <c r="H4447" t="s">
        <v>2281</v>
      </c>
      <c r="I4447" t="s">
        <v>85</v>
      </c>
      <c r="J4447" t="s">
        <v>22</v>
      </c>
      <c r="K4447" t="s">
        <v>38151</v>
      </c>
      <c r="L4447" t="s">
        <v>38154</v>
      </c>
      <c r="M4447" t="s">
        <v>25</v>
      </c>
      <c r="N4447" t="s">
        <v>38155</v>
      </c>
      <c r="O4447" t="s">
        <v>25</v>
      </c>
      <c r="P4447" t="s">
        <v>38156</v>
      </c>
      <c r="Q4447" t="s">
        <v>29</v>
      </c>
      <c r="R4447" t="s">
        <v>38152</v>
      </c>
      <c r="S4447" t="s">
        <v>38153</v>
      </c>
    </row>
    <row r="4448" spans="1:19" x14ac:dyDescent="0.25">
      <c r="A4448" s="1">
        <v>4446</v>
      </c>
      <c r="B4448" t="str">
        <f>HYPERLINK("https://www.dasschnelle.at/almesberger-regina-rohrbach-schulstraße","Website")</f>
        <v>Website</v>
      </c>
      <c r="C4448" t="str">
        <f>HYPERLINK("http://www.allround.co.at","Website")</f>
        <v>Website</v>
      </c>
      <c r="D4448" t="str">
        <f>HYPERLINK("http://www.google.com/maps/place/48.5707914,13.9942915","Location")</f>
        <v>Location</v>
      </c>
      <c r="E4448" t="s">
        <v>38157</v>
      </c>
      <c r="F4448" t="s">
        <v>38158</v>
      </c>
      <c r="G4448" t="s">
        <v>8561</v>
      </c>
      <c r="H4448" t="s">
        <v>8562</v>
      </c>
      <c r="I4448" t="s">
        <v>85</v>
      </c>
      <c r="J4448" t="s">
        <v>22</v>
      </c>
      <c r="K4448" t="s">
        <v>7219</v>
      </c>
      <c r="L4448" t="s">
        <v>38161</v>
      </c>
      <c r="M4448" t="s">
        <v>25</v>
      </c>
      <c r="N4448" t="s">
        <v>38162</v>
      </c>
      <c r="O4448" t="s">
        <v>25</v>
      </c>
      <c r="P4448" t="s">
        <v>38163</v>
      </c>
      <c r="Q4448" t="s">
        <v>29</v>
      </c>
      <c r="R4448" t="s">
        <v>38159</v>
      </c>
      <c r="S4448" t="s">
        <v>38160</v>
      </c>
    </row>
    <row r="4449" spans="1:19" x14ac:dyDescent="0.25">
      <c r="A4449" s="1">
        <v>4447</v>
      </c>
      <c r="B4449" t="str">
        <f>HYPERLINK("https://www.dasschnelle.at/käferböck-daniel-st-peter-am-wimberg-markt","Website")</f>
        <v>Website</v>
      </c>
      <c r="C4449" t="str">
        <f>HYPERLINK("http://www.wir-versichern.at","Website")</f>
        <v>Website</v>
      </c>
      <c r="D4449" t="str">
        <f>HYPERLINK("http://www.google.com/maps/place/48.5021873,14.0824408","Location")</f>
        <v>Location</v>
      </c>
      <c r="E4449" t="s">
        <v>38164</v>
      </c>
      <c r="F4449" t="s">
        <v>38165</v>
      </c>
      <c r="G4449" t="s">
        <v>8591</v>
      </c>
      <c r="H4449" t="s">
        <v>38167</v>
      </c>
      <c r="I4449" t="s">
        <v>85</v>
      </c>
      <c r="J4449" t="s">
        <v>22</v>
      </c>
      <c r="K4449" t="s">
        <v>38166</v>
      </c>
      <c r="L4449" t="s">
        <v>38170</v>
      </c>
      <c r="M4449" t="s">
        <v>25</v>
      </c>
      <c r="N4449" t="s">
        <v>38171</v>
      </c>
      <c r="O4449" t="s">
        <v>25</v>
      </c>
      <c r="P4449" t="s">
        <v>38172</v>
      </c>
      <c r="Q4449" t="s">
        <v>29</v>
      </c>
      <c r="R4449" t="s">
        <v>38168</v>
      </c>
      <c r="S4449" t="s">
        <v>38169</v>
      </c>
    </row>
    <row r="4450" spans="1:19" x14ac:dyDescent="0.25">
      <c r="A4450" s="1">
        <v>4448</v>
      </c>
      <c r="B4450" t="str">
        <f>HYPERLINK("https://www.dasschnelle.at/medweschek-traby-romana-u-heribert-dr-dr-kremsmünster-spitalgasse","Website")</f>
        <v>Website</v>
      </c>
      <c r="C4450" t="str">
        <f>HYPERLINK("https://www.dasschnelle.at/medweschek-traby-romana-u-heribert-dr-dr-kremsm%C3%BCnster-spitalgasse","Website")</f>
        <v>Website</v>
      </c>
      <c r="D4450" t="str">
        <f>HYPERLINK("http://www.google.com/maps/place/48.05194,14.13109","Location")</f>
        <v>Location</v>
      </c>
      <c r="E4450" t="s">
        <v>38173</v>
      </c>
      <c r="F4450" t="s">
        <v>38174</v>
      </c>
      <c r="G4450" t="s">
        <v>9173</v>
      </c>
      <c r="H4450" t="s">
        <v>9174</v>
      </c>
      <c r="I4450" t="s">
        <v>85</v>
      </c>
      <c r="J4450" t="s">
        <v>22</v>
      </c>
      <c r="K4450" t="s">
        <v>38175</v>
      </c>
      <c r="L4450" t="s">
        <v>38178</v>
      </c>
      <c r="M4450" t="s">
        <v>25</v>
      </c>
      <c r="N4450" t="s">
        <v>38179</v>
      </c>
      <c r="O4450" t="s">
        <v>25</v>
      </c>
      <c r="P4450" t="s">
        <v>38180</v>
      </c>
      <c r="Q4450" t="s">
        <v>29</v>
      </c>
      <c r="R4450" t="s">
        <v>38176</v>
      </c>
      <c r="S4450" t="s">
        <v>38177</v>
      </c>
    </row>
    <row r="4451" spans="1:19" x14ac:dyDescent="0.25">
      <c r="A4451" s="1">
        <v>4449</v>
      </c>
      <c r="B4451" t="str">
        <f>HYPERLINK("https://www.dasschnelle.at/moser-walter-dr-med-univ-enns-mauthausner-straße","Website")</f>
        <v>Website</v>
      </c>
      <c r="C4451" t="str">
        <f>HYPERLINK("http://www.dr-moser.at","Website")</f>
        <v>Website</v>
      </c>
      <c r="D4451" t="str">
        <f>HYPERLINK("http://www.google.com/maps/place/48.21556,14.47978","Location")</f>
        <v>Location</v>
      </c>
      <c r="E4451" t="s">
        <v>38181</v>
      </c>
      <c r="F4451" t="s">
        <v>38182</v>
      </c>
      <c r="G4451" t="s">
        <v>3307</v>
      </c>
      <c r="H4451" t="s">
        <v>3308</v>
      </c>
      <c r="I4451" t="s">
        <v>85</v>
      </c>
      <c r="J4451" t="s">
        <v>22</v>
      </c>
      <c r="K4451" t="s">
        <v>38183</v>
      </c>
      <c r="L4451" t="s">
        <v>38186</v>
      </c>
      <c r="M4451" t="s">
        <v>38187</v>
      </c>
      <c r="N4451" t="s">
        <v>38188</v>
      </c>
      <c r="O4451" t="s">
        <v>25</v>
      </c>
      <c r="P4451" t="s">
        <v>38189</v>
      </c>
      <c r="Q4451" t="s">
        <v>29</v>
      </c>
      <c r="R4451" t="s">
        <v>38184</v>
      </c>
      <c r="S4451" t="s">
        <v>38185</v>
      </c>
    </row>
    <row r="4452" spans="1:19" x14ac:dyDescent="0.25">
      <c r="A4452" s="1">
        <v>4450</v>
      </c>
      <c r="B4452" t="str">
        <f>HYPERLINK("https://www.dasschnelle.at/höfler-herbert-oepping-starling","Website")</f>
        <v>Website</v>
      </c>
      <c r="C4452" t="str">
        <f>HYPERLINK("http://www.hoeflerbau.com","Website")</f>
        <v>Website</v>
      </c>
      <c r="D4452" t="str">
        <f>HYPERLINK("http://www.google.com/maps/place/48.59981,13.94116","Location")</f>
        <v>Location</v>
      </c>
      <c r="E4452" t="s">
        <v>38190</v>
      </c>
      <c r="F4452" t="s">
        <v>38191</v>
      </c>
      <c r="G4452" t="s">
        <v>35849</v>
      </c>
      <c r="H4452" t="s">
        <v>35850</v>
      </c>
      <c r="I4452" t="s">
        <v>85</v>
      </c>
      <c r="J4452" t="s">
        <v>22</v>
      </c>
      <c r="K4452" t="s">
        <v>38192</v>
      </c>
      <c r="L4452" t="s">
        <v>38195</v>
      </c>
      <c r="M4452" t="s">
        <v>38196</v>
      </c>
      <c r="N4452" t="s">
        <v>38197</v>
      </c>
      <c r="O4452" t="s">
        <v>25</v>
      </c>
      <c r="P4452" t="s">
        <v>38198</v>
      </c>
      <c r="Q4452" t="s">
        <v>29</v>
      </c>
      <c r="R4452" t="s">
        <v>38193</v>
      </c>
      <c r="S4452" t="s">
        <v>38194</v>
      </c>
    </row>
    <row r="4453" spans="1:19" x14ac:dyDescent="0.25">
      <c r="A4453" s="1">
        <v>4451</v>
      </c>
      <c r="B4453" t="str">
        <f>HYPERLINK("https://www.dasschnelle.at/forstservice-böhmerwald-gmbh-klaffer-am-hochficht-pfaffenschlag","Website")</f>
        <v>Website</v>
      </c>
      <c r="C4453" t="str">
        <f>HYPERLINK("http://www.forstservice-boehmerwald.at","Website")</f>
        <v>Website</v>
      </c>
      <c r="D4453" t="str">
        <f>HYPERLINK("http://www.google.com/maps/place/48.7133612,13.9011808","Location")</f>
        <v>Location</v>
      </c>
      <c r="E4453" t="s">
        <v>38199</v>
      </c>
      <c r="F4453" t="s">
        <v>38200</v>
      </c>
      <c r="G4453" t="s">
        <v>38202</v>
      </c>
      <c r="H4453" t="s">
        <v>38203</v>
      </c>
      <c r="I4453" t="s">
        <v>85</v>
      </c>
      <c r="J4453" t="s">
        <v>22</v>
      </c>
      <c r="K4453" t="s">
        <v>38201</v>
      </c>
      <c r="L4453" t="s">
        <v>38206</v>
      </c>
      <c r="M4453" t="s">
        <v>25</v>
      </c>
      <c r="N4453" t="s">
        <v>38207</v>
      </c>
      <c r="O4453" t="s">
        <v>25</v>
      </c>
      <c r="P4453" t="s">
        <v>38208</v>
      </c>
      <c r="Q4453" t="s">
        <v>29</v>
      </c>
      <c r="R4453" t="s">
        <v>38204</v>
      </c>
      <c r="S4453" t="s">
        <v>38205</v>
      </c>
    </row>
    <row r="4454" spans="1:19" x14ac:dyDescent="0.25">
      <c r="A4454" s="1">
        <v>4452</v>
      </c>
      <c r="B4454" t="str">
        <f>HYPERLINK("https://www.dasschnelle.at/lanz-hubert-mag-med-vet-peuerbach-sonnenhang","Website")</f>
        <v>Website</v>
      </c>
      <c r="C4454" t="str">
        <f>HYPERLINK("https://www.dasschnelle.at/lanz-hubert-mag-med-vet-peuerbach-sonnenhang","Website")</f>
        <v>Website</v>
      </c>
      <c r="D4454" t="str">
        <f>HYPERLINK("http://www.google.com/maps/place/48.3498,13.77106","Location")</f>
        <v>Location</v>
      </c>
      <c r="E4454" t="s">
        <v>38209</v>
      </c>
      <c r="F4454" t="s">
        <v>38210</v>
      </c>
      <c r="G4454" t="s">
        <v>7303</v>
      </c>
      <c r="H4454" t="s">
        <v>7304</v>
      </c>
      <c r="I4454" t="s">
        <v>85</v>
      </c>
      <c r="J4454" t="s">
        <v>22</v>
      </c>
      <c r="K4454" t="s">
        <v>38211</v>
      </c>
      <c r="L4454" t="s">
        <v>38214</v>
      </c>
      <c r="M4454" t="s">
        <v>25</v>
      </c>
      <c r="N4454" t="s">
        <v>38215</v>
      </c>
      <c r="O4454" t="s">
        <v>25</v>
      </c>
      <c r="P4454" t="s">
        <v>38216</v>
      </c>
      <c r="Q4454" t="s">
        <v>29</v>
      </c>
      <c r="R4454" t="s">
        <v>38212</v>
      </c>
      <c r="S4454" t="s">
        <v>38213</v>
      </c>
    </row>
    <row r="4455" spans="1:19" x14ac:dyDescent="0.25">
      <c r="A4455" s="1">
        <v>4453</v>
      </c>
      <c r="B4455" t="str">
        <f>HYPERLINK("https://www.dasschnelle.at/mayr-ernst-dr-med-natternbach-kirchenplatz","Website")</f>
        <v>Website</v>
      </c>
      <c r="C4455" t="str">
        <f>HYPERLINK("http://www.dasschnelle.at/mayr-ernst-dr-med-natternbach-kirchenplatz","Website")</f>
        <v>Website</v>
      </c>
      <c r="D4455" t="str">
        <f>HYPERLINK("http://www.google.com/maps/place/48.39696,13.75001","Location")</f>
        <v>Location</v>
      </c>
      <c r="E4455" t="s">
        <v>38217</v>
      </c>
      <c r="F4455" t="s">
        <v>38218</v>
      </c>
      <c r="G4455" t="s">
        <v>7283</v>
      </c>
      <c r="H4455" t="s">
        <v>7284</v>
      </c>
      <c r="I4455" t="s">
        <v>85</v>
      </c>
      <c r="J4455" t="s">
        <v>22</v>
      </c>
      <c r="K4455" t="s">
        <v>38219</v>
      </c>
      <c r="L4455" t="s">
        <v>38222</v>
      </c>
      <c r="M4455" t="s">
        <v>25</v>
      </c>
      <c r="N4455" t="s">
        <v>25</v>
      </c>
      <c r="O4455" t="s">
        <v>25</v>
      </c>
      <c r="P4455" t="s">
        <v>38223</v>
      </c>
      <c r="Q4455" t="s">
        <v>29</v>
      </c>
      <c r="R4455" t="s">
        <v>38220</v>
      </c>
      <c r="S4455" t="s">
        <v>38221</v>
      </c>
    </row>
    <row r="4456" spans="1:19" x14ac:dyDescent="0.25">
      <c r="A4456" s="1">
        <v>4454</v>
      </c>
      <c r="B4456" t="str">
        <f>HYPERLINK("https://www.dasschnelle.at/pangerl-claudia-bad-hall-hauptplatz","Website")</f>
        <v>Website</v>
      </c>
      <c r="C4456" t="str">
        <f>HYPERLINK("https://www.dasschnelle.at/pangerl-claudia-bad-hall-hauptplatz","Website")</f>
        <v>Website</v>
      </c>
      <c r="D4456" t="str">
        <f>HYPERLINK("http://www.google.com/maps/place/48.03489,14.20836","Location")</f>
        <v>Location</v>
      </c>
      <c r="E4456" t="s">
        <v>38224</v>
      </c>
      <c r="F4456" t="s">
        <v>38225</v>
      </c>
      <c r="G4456" t="s">
        <v>2280</v>
      </c>
      <c r="H4456" t="s">
        <v>2281</v>
      </c>
      <c r="I4456" t="s">
        <v>85</v>
      </c>
      <c r="J4456" t="s">
        <v>22</v>
      </c>
      <c r="K4456" t="s">
        <v>1594</v>
      </c>
      <c r="L4456" t="s">
        <v>38228</v>
      </c>
      <c r="M4456" t="s">
        <v>25</v>
      </c>
      <c r="N4456" t="s">
        <v>38229</v>
      </c>
      <c r="O4456" t="s">
        <v>25</v>
      </c>
      <c r="P4456" t="s">
        <v>38230</v>
      </c>
      <c r="Q4456" t="s">
        <v>29</v>
      </c>
      <c r="R4456" t="s">
        <v>38226</v>
      </c>
      <c r="S4456" t="s">
        <v>38227</v>
      </c>
    </row>
    <row r="4457" spans="1:19" x14ac:dyDescent="0.25">
      <c r="A4457" s="1">
        <v>4455</v>
      </c>
      <c r="B4457" t="str">
        <f>HYPERLINK("https://www.dasschnelle.at/bestattung-schachner-gmbh-wörschach-torfwerk","Website")</f>
        <v>Website</v>
      </c>
      <c r="C4457" t="str">
        <f>HYPERLINK("http://www.bestattung-schachner.at","Website")</f>
        <v>Website</v>
      </c>
      <c r="D4457" t="str">
        <f>HYPERLINK("http://www.google.com/maps/place/47.5550900,14.1605900","Location")</f>
        <v>Location</v>
      </c>
      <c r="E4457" t="s">
        <v>38231</v>
      </c>
      <c r="F4457" t="s">
        <v>38232</v>
      </c>
      <c r="G4457" t="s">
        <v>36661</v>
      </c>
      <c r="H4457" t="s">
        <v>36662</v>
      </c>
      <c r="I4457" t="s">
        <v>451</v>
      </c>
      <c r="J4457" t="s">
        <v>22</v>
      </c>
      <c r="K4457" t="s">
        <v>38233</v>
      </c>
      <c r="L4457" t="s">
        <v>38236</v>
      </c>
      <c r="M4457" t="s">
        <v>38237</v>
      </c>
      <c r="N4457" t="s">
        <v>38238</v>
      </c>
      <c r="O4457" t="s">
        <v>25</v>
      </c>
      <c r="P4457" t="s">
        <v>38239</v>
      </c>
      <c r="Q4457" t="s">
        <v>29</v>
      </c>
      <c r="R4457" t="s">
        <v>38234</v>
      </c>
      <c r="S4457" t="s">
        <v>38235</v>
      </c>
    </row>
    <row r="4458" spans="1:19" x14ac:dyDescent="0.25">
      <c r="A4458" s="1">
        <v>4456</v>
      </c>
      <c r="B4458" t="str">
        <f>HYPERLINK("https://www.dasschnelle.at/stelzhammer-christine-bad-hall-guntherstraße","Website")</f>
        <v>Website</v>
      </c>
      <c r="C4458" t="str">
        <f>HYPERLINK("http://www.ihr-beschrifter.at","Website")</f>
        <v>Website</v>
      </c>
      <c r="D4458" t="str">
        <f>HYPERLINK("http://www.google.com/maps/place/48.03636,14.21414","Location")</f>
        <v>Location</v>
      </c>
      <c r="E4458" t="s">
        <v>38240</v>
      </c>
      <c r="F4458" t="s">
        <v>38241</v>
      </c>
      <c r="G4458" t="s">
        <v>2280</v>
      </c>
      <c r="H4458" t="s">
        <v>2281</v>
      </c>
      <c r="I4458" t="s">
        <v>85</v>
      </c>
      <c r="J4458" t="s">
        <v>22</v>
      </c>
      <c r="K4458" t="s">
        <v>38242</v>
      </c>
      <c r="L4458" t="s">
        <v>38245</v>
      </c>
      <c r="M4458" t="s">
        <v>25</v>
      </c>
      <c r="N4458" t="s">
        <v>38246</v>
      </c>
      <c r="O4458" t="s">
        <v>25</v>
      </c>
      <c r="P4458" t="s">
        <v>38247</v>
      </c>
      <c r="Q4458" t="s">
        <v>29</v>
      </c>
      <c r="R4458" t="s">
        <v>38243</v>
      </c>
      <c r="S4458" t="s">
        <v>38244</v>
      </c>
    </row>
    <row r="4459" spans="1:19" x14ac:dyDescent="0.25">
      <c r="A4459" s="1">
        <v>4457</v>
      </c>
      <c r="B4459" t="str">
        <f>HYPERLINK("https://www.dasschnelle.at/penzinger-monika-dr-grieskirchen-oberer-stadtplatz","Website")</f>
        <v>Website</v>
      </c>
      <c r="C4459" t="str">
        <f>HYPERLINK("https://www.dasschnelle.at/penzinger-monika-dr-grieskirchen-oberer-stadtplatz","Website")</f>
        <v>Website</v>
      </c>
      <c r="D4459" t="str">
        <f>HYPERLINK("http://www.google.com/maps/place/48.23606,13.82557","Location")</f>
        <v>Location</v>
      </c>
      <c r="E4459" t="s">
        <v>38248</v>
      </c>
      <c r="F4459" t="s">
        <v>38249</v>
      </c>
      <c r="G4459" t="s">
        <v>4826</v>
      </c>
      <c r="H4459" t="s">
        <v>4827</v>
      </c>
      <c r="I4459" t="s">
        <v>85</v>
      </c>
      <c r="J4459" t="s">
        <v>22</v>
      </c>
      <c r="K4459" t="s">
        <v>38250</v>
      </c>
      <c r="L4459" t="s">
        <v>38253</v>
      </c>
      <c r="M4459" t="s">
        <v>25</v>
      </c>
      <c r="N4459" t="s">
        <v>25</v>
      </c>
      <c r="O4459" t="s">
        <v>38254</v>
      </c>
      <c r="P4459" t="s">
        <v>38255</v>
      </c>
      <c r="Q4459" t="s">
        <v>29</v>
      </c>
      <c r="R4459" t="s">
        <v>38251</v>
      </c>
      <c r="S4459" t="s">
        <v>38252</v>
      </c>
    </row>
    <row r="4460" spans="1:19" x14ac:dyDescent="0.25">
      <c r="A4460" s="1">
        <v>4458</v>
      </c>
      <c r="B4460" t="str">
        <f>HYPERLINK("https://www.dasschnelle.at/schnürzler-johann-dr-grieskirchen-oberer-stadtplatz","Website")</f>
        <v>Website</v>
      </c>
      <c r="C4460" t="str">
        <f>HYPERLINK("http://www.schnuerzler.at","Website")</f>
        <v>Website</v>
      </c>
      <c r="D4460" t="str">
        <f>HYPERLINK("http://www.google.com/maps/place/48.23616,13.8254","Location")</f>
        <v>Location</v>
      </c>
      <c r="E4460" t="s">
        <v>38256</v>
      </c>
      <c r="F4460" t="s">
        <v>38257</v>
      </c>
      <c r="G4460" t="s">
        <v>4826</v>
      </c>
      <c r="H4460" t="s">
        <v>4827</v>
      </c>
      <c r="I4460" t="s">
        <v>85</v>
      </c>
      <c r="J4460" t="s">
        <v>22</v>
      </c>
      <c r="K4460" t="s">
        <v>38258</v>
      </c>
      <c r="L4460" t="s">
        <v>38261</v>
      </c>
      <c r="M4460" t="s">
        <v>25</v>
      </c>
      <c r="N4460" t="s">
        <v>38262</v>
      </c>
      <c r="O4460" t="s">
        <v>25</v>
      </c>
      <c r="P4460" t="s">
        <v>38263</v>
      </c>
      <c r="Q4460" t="s">
        <v>29</v>
      </c>
      <c r="R4460" t="s">
        <v>38259</v>
      </c>
      <c r="S4460" t="s">
        <v>38260</v>
      </c>
    </row>
    <row r="4461" spans="1:19" x14ac:dyDescent="0.25">
      <c r="A4461" s="1">
        <v>4459</v>
      </c>
      <c r="B4461" t="str">
        <f>HYPERLINK("https://www.dasschnelle.at/jettmar-philipp-dipl-tierarzt-schwechat-sendnergasse","Website")</f>
        <v>Website</v>
      </c>
      <c r="C4461" t="str">
        <f>HYPERLINK("http://www.tierarztpraxis-schwechat.at","Website")</f>
        <v>Website</v>
      </c>
      <c r="D4461" t="str">
        <f>HYPERLINK("http://www.google.com/maps/place/48.14216,16.47715","Location")</f>
        <v>Location</v>
      </c>
      <c r="E4461" t="s">
        <v>38264</v>
      </c>
      <c r="F4461" t="s">
        <v>38265</v>
      </c>
      <c r="G4461" t="s">
        <v>9769</v>
      </c>
      <c r="H4461" t="s">
        <v>9770</v>
      </c>
      <c r="I4461" t="s">
        <v>177</v>
      </c>
      <c r="J4461" t="s">
        <v>22</v>
      </c>
      <c r="K4461" t="s">
        <v>38266</v>
      </c>
      <c r="L4461" t="s">
        <v>38269</v>
      </c>
      <c r="M4461" t="s">
        <v>25</v>
      </c>
      <c r="N4461" t="s">
        <v>38270</v>
      </c>
      <c r="O4461" t="s">
        <v>25</v>
      </c>
      <c r="P4461" t="s">
        <v>38271</v>
      </c>
      <c r="Q4461" t="s">
        <v>29</v>
      </c>
      <c r="R4461" t="s">
        <v>38267</v>
      </c>
      <c r="S4461" t="s">
        <v>38268</v>
      </c>
    </row>
    <row r="4462" spans="1:19" x14ac:dyDescent="0.25">
      <c r="A4462" s="1">
        <v>4460</v>
      </c>
      <c r="B4462" t="str">
        <f>HYPERLINK("https://www.dasschnelle.at/schweiger-johann-donnersbach","Website")</f>
        <v>Website</v>
      </c>
      <c r="C4462" t="str">
        <f>HYPERLINK("http://www.kunstschmiede-schweiger.at","Website")</f>
        <v>Website</v>
      </c>
      <c r="D4462" t="str">
        <f>HYPERLINK("http://www.google.com/maps/place/47.4629809,14.1266780","Location")</f>
        <v>Location</v>
      </c>
      <c r="E4462" t="s">
        <v>38272</v>
      </c>
      <c r="F4462" t="s">
        <v>38273</v>
      </c>
      <c r="G4462" t="s">
        <v>1185</v>
      </c>
      <c r="H4462" t="s">
        <v>37757</v>
      </c>
      <c r="I4462" t="s">
        <v>451</v>
      </c>
      <c r="J4462" t="s">
        <v>22</v>
      </c>
      <c r="K4462" t="s">
        <v>25</v>
      </c>
      <c r="L4462" t="s">
        <v>38276</v>
      </c>
      <c r="M4462" t="s">
        <v>25</v>
      </c>
      <c r="N4462" t="s">
        <v>38277</v>
      </c>
      <c r="O4462" t="s">
        <v>25</v>
      </c>
      <c r="P4462" t="s">
        <v>38278</v>
      </c>
      <c r="Q4462" t="s">
        <v>29</v>
      </c>
      <c r="R4462" t="s">
        <v>38274</v>
      </c>
      <c r="S4462" t="s">
        <v>38275</v>
      </c>
    </row>
    <row r="4463" spans="1:19" x14ac:dyDescent="0.25">
      <c r="A4463" s="1">
        <v>4461</v>
      </c>
      <c r="B4463" t="str">
        <f>HYPERLINK("https://www.dasschnelle.at/bachl-stefan-adlwang-pöglmühlestraße","Website")</f>
        <v>Website</v>
      </c>
      <c r="C4463" t="str">
        <f>HYPERLINK("http://www.bachl-saege.at","Website")</f>
        <v>Website</v>
      </c>
      <c r="D4463" t="str">
        <f>HYPERLINK("http://www.google.com/maps/place/47.9920500,14.2176300","Location")</f>
        <v>Location</v>
      </c>
      <c r="E4463" t="s">
        <v>38279</v>
      </c>
      <c r="F4463" t="s">
        <v>38280</v>
      </c>
      <c r="G4463" t="s">
        <v>38282</v>
      </c>
      <c r="H4463" t="s">
        <v>38283</v>
      </c>
      <c r="I4463" t="s">
        <v>85</v>
      </c>
      <c r="J4463" t="s">
        <v>22</v>
      </c>
      <c r="K4463" t="s">
        <v>38281</v>
      </c>
      <c r="L4463" t="s">
        <v>38286</v>
      </c>
      <c r="M4463" t="s">
        <v>25</v>
      </c>
      <c r="N4463" t="s">
        <v>38287</v>
      </c>
      <c r="O4463" t="s">
        <v>25</v>
      </c>
      <c r="P4463" t="s">
        <v>38288</v>
      </c>
      <c r="Q4463" t="s">
        <v>29</v>
      </c>
      <c r="R4463" t="s">
        <v>38284</v>
      </c>
      <c r="S4463" t="s">
        <v>38285</v>
      </c>
    </row>
    <row r="4464" spans="1:19" x14ac:dyDescent="0.25">
      <c r="A4464" s="1">
        <v>4462</v>
      </c>
      <c r="B4464" t="str">
        <f>HYPERLINK("https://www.dasschnelle.at/krumphuber-gesmbh-steinerkirchen-an-der-traun-kirchenberg","Website")</f>
        <v>Website</v>
      </c>
      <c r="C4464" t="str">
        <f>HYPERLINK("http://www.auto-krumphuber.at","Website")</f>
        <v>Website</v>
      </c>
      <c r="D4464" t="str">
        <f>HYPERLINK("http://www.google.com/maps/place/48.08892,13.95988","Location")</f>
        <v>Location</v>
      </c>
      <c r="E4464" t="s">
        <v>38289</v>
      </c>
      <c r="F4464" t="s">
        <v>38290</v>
      </c>
      <c r="G4464" t="s">
        <v>10886</v>
      </c>
      <c r="H4464" t="s">
        <v>10887</v>
      </c>
      <c r="I4464" t="s">
        <v>85</v>
      </c>
      <c r="J4464" t="s">
        <v>22</v>
      </c>
      <c r="K4464" t="s">
        <v>38291</v>
      </c>
      <c r="L4464" t="s">
        <v>38294</v>
      </c>
      <c r="M4464" t="s">
        <v>25</v>
      </c>
      <c r="N4464" t="s">
        <v>38295</v>
      </c>
      <c r="O4464" t="s">
        <v>25</v>
      </c>
      <c r="P4464" t="s">
        <v>38296</v>
      </c>
      <c r="Q4464" t="s">
        <v>29</v>
      </c>
      <c r="R4464" t="s">
        <v>38292</v>
      </c>
      <c r="S4464" t="s">
        <v>38293</v>
      </c>
    </row>
    <row r="4465" spans="1:19" x14ac:dyDescent="0.25">
      <c r="A4465" s="1">
        <v>4463</v>
      </c>
      <c r="B4465" t="str">
        <f>HYPERLINK("https://www.dasschnelle.at/my-versicherungsmakler-rohrbach-kindergartenstraße-6","Website")</f>
        <v>Website</v>
      </c>
      <c r="C4465" t="str">
        <f>HYPERLINK("http://www.myvm.at","Website")</f>
        <v>Website</v>
      </c>
      <c r="D4465" t="str">
        <f>HYPERLINK("http://www.google.com/maps/place/48.5740695,13.9880944","Location")</f>
        <v>Location</v>
      </c>
      <c r="E4465" t="s">
        <v>38297</v>
      </c>
      <c r="F4465" t="s">
        <v>38298</v>
      </c>
      <c r="G4465" t="s">
        <v>8561</v>
      </c>
      <c r="H4465" t="s">
        <v>8562</v>
      </c>
      <c r="I4465" t="s">
        <v>85</v>
      </c>
      <c r="J4465" t="s">
        <v>22</v>
      </c>
      <c r="K4465" t="s">
        <v>38299</v>
      </c>
      <c r="L4465" t="s">
        <v>38302</v>
      </c>
      <c r="M4465" t="s">
        <v>25</v>
      </c>
      <c r="N4465" t="s">
        <v>38303</v>
      </c>
      <c r="O4465" t="s">
        <v>25</v>
      </c>
      <c r="P4465" t="s">
        <v>38304</v>
      </c>
      <c r="Q4465" t="s">
        <v>29</v>
      </c>
      <c r="R4465" t="s">
        <v>38300</v>
      </c>
      <c r="S4465" t="s">
        <v>38301</v>
      </c>
    </row>
    <row r="4466" spans="1:19" x14ac:dyDescent="0.25">
      <c r="A4466" s="1">
        <v>4464</v>
      </c>
      <c r="B4466" t="str">
        <f>HYPERLINK("https://www.dasschnelle.at/eilmannsberger-gmbh-rohrbach-scheiblberg","Website")</f>
        <v>Website</v>
      </c>
      <c r="C4466" t="str">
        <f>HYPERLINK("http://www.eilmannsberger.at","Website")</f>
        <v>Website</v>
      </c>
      <c r="D4466" t="str">
        <f>HYPERLINK("http://www.google.com/maps/place/48.5589272,13.9892501","Location")</f>
        <v>Location</v>
      </c>
      <c r="E4466" t="s">
        <v>38305</v>
      </c>
      <c r="F4466" t="s">
        <v>38306</v>
      </c>
      <c r="G4466" t="s">
        <v>8561</v>
      </c>
      <c r="H4466" t="s">
        <v>8562</v>
      </c>
      <c r="I4466" t="s">
        <v>85</v>
      </c>
      <c r="J4466" t="s">
        <v>22</v>
      </c>
      <c r="K4466" t="s">
        <v>38307</v>
      </c>
      <c r="L4466" t="s">
        <v>38310</v>
      </c>
      <c r="M4466" t="s">
        <v>25</v>
      </c>
      <c r="N4466" t="s">
        <v>38311</v>
      </c>
      <c r="O4466" t="s">
        <v>25</v>
      </c>
      <c r="P4466" t="s">
        <v>38312</v>
      </c>
      <c r="Q4466" t="s">
        <v>29</v>
      </c>
      <c r="R4466" t="s">
        <v>38308</v>
      </c>
      <c r="S4466" t="s">
        <v>38309</v>
      </c>
    </row>
    <row r="4467" spans="1:19" x14ac:dyDescent="0.25">
      <c r="A4467" s="1">
        <v>4465</v>
      </c>
      <c r="B4467" t="str">
        <f>HYPERLINK("https://www.dasschnelle.at/leitner-höglinger-og-rohrbach-stifterstraße","Website")</f>
        <v>Website</v>
      </c>
      <c r="C4467" t="str">
        <f>HYPERLINK("http://www.blumenexclusiv.com","Website")</f>
        <v>Website</v>
      </c>
      <c r="D4467" t="str">
        <f>HYPERLINK("http://www.google.com/maps/place/48.5702418,13.9964424","Location")</f>
        <v>Location</v>
      </c>
      <c r="E4467" t="s">
        <v>38313</v>
      </c>
      <c r="F4467" t="s">
        <v>38314</v>
      </c>
      <c r="G4467" t="s">
        <v>8561</v>
      </c>
      <c r="H4467" t="s">
        <v>8562</v>
      </c>
      <c r="I4467" t="s">
        <v>85</v>
      </c>
      <c r="J4467" t="s">
        <v>22</v>
      </c>
      <c r="K4467" t="s">
        <v>38315</v>
      </c>
      <c r="L4467" t="s">
        <v>38318</v>
      </c>
      <c r="M4467" t="s">
        <v>25</v>
      </c>
      <c r="N4467" t="s">
        <v>38319</v>
      </c>
      <c r="O4467" t="s">
        <v>25</v>
      </c>
      <c r="P4467" t="s">
        <v>38320</v>
      </c>
      <c r="Q4467" t="s">
        <v>29</v>
      </c>
      <c r="R4467" t="s">
        <v>38316</v>
      </c>
      <c r="S4467" t="s">
        <v>38317</v>
      </c>
    </row>
    <row r="4468" spans="1:19" x14ac:dyDescent="0.25">
      <c r="A4468" s="1">
        <v>4466</v>
      </c>
      <c r="B4468" t="str">
        <f>HYPERLINK("https://www.dasschnelle.at/prowin-steuerberatungsgesmbh-stadl-an-der-mur-paal","Website")</f>
        <v>Website</v>
      </c>
      <c r="C4468" t="str">
        <f>HYPERLINK("http://www.pro-win.at","Website")</f>
        <v>Website</v>
      </c>
      <c r="D4468" t="str">
        <f>HYPERLINK("http://www.google.com/maps/place/47.0752280,13.9829202","Location")</f>
        <v>Location</v>
      </c>
      <c r="E4468" t="s">
        <v>38321</v>
      </c>
      <c r="F4468" t="s">
        <v>38322</v>
      </c>
      <c r="G4468" t="s">
        <v>12082</v>
      </c>
      <c r="H4468" t="s">
        <v>12140</v>
      </c>
      <c r="I4468" t="s">
        <v>451</v>
      </c>
      <c r="J4468" t="s">
        <v>22</v>
      </c>
      <c r="K4468" t="s">
        <v>38323</v>
      </c>
      <c r="L4468" t="s">
        <v>38326</v>
      </c>
      <c r="M4468" t="s">
        <v>25</v>
      </c>
      <c r="N4468" t="s">
        <v>38327</v>
      </c>
      <c r="O4468" t="s">
        <v>25</v>
      </c>
      <c r="P4468" t="s">
        <v>38328</v>
      </c>
      <c r="Q4468" t="s">
        <v>29</v>
      </c>
      <c r="R4468" t="s">
        <v>38324</v>
      </c>
      <c r="S4468" t="s">
        <v>38325</v>
      </c>
    </row>
    <row r="4469" spans="1:19" x14ac:dyDescent="0.25">
      <c r="A4469" s="1">
        <v>4467</v>
      </c>
      <c r="B4469" t="str">
        <f>HYPERLINK("https://www.dasschnelle.at/bestattung-thaller-hofkirchen-im-mühlkreis-markt","Website")</f>
        <v>Website</v>
      </c>
      <c r="C4469" t="str">
        <f>HYPERLINK("http://www.bestattung-thaller.at","Website")</f>
        <v>Website</v>
      </c>
      <c r="D4469" t="str">
        <f>HYPERLINK("http://www.google.com/maps/place/48.48292,13.81016","Location")</f>
        <v>Location</v>
      </c>
      <c r="E4469" t="s">
        <v>38329</v>
      </c>
      <c r="F4469" t="s">
        <v>38330</v>
      </c>
      <c r="G4469" t="s">
        <v>8696</v>
      </c>
      <c r="H4469" t="s">
        <v>8697</v>
      </c>
      <c r="I4469" t="s">
        <v>85</v>
      </c>
      <c r="J4469" t="s">
        <v>22</v>
      </c>
      <c r="K4469" t="s">
        <v>38331</v>
      </c>
      <c r="L4469" t="s">
        <v>38334</v>
      </c>
      <c r="M4469" t="s">
        <v>25</v>
      </c>
      <c r="N4469" t="s">
        <v>38335</v>
      </c>
      <c r="O4469" t="s">
        <v>25</v>
      </c>
      <c r="P4469" t="s">
        <v>38336</v>
      </c>
      <c r="Q4469" t="s">
        <v>29</v>
      </c>
      <c r="R4469" t="s">
        <v>38332</v>
      </c>
      <c r="S4469" t="s">
        <v>38333</v>
      </c>
    </row>
    <row r="4470" spans="1:19" x14ac:dyDescent="0.25">
      <c r="A4470" s="1">
        <v>4468</v>
      </c>
      <c r="B4470" t="str">
        <f>HYPERLINK("https://www.dasschnelle.at/autohaus-katzlberger-gmbh-hannesgrub-hannesgrub-nord","Website")</f>
        <v>Website</v>
      </c>
      <c r="C4470" t="str">
        <f>HYPERLINK("http://www.autohaus-katzlberger.at","Website")</f>
        <v>Website</v>
      </c>
      <c r="D4470" t="str">
        <f>HYPERLINK("http://www.google.com/maps/place/48.2193890,13.4962406","Location")</f>
        <v>Location</v>
      </c>
      <c r="E4470" t="s">
        <v>38337</v>
      </c>
      <c r="F4470" t="s">
        <v>38338</v>
      </c>
      <c r="G4470" t="s">
        <v>37821</v>
      </c>
      <c r="H4470" t="s">
        <v>38340</v>
      </c>
      <c r="I4470" t="s">
        <v>85</v>
      </c>
      <c r="J4470" t="s">
        <v>22</v>
      </c>
      <c r="K4470" t="s">
        <v>38339</v>
      </c>
      <c r="L4470" t="s">
        <v>38343</v>
      </c>
      <c r="M4470" t="s">
        <v>25</v>
      </c>
      <c r="N4470" t="s">
        <v>38344</v>
      </c>
      <c r="O4470" t="s">
        <v>25</v>
      </c>
      <c r="P4470" t="s">
        <v>38345</v>
      </c>
      <c r="Q4470" t="s">
        <v>29</v>
      </c>
      <c r="R4470" t="s">
        <v>38341</v>
      </c>
      <c r="S4470" t="s">
        <v>38342</v>
      </c>
    </row>
    <row r="4471" spans="1:19" x14ac:dyDescent="0.25">
      <c r="A4471" s="1">
        <v>4469</v>
      </c>
      <c r="B4471" t="str">
        <f>HYPERLINK("https://www.dasschnelle.at/mair-karlheinz-enns-lehnerweg","Website")</f>
        <v>Website</v>
      </c>
      <c r="C4471" t="str">
        <f>HYPERLINK("http://www.baumeister-maier.at","Website")</f>
        <v>Website</v>
      </c>
      <c r="D4471" t="str">
        <f>HYPERLINK("http://www.google.com/maps/place/48.2182,14.48234","Location")</f>
        <v>Location</v>
      </c>
      <c r="E4471" t="s">
        <v>38346</v>
      </c>
      <c r="F4471" t="s">
        <v>38347</v>
      </c>
      <c r="G4471" t="s">
        <v>3307</v>
      </c>
      <c r="H4471" t="s">
        <v>3308</v>
      </c>
      <c r="I4471" t="s">
        <v>85</v>
      </c>
      <c r="J4471" t="s">
        <v>22</v>
      </c>
      <c r="K4471" t="s">
        <v>38348</v>
      </c>
      <c r="L4471" t="s">
        <v>38351</v>
      </c>
      <c r="M4471" t="s">
        <v>25</v>
      </c>
      <c r="N4471" t="s">
        <v>38352</v>
      </c>
      <c r="O4471" t="s">
        <v>38353</v>
      </c>
      <c r="P4471" t="s">
        <v>38354</v>
      </c>
      <c r="Q4471" t="s">
        <v>29</v>
      </c>
      <c r="R4471" t="s">
        <v>38349</v>
      </c>
      <c r="S4471" t="s">
        <v>38350</v>
      </c>
    </row>
    <row r="4472" spans="1:19" x14ac:dyDescent="0.25">
      <c r="A4472" s="1">
        <v>4470</v>
      </c>
      <c r="B4472" t="str">
        <f>HYPERLINK("https://www.dasschnelle.at/top-gym-enns-oberhauserstraße","Website")</f>
        <v>Website</v>
      </c>
      <c r="C4472" t="str">
        <f>HYPERLINK("http://www.topgym-fitness.at","Website")</f>
        <v>Website</v>
      </c>
      <c r="D4472" t="str">
        <f>HYPERLINK("http://www.google.com/maps/place/48.21755,14.45757","Location")</f>
        <v>Location</v>
      </c>
      <c r="E4472" t="s">
        <v>38355</v>
      </c>
      <c r="F4472" t="s">
        <v>38356</v>
      </c>
      <c r="G4472" t="s">
        <v>3307</v>
      </c>
      <c r="H4472" t="s">
        <v>3308</v>
      </c>
      <c r="I4472" t="s">
        <v>85</v>
      </c>
      <c r="J4472" t="s">
        <v>22</v>
      </c>
      <c r="K4472" t="s">
        <v>38357</v>
      </c>
      <c r="L4472" t="s">
        <v>38360</v>
      </c>
      <c r="M4472" t="s">
        <v>25</v>
      </c>
      <c r="N4472" t="s">
        <v>38361</v>
      </c>
      <c r="O4472" t="s">
        <v>38362</v>
      </c>
      <c r="P4472" t="s">
        <v>38363</v>
      </c>
      <c r="Q4472" t="s">
        <v>29</v>
      </c>
      <c r="R4472" t="s">
        <v>38358</v>
      </c>
      <c r="S4472" t="s">
        <v>38359</v>
      </c>
    </row>
    <row r="4473" spans="1:19" x14ac:dyDescent="0.25">
      <c r="A4473" s="1">
        <v>4471</v>
      </c>
      <c r="B4473" t="str">
        <f>HYPERLINK("https://www.dasschnelle.at/fähnrich-installations-gmbh-bärnbach-piberstraße","Website")</f>
        <v>Website</v>
      </c>
      <c r="C4473" t="str">
        <f>HYPERLINK("http://www.faehnrich-heizung.at","Website")</f>
        <v>Website</v>
      </c>
      <c r="D4473" t="str">
        <f>HYPERLINK("http://www.google.com/maps/place/47.07002,15.12758","Location")</f>
        <v>Location</v>
      </c>
      <c r="E4473" t="s">
        <v>38364</v>
      </c>
      <c r="F4473" t="s">
        <v>38365</v>
      </c>
      <c r="G4473" t="s">
        <v>4592</v>
      </c>
      <c r="H4473" t="s">
        <v>4593</v>
      </c>
      <c r="I4473" t="s">
        <v>451</v>
      </c>
      <c r="J4473" t="s">
        <v>22</v>
      </c>
      <c r="K4473" t="s">
        <v>38366</v>
      </c>
      <c r="L4473" t="s">
        <v>38369</v>
      </c>
      <c r="M4473" t="s">
        <v>25</v>
      </c>
      <c r="N4473" t="s">
        <v>38370</v>
      </c>
      <c r="O4473" t="s">
        <v>25</v>
      </c>
      <c r="P4473" t="s">
        <v>38371</v>
      </c>
      <c r="Q4473" t="s">
        <v>29</v>
      </c>
      <c r="R4473" t="s">
        <v>38367</v>
      </c>
      <c r="S4473" t="s">
        <v>38368</v>
      </c>
    </row>
    <row r="4474" spans="1:19" x14ac:dyDescent="0.25">
      <c r="A4474" s="1">
        <v>4472</v>
      </c>
      <c r="B4474" t="str">
        <f>HYPERLINK("https://www.dasschnelle.at/holzbau-kichleitner-büro-köflach-keilgasse","Website")</f>
        <v>Website</v>
      </c>
      <c r="C4474" t="str">
        <f>HYPERLINK("http://www.kirchleitner.com","Website")</f>
        <v>Website</v>
      </c>
      <c r="D4474" t="str">
        <f>HYPERLINK("http://www.google.com/maps/place/47.05083,15.06233","Location")</f>
        <v>Location</v>
      </c>
      <c r="E4474" t="s">
        <v>38372</v>
      </c>
      <c r="F4474" t="s">
        <v>38373</v>
      </c>
      <c r="G4474" t="s">
        <v>4582</v>
      </c>
      <c r="H4474" t="s">
        <v>4583</v>
      </c>
      <c r="I4474" t="s">
        <v>451</v>
      </c>
      <c r="J4474" t="s">
        <v>22</v>
      </c>
      <c r="K4474" t="s">
        <v>38374</v>
      </c>
      <c r="L4474" t="s">
        <v>38377</v>
      </c>
      <c r="M4474" t="s">
        <v>25</v>
      </c>
      <c r="N4474" t="s">
        <v>38378</v>
      </c>
      <c r="O4474" t="s">
        <v>25</v>
      </c>
      <c r="P4474" t="s">
        <v>38379</v>
      </c>
      <c r="Q4474" t="s">
        <v>29</v>
      </c>
      <c r="R4474" t="s">
        <v>38375</v>
      </c>
      <c r="S4474" t="s">
        <v>38376</v>
      </c>
    </row>
    <row r="4475" spans="1:19" x14ac:dyDescent="0.25">
      <c r="A4475" s="1">
        <v>4473</v>
      </c>
      <c r="B4475" t="str">
        <f>HYPERLINK("https://www.dasschnelle.at/wall-karl-gas-wasser-u-zentralheizungsinstallationen-gesmbh-enns-mauthausner-straße","Website")</f>
        <v>Website</v>
      </c>
      <c r="C4475" t="str">
        <f>HYPERLINK("http://www.karlwall.at","Website")</f>
        <v>Website</v>
      </c>
      <c r="D4475" t="str">
        <f>HYPERLINK("http://www.google.com/maps/place/48.21586,14.48004","Location")</f>
        <v>Location</v>
      </c>
      <c r="E4475" t="s">
        <v>38380</v>
      </c>
      <c r="F4475" t="s">
        <v>38381</v>
      </c>
      <c r="G4475" t="s">
        <v>3307</v>
      </c>
      <c r="H4475" t="s">
        <v>3308</v>
      </c>
      <c r="I4475" t="s">
        <v>85</v>
      </c>
      <c r="J4475" t="s">
        <v>22</v>
      </c>
      <c r="K4475" t="s">
        <v>38382</v>
      </c>
      <c r="L4475" t="s">
        <v>38385</v>
      </c>
      <c r="M4475" t="s">
        <v>25</v>
      </c>
      <c r="N4475" t="s">
        <v>38386</v>
      </c>
      <c r="O4475" t="s">
        <v>38387</v>
      </c>
      <c r="P4475" t="s">
        <v>38388</v>
      </c>
      <c r="Q4475" t="s">
        <v>29</v>
      </c>
      <c r="R4475" t="s">
        <v>38383</v>
      </c>
      <c r="S4475" t="s">
        <v>38384</v>
      </c>
    </row>
    <row r="4476" spans="1:19" x14ac:dyDescent="0.25">
      <c r="A4476" s="1">
        <v>4474</v>
      </c>
      <c r="B4476" t="str">
        <f>HYPERLINK("https://www.dasschnelle.at/wintersberger-braunau-industriezeile","Website")</f>
        <v>Website</v>
      </c>
      <c r="C4476" t="str">
        <f>HYPERLINK("http://www.wrsw.at","Website")</f>
        <v>Website</v>
      </c>
      <c r="D4476" t="str">
        <f>HYPERLINK("http://www.google.com/maps/place/48.2109800,13.4848100","Location")</f>
        <v>Location</v>
      </c>
      <c r="E4476" t="s">
        <v>38389</v>
      </c>
      <c r="F4476" t="s">
        <v>38390</v>
      </c>
      <c r="G4476" t="s">
        <v>1289</v>
      </c>
      <c r="H4476" t="s">
        <v>1290</v>
      </c>
      <c r="I4476" t="s">
        <v>85</v>
      </c>
      <c r="J4476" t="s">
        <v>22</v>
      </c>
      <c r="K4476" t="s">
        <v>38391</v>
      </c>
      <c r="L4476" t="s">
        <v>38394</v>
      </c>
      <c r="M4476" t="s">
        <v>25</v>
      </c>
      <c r="N4476" t="s">
        <v>38395</v>
      </c>
      <c r="O4476" t="s">
        <v>25</v>
      </c>
      <c r="P4476" t="s">
        <v>38396</v>
      </c>
      <c r="Q4476" t="s">
        <v>29</v>
      </c>
      <c r="R4476" t="s">
        <v>38392</v>
      </c>
      <c r="S4476" t="s">
        <v>38393</v>
      </c>
    </row>
    <row r="4477" spans="1:19" x14ac:dyDescent="0.25">
      <c r="A4477" s="1">
        <v>4475</v>
      </c>
      <c r="B4477" t="str">
        <f>HYPERLINK("https://www.dasschnelle.at/felbermair-krystyna-dr-peuerbach-rathausplatz","Website")</f>
        <v>Website</v>
      </c>
      <c r="C4477" t="str">
        <f>HYPERLINK("http://www.zafelbermair.at","Website")</f>
        <v>Website</v>
      </c>
      <c r="D4477" t="str">
        <f>HYPERLINK("http://www.google.com/maps/place/48.3438400,13.7713677","Location")</f>
        <v>Location</v>
      </c>
      <c r="E4477" t="s">
        <v>38397</v>
      </c>
      <c r="F4477" t="s">
        <v>38398</v>
      </c>
      <c r="G4477" t="s">
        <v>7303</v>
      </c>
      <c r="H4477" t="s">
        <v>7304</v>
      </c>
      <c r="I4477" t="s">
        <v>85</v>
      </c>
      <c r="J4477" t="s">
        <v>22</v>
      </c>
      <c r="K4477" t="s">
        <v>9873</v>
      </c>
      <c r="L4477" t="s">
        <v>38401</v>
      </c>
      <c r="M4477" t="s">
        <v>25</v>
      </c>
      <c r="N4477" t="s">
        <v>38402</v>
      </c>
      <c r="O4477" t="s">
        <v>25</v>
      </c>
      <c r="P4477" t="s">
        <v>38403</v>
      </c>
      <c r="Q4477" t="s">
        <v>29</v>
      </c>
      <c r="R4477" t="s">
        <v>38399</v>
      </c>
      <c r="S4477" t="s">
        <v>38400</v>
      </c>
    </row>
    <row r="4478" spans="1:19" x14ac:dyDescent="0.25">
      <c r="A4478" s="1">
        <v>4476</v>
      </c>
      <c r="B4478" t="str">
        <f>HYPERLINK("https://www.dasschnelle.at/f-spitzlinger-utzenaich-dulmadnig","Website")</f>
        <v>Website</v>
      </c>
      <c r="C4478" t="str">
        <f>HYPERLINK("http://www.spitzlinger.co.at","Website")</f>
        <v>Website</v>
      </c>
      <c r="D4478" t="str">
        <f>HYPERLINK("http://www.google.com/maps/place/48.2584595,13.4618383","Location")</f>
        <v>Location</v>
      </c>
      <c r="E4478" t="s">
        <v>38404</v>
      </c>
      <c r="F4478" t="s">
        <v>38405</v>
      </c>
      <c r="G4478" t="s">
        <v>6296</v>
      </c>
      <c r="H4478" t="s">
        <v>6297</v>
      </c>
      <c r="I4478" t="s">
        <v>85</v>
      </c>
      <c r="J4478" t="s">
        <v>22</v>
      </c>
      <c r="K4478" t="s">
        <v>38406</v>
      </c>
      <c r="L4478" t="s">
        <v>38409</v>
      </c>
      <c r="M4478" t="s">
        <v>25</v>
      </c>
      <c r="N4478" t="s">
        <v>38410</v>
      </c>
      <c r="O4478" t="s">
        <v>25</v>
      </c>
      <c r="P4478" t="s">
        <v>38411</v>
      </c>
      <c r="Q4478" t="s">
        <v>29</v>
      </c>
      <c r="R4478" t="s">
        <v>38407</v>
      </c>
      <c r="S4478" t="s">
        <v>38408</v>
      </c>
    </row>
    <row r="4479" spans="1:19" x14ac:dyDescent="0.25">
      <c r="A4479" s="1">
        <v>4477</v>
      </c>
      <c r="B4479" t="str">
        <f>HYPERLINK("https://www.dasschnelle.at/donninger-hans-jürgen-utzenaich-sonnenweg","Website")</f>
        <v>Website</v>
      </c>
      <c r="C4479" t="str">
        <f>HYPERLINK("http://www.bodenleger-donninger.at","Website")</f>
        <v>Website</v>
      </c>
      <c r="D4479" t="str">
        <f>HYPERLINK("http://www.google.com/maps/place/48.2719,13.46039","Location")</f>
        <v>Location</v>
      </c>
      <c r="E4479" t="s">
        <v>38412</v>
      </c>
      <c r="F4479" t="s">
        <v>38413</v>
      </c>
      <c r="G4479" t="s">
        <v>6296</v>
      </c>
      <c r="H4479" t="s">
        <v>6297</v>
      </c>
      <c r="I4479" t="s">
        <v>85</v>
      </c>
      <c r="J4479" t="s">
        <v>22</v>
      </c>
      <c r="K4479" t="s">
        <v>38414</v>
      </c>
      <c r="L4479" t="s">
        <v>38417</v>
      </c>
      <c r="M4479" t="s">
        <v>25</v>
      </c>
      <c r="N4479" t="s">
        <v>38418</v>
      </c>
      <c r="O4479" t="s">
        <v>25</v>
      </c>
      <c r="P4479" t="s">
        <v>38419</v>
      </c>
      <c r="Q4479" t="s">
        <v>29</v>
      </c>
      <c r="R4479" t="s">
        <v>38415</v>
      </c>
      <c r="S4479" t="s">
        <v>38416</v>
      </c>
    </row>
    <row r="4480" spans="1:19" x14ac:dyDescent="0.25">
      <c r="A4480" s="1">
        <v>4478</v>
      </c>
      <c r="B4480" t="str">
        <f>HYPERLINK("https://www.dasschnelle.at/kfz-steirer-werner-bärnbacg-georgifeldstrasse","Website")</f>
        <v>Website</v>
      </c>
      <c r="C4480" t="str">
        <f>HYPERLINK("http://www.kfzsteirer.at","Website")</f>
        <v>Website</v>
      </c>
      <c r="D4480" t="str">
        <f>HYPERLINK("http://www.google.com/maps/place/47.0546019,15.1298197","Location")</f>
        <v>Location</v>
      </c>
      <c r="E4480" t="s">
        <v>38420</v>
      </c>
      <c r="F4480" t="s">
        <v>38421</v>
      </c>
      <c r="G4480" t="s">
        <v>4592</v>
      </c>
      <c r="H4480" t="s">
        <v>38423</v>
      </c>
      <c r="I4480" t="s">
        <v>451</v>
      </c>
      <c r="J4480" t="s">
        <v>22</v>
      </c>
      <c r="K4480" t="s">
        <v>38422</v>
      </c>
      <c r="L4480" t="s">
        <v>38426</v>
      </c>
      <c r="M4480" t="s">
        <v>25</v>
      </c>
      <c r="N4480" t="s">
        <v>38427</v>
      </c>
      <c r="O4480" t="s">
        <v>25</v>
      </c>
      <c r="P4480" t="s">
        <v>38428</v>
      </c>
      <c r="Q4480" t="s">
        <v>29</v>
      </c>
      <c r="R4480" t="s">
        <v>38424</v>
      </c>
      <c r="S4480" t="s">
        <v>38425</v>
      </c>
    </row>
    <row r="4481" spans="1:19" x14ac:dyDescent="0.25">
      <c r="A4481" s="1">
        <v>4479</v>
      </c>
      <c r="B4481" t="str">
        <f>HYPERLINK("https://www.dasschnelle.at/lindmayr-bauer-secklehner-rechtsanwalts-og-liezen-pyhrnstraße","Website")</f>
        <v>Website</v>
      </c>
      <c r="C4481" t="str">
        <f>HYPERLINK("http://www.advoc.at","Website")</f>
        <v>Website</v>
      </c>
      <c r="D4481" t="str">
        <f>HYPERLINK("http://www.google.com/maps/place/47.71903,14.3335","Location")</f>
        <v>Location</v>
      </c>
      <c r="E4481" t="s">
        <v>38429</v>
      </c>
      <c r="F4481" t="s">
        <v>38430</v>
      </c>
      <c r="G4481" t="s">
        <v>1095</v>
      </c>
      <c r="H4481" t="s">
        <v>1096</v>
      </c>
      <c r="I4481" t="s">
        <v>85</v>
      </c>
      <c r="J4481" t="s">
        <v>22</v>
      </c>
      <c r="K4481" t="s">
        <v>38431</v>
      </c>
      <c r="L4481" t="s">
        <v>14793</v>
      </c>
      <c r="M4481" t="s">
        <v>25</v>
      </c>
      <c r="N4481" t="s">
        <v>14794</v>
      </c>
      <c r="O4481" t="s">
        <v>25</v>
      </c>
      <c r="P4481" t="s">
        <v>697</v>
      </c>
      <c r="Q4481" t="s">
        <v>29</v>
      </c>
      <c r="R4481" t="s">
        <v>14791</v>
      </c>
      <c r="S4481" t="s">
        <v>14792</v>
      </c>
    </row>
    <row r="4482" spans="1:19" x14ac:dyDescent="0.25">
      <c r="A4482" s="1">
        <v>4480</v>
      </c>
      <c r="B4482" t="str">
        <f>HYPERLINK("https://www.dasschnelle.at/grabherr-isabella-dr-med-neuzeug-steyrtalstraße","Website")</f>
        <v>Website</v>
      </c>
      <c r="C4482" t="str">
        <f>HYPERLINK("https://www.dasschnelle.at/grabherr-isabella-dr-med-neuzeug-steyrtalstra%C3%9Fe","Website")</f>
        <v>Website</v>
      </c>
      <c r="D4482" t="str">
        <f>HYPERLINK("http://www.google.com/maps/place/48.04598,14.33259","Location")</f>
        <v>Location</v>
      </c>
      <c r="E4482" t="s">
        <v>38432</v>
      </c>
      <c r="F4482" t="s">
        <v>38433</v>
      </c>
      <c r="G4482" t="s">
        <v>11109</v>
      </c>
      <c r="H4482" t="s">
        <v>11110</v>
      </c>
      <c r="I4482" t="s">
        <v>85</v>
      </c>
      <c r="J4482" t="s">
        <v>22</v>
      </c>
      <c r="K4482" t="s">
        <v>38434</v>
      </c>
      <c r="L4482" t="s">
        <v>38437</v>
      </c>
      <c r="M4482" t="s">
        <v>25</v>
      </c>
      <c r="N4482" t="s">
        <v>25</v>
      </c>
      <c r="O4482" t="s">
        <v>25</v>
      </c>
      <c r="P4482" t="s">
        <v>38438</v>
      </c>
      <c r="Q4482" t="s">
        <v>29</v>
      </c>
      <c r="R4482" t="s">
        <v>38435</v>
      </c>
      <c r="S4482" t="s">
        <v>38436</v>
      </c>
    </row>
    <row r="4483" spans="1:19" x14ac:dyDescent="0.25">
      <c r="A4483" s="1">
        <v>4481</v>
      </c>
      <c r="B4483" t="str">
        <f>HYPERLINK("https://www.dasschnelle.at/schneider-haustechnik-gmbh-murau-römersiedlung","Website")</f>
        <v>Website</v>
      </c>
      <c r="C4483" t="str">
        <f>HYPERLINK("http://www.schneider-haustechnik.at","Website")</f>
        <v>Website</v>
      </c>
      <c r="D4483" t="str">
        <f>HYPERLINK("http://www.google.com/maps/place/47.11153,14.18504","Location")</f>
        <v>Location</v>
      </c>
      <c r="E4483" t="s">
        <v>38439</v>
      </c>
      <c r="F4483" t="s">
        <v>38440</v>
      </c>
      <c r="G4483" t="s">
        <v>12112</v>
      </c>
      <c r="H4483" t="s">
        <v>12113</v>
      </c>
      <c r="I4483" t="s">
        <v>451</v>
      </c>
      <c r="J4483" t="s">
        <v>22</v>
      </c>
      <c r="K4483" t="s">
        <v>38441</v>
      </c>
      <c r="L4483" t="s">
        <v>38444</v>
      </c>
      <c r="M4483" t="s">
        <v>25</v>
      </c>
      <c r="N4483" t="s">
        <v>38445</v>
      </c>
      <c r="O4483" t="s">
        <v>25</v>
      </c>
      <c r="P4483" t="s">
        <v>38446</v>
      </c>
      <c r="Q4483" t="s">
        <v>29</v>
      </c>
      <c r="R4483" t="s">
        <v>38442</v>
      </c>
      <c r="S4483" t="s">
        <v>38443</v>
      </c>
    </row>
    <row r="4484" spans="1:19" x14ac:dyDescent="0.25">
      <c r="A4484" s="1">
        <v>4482</v>
      </c>
      <c r="B4484" t="str">
        <f>HYPERLINK("https://www.dasschnelle.at/sieder-wulf-mag-enns-stadlgasse","Website")</f>
        <v>Website</v>
      </c>
      <c r="C4484" t="str">
        <f>HYPERLINK("http://www.ra-sieder.at","Website")</f>
        <v>Website</v>
      </c>
      <c r="D4484" t="str">
        <f>HYPERLINK("http://www.google.com/maps/place/48.21682,14.47972","Location")</f>
        <v>Location</v>
      </c>
      <c r="E4484" t="s">
        <v>38447</v>
      </c>
      <c r="F4484" t="s">
        <v>38448</v>
      </c>
      <c r="G4484" t="s">
        <v>3307</v>
      </c>
      <c r="H4484" t="s">
        <v>3308</v>
      </c>
      <c r="I4484" t="s">
        <v>85</v>
      </c>
      <c r="J4484" t="s">
        <v>22</v>
      </c>
      <c r="K4484" t="s">
        <v>38449</v>
      </c>
      <c r="L4484" t="s">
        <v>38452</v>
      </c>
      <c r="M4484" t="s">
        <v>38453</v>
      </c>
      <c r="N4484" t="s">
        <v>38454</v>
      </c>
      <c r="O4484" t="s">
        <v>25</v>
      </c>
      <c r="P4484" t="s">
        <v>38455</v>
      </c>
      <c r="Q4484" t="s">
        <v>29</v>
      </c>
      <c r="R4484" t="s">
        <v>38450</v>
      </c>
      <c r="S4484" t="s">
        <v>38451</v>
      </c>
    </row>
    <row r="4485" spans="1:19" x14ac:dyDescent="0.25">
      <c r="A4485" s="1">
        <v>4483</v>
      </c>
      <c r="B4485" t="str">
        <f>HYPERLINK("https://www.dasschnelle.at/alber-bernd-dr-enns-schloßgasse","Website")</f>
        <v>Website</v>
      </c>
      <c r="C4485" t="str">
        <f>HYPERLINK("http://www.notar-alber.at","Website")</f>
        <v>Website</v>
      </c>
      <c r="D4485" t="str">
        <f>HYPERLINK("http://www.google.com/maps/place/48.21583,14.48094","Location")</f>
        <v>Location</v>
      </c>
      <c r="E4485" t="s">
        <v>38456</v>
      </c>
      <c r="F4485" t="s">
        <v>38457</v>
      </c>
      <c r="G4485" t="s">
        <v>3307</v>
      </c>
      <c r="H4485" t="s">
        <v>3308</v>
      </c>
      <c r="I4485" t="s">
        <v>85</v>
      </c>
      <c r="J4485" t="s">
        <v>22</v>
      </c>
      <c r="K4485" t="s">
        <v>38458</v>
      </c>
      <c r="L4485" t="s">
        <v>38461</v>
      </c>
      <c r="M4485" t="s">
        <v>25</v>
      </c>
      <c r="N4485" t="s">
        <v>38462</v>
      </c>
      <c r="O4485" t="s">
        <v>25</v>
      </c>
      <c r="P4485" t="s">
        <v>38463</v>
      </c>
      <c r="Q4485" t="s">
        <v>29</v>
      </c>
      <c r="R4485" t="s">
        <v>38459</v>
      </c>
      <c r="S4485" t="s">
        <v>38460</v>
      </c>
    </row>
    <row r="4486" spans="1:19" x14ac:dyDescent="0.25">
      <c r="A4486" s="1">
        <v>4484</v>
      </c>
      <c r="B4486" t="str">
        <f>HYPERLINK("https://www.dasschnelle.at/mlynek-grazyna-dr-neukirchen-am-walde-pühretstraße","Website")</f>
        <v>Website</v>
      </c>
      <c r="C4486" t="str">
        <f>HYPERLINK("https://www.dasschnelle.at/mlynek-grazyna-dr-neukirchen-am-walde-p%C3%BChretstra%C3%9Fe","Website")</f>
        <v>Website</v>
      </c>
      <c r="D4486" t="str">
        <f>HYPERLINK("http://www.google.com/maps/place/48.40754,13.78026","Location")</f>
        <v>Location</v>
      </c>
      <c r="E4486" t="s">
        <v>38464</v>
      </c>
      <c r="F4486" t="s">
        <v>38465</v>
      </c>
      <c r="G4486" t="s">
        <v>7293</v>
      </c>
      <c r="H4486" t="s">
        <v>7294</v>
      </c>
      <c r="I4486" t="s">
        <v>85</v>
      </c>
      <c r="J4486" t="s">
        <v>22</v>
      </c>
      <c r="K4486" t="s">
        <v>38466</v>
      </c>
      <c r="L4486" t="s">
        <v>38469</v>
      </c>
      <c r="M4486" t="s">
        <v>25</v>
      </c>
      <c r="N4486" t="s">
        <v>38470</v>
      </c>
      <c r="O4486" t="s">
        <v>25</v>
      </c>
      <c r="P4486" t="s">
        <v>38471</v>
      </c>
      <c r="Q4486" t="s">
        <v>29</v>
      </c>
      <c r="R4486" t="s">
        <v>38467</v>
      </c>
      <c r="S4486" t="s">
        <v>38468</v>
      </c>
    </row>
    <row r="4487" spans="1:19" x14ac:dyDescent="0.25">
      <c r="A4487" s="1">
        <v>4485</v>
      </c>
      <c r="B4487" t="str">
        <f>HYPERLINK("https://www.dasschnelle.at/peer-perr-produktions-u-dienstleistungs-gmbh-pfarrkirchen-im-mühlkreis-pfarrkirchen-im-mühlkreis","Website")</f>
        <v>Website</v>
      </c>
      <c r="C4487" t="str">
        <f>HYPERLINK("http://www.peer-perr.com","Website")</f>
        <v>Website</v>
      </c>
      <c r="D4487" t="str">
        <f>HYPERLINK("http://www.google.com/maps/place/48.4995203,13.8273633","Location")</f>
        <v>Location</v>
      </c>
      <c r="E4487" t="s">
        <v>38472</v>
      </c>
      <c r="F4487" t="s">
        <v>38473</v>
      </c>
      <c r="G4487" t="s">
        <v>38475</v>
      </c>
      <c r="H4487" t="s">
        <v>38476</v>
      </c>
      <c r="I4487" t="s">
        <v>85</v>
      </c>
      <c r="J4487" t="s">
        <v>22</v>
      </c>
      <c r="K4487" t="s">
        <v>38474</v>
      </c>
      <c r="L4487" t="s">
        <v>38479</v>
      </c>
      <c r="M4487" t="s">
        <v>25</v>
      </c>
      <c r="N4487" t="s">
        <v>38480</v>
      </c>
      <c r="O4487" t="s">
        <v>25</v>
      </c>
      <c r="P4487" t="s">
        <v>38481</v>
      </c>
      <c r="Q4487" t="s">
        <v>29</v>
      </c>
      <c r="R4487" t="s">
        <v>38477</v>
      </c>
      <c r="S4487" t="s">
        <v>38478</v>
      </c>
    </row>
    <row r="4488" spans="1:19" x14ac:dyDescent="0.25">
      <c r="A4488" s="1">
        <v>4486</v>
      </c>
      <c r="B4488" t="str">
        <f>HYPERLINK("https://www.dasschnelle.at/notariat-waizenkirchen-dr-gabriele-petric-waizenkirchen-marktplatz","Website")</f>
        <v>Website</v>
      </c>
      <c r="C4488" t="str">
        <f>HYPERLINK("http://www.notariat-wzk.at","Website")</f>
        <v>Website</v>
      </c>
      <c r="D4488" t="str">
        <f>HYPERLINK("http://www.google.com/maps/place/48.32941,13.85704","Location")</f>
        <v>Location</v>
      </c>
      <c r="E4488" t="s">
        <v>38482</v>
      </c>
      <c r="F4488" t="s">
        <v>38483</v>
      </c>
      <c r="G4488" t="s">
        <v>7239</v>
      </c>
      <c r="H4488" t="s">
        <v>7240</v>
      </c>
      <c r="I4488" t="s">
        <v>85</v>
      </c>
      <c r="J4488" t="s">
        <v>22</v>
      </c>
      <c r="K4488" t="s">
        <v>13575</v>
      </c>
      <c r="L4488" t="s">
        <v>38486</v>
      </c>
      <c r="M4488" t="s">
        <v>25</v>
      </c>
      <c r="N4488" t="s">
        <v>38487</v>
      </c>
      <c r="O4488" t="s">
        <v>25</v>
      </c>
      <c r="P4488" t="s">
        <v>38488</v>
      </c>
      <c r="Q4488" t="s">
        <v>29</v>
      </c>
      <c r="R4488" t="s">
        <v>38484</v>
      </c>
      <c r="S4488" t="s">
        <v>38485</v>
      </c>
    </row>
    <row r="4489" spans="1:19" x14ac:dyDescent="0.25">
      <c r="A4489" s="1">
        <v>4487</v>
      </c>
      <c r="B4489" t="str">
        <f>HYPERLINK("https://www.dasschnelle.at/schneeweiß-gerhard-bad-hall-linzer-straße","Website")</f>
        <v>Website</v>
      </c>
      <c r="C4489" t="str">
        <f>HYPERLINK("https://www.dasschnelle.at/schneewei%C3%9F-gerhard-bad-hall-linzer-stra%C3%9Fe","Website")</f>
        <v>Website</v>
      </c>
      <c r="D4489" t="str">
        <f>HYPERLINK("http://www.google.com/maps/place/48.03637,14.20558","Location")</f>
        <v>Location</v>
      </c>
      <c r="E4489" t="s">
        <v>38489</v>
      </c>
      <c r="F4489" t="s">
        <v>38490</v>
      </c>
      <c r="G4489" t="s">
        <v>2280</v>
      </c>
      <c r="H4489" t="s">
        <v>2281</v>
      </c>
      <c r="I4489" t="s">
        <v>85</v>
      </c>
      <c r="J4489" t="s">
        <v>22</v>
      </c>
      <c r="K4489" t="s">
        <v>38491</v>
      </c>
      <c r="L4489" t="s">
        <v>38494</v>
      </c>
      <c r="M4489" t="s">
        <v>25</v>
      </c>
      <c r="N4489" t="s">
        <v>38495</v>
      </c>
      <c r="O4489" t="s">
        <v>25</v>
      </c>
      <c r="P4489" t="s">
        <v>38496</v>
      </c>
      <c r="Q4489" t="s">
        <v>29</v>
      </c>
      <c r="R4489" t="s">
        <v>38492</v>
      </c>
      <c r="S4489" t="s">
        <v>38493</v>
      </c>
    </row>
    <row r="4490" spans="1:19" x14ac:dyDescent="0.25">
      <c r="A4490" s="1">
        <v>4488</v>
      </c>
      <c r="B4490" t="str">
        <f>HYPERLINK("https://www.dasschnelle.at/leitner-und-reiter-optik-gmbh-bad-hall-hauptplatz","Website")</f>
        <v>Website</v>
      </c>
      <c r="C4490" t="str">
        <f>HYPERLINK("http://www.optik-appl.at","Website")</f>
        <v>Website</v>
      </c>
      <c r="D4490" t="str">
        <f>HYPERLINK("http://www.google.com/maps/place/48.03414,14.20984","Location")</f>
        <v>Location</v>
      </c>
      <c r="E4490" t="s">
        <v>38497</v>
      </c>
      <c r="F4490" t="s">
        <v>38498</v>
      </c>
      <c r="G4490" t="s">
        <v>2280</v>
      </c>
      <c r="H4490" t="s">
        <v>2281</v>
      </c>
      <c r="I4490" t="s">
        <v>85</v>
      </c>
      <c r="J4490" t="s">
        <v>22</v>
      </c>
      <c r="K4490" t="s">
        <v>11306</v>
      </c>
      <c r="L4490" t="s">
        <v>38501</v>
      </c>
      <c r="M4490" t="s">
        <v>25</v>
      </c>
      <c r="N4490" t="s">
        <v>38502</v>
      </c>
      <c r="O4490" t="s">
        <v>25</v>
      </c>
      <c r="P4490" t="s">
        <v>38503</v>
      </c>
      <c r="Q4490" t="s">
        <v>29</v>
      </c>
      <c r="R4490" t="s">
        <v>38499</v>
      </c>
      <c r="S4490" t="s">
        <v>38500</v>
      </c>
    </row>
    <row r="4491" spans="1:19" x14ac:dyDescent="0.25">
      <c r="A4491" s="1">
        <v>4489</v>
      </c>
      <c r="B4491" t="str">
        <f>HYPERLINK("https://www.dasschnelle.at/kohlhofer-tamara-mag-ried-im-innkreis-bahnhofstraße","Website")</f>
        <v>Website</v>
      </c>
      <c r="C4491" t="str">
        <f>HYPERLINK("https://www.dasschnelle.at/kohlhofer-tamara-mag-ried-im-innkreis-bahnhofstra%C3%9Fe","Website")</f>
        <v>Website</v>
      </c>
      <c r="D4491" t="str">
        <f>HYPERLINK("http://www.google.com/maps/place/48.20379,13.48935","Location")</f>
        <v>Location</v>
      </c>
      <c r="E4491" t="s">
        <v>38504</v>
      </c>
      <c r="F4491" t="s">
        <v>38505</v>
      </c>
      <c r="G4491" t="s">
        <v>6245</v>
      </c>
      <c r="H4491" t="s">
        <v>6267</v>
      </c>
      <c r="I4491" t="s">
        <v>85</v>
      </c>
      <c r="J4491" t="s">
        <v>22</v>
      </c>
      <c r="K4491" t="s">
        <v>6326</v>
      </c>
      <c r="L4491" t="s">
        <v>38506</v>
      </c>
      <c r="M4491" t="s">
        <v>25</v>
      </c>
      <c r="N4491" t="s">
        <v>38507</v>
      </c>
      <c r="O4491" t="s">
        <v>38508</v>
      </c>
      <c r="P4491" t="s">
        <v>38509</v>
      </c>
      <c r="Q4491" t="s">
        <v>29</v>
      </c>
      <c r="R4491" t="s">
        <v>6327</v>
      </c>
      <c r="S4491" t="s">
        <v>6328</v>
      </c>
    </row>
    <row r="4492" spans="1:19" x14ac:dyDescent="0.25">
      <c r="A4492" s="1">
        <v>4490</v>
      </c>
      <c r="B4492" t="str">
        <f>HYPERLINK("https://www.dasschnelle.at/mag-dr-sonja-prasser-grieskirchen-sportplatzstraße","Website")</f>
        <v>Website</v>
      </c>
      <c r="C4492" t="str">
        <f>HYPERLINK("http://www.psychotherapie-prasser.at","Website")</f>
        <v>Website</v>
      </c>
      <c r="D4492" t="str">
        <f>HYPERLINK("http://www.google.com/maps/place/48.16354,14.00778","Location")</f>
        <v>Location</v>
      </c>
      <c r="E4492" t="s">
        <v>38510</v>
      </c>
      <c r="F4492" t="s">
        <v>38511</v>
      </c>
      <c r="G4492" t="s">
        <v>4826</v>
      </c>
      <c r="H4492" t="s">
        <v>4827</v>
      </c>
      <c r="I4492" t="s">
        <v>85</v>
      </c>
      <c r="J4492" t="s">
        <v>22</v>
      </c>
      <c r="K4492" t="s">
        <v>38512</v>
      </c>
      <c r="L4492" t="s">
        <v>38515</v>
      </c>
      <c r="M4492" t="s">
        <v>25</v>
      </c>
      <c r="N4492" t="s">
        <v>38516</v>
      </c>
      <c r="O4492" t="s">
        <v>38517</v>
      </c>
      <c r="P4492" t="s">
        <v>38518</v>
      </c>
      <c r="Q4492" t="s">
        <v>29</v>
      </c>
      <c r="R4492" t="s">
        <v>38513</v>
      </c>
      <c r="S4492" t="s">
        <v>38514</v>
      </c>
    </row>
    <row r="4493" spans="1:19" x14ac:dyDescent="0.25">
      <c r="A4493" s="1">
        <v>4491</v>
      </c>
      <c r="B4493" t="str">
        <f>HYPERLINK("https://www.dasschnelle.at/grabner-wilhelm-dr-med-ried-im-innkreis-dietmarstraße","Website")</f>
        <v>Website</v>
      </c>
      <c r="C4493" t="str">
        <f>HYPERLINK("http://www.orthopaedie-grabner.at","Website")</f>
        <v>Website</v>
      </c>
      <c r="D4493" t="str">
        <f>HYPERLINK("http://www.google.com/maps/place/48.20366,13.49078","Location")</f>
        <v>Location</v>
      </c>
      <c r="E4493" t="s">
        <v>38519</v>
      </c>
      <c r="F4493" t="s">
        <v>38520</v>
      </c>
      <c r="G4493" t="s">
        <v>6245</v>
      </c>
      <c r="H4493" t="s">
        <v>6267</v>
      </c>
      <c r="I4493" t="s">
        <v>85</v>
      </c>
      <c r="J4493" t="s">
        <v>22</v>
      </c>
      <c r="K4493" t="s">
        <v>38022</v>
      </c>
      <c r="L4493" t="s">
        <v>38521</v>
      </c>
      <c r="M4493" t="s">
        <v>25</v>
      </c>
      <c r="N4493" t="s">
        <v>38522</v>
      </c>
      <c r="O4493" t="s">
        <v>25</v>
      </c>
      <c r="P4493" t="s">
        <v>38523</v>
      </c>
      <c r="Q4493" t="s">
        <v>29</v>
      </c>
      <c r="R4493" t="s">
        <v>38023</v>
      </c>
      <c r="S4493" t="s">
        <v>38024</v>
      </c>
    </row>
    <row r="4494" spans="1:19" x14ac:dyDescent="0.25">
      <c r="A4494" s="1">
        <v>4492</v>
      </c>
      <c r="B4494" t="str">
        <f>HYPERLINK("https://www.dasschnelle.at/ordination-für-dermatologie-und-veneologie-og-grieskirchen-uferstraße","Website")</f>
        <v>Website</v>
      </c>
      <c r="C4494" t="str">
        <f>HYPERLINK("http://www.charwat-pessler.at","Website")</f>
        <v>Website</v>
      </c>
      <c r="D4494" t="str">
        <f>HYPERLINK("http://www.google.com/maps/place/48.23373,13.83004","Location")</f>
        <v>Location</v>
      </c>
      <c r="E4494" t="s">
        <v>38524</v>
      </c>
      <c r="F4494" t="s">
        <v>38525</v>
      </c>
      <c r="G4494" t="s">
        <v>4826</v>
      </c>
      <c r="H4494" t="s">
        <v>4827</v>
      </c>
      <c r="I4494" t="s">
        <v>85</v>
      </c>
      <c r="J4494" t="s">
        <v>22</v>
      </c>
      <c r="K4494" t="s">
        <v>37524</v>
      </c>
      <c r="L4494" t="s">
        <v>38526</v>
      </c>
      <c r="M4494" t="s">
        <v>25</v>
      </c>
      <c r="N4494" t="s">
        <v>38527</v>
      </c>
      <c r="O4494" t="s">
        <v>25</v>
      </c>
      <c r="P4494" t="s">
        <v>38528</v>
      </c>
      <c r="Q4494" t="s">
        <v>29</v>
      </c>
      <c r="R4494" t="s">
        <v>37525</v>
      </c>
      <c r="S4494" t="s">
        <v>37526</v>
      </c>
    </row>
    <row r="4495" spans="1:19" x14ac:dyDescent="0.25">
      <c r="A4495" s="1">
        <v>4493</v>
      </c>
      <c r="B4495" t="str">
        <f>HYPERLINK("https://www.dasschnelle.at/söllradl-friedrich-kremsmünster-marktplatz","Website")</f>
        <v>Website</v>
      </c>
      <c r="C4495" t="str">
        <f>HYPERLINK("https://www.dasschnelle.at/s%C3%B6llradl-friedrich-kremsm%C3%BCnster-marktplatz","Website")</f>
        <v>Website</v>
      </c>
      <c r="D4495" t="str">
        <f>HYPERLINK("http://www.google.com/maps/place/48.0531700,14.1314000","Location")</f>
        <v>Location</v>
      </c>
      <c r="E4495" t="s">
        <v>38529</v>
      </c>
      <c r="F4495" t="s">
        <v>38530</v>
      </c>
      <c r="G4495" t="s">
        <v>9173</v>
      </c>
      <c r="H4495" t="s">
        <v>9174</v>
      </c>
      <c r="I4495" t="s">
        <v>85</v>
      </c>
      <c r="J4495" t="s">
        <v>22</v>
      </c>
      <c r="K4495" t="s">
        <v>38531</v>
      </c>
      <c r="L4495" t="s">
        <v>38534</v>
      </c>
      <c r="M4495" t="s">
        <v>25</v>
      </c>
      <c r="N4495" t="s">
        <v>38535</v>
      </c>
      <c r="O4495" t="s">
        <v>25</v>
      </c>
      <c r="P4495" t="s">
        <v>38536</v>
      </c>
      <c r="Q4495" t="s">
        <v>29</v>
      </c>
      <c r="R4495" t="s">
        <v>38532</v>
      </c>
      <c r="S4495" t="s">
        <v>38533</v>
      </c>
    </row>
    <row r="4496" spans="1:19" x14ac:dyDescent="0.25">
      <c r="A4496" s="1">
        <v>4494</v>
      </c>
      <c r="B4496" t="str">
        <f>HYPERLINK("https://www.dasschnelle.at/danglmaier-florian-gmbh-lantschern","Website")</f>
        <v>Website</v>
      </c>
      <c r="C4496" t="str">
        <f>HYPERLINK("http://www.shuttle-car.at","Website")</f>
        <v>Website</v>
      </c>
      <c r="D4496" t="str">
        <f>HYPERLINK("http://www.google.com/maps/place/47.5107047,14.1350876","Location")</f>
        <v>Location</v>
      </c>
      <c r="E4496" t="s">
        <v>38537</v>
      </c>
      <c r="F4496" t="s">
        <v>38538</v>
      </c>
      <c r="G4496" t="s">
        <v>1249</v>
      </c>
      <c r="H4496" t="s">
        <v>38539</v>
      </c>
      <c r="I4496" t="s">
        <v>451</v>
      </c>
      <c r="J4496" t="s">
        <v>22</v>
      </c>
      <c r="K4496" t="s">
        <v>25</v>
      </c>
      <c r="L4496" t="s">
        <v>38542</v>
      </c>
      <c r="M4496" t="s">
        <v>25</v>
      </c>
      <c r="N4496" t="s">
        <v>38543</v>
      </c>
      <c r="O4496" t="s">
        <v>38544</v>
      </c>
      <c r="P4496" t="s">
        <v>38545</v>
      </c>
      <c r="Q4496" t="s">
        <v>29</v>
      </c>
      <c r="R4496" t="s">
        <v>38540</v>
      </c>
      <c r="S4496" t="s">
        <v>38541</v>
      </c>
    </row>
    <row r="4497" spans="1:19" x14ac:dyDescent="0.25">
      <c r="A4497" s="1">
        <v>4495</v>
      </c>
      <c r="B4497" t="str">
        <f>HYPERLINK("https://www.dasschnelle.at/drechsler-gertrude-gesmbh-schwechat-schöffelgasse","Website")</f>
        <v>Website</v>
      </c>
      <c r="C4497" t="str">
        <f>HYPERLINK("http://www.drechsler-dach.com","Website")</f>
        <v>Website</v>
      </c>
      <c r="D4497" t="str">
        <f>HYPERLINK("http://www.google.com/maps/place/48.14908,16.47918","Location")</f>
        <v>Location</v>
      </c>
      <c r="E4497" t="s">
        <v>38546</v>
      </c>
      <c r="F4497" t="s">
        <v>38547</v>
      </c>
      <c r="G4497" t="s">
        <v>9769</v>
      </c>
      <c r="H4497" t="s">
        <v>9770</v>
      </c>
      <c r="I4497" t="s">
        <v>177</v>
      </c>
      <c r="J4497" t="s">
        <v>22</v>
      </c>
      <c r="K4497" t="s">
        <v>38548</v>
      </c>
      <c r="L4497" t="s">
        <v>38551</v>
      </c>
      <c r="M4497" t="s">
        <v>25</v>
      </c>
      <c r="N4497" t="s">
        <v>38552</v>
      </c>
      <c r="O4497" t="s">
        <v>38553</v>
      </c>
      <c r="P4497" t="s">
        <v>38554</v>
      </c>
      <c r="Q4497" t="s">
        <v>29</v>
      </c>
      <c r="R4497" t="s">
        <v>38549</v>
      </c>
      <c r="S4497" t="s">
        <v>38550</v>
      </c>
    </row>
    <row r="4498" spans="1:19" x14ac:dyDescent="0.25">
      <c r="A4498" s="1">
        <v>4496</v>
      </c>
      <c r="B4498" t="str">
        <f>HYPERLINK("https://www.dasschnelle.at/schwillinsky-helmut-gesmbh-schwechat-römerstraße","Website")</f>
        <v>Website</v>
      </c>
      <c r="C4498" t="str">
        <f>HYPERLINK("http://www.saubermax.com","Website")</f>
        <v>Website</v>
      </c>
      <c r="D4498" t="str">
        <f>HYPERLINK("http://www.google.com/maps/place/48.14725,16.51305","Location")</f>
        <v>Location</v>
      </c>
      <c r="E4498" t="s">
        <v>38555</v>
      </c>
      <c r="F4498" t="s">
        <v>38556</v>
      </c>
      <c r="G4498" t="s">
        <v>9769</v>
      </c>
      <c r="H4498" t="s">
        <v>9770</v>
      </c>
      <c r="I4498" t="s">
        <v>177</v>
      </c>
      <c r="J4498" t="s">
        <v>22</v>
      </c>
      <c r="K4498" t="s">
        <v>38557</v>
      </c>
      <c r="L4498" t="s">
        <v>38560</v>
      </c>
      <c r="M4498" t="s">
        <v>25</v>
      </c>
      <c r="N4498" t="s">
        <v>38561</v>
      </c>
      <c r="O4498" t="s">
        <v>38562</v>
      </c>
      <c r="P4498" t="s">
        <v>38563</v>
      </c>
      <c r="Q4498" t="s">
        <v>29</v>
      </c>
      <c r="R4498" t="s">
        <v>38558</v>
      </c>
      <c r="S4498" t="s">
        <v>38559</v>
      </c>
    </row>
    <row r="4499" spans="1:19" x14ac:dyDescent="0.25">
      <c r="A4499" s="1">
        <v>4497</v>
      </c>
      <c r="B4499" t="str">
        <f>HYPERLINK("https://www.dasschnelle.at/mersudin-und-ensudin-köflach-kleinwöllmiß","Website")</f>
        <v>Website</v>
      </c>
      <c r="C4499" t="str">
        <f>HYPERLINK("http://www.poparic.at","Website")</f>
        <v>Website</v>
      </c>
      <c r="D4499" t="str">
        <f>HYPERLINK("http://www.google.com/maps/place/47.0285866,15.1309662","Location")</f>
        <v>Location</v>
      </c>
      <c r="E4499" t="s">
        <v>38564</v>
      </c>
      <c r="F4499" t="s">
        <v>38565</v>
      </c>
      <c r="G4499" t="s">
        <v>4582</v>
      </c>
      <c r="H4499" t="s">
        <v>4583</v>
      </c>
      <c r="I4499" t="s">
        <v>451</v>
      </c>
      <c r="J4499" t="s">
        <v>22</v>
      </c>
      <c r="K4499" t="s">
        <v>38566</v>
      </c>
      <c r="L4499" t="s">
        <v>38569</v>
      </c>
      <c r="M4499" t="s">
        <v>25</v>
      </c>
      <c r="N4499" t="s">
        <v>38570</v>
      </c>
      <c r="O4499" t="s">
        <v>25</v>
      </c>
      <c r="P4499" t="s">
        <v>38571</v>
      </c>
      <c r="Q4499" t="s">
        <v>29</v>
      </c>
      <c r="R4499" t="s">
        <v>38567</v>
      </c>
      <c r="S4499" t="s">
        <v>38568</v>
      </c>
    </row>
    <row r="4500" spans="1:19" x14ac:dyDescent="0.25">
      <c r="A4500" s="1">
        <v>4498</v>
      </c>
      <c r="B4500" t="str">
        <f>HYPERLINK("https://www.dasschnelle.at/k7-bau-gmbh-saxen-hofkirchen","Website")</f>
        <v>Website</v>
      </c>
      <c r="C4500" t="str">
        <f>HYPERLINK("http://www.tdhausbau.at","Website")</f>
        <v>Website</v>
      </c>
      <c r="D4500" t="str">
        <f>HYPERLINK("http://www.google.com/maps/place/48.2042519,14.7983836","Location")</f>
        <v>Location</v>
      </c>
      <c r="E4500" t="s">
        <v>38572</v>
      </c>
      <c r="F4500" t="s">
        <v>38573</v>
      </c>
      <c r="G4500" t="s">
        <v>30522</v>
      </c>
      <c r="H4500" t="s">
        <v>30523</v>
      </c>
      <c r="I4500" t="s">
        <v>85</v>
      </c>
      <c r="J4500" t="s">
        <v>22</v>
      </c>
      <c r="K4500" t="s">
        <v>38574</v>
      </c>
      <c r="L4500" t="s">
        <v>38577</v>
      </c>
      <c r="M4500" t="s">
        <v>25</v>
      </c>
      <c r="N4500" t="s">
        <v>38578</v>
      </c>
      <c r="O4500" t="s">
        <v>25</v>
      </c>
      <c r="P4500" t="s">
        <v>38579</v>
      </c>
      <c r="Q4500" t="s">
        <v>29</v>
      </c>
      <c r="R4500" t="s">
        <v>38575</v>
      </c>
      <c r="S4500" t="s">
        <v>38576</v>
      </c>
    </row>
    <row r="4501" spans="1:19" x14ac:dyDescent="0.25">
      <c r="A4501" s="1">
        <v>4499</v>
      </c>
      <c r="B4501" t="str">
        <f>HYPERLINK("https://www.dasschnelle.at/laky-putz-e-u-asten-raffelstettner-straße","Website")</f>
        <v>Website</v>
      </c>
      <c r="C4501" t="str">
        <f>HYPERLINK("http://www.lakyputz.com","Website")</f>
        <v>Website</v>
      </c>
      <c r="D4501" t="str">
        <f>HYPERLINK("http://www.google.com/maps/place/48.2381581,14.4040721","Location")</f>
        <v>Location</v>
      </c>
      <c r="E4501" t="s">
        <v>38580</v>
      </c>
      <c r="F4501" t="s">
        <v>38581</v>
      </c>
      <c r="G4501" t="s">
        <v>3333</v>
      </c>
      <c r="H4501" t="s">
        <v>3334</v>
      </c>
      <c r="I4501" t="s">
        <v>85</v>
      </c>
      <c r="J4501" t="s">
        <v>22</v>
      </c>
      <c r="K4501" t="s">
        <v>38582</v>
      </c>
      <c r="L4501" t="s">
        <v>38585</v>
      </c>
      <c r="M4501" t="s">
        <v>25</v>
      </c>
      <c r="N4501" t="s">
        <v>38586</v>
      </c>
      <c r="O4501" t="s">
        <v>38587</v>
      </c>
      <c r="P4501" t="s">
        <v>38588</v>
      </c>
      <c r="Q4501" t="s">
        <v>29</v>
      </c>
      <c r="R4501" t="s">
        <v>38583</v>
      </c>
      <c r="S4501" t="s">
        <v>38584</v>
      </c>
    </row>
    <row r="4502" spans="1:19" x14ac:dyDescent="0.25">
      <c r="A4502" s="1">
        <v>4500</v>
      </c>
      <c r="B4502" t="str">
        <f>HYPERLINK("https://www.dasschnelle.at/scharinger-gesmbh-sarleinsbach-altendorf","Website")</f>
        <v>Website</v>
      </c>
      <c r="C4502" t="str">
        <f>HYPERLINK("http://www.scharingerbau.at","Website")</f>
        <v>Website</v>
      </c>
      <c r="D4502" t="str">
        <f>HYPERLINK("http://www.google.com/maps/place/48.5419979,13.9041363","Location")</f>
        <v>Location</v>
      </c>
      <c r="E4502" t="s">
        <v>38589</v>
      </c>
      <c r="F4502" t="s">
        <v>38590</v>
      </c>
      <c r="G4502" t="s">
        <v>35492</v>
      </c>
      <c r="H4502" t="s">
        <v>35493</v>
      </c>
      <c r="I4502" t="s">
        <v>85</v>
      </c>
      <c r="J4502" t="s">
        <v>22</v>
      </c>
      <c r="K4502" t="s">
        <v>38591</v>
      </c>
      <c r="L4502" t="s">
        <v>38594</v>
      </c>
      <c r="M4502" t="s">
        <v>25</v>
      </c>
      <c r="N4502" t="s">
        <v>38595</v>
      </c>
      <c r="O4502" t="s">
        <v>25</v>
      </c>
      <c r="P4502" t="s">
        <v>38596</v>
      </c>
      <c r="Q4502" t="s">
        <v>29</v>
      </c>
      <c r="R4502" t="s">
        <v>38592</v>
      </c>
      <c r="S4502" t="s">
        <v>38593</v>
      </c>
    </row>
    <row r="4503" spans="1:19" x14ac:dyDescent="0.25">
      <c r="A4503" s="1">
        <v>4501</v>
      </c>
      <c r="B4503" t="str">
        <f>HYPERLINK("https://www.dasschnelle.at/jauker-gmbh-und-co-kg-spar-markt-aigen-schlägl-schlägler-hauptstraße","Website")</f>
        <v>Website</v>
      </c>
      <c r="C4503" t="str">
        <f>HYPERLINK("http://www.jauker.at","Website")</f>
        <v>Website</v>
      </c>
      <c r="D4503" t="str">
        <f>HYPERLINK("http://www.google.com/maps/place/48.63573,13.96376","Location")</f>
        <v>Location</v>
      </c>
      <c r="E4503" t="s">
        <v>38597</v>
      </c>
      <c r="F4503" t="s">
        <v>38598</v>
      </c>
      <c r="G4503" t="s">
        <v>8581</v>
      </c>
      <c r="H4503" t="s">
        <v>8582</v>
      </c>
      <c r="I4503" t="s">
        <v>85</v>
      </c>
      <c r="J4503" t="s">
        <v>22</v>
      </c>
      <c r="K4503" t="s">
        <v>8617</v>
      </c>
      <c r="L4503" t="s">
        <v>38599</v>
      </c>
      <c r="M4503" t="s">
        <v>25</v>
      </c>
      <c r="N4503" t="s">
        <v>38600</v>
      </c>
      <c r="O4503" t="s">
        <v>25</v>
      </c>
      <c r="P4503" t="s">
        <v>38601</v>
      </c>
      <c r="Q4503" t="s">
        <v>29</v>
      </c>
      <c r="R4503" t="s">
        <v>8618</v>
      </c>
      <c r="S4503" t="s">
        <v>8619</v>
      </c>
    </row>
    <row r="4504" spans="1:19" x14ac:dyDescent="0.25">
      <c r="A4504" s="1">
        <v>4502</v>
      </c>
      <c r="B4504" t="str">
        <f>HYPERLINK("https://www.dasschnelle.at/schinagl-michael-rohrbach-berg-bahnhofstrasse","Website")</f>
        <v>Website</v>
      </c>
      <c r="C4504" t="str">
        <f>HYPERLINK("http://www.michael-schinagl.at","Website")</f>
        <v>Website</v>
      </c>
      <c r="D4504" t="str">
        <f>HYPERLINK("http://www.google.com/maps/place/48.5789737,13.9895474","Location")</f>
        <v>Location</v>
      </c>
      <c r="E4504" t="s">
        <v>38602</v>
      </c>
      <c r="F4504" t="s">
        <v>38603</v>
      </c>
      <c r="G4504" t="s">
        <v>8561</v>
      </c>
      <c r="H4504" t="s">
        <v>8660</v>
      </c>
      <c r="I4504" t="s">
        <v>85</v>
      </c>
      <c r="J4504" t="s">
        <v>22</v>
      </c>
      <c r="K4504" t="s">
        <v>38604</v>
      </c>
      <c r="L4504" t="s">
        <v>38607</v>
      </c>
      <c r="M4504" t="s">
        <v>25</v>
      </c>
      <c r="N4504" t="s">
        <v>38608</v>
      </c>
      <c r="O4504" t="s">
        <v>25</v>
      </c>
      <c r="P4504" t="s">
        <v>38609</v>
      </c>
      <c r="Q4504" t="s">
        <v>29</v>
      </c>
      <c r="R4504" t="s">
        <v>38605</v>
      </c>
      <c r="S4504" t="s">
        <v>38606</v>
      </c>
    </row>
    <row r="4505" spans="1:19" x14ac:dyDescent="0.25">
      <c r="A4505" s="1">
        <v>4503</v>
      </c>
      <c r="B4505" t="str">
        <f>HYPERLINK("https://www.dasschnelle.at/weinbauer-christian-dr-grieskirchen-wagnleithnerstraße","Website")</f>
        <v>Website</v>
      </c>
      <c r="C4505" t="str">
        <f>HYPERLINK("http://www.kinderundjugendarzt.at","Website")</f>
        <v>Website</v>
      </c>
      <c r="D4505" t="str">
        <f>HYPERLINK("http://www.google.com/maps/place/48.23666,13.82333","Location")</f>
        <v>Location</v>
      </c>
      <c r="E4505" t="s">
        <v>38610</v>
      </c>
      <c r="F4505" t="s">
        <v>38611</v>
      </c>
      <c r="G4505" t="s">
        <v>4826</v>
      </c>
      <c r="H4505" t="s">
        <v>4827</v>
      </c>
      <c r="I4505" t="s">
        <v>85</v>
      </c>
      <c r="J4505" t="s">
        <v>22</v>
      </c>
      <c r="K4505" t="s">
        <v>38612</v>
      </c>
      <c r="L4505" t="s">
        <v>38615</v>
      </c>
      <c r="M4505" t="s">
        <v>25</v>
      </c>
      <c r="N4505" t="s">
        <v>38616</v>
      </c>
      <c r="O4505" t="s">
        <v>25</v>
      </c>
      <c r="P4505" t="s">
        <v>38617</v>
      </c>
      <c r="Q4505" t="s">
        <v>29</v>
      </c>
      <c r="R4505" t="s">
        <v>38613</v>
      </c>
      <c r="S4505" t="s">
        <v>38614</v>
      </c>
    </row>
    <row r="4506" spans="1:19" x14ac:dyDescent="0.25">
      <c r="A4506" s="1">
        <v>4504</v>
      </c>
      <c r="B4506" t="str">
        <f>HYPERLINK("https://www.dasschnelle.at/szerva-steuerberatung-gmbh-und-co-kg-ried-im-innkreis-wildfellnerstraße","Website")</f>
        <v>Website</v>
      </c>
      <c r="C4506" t="str">
        <f>HYPERLINK("http://www.szerva-beratung.at","Website")</f>
        <v>Website</v>
      </c>
      <c r="D4506" t="str">
        <f>HYPERLINK("http://www.google.com/maps/place/48.21134,13.48438","Location")</f>
        <v>Location</v>
      </c>
      <c r="E4506" t="s">
        <v>38618</v>
      </c>
      <c r="F4506" t="s">
        <v>38619</v>
      </c>
      <c r="G4506" t="s">
        <v>6245</v>
      </c>
      <c r="H4506" t="s">
        <v>6267</v>
      </c>
      <c r="I4506" t="s">
        <v>85</v>
      </c>
      <c r="J4506" t="s">
        <v>22</v>
      </c>
      <c r="K4506" t="s">
        <v>38620</v>
      </c>
      <c r="L4506" t="s">
        <v>38623</v>
      </c>
      <c r="M4506" t="s">
        <v>25</v>
      </c>
      <c r="N4506" t="s">
        <v>38624</v>
      </c>
      <c r="O4506" t="s">
        <v>38625</v>
      </c>
      <c r="P4506" t="s">
        <v>38626</v>
      </c>
      <c r="Q4506" t="s">
        <v>29</v>
      </c>
      <c r="R4506" t="s">
        <v>38621</v>
      </c>
      <c r="S4506" t="s">
        <v>38622</v>
      </c>
    </row>
    <row r="4507" spans="1:19" x14ac:dyDescent="0.25">
      <c r="A4507" s="1">
        <v>4505</v>
      </c>
      <c r="B4507" t="str">
        <f>HYPERLINK("https://www.dasschnelle.at/pensold-gmbh-liezen-salzburger-straße","Website")</f>
        <v>Website</v>
      </c>
      <c r="C4507" t="str">
        <f>HYPERLINK("http://www.pensold-fenster.at","Website")</f>
        <v>Website</v>
      </c>
      <c r="D4507" t="str">
        <f>HYPERLINK("http://www.google.com/maps/place/47.56824,14.22989","Location")</f>
        <v>Location</v>
      </c>
      <c r="E4507" t="s">
        <v>38627</v>
      </c>
      <c r="F4507" t="s">
        <v>38628</v>
      </c>
      <c r="G4507" t="s">
        <v>1095</v>
      </c>
      <c r="H4507" t="s">
        <v>1096</v>
      </c>
      <c r="I4507" t="s">
        <v>451</v>
      </c>
      <c r="J4507" t="s">
        <v>22</v>
      </c>
      <c r="K4507" t="s">
        <v>38629</v>
      </c>
      <c r="L4507" t="s">
        <v>38632</v>
      </c>
      <c r="M4507" t="s">
        <v>38633</v>
      </c>
      <c r="N4507" t="s">
        <v>38634</v>
      </c>
      <c r="O4507" t="s">
        <v>38635</v>
      </c>
      <c r="P4507" t="s">
        <v>38636</v>
      </c>
      <c r="Q4507" t="s">
        <v>29</v>
      </c>
      <c r="R4507" t="s">
        <v>38630</v>
      </c>
      <c r="S4507" t="s">
        <v>38631</v>
      </c>
    </row>
    <row r="4508" spans="1:19" x14ac:dyDescent="0.25">
      <c r="A4508" s="1">
        <v>4506</v>
      </c>
      <c r="B4508" t="str">
        <f>HYPERLINK("https://www.dasschnelle.at/schlossapotheke-ebergassing-mag-pharm-norbert-meixner-e-u-ebergassing-himberger-straße","Website")</f>
        <v>Website</v>
      </c>
      <c r="C4508" t="str">
        <f>HYPERLINK("http://apotheke-ebergassing.at","Website")</f>
        <v>Website</v>
      </c>
      <c r="D4508" t="str">
        <f>HYPERLINK("http://www.google.com/maps/place/48.04599,16.51876","Location")</f>
        <v>Location</v>
      </c>
      <c r="E4508" t="s">
        <v>38637</v>
      </c>
      <c r="F4508" t="s">
        <v>38638</v>
      </c>
      <c r="G4508" t="s">
        <v>9748</v>
      </c>
      <c r="H4508" t="s">
        <v>34945</v>
      </c>
      <c r="I4508" t="s">
        <v>177</v>
      </c>
      <c r="J4508" t="s">
        <v>22</v>
      </c>
      <c r="K4508" t="s">
        <v>38639</v>
      </c>
      <c r="L4508" t="s">
        <v>38642</v>
      </c>
      <c r="M4508" t="s">
        <v>25</v>
      </c>
      <c r="N4508" t="s">
        <v>38643</v>
      </c>
      <c r="O4508" t="s">
        <v>25</v>
      </c>
      <c r="P4508" t="s">
        <v>38644</v>
      </c>
      <c r="Q4508" t="s">
        <v>29</v>
      </c>
      <c r="R4508" t="s">
        <v>38640</v>
      </c>
      <c r="S4508" t="s">
        <v>38641</v>
      </c>
    </row>
    <row r="4509" spans="1:19" x14ac:dyDescent="0.25">
      <c r="A4509" s="1">
        <v>4507</v>
      </c>
      <c r="B4509" t="str">
        <f>HYPERLINK("https://www.dasschnelle.at/geigl-thomas-dr-med-ried-im-innkreis-schärdinger-straße","Website")</f>
        <v>Website</v>
      </c>
      <c r="C4509" t="str">
        <f>HYPERLINK("http://www.geigl.at","Website")</f>
        <v>Website</v>
      </c>
      <c r="D4509" t="str">
        <f>HYPERLINK("http://www.google.com/maps/place/48.21329,13.48434","Location")</f>
        <v>Location</v>
      </c>
      <c r="E4509" t="s">
        <v>38645</v>
      </c>
      <c r="F4509" t="s">
        <v>38646</v>
      </c>
      <c r="G4509" t="s">
        <v>6245</v>
      </c>
      <c r="H4509" t="s">
        <v>6267</v>
      </c>
      <c r="I4509" t="s">
        <v>85</v>
      </c>
      <c r="J4509" t="s">
        <v>22</v>
      </c>
      <c r="K4509" t="s">
        <v>38647</v>
      </c>
      <c r="L4509" t="s">
        <v>38650</v>
      </c>
      <c r="M4509" t="s">
        <v>25</v>
      </c>
      <c r="N4509" t="s">
        <v>38651</v>
      </c>
      <c r="O4509" t="s">
        <v>25</v>
      </c>
      <c r="P4509" t="s">
        <v>38652</v>
      </c>
      <c r="Q4509" t="s">
        <v>29</v>
      </c>
      <c r="R4509" t="s">
        <v>38648</v>
      </c>
      <c r="S4509" t="s">
        <v>38649</v>
      </c>
    </row>
    <row r="4510" spans="1:19" x14ac:dyDescent="0.25">
      <c r="A4510" s="1">
        <v>4508</v>
      </c>
      <c r="B4510" t="str">
        <f>HYPERLINK("https://www.dasschnelle.at/vps-pauzenberger-gmbh-bad-hall-hauptplatz","Website")</f>
        <v>Website</v>
      </c>
      <c r="C4510" t="str">
        <f>HYPERLINK("http://www.vps-pauzenberger.at","Website")</f>
        <v>Website</v>
      </c>
      <c r="D4510" t="str">
        <f>HYPERLINK("http://www.google.com/maps/place/48.0351,14.208","Location")</f>
        <v>Location</v>
      </c>
      <c r="E4510" t="s">
        <v>38653</v>
      </c>
      <c r="F4510" t="s">
        <v>38654</v>
      </c>
      <c r="G4510" t="s">
        <v>2280</v>
      </c>
      <c r="H4510" t="s">
        <v>2281</v>
      </c>
      <c r="I4510" t="s">
        <v>85</v>
      </c>
      <c r="J4510" t="s">
        <v>22</v>
      </c>
      <c r="K4510" t="s">
        <v>38655</v>
      </c>
      <c r="L4510" t="s">
        <v>38658</v>
      </c>
      <c r="M4510" t="s">
        <v>25</v>
      </c>
      <c r="N4510" t="s">
        <v>38659</v>
      </c>
      <c r="O4510" t="s">
        <v>38660</v>
      </c>
      <c r="P4510" t="s">
        <v>38661</v>
      </c>
      <c r="Q4510" t="s">
        <v>29</v>
      </c>
      <c r="R4510" t="s">
        <v>38656</v>
      </c>
      <c r="S4510" t="s">
        <v>38657</v>
      </c>
    </row>
    <row r="4511" spans="1:19" x14ac:dyDescent="0.25">
      <c r="A4511" s="1">
        <v>4509</v>
      </c>
      <c r="B4511" t="str">
        <f>HYPERLINK("https://www.dasschnelle.at/dr-med-dent-alwin-bleckenwegner-aspach-mettmacher-str","Website")</f>
        <v>Website</v>
      </c>
      <c r="C4511" t="str">
        <f>HYPERLINK("http://www.zahnarzt-bleckenwegner.at","Website")</f>
        <v>Website</v>
      </c>
      <c r="D4511" t="str">
        <f>HYPERLINK("http://www.google.com/maps/place/48.1838100,13.3086400","Location")</f>
        <v>Location</v>
      </c>
      <c r="E4511" t="s">
        <v>38662</v>
      </c>
      <c r="F4511" t="s">
        <v>38663</v>
      </c>
      <c r="G4511" t="s">
        <v>1395</v>
      </c>
      <c r="H4511" t="s">
        <v>1396</v>
      </c>
      <c r="I4511" t="s">
        <v>85</v>
      </c>
      <c r="J4511" t="s">
        <v>22</v>
      </c>
      <c r="K4511" t="s">
        <v>38664</v>
      </c>
      <c r="L4511" t="s">
        <v>38667</v>
      </c>
      <c r="M4511" t="s">
        <v>25</v>
      </c>
      <c r="N4511" t="s">
        <v>38668</v>
      </c>
      <c r="O4511" t="s">
        <v>38669</v>
      </c>
      <c r="P4511" t="s">
        <v>38670</v>
      </c>
      <c r="Q4511" t="s">
        <v>29</v>
      </c>
      <c r="R4511" t="s">
        <v>38665</v>
      </c>
      <c r="S4511" t="s">
        <v>38666</v>
      </c>
    </row>
    <row r="4512" spans="1:19" x14ac:dyDescent="0.25">
      <c r="A4512" s="1">
        <v>4510</v>
      </c>
      <c r="B4512" t="str">
        <f>HYPERLINK("https://www.dasschnelle.at/zangrando-mario-dr-schwechat-hauptplatz","Website")</f>
        <v>Website</v>
      </c>
      <c r="C4512" t="str">
        <f>HYPERLINK("http://www.internist-schwechat.at","Website")</f>
        <v>Website</v>
      </c>
      <c r="D4512" t="str">
        <f>HYPERLINK("http://www.google.com/maps/place/48.13986,16.47695","Location")</f>
        <v>Location</v>
      </c>
      <c r="E4512" t="s">
        <v>38671</v>
      </c>
      <c r="F4512" t="s">
        <v>38672</v>
      </c>
      <c r="G4512" t="s">
        <v>9769</v>
      </c>
      <c r="H4512" t="s">
        <v>9770</v>
      </c>
      <c r="I4512" t="s">
        <v>177</v>
      </c>
      <c r="J4512" t="s">
        <v>22</v>
      </c>
      <c r="K4512" t="s">
        <v>38673</v>
      </c>
      <c r="L4512" t="s">
        <v>38676</v>
      </c>
      <c r="M4512" t="s">
        <v>25</v>
      </c>
      <c r="N4512" t="s">
        <v>38677</v>
      </c>
      <c r="O4512" t="s">
        <v>25</v>
      </c>
      <c r="P4512" t="s">
        <v>38678</v>
      </c>
      <c r="Q4512" t="s">
        <v>29</v>
      </c>
      <c r="R4512" t="s">
        <v>38674</v>
      </c>
      <c r="S4512" t="s">
        <v>38675</v>
      </c>
    </row>
    <row r="4513" spans="1:19" x14ac:dyDescent="0.25">
      <c r="A4513" s="1">
        <v>4511</v>
      </c>
      <c r="B4513" t="str">
        <f>HYPERLINK("https://www.dasschnelle.at/müller-günther-julbach-mühltalstraße","Website")</f>
        <v>Website</v>
      </c>
      <c r="C4513" t="str">
        <f>HYPERLINK("https://www.dasschnelle.at/m%C3%BCller-g%C3%BCnther-julbach-m%C3%BChltalstra%C3%9Fe","Website")</f>
        <v>Website</v>
      </c>
      <c r="D4513" t="str">
        <f>HYPERLINK("http://www.google.com/maps/place/48.6490868,13.8715319","Location")</f>
        <v>Location</v>
      </c>
      <c r="E4513" t="s">
        <v>38679</v>
      </c>
      <c r="F4513" t="s">
        <v>38680</v>
      </c>
      <c r="G4513" t="s">
        <v>38682</v>
      </c>
      <c r="H4513" t="s">
        <v>38683</v>
      </c>
      <c r="I4513" t="s">
        <v>85</v>
      </c>
      <c r="J4513" t="s">
        <v>22</v>
      </c>
      <c r="K4513" t="s">
        <v>38681</v>
      </c>
      <c r="L4513" t="s">
        <v>38686</v>
      </c>
      <c r="M4513" t="s">
        <v>25</v>
      </c>
      <c r="N4513" t="s">
        <v>38687</v>
      </c>
      <c r="O4513" t="s">
        <v>25</v>
      </c>
      <c r="P4513" t="s">
        <v>38688</v>
      </c>
      <c r="Q4513" t="s">
        <v>29</v>
      </c>
      <c r="R4513" t="s">
        <v>38684</v>
      </c>
      <c r="S4513" t="s">
        <v>38685</v>
      </c>
    </row>
    <row r="4514" spans="1:19" x14ac:dyDescent="0.25">
      <c r="A4514" s="1">
        <v>4512</v>
      </c>
      <c r="B4514" t="str">
        <f>HYPERLINK("https://www.dasschnelle.at/hotel-gasthof-könig-kremsmünster-bahnhofstraße","Website")</f>
        <v>Website</v>
      </c>
      <c r="C4514" t="str">
        <f>HYPERLINK("http://www.gasthof-koenig.at","Website")</f>
        <v>Website</v>
      </c>
      <c r="D4514" t="str">
        <f>HYPERLINK("http://www.google.com/maps/place/48.05341,14.1402","Location")</f>
        <v>Location</v>
      </c>
      <c r="E4514" t="s">
        <v>38689</v>
      </c>
      <c r="F4514" t="s">
        <v>38690</v>
      </c>
      <c r="G4514" t="s">
        <v>9173</v>
      </c>
      <c r="H4514" t="s">
        <v>9174</v>
      </c>
      <c r="I4514" t="s">
        <v>85</v>
      </c>
      <c r="J4514" t="s">
        <v>22</v>
      </c>
      <c r="K4514" t="s">
        <v>38691</v>
      </c>
      <c r="L4514" t="s">
        <v>38694</v>
      </c>
      <c r="M4514" t="s">
        <v>25</v>
      </c>
      <c r="N4514" t="s">
        <v>38695</v>
      </c>
      <c r="O4514" t="s">
        <v>25</v>
      </c>
      <c r="P4514" t="s">
        <v>38696</v>
      </c>
      <c r="Q4514" t="s">
        <v>29</v>
      </c>
      <c r="R4514" t="s">
        <v>38692</v>
      </c>
      <c r="S4514" t="s">
        <v>38693</v>
      </c>
    </row>
    <row r="4515" spans="1:19" x14ac:dyDescent="0.25">
      <c r="A4515" s="1">
        <v>4513</v>
      </c>
      <c r="B4515" t="str">
        <f>HYPERLINK("https://www.dasschnelle.at/anton-matlas-gmbh-rauchegg-gersdorf","Website")</f>
        <v>Website</v>
      </c>
      <c r="C4515" t="str">
        <f>HYPERLINK("http://www.antonmatlas.at","Website")</f>
        <v>Website</v>
      </c>
      <c r="D4515" t="str">
        <f>HYPERLINK("http://www.google.com/maps/place/46.96898,15.25314","Location")</f>
        <v>Location</v>
      </c>
      <c r="E4515" t="s">
        <v>38697</v>
      </c>
      <c r="F4515" t="s">
        <v>38698</v>
      </c>
      <c r="G4515" t="s">
        <v>36760</v>
      </c>
      <c r="H4515" t="s">
        <v>38700</v>
      </c>
      <c r="I4515" t="s">
        <v>451</v>
      </c>
      <c r="J4515" t="s">
        <v>22</v>
      </c>
      <c r="K4515" t="s">
        <v>38699</v>
      </c>
      <c r="L4515" t="s">
        <v>38703</v>
      </c>
      <c r="M4515" t="s">
        <v>25</v>
      </c>
      <c r="N4515" t="s">
        <v>38704</v>
      </c>
      <c r="O4515" t="s">
        <v>25</v>
      </c>
      <c r="P4515" t="s">
        <v>38705</v>
      </c>
      <c r="Q4515" t="s">
        <v>29</v>
      </c>
      <c r="R4515" t="s">
        <v>38701</v>
      </c>
      <c r="S4515" t="s">
        <v>38702</v>
      </c>
    </row>
    <row r="4516" spans="1:19" x14ac:dyDescent="0.25">
      <c r="A4516" s="1">
        <v>4514</v>
      </c>
      <c r="B4516" t="str">
        <f>HYPERLINK("https://www.dasschnelle.at/immosigl-haslach-an-der-mühl-holstein","Website")</f>
        <v>Website</v>
      </c>
      <c r="C4516" t="str">
        <f>HYPERLINK("http://www.immosigl.at","Website")</f>
        <v>Website</v>
      </c>
      <c r="D4516" t="str">
        <f>HYPERLINK("http://www.google.com/maps/place/48.5739600,14.0515200","Location")</f>
        <v>Location</v>
      </c>
      <c r="E4516" t="s">
        <v>38706</v>
      </c>
      <c r="F4516" t="s">
        <v>38707</v>
      </c>
      <c r="G4516" t="s">
        <v>35103</v>
      </c>
      <c r="H4516" t="s">
        <v>35104</v>
      </c>
      <c r="I4516" t="s">
        <v>85</v>
      </c>
      <c r="J4516" t="s">
        <v>22</v>
      </c>
      <c r="K4516" t="s">
        <v>38708</v>
      </c>
      <c r="L4516" t="s">
        <v>38711</v>
      </c>
      <c r="M4516" t="s">
        <v>25</v>
      </c>
      <c r="N4516" t="s">
        <v>38712</v>
      </c>
      <c r="O4516" t="s">
        <v>38713</v>
      </c>
      <c r="P4516" t="s">
        <v>38714</v>
      </c>
      <c r="Q4516" t="s">
        <v>29</v>
      </c>
      <c r="R4516" t="s">
        <v>38709</v>
      </c>
      <c r="S4516" t="s">
        <v>38710</v>
      </c>
    </row>
    <row r="4517" spans="1:19" x14ac:dyDescent="0.25">
      <c r="A4517" s="1">
        <v>4515</v>
      </c>
      <c r="B4517" t="str">
        <f>HYPERLINK("https://www.dasschnelle.at/institut-zeileis-gesmbh-und-co-kg-gallspach-valentin-zeileis-straße","Website")</f>
        <v>Website</v>
      </c>
      <c r="C4517" t="str">
        <f>HYPERLINK("http://www.zeileis.at","Website")</f>
        <v>Website</v>
      </c>
      <c r="D4517" t="str">
        <f>HYPERLINK("http://www.google.com/maps/place/48.20669,13.81023","Location")</f>
        <v>Location</v>
      </c>
      <c r="E4517" t="s">
        <v>38715</v>
      </c>
      <c r="F4517" t="s">
        <v>38716</v>
      </c>
      <c r="G4517" t="s">
        <v>7365</v>
      </c>
      <c r="H4517" t="s">
        <v>7366</v>
      </c>
      <c r="I4517" t="s">
        <v>85</v>
      </c>
      <c r="J4517" t="s">
        <v>22</v>
      </c>
      <c r="K4517" t="s">
        <v>38717</v>
      </c>
      <c r="L4517" t="s">
        <v>38720</v>
      </c>
      <c r="M4517" t="s">
        <v>25</v>
      </c>
      <c r="N4517" t="s">
        <v>38721</v>
      </c>
      <c r="O4517" t="s">
        <v>25</v>
      </c>
      <c r="P4517" t="s">
        <v>38722</v>
      </c>
      <c r="Q4517" t="s">
        <v>29</v>
      </c>
      <c r="R4517" t="s">
        <v>38718</v>
      </c>
      <c r="S4517" t="s">
        <v>38719</v>
      </c>
    </row>
    <row r="4518" spans="1:19" x14ac:dyDescent="0.25">
      <c r="A4518" s="1">
        <v>4516</v>
      </c>
      <c r="B4518" t="str">
        <f>HYPERLINK("https://www.dasschnelle.at/schwarz-roland-dr-ried-im-innkreis-wildfellnerstraße","Website")</f>
        <v>Website</v>
      </c>
      <c r="C4518" t="str">
        <f>HYPERLINK("http://www.roland-schwarz.at","Website")</f>
        <v>Website</v>
      </c>
      <c r="D4518" t="str">
        <f>HYPERLINK("http://www.google.com/maps/place/48.21147,13.48371","Location")</f>
        <v>Location</v>
      </c>
      <c r="E4518" t="s">
        <v>38723</v>
      </c>
      <c r="F4518" t="s">
        <v>38724</v>
      </c>
      <c r="G4518" t="s">
        <v>6245</v>
      </c>
      <c r="H4518" t="s">
        <v>6267</v>
      </c>
      <c r="I4518" t="s">
        <v>85</v>
      </c>
      <c r="J4518" t="s">
        <v>22</v>
      </c>
      <c r="K4518" t="s">
        <v>38725</v>
      </c>
      <c r="L4518" t="s">
        <v>38728</v>
      </c>
      <c r="M4518" t="s">
        <v>25</v>
      </c>
      <c r="N4518" t="s">
        <v>38729</v>
      </c>
      <c r="O4518" t="s">
        <v>25</v>
      </c>
      <c r="P4518" t="s">
        <v>38730</v>
      </c>
      <c r="Q4518" t="s">
        <v>29</v>
      </c>
      <c r="R4518" t="s">
        <v>38726</v>
      </c>
      <c r="S4518" t="s">
        <v>38727</v>
      </c>
    </row>
    <row r="4519" spans="1:19" x14ac:dyDescent="0.25">
      <c r="A4519" s="1">
        <v>4517</v>
      </c>
      <c r="B4519" t="str">
        <f>HYPERLINK("https://www.dasschnelle.at/putscher-christian-mag-tumeltsham-höhenweg","Website")</f>
        <v>Website</v>
      </c>
      <c r="C4519" t="str">
        <f>HYPERLINK("http://www.christianputscher.at","Website")</f>
        <v>Website</v>
      </c>
      <c r="D4519" t="str">
        <f>HYPERLINK("http://www.google.com/maps/place/48.2316,13.50031","Location")</f>
        <v>Location</v>
      </c>
      <c r="E4519" t="s">
        <v>38731</v>
      </c>
      <c r="F4519" t="s">
        <v>38732</v>
      </c>
      <c r="G4519" t="s">
        <v>37821</v>
      </c>
      <c r="H4519" t="s">
        <v>37822</v>
      </c>
      <c r="I4519" t="s">
        <v>85</v>
      </c>
      <c r="J4519" t="s">
        <v>22</v>
      </c>
      <c r="K4519" t="s">
        <v>38733</v>
      </c>
      <c r="L4519" t="s">
        <v>38736</v>
      </c>
      <c r="M4519" t="s">
        <v>25</v>
      </c>
      <c r="N4519" t="s">
        <v>38737</v>
      </c>
      <c r="O4519" t="s">
        <v>25</v>
      </c>
      <c r="P4519" t="s">
        <v>38738</v>
      </c>
      <c r="Q4519" t="s">
        <v>29</v>
      </c>
      <c r="R4519" t="s">
        <v>38734</v>
      </c>
      <c r="S4519" t="s">
        <v>38735</v>
      </c>
    </row>
    <row r="4520" spans="1:19" x14ac:dyDescent="0.25">
      <c r="A4520" s="1">
        <v>4518</v>
      </c>
      <c r="B4520" t="str">
        <f>HYPERLINK("https://www.dasschnelle.at/tanzmeister-walter-bad-aussee-bahnhofstraße","Website")</f>
        <v>Website</v>
      </c>
      <c r="C4520" t="str">
        <f>HYPERLINK("http://www.tanzmeister.at","Website")</f>
        <v>Website</v>
      </c>
      <c r="D4520" t="str">
        <f>HYPERLINK("http://www.google.com/maps/place/47.60113,13.78281","Location")</f>
        <v>Location</v>
      </c>
      <c r="E4520" t="s">
        <v>38739</v>
      </c>
      <c r="F4520" t="s">
        <v>38740</v>
      </c>
      <c r="G4520" t="s">
        <v>1195</v>
      </c>
      <c r="H4520" t="s">
        <v>1196</v>
      </c>
      <c r="I4520" t="s">
        <v>451</v>
      </c>
      <c r="J4520" t="s">
        <v>22</v>
      </c>
      <c r="K4520" t="s">
        <v>33200</v>
      </c>
      <c r="L4520" t="s">
        <v>38743</v>
      </c>
      <c r="M4520" t="s">
        <v>38744</v>
      </c>
      <c r="N4520" t="s">
        <v>38745</v>
      </c>
      <c r="O4520" t="s">
        <v>38746</v>
      </c>
      <c r="P4520" t="s">
        <v>38747</v>
      </c>
      <c r="Q4520" t="s">
        <v>29</v>
      </c>
      <c r="R4520" t="s">
        <v>38741</v>
      </c>
      <c r="S4520" t="s">
        <v>38742</v>
      </c>
    </row>
    <row r="4521" spans="1:19" x14ac:dyDescent="0.25">
      <c r="A4521" s="1">
        <v>4519</v>
      </c>
      <c r="B4521" t="str">
        <f>HYPERLINK("https://www.dasschnelle.at/pühringer-gerhard-neuzeug-steyrtalstraße","Website")</f>
        <v>Website</v>
      </c>
      <c r="C4521" t="str">
        <f>HYPERLINK("http://www.puehringer-stein.at","Website")</f>
        <v>Website</v>
      </c>
      <c r="D4521" t="str">
        <f>HYPERLINK("http://www.google.com/maps/place/48.04544,14.33205","Location")</f>
        <v>Location</v>
      </c>
      <c r="E4521" t="s">
        <v>38748</v>
      </c>
      <c r="F4521" t="s">
        <v>38749</v>
      </c>
      <c r="G4521" t="s">
        <v>11109</v>
      </c>
      <c r="H4521" t="s">
        <v>11110</v>
      </c>
      <c r="I4521" t="s">
        <v>85</v>
      </c>
      <c r="J4521" t="s">
        <v>22</v>
      </c>
      <c r="K4521" t="s">
        <v>38750</v>
      </c>
      <c r="L4521" t="s">
        <v>38753</v>
      </c>
      <c r="M4521" t="s">
        <v>25</v>
      </c>
      <c r="N4521" t="s">
        <v>38754</v>
      </c>
      <c r="O4521" t="s">
        <v>25</v>
      </c>
      <c r="P4521" t="s">
        <v>38755</v>
      </c>
      <c r="Q4521" t="s">
        <v>29</v>
      </c>
      <c r="R4521" t="s">
        <v>38751</v>
      </c>
      <c r="S4521" t="s">
        <v>38752</v>
      </c>
    </row>
    <row r="4522" spans="1:19" x14ac:dyDescent="0.25">
      <c r="A4522" s="1">
        <v>4520</v>
      </c>
      <c r="B4522" t="str">
        <f>HYPERLINK("https://www.dasschnelle.at/moser-hannes-krakaudorf","Website")</f>
        <v>Website</v>
      </c>
      <c r="C4522" t="str">
        <f>HYPERLINK("http://www.malermeister-hannesmoser.at","Website")</f>
        <v>Website</v>
      </c>
      <c r="D4522" t="str">
        <f>HYPERLINK("http://www.google.com/maps/place/47.1858647,14.0162721","Location")</f>
        <v>Location</v>
      </c>
      <c r="E4522" t="s">
        <v>38756</v>
      </c>
      <c r="F4522" t="s">
        <v>38757</v>
      </c>
      <c r="G4522" t="s">
        <v>12039</v>
      </c>
      <c r="H4522" t="s">
        <v>37007</v>
      </c>
      <c r="I4522" t="s">
        <v>451</v>
      </c>
      <c r="J4522" t="s">
        <v>22</v>
      </c>
      <c r="K4522" t="s">
        <v>25</v>
      </c>
      <c r="L4522" t="s">
        <v>38760</v>
      </c>
      <c r="M4522" t="s">
        <v>25</v>
      </c>
      <c r="N4522" t="s">
        <v>38761</v>
      </c>
      <c r="O4522" t="s">
        <v>38762</v>
      </c>
      <c r="P4522" t="s">
        <v>38763</v>
      </c>
      <c r="Q4522" t="s">
        <v>29</v>
      </c>
      <c r="R4522" t="s">
        <v>38758</v>
      </c>
      <c r="S4522" t="s">
        <v>38759</v>
      </c>
    </row>
    <row r="4523" spans="1:19" x14ac:dyDescent="0.25">
      <c r="A4523" s="1">
        <v>4521</v>
      </c>
      <c r="B4523" t="str">
        <f>HYPERLINK("https://www.dasschnelle.at/bögl-zimmerei-st-marienkirchen-am-hausruck-kleinbach","Website")</f>
        <v>Website</v>
      </c>
      <c r="C4523" t="str">
        <f>HYPERLINK("http://www.zimmerei-boegl.at","Website")</f>
        <v>Website</v>
      </c>
      <c r="D4523" t="str">
        <f>HYPERLINK("http://www.google.com/maps/place/48.1786501,13.5779085","Location")</f>
        <v>Location</v>
      </c>
      <c r="E4523" t="s">
        <v>38764</v>
      </c>
      <c r="F4523" t="s">
        <v>38765</v>
      </c>
      <c r="G4523" t="s">
        <v>37688</v>
      </c>
      <c r="H4523" t="s">
        <v>37928</v>
      </c>
      <c r="I4523" t="s">
        <v>85</v>
      </c>
      <c r="J4523" t="s">
        <v>22</v>
      </c>
      <c r="K4523" t="s">
        <v>38766</v>
      </c>
      <c r="L4523" t="s">
        <v>38769</v>
      </c>
      <c r="M4523" t="s">
        <v>38770</v>
      </c>
      <c r="N4523" t="s">
        <v>38771</v>
      </c>
      <c r="O4523" t="s">
        <v>25</v>
      </c>
      <c r="P4523" t="s">
        <v>38772</v>
      </c>
      <c r="Q4523" t="s">
        <v>29</v>
      </c>
      <c r="R4523" t="s">
        <v>38767</v>
      </c>
      <c r="S4523" t="s">
        <v>38768</v>
      </c>
    </row>
    <row r="4524" spans="1:19" x14ac:dyDescent="0.25">
      <c r="A4524" s="1">
        <v>4522</v>
      </c>
      <c r="B4524" t="str">
        <f>HYPERLINK("https://www.dasschnelle.at/bürkl-franz-ort-im-innkreis-osternach","Website")</f>
        <v>Website</v>
      </c>
      <c r="C4524" t="str">
        <f>HYPERLINK("http://www.ofenbau-buerkl.at","Website")</f>
        <v>Website</v>
      </c>
      <c r="D4524" t="str">
        <f>HYPERLINK("http://www.google.com/maps/place/48.3087885,13.4478326","Location")</f>
        <v>Location</v>
      </c>
      <c r="E4524" t="s">
        <v>38773</v>
      </c>
      <c r="F4524" t="s">
        <v>38774</v>
      </c>
      <c r="G4524" t="s">
        <v>6352</v>
      </c>
      <c r="H4524" t="s">
        <v>6353</v>
      </c>
      <c r="I4524" t="s">
        <v>85</v>
      </c>
      <c r="J4524" t="s">
        <v>22</v>
      </c>
      <c r="K4524" t="s">
        <v>38775</v>
      </c>
      <c r="L4524" t="s">
        <v>38778</v>
      </c>
      <c r="M4524" t="s">
        <v>25</v>
      </c>
      <c r="N4524" t="s">
        <v>38779</v>
      </c>
      <c r="O4524" t="s">
        <v>25</v>
      </c>
      <c r="P4524" t="s">
        <v>38780</v>
      </c>
      <c r="Q4524" t="s">
        <v>29</v>
      </c>
      <c r="R4524" t="s">
        <v>38776</v>
      </c>
      <c r="S4524" t="s">
        <v>38777</v>
      </c>
    </row>
    <row r="4525" spans="1:19" x14ac:dyDescent="0.25">
      <c r="A4525" s="1">
        <v>4523</v>
      </c>
      <c r="B4525" t="str">
        <f>HYPERLINK("https://www.dasschnelle.at/schmidbauer-heinrich-pötting","Website")</f>
        <v>Website</v>
      </c>
      <c r="C4525" t="str">
        <f>HYPERLINK("http://www.bauen-sanieren.com","Website")</f>
        <v>Website</v>
      </c>
      <c r="D4525" t="str">
        <f>HYPERLINK("http://www.google.com/maps/place/48.2682574,13.5224161","Location")</f>
        <v>Location</v>
      </c>
      <c r="E4525" t="s">
        <v>38781</v>
      </c>
      <c r="F4525" t="s">
        <v>38782</v>
      </c>
      <c r="G4525" t="s">
        <v>28328</v>
      </c>
      <c r="H4525" t="s">
        <v>38783</v>
      </c>
      <c r="I4525" t="s">
        <v>85</v>
      </c>
      <c r="J4525" t="s">
        <v>22</v>
      </c>
      <c r="K4525" t="s">
        <v>25</v>
      </c>
      <c r="L4525" t="s">
        <v>38786</v>
      </c>
      <c r="M4525" t="s">
        <v>25</v>
      </c>
      <c r="N4525" t="s">
        <v>38787</v>
      </c>
      <c r="O4525" t="s">
        <v>38788</v>
      </c>
      <c r="P4525" t="s">
        <v>38789</v>
      </c>
      <c r="Q4525" t="s">
        <v>29</v>
      </c>
      <c r="R4525" t="s">
        <v>38784</v>
      </c>
      <c r="S4525" t="s">
        <v>38785</v>
      </c>
    </row>
    <row r="4526" spans="1:19" x14ac:dyDescent="0.25">
      <c r="A4526" s="1">
        <v>4524</v>
      </c>
      <c r="B4526" t="str">
        <f>HYPERLINK("https://www.dasschnelle.at/weibold-putz-gmbh-aurolzmünster-edenbach","Website")</f>
        <v>Website</v>
      </c>
      <c r="C4526" t="str">
        <f>HYPERLINK("http://www.fertigputz-weibold.at","Website")</f>
        <v>Website</v>
      </c>
      <c r="D4526" t="str">
        <f>HYPERLINK("http://www.google.com/maps/place/48.2519980,13.4394112","Location")</f>
        <v>Location</v>
      </c>
      <c r="E4526" t="s">
        <v>38790</v>
      </c>
      <c r="F4526" t="s">
        <v>38791</v>
      </c>
      <c r="G4526" t="s">
        <v>6286</v>
      </c>
      <c r="H4526" t="s">
        <v>6287</v>
      </c>
      <c r="I4526" t="s">
        <v>85</v>
      </c>
      <c r="J4526" t="s">
        <v>22</v>
      </c>
      <c r="K4526" t="s">
        <v>38792</v>
      </c>
      <c r="L4526" t="s">
        <v>4926</v>
      </c>
      <c r="M4526" t="s">
        <v>25</v>
      </c>
      <c r="N4526" t="s">
        <v>38795</v>
      </c>
      <c r="O4526" t="s">
        <v>38796</v>
      </c>
      <c r="P4526" t="s">
        <v>38797</v>
      </c>
      <c r="Q4526" t="s">
        <v>29</v>
      </c>
      <c r="R4526" t="s">
        <v>38793</v>
      </c>
      <c r="S4526" t="s">
        <v>38794</v>
      </c>
    </row>
    <row r="4527" spans="1:19" x14ac:dyDescent="0.25">
      <c r="A4527" s="1">
        <v>4525</v>
      </c>
      <c r="B4527" t="str">
        <f>HYPERLINK("https://www.dasschnelle.at/frauscher-mathias-gurten-wippenham","Website")</f>
        <v>Website</v>
      </c>
      <c r="C4527" t="str">
        <f>HYPERLINK("http://erdbau-frauscher.at","Website")</f>
        <v>Website</v>
      </c>
      <c r="D4527" t="str">
        <f>HYPERLINK("http://www.google.com/maps/place/48.2202400,13.3846300","Location")</f>
        <v>Location</v>
      </c>
      <c r="E4527" t="s">
        <v>38798</v>
      </c>
      <c r="F4527" t="s">
        <v>38799</v>
      </c>
      <c r="G4527" t="s">
        <v>36606</v>
      </c>
      <c r="H4527" t="s">
        <v>36607</v>
      </c>
      <c r="I4527" t="s">
        <v>85</v>
      </c>
      <c r="J4527" t="s">
        <v>22</v>
      </c>
      <c r="K4527" t="s">
        <v>38800</v>
      </c>
      <c r="L4527" t="s">
        <v>38803</v>
      </c>
      <c r="M4527" t="s">
        <v>25</v>
      </c>
      <c r="N4527" t="s">
        <v>38804</v>
      </c>
      <c r="O4527" t="s">
        <v>25</v>
      </c>
      <c r="P4527" t="s">
        <v>38805</v>
      </c>
      <c r="Q4527" t="s">
        <v>29</v>
      </c>
      <c r="R4527" t="s">
        <v>38801</v>
      </c>
      <c r="S4527" t="s">
        <v>38802</v>
      </c>
    </row>
    <row r="4528" spans="1:19" x14ac:dyDescent="0.25">
      <c r="A4528" s="1">
        <v>4526</v>
      </c>
      <c r="B4528" t="str">
        <f>HYPERLINK("https://www.dasschnelle.at/trauner-maria-dr-med-ried-im-innkreis-wohlmayergasse","Website")</f>
        <v>Website</v>
      </c>
      <c r="C4528" t="str">
        <f>HYPERLINK("http://www.hno-trauner.at","Website")</f>
        <v>Website</v>
      </c>
      <c r="D4528" t="str">
        <f>HYPERLINK("http://www.google.com/maps/place/48.2077,13.48796","Location")</f>
        <v>Location</v>
      </c>
      <c r="E4528" t="s">
        <v>38806</v>
      </c>
      <c r="F4528" t="s">
        <v>38807</v>
      </c>
      <c r="G4528" t="s">
        <v>6245</v>
      </c>
      <c r="H4528" t="s">
        <v>6267</v>
      </c>
      <c r="I4528" t="s">
        <v>85</v>
      </c>
      <c r="J4528" t="s">
        <v>22</v>
      </c>
      <c r="K4528" t="s">
        <v>38808</v>
      </c>
      <c r="L4528" t="s">
        <v>38811</v>
      </c>
      <c r="M4528" t="s">
        <v>25</v>
      </c>
      <c r="N4528" t="s">
        <v>38812</v>
      </c>
      <c r="O4528" t="s">
        <v>25</v>
      </c>
      <c r="P4528" t="s">
        <v>38813</v>
      </c>
      <c r="Q4528" t="s">
        <v>29</v>
      </c>
      <c r="R4528" t="s">
        <v>38809</v>
      </c>
      <c r="S4528" t="s">
        <v>38810</v>
      </c>
    </row>
    <row r="4529" spans="1:19" x14ac:dyDescent="0.25">
      <c r="A4529" s="1">
        <v>4527</v>
      </c>
      <c r="B4529" t="str">
        <f>HYPERLINK("https://www.dasschnelle.at/eichinger-ingrid-sierning-neustraße","Website")</f>
        <v>Website</v>
      </c>
      <c r="C4529" t="str">
        <f>HYPERLINK("http://www.promakler.at/","Website")</f>
        <v>Website</v>
      </c>
      <c r="D4529" t="str">
        <f>HYPERLINK("http://www.google.com/maps/place/48.04211,14.30685","Location")</f>
        <v>Location</v>
      </c>
      <c r="E4529" t="s">
        <v>38814</v>
      </c>
      <c r="F4529" t="s">
        <v>38815</v>
      </c>
      <c r="G4529" t="s">
        <v>11083</v>
      </c>
      <c r="H4529" t="s">
        <v>11084</v>
      </c>
      <c r="I4529" t="s">
        <v>85</v>
      </c>
      <c r="J4529" t="s">
        <v>22</v>
      </c>
      <c r="K4529" t="s">
        <v>38816</v>
      </c>
      <c r="L4529" t="s">
        <v>38819</v>
      </c>
      <c r="M4529" t="s">
        <v>38820</v>
      </c>
      <c r="N4529" t="s">
        <v>38821</v>
      </c>
      <c r="O4529" t="s">
        <v>25</v>
      </c>
      <c r="P4529" t="s">
        <v>38822</v>
      </c>
      <c r="Q4529" t="s">
        <v>29</v>
      </c>
      <c r="R4529" t="s">
        <v>38817</v>
      </c>
      <c r="S4529" t="s">
        <v>38818</v>
      </c>
    </row>
    <row r="4530" spans="1:19" x14ac:dyDescent="0.25">
      <c r="A4530" s="1">
        <v>4528</v>
      </c>
      <c r="B4530" t="str">
        <f>HYPERLINK("https://www.dasschnelle.at/winter-thomas-dr-hohenzell-südhang","Website")</f>
        <v>Website</v>
      </c>
      <c r="C4530" t="str">
        <f>HYPERLINK("http://www.kardiologie-winter.at","Website")</f>
        <v>Website</v>
      </c>
      <c r="D4530" t="str">
        <f>HYPERLINK("http://www.google.com/maps/place/48.20059,13.50482","Location")</f>
        <v>Location</v>
      </c>
      <c r="E4530" t="s">
        <v>38823</v>
      </c>
      <c r="F4530" t="s">
        <v>38824</v>
      </c>
      <c r="G4530" t="s">
        <v>37646</v>
      </c>
      <c r="H4530" t="s">
        <v>37647</v>
      </c>
      <c r="I4530" t="s">
        <v>85</v>
      </c>
      <c r="J4530" t="s">
        <v>22</v>
      </c>
      <c r="K4530" t="s">
        <v>38825</v>
      </c>
      <c r="L4530" t="s">
        <v>38828</v>
      </c>
      <c r="M4530" t="s">
        <v>25</v>
      </c>
      <c r="N4530" t="s">
        <v>38829</v>
      </c>
      <c r="O4530" t="s">
        <v>38830</v>
      </c>
      <c r="P4530" t="s">
        <v>38831</v>
      </c>
      <c r="Q4530" t="s">
        <v>29</v>
      </c>
      <c r="R4530" t="s">
        <v>38826</v>
      </c>
      <c r="S4530" t="s">
        <v>38827</v>
      </c>
    </row>
    <row r="4531" spans="1:19" x14ac:dyDescent="0.25">
      <c r="A4531" s="1">
        <v>4529</v>
      </c>
      <c r="B4531" t="str">
        <f>HYPERLINK("https://www.dasschnelle.at/da-her-shop-sierning-neustraße","Website")</f>
        <v>Website</v>
      </c>
      <c r="C4531" t="str">
        <f>HYPERLINK("https://www.dasschnelle.at/da-her-shop-sierning-neustra%C3%9Fe","Website")</f>
        <v>Website</v>
      </c>
      <c r="D4531" t="str">
        <f>HYPERLINK("http://www.google.com/maps/place/48.04108,14.30661","Location")</f>
        <v>Location</v>
      </c>
      <c r="E4531" t="s">
        <v>38832</v>
      </c>
      <c r="F4531" t="s">
        <v>38833</v>
      </c>
      <c r="G4531" t="s">
        <v>11083</v>
      </c>
      <c r="H4531" t="s">
        <v>11084</v>
      </c>
      <c r="I4531" t="s">
        <v>85</v>
      </c>
      <c r="J4531" t="s">
        <v>22</v>
      </c>
      <c r="K4531" t="s">
        <v>38834</v>
      </c>
      <c r="L4531" t="s">
        <v>38837</v>
      </c>
      <c r="M4531" t="s">
        <v>25</v>
      </c>
      <c r="N4531" t="s">
        <v>38838</v>
      </c>
      <c r="O4531" t="s">
        <v>25</v>
      </c>
      <c r="P4531" t="s">
        <v>38839</v>
      </c>
      <c r="Q4531" t="s">
        <v>29</v>
      </c>
      <c r="R4531" t="s">
        <v>38835</v>
      </c>
      <c r="S4531" t="s">
        <v>38836</v>
      </c>
    </row>
    <row r="4532" spans="1:19" x14ac:dyDescent="0.25">
      <c r="A4532" s="1">
        <v>4530</v>
      </c>
      <c r="B4532" t="str">
        <f>HYPERLINK("https://www.dasschnelle.at/frisuren-anja-sierning-neustraße","Website")</f>
        <v>Website</v>
      </c>
      <c r="C4532" t="str">
        <f>HYPERLINK("https://www.dasschnelle.at/frisuren-anja-sierning-neustra%C3%9Fe","Website")</f>
        <v>Website</v>
      </c>
      <c r="D4532" t="str">
        <f>HYPERLINK("http://www.google.com/maps/place/48.04108,14.30661","Location")</f>
        <v>Location</v>
      </c>
      <c r="E4532" t="s">
        <v>38840</v>
      </c>
      <c r="F4532" t="s">
        <v>38841</v>
      </c>
      <c r="G4532" t="s">
        <v>11083</v>
      </c>
      <c r="H4532" t="s">
        <v>11084</v>
      </c>
      <c r="I4532" t="s">
        <v>85</v>
      </c>
      <c r="J4532" t="s">
        <v>22</v>
      </c>
      <c r="K4532" t="s">
        <v>38834</v>
      </c>
      <c r="L4532" t="s">
        <v>38837</v>
      </c>
      <c r="M4532" t="s">
        <v>25</v>
      </c>
      <c r="N4532" t="s">
        <v>38842</v>
      </c>
      <c r="O4532" t="s">
        <v>25</v>
      </c>
      <c r="P4532" t="s">
        <v>38843</v>
      </c>
      <c r="Q4532" t="s">
        <v>29</v>
      </c>
      <c r="R4532" t="s">
        <v>38835</v>
      </c>
      <c r="S4532" t="s">
        <v>38836</v>
      </c>
    </row>
    <row r="4533" spans="1:19" x14ac:dyDescent="0.25">
      <c r="A4533" s="1">
        <v>4531</v>
      </c>
      <c r="B4533" t="str">
        <f>HYPERLINK("https://www.dasschnelle.at/hörmanseder-meisterbetrieb-kachelofen-u-fliesen-zell-an-der-pram-kranzlweg","Website")</f>
        <v>Website</v>
      </c>
      <c r="C4533" t="str">
        <f>HYPERLINK("http://www.hoermanseder.co.at","Website")</f>
        <v>Website</v>
      </c>
      <c r="D4533" t="str">
        <f>HYPERLINK("http://www.google.com/maps/place/48.31472,13.62798","Location")</f>
        <v>Location</v>
      </c>
      <c r="E4533" t="s">
        <v>38844</v>
      </c>
      <c r="F4533" t="s">
        <v>38845</v>
      </c>
      <c r="G4533" t="s">
        <v>24500</v>
      </c>
      <c r="H4533" t="s">
        <v>24501</v>
      </c>
      <c r="I4533" t="s">
        <v>85</v>
      </c>
      <c r="J4533" t="s">
        <v>22</v>
      </c>
      <c r="K4533" t="s">
        <v>24555</v>
      </c>
      <c r="L4533" t="s">
        <v>24558</v>
      </c>
      <c r="M4533" t="s">
        <v>24559</v>
      </c>
      <c r="N4533" t="s">
        <v>24560</v>
      </c>
      <c r="O4533" t="s">
        <v>25</v>
      </c>
      <c r="P4533" t="s">
        <v>38846</v>
      </c>
      <c r="Q4533" t="s">
        <v>29</v>
      </c>
      <c r="R4533" t="s">
        <v>24556</v>
      </c>
      <c r="S4533" t="s">
        <v>24557</v>
      </c>
    </row>
    <row r="4534" spans="1:19" x14ac:dyDescent="0.25">
      <c r="A4534" s="1">
        <v>4532</v>
      </c>
      <c r="B4534" t="str">
        <f>HYPERLINK("https://www.dasschnelle.at/mayerböck-johannes-polling-im-innkreis-hauptstraße","Website")</f>
        <v>Website</v>
      </c>
      <c r="C4534" t="str">
        <f>HYPERLINK("http://www.erdbau-innviertel.at","Website")</f>
        <v>Website</v>
      </c>
      <c r="D4534" t="str">
        <f>HYPERLINK("http://www.google.com/maps/place/48.22909,13.28509","Location")</f>
        <v>Location</v>
      </c>
      <c r="E4534" t="s">
        <v>38847</v>
      </c>
      <c r="F4534" t="s">
        <v>38848</v>
      </c>
      <c r="G4534" t="s">
        <v>6342</v>
      </c>
      <c r="H4534" t="s">
        <v>6343</v>
      </c>
      <c r="I4534" t="s">
        <v>85</v>
      </c>
      <c r="J4534" t="s">
        <v>22</v>
      </c>
      <c r="K4534" t="s">
        <v>6341</v>
      </c>
      <c r="L4534" t="s">
        <v>38849</v>
      </c>
      <c r="M4534" t="s">
        <v>25</v>
      </c>
      <c r="N4534" t="s">
        <v>6347</v>
      </c>
      <c r="O4534" t="s">
        <v>25</v>
      </c>
      <c r="P4534" t="s">
        <v>38850</v>
      </c>
      <c r="Q4534" t="s">
        <v>29</v>
      </c>
      <c r="R4534" t="s">
        <v>6344</v>
      </c>
      <c r="S4534" t="s">
        <v>6345</v>
      </c>
    </row>
    <row r="4535" spans="1:19" x14ac:dyDescent="0.25">
      <c r="A4535" s="1">
        <v>4533</v>
      </c>
      <c r="B4535" t="str">
        <f>HYPERLINK("https://www.dasschnelle.at/pointner-manfred-gmbh-katzenberg-katzenberg-55","Website")</f>
        <v>Website</v>
      </c>
      <c r="C4535" t="str">
        <f>HYPERLINK("http://www.gas-wasser-heizungen.at","Website")</f>
        <v>Website</v>
      </c>
      <c r="D4535" t="str">
        <f>HYPERLINK("http://www.google.com/maps/place/48.2896817,13.2953561","Location")</f>
        <v>Location</v>
      </c>
      <c r="E4535" t="s">
        <v>38851</v>
      </c>
      <c r="F4535" t="s">
        <v>38852</v>
      </c>
      <c r="G4535" t="s">
        <v>6276</v>
      </c>
      <c r="H4535" t="s">
        <v>6277</v>
      </c>
      <c r="I4535" t="s">
        <v>85</v>
      </c>
      <c r="J4535" t="s">
        <v>22</v>
      </c>
      <c r="K4535" t="s">
        <v>38853</v>
      </c>
      <c r="L4535" t="s">
        <v>38856</v>
      </c>
      <c r="M4535" t="s">
        <v>25</v>
      </c>
      <c r="N4535" t="s">
        <v>38857</v>
      </c>
      <c r="O4535" t="s">
        <v>25</v>
      </c>
      <c r="P4535" t="s">
        <v>38858</v>
      </c>
      <c r="Q4535" t="s">
        <v>29</v>
      </c>
      <c r="R4535" t="s">
        <v>38854</v>
      </c>
      <c r="S4535" t="s">
        <v>38855</v>
      </c>
    </row>
    <row r="4536" spans="1:19" x14ac:dyDescent="0.25">
      <c r="A4536" s="1">
        <v>4534</v>
      </c>
      <c r="B4536" t="str">
        <f>HYPERLINK("https://www.dasschnelle.at/bes-thomas-dr-med-rohrbach-stadtplatz","Website")</f>
        <v>Website</v>
      </c>
      <c r="C4536" t="str">
        <f>HYPERLINK("https://www.dasschnelle.at/bes-thomas-dr-med-rohrbach-stadtplatz","Website")</f>
        <v>Website</v>
      </c>
      <c r="D4536" t="str">
        <f>HYPERLINK("http://www.google.com/maps/place/48.5715425,13.9923940","Location")</f>
        <v>Location</v>
      </c>
      <c r="E4536" t="s">
        <v>38859</v>
      </c>
      <c r="F4536" t="s">
        <v>38860</v>
      </c>
      <c r="G4536" t="s">
        <v>8561</v>
      </c>
      <c r="H4536" t="s">
        <v>8562</v>
      </c>
      <c r="I4536" t="s">
        <v>85</v>
      </c>
      <c r="J4536" t="s">
        <v>22</v>
      </c>
      <c r="K4536" t="s">
        <v>8633</v>
      </c>
      <c r="L4536" t="s">
        <v>38861</v>
      </c>
      <c r="M4536" t="s">
        <v>38862</v>
      </c>
      <c r="N4536" t="s">
        <v>38863</v>
      </c>
      <c r="O4536" t="s">
        <v>25</v>
      </c>
      <c r="P4536" t="s">
        <v>38864</v>
      </c>
      <c r="Q4536" t="s">
        <v>29</v>
      </c>
      <c r="R4536" t="s">
        <v>8634</v>
      </c>
      <c r="S4536" t="s">
        <v>8635</v>
      </c>
    </row>
    <row r="4537" spans="1:19" x14ac:dyDescent="0.25">
      <c r="A4537" s="1">
        <v>4535</v>
      </c>
      <c r="B4537" t="str">
        <f>HYPERLINK("https://www.dasschnelle.at/mayer-christoph-dr-med-rohrbach-stadtplatz","Website")</f>
        <v>Website</v>
      </c>
      <c r="C4537" t="str">
        <f>HYPERLINK("http://www.mdz-rohrbach.at","Website")</f>
        <v>Website</v>
      </c>
      <c r="D4537" t="str">
        <f>HYPERLINK("http://www.google.com/maps/place/48.5715425,13.9923940","Location")</f>
        <v>Location</v>
      </c>
      <c r="E4537" t="s">
        <v>38865</v>
      </c>
      <c r="F4537" t="s">
        <v>38866</v>
      </c>
      <c r="G4537" t="s">
        <v>8561</v>
      </c>
      <c r="H4537" t="s">
        <v>8562</v>
      </c>
      <c r="I4537" t="s">
        <v>85</v>
      </c>
      <c r="J4537" t="s">
        <v>22</v>
      </c>
      <c r="K4537" t="s">
        <v>8633</v>
      </c>
      <c r="L4537" t="s">
        <v>38867</v>
      </c>
      <c r="M4537" t="s">
        <v>25</v>
      </c>
      <c r="N4537" t="s">
        <v>38868</v>
      </c>
      <c r="O4537" t="s">
        <v>25</v>
      </c>
      <c r="P4537" t="s">
        <v>38869</v>
      </c>
      <c r="Q4537" t="s">
        <v>29</v>
      </c>
      <c r="R4537" t="s">
        <v>8634</v>
      </c>
      <c r="S4537" t="s">
        <v>8635</v>
      </c>
    </row>
    <row r="4538" spans="1:19" x14ac:dyDescent="0.25">
      <c r="A4538" s="1">
        <v>4536</v>
      </c>
      <c r="B4538" t="str">
        <f>HYPERLINK("https://www.dasschnelle.at/kiener-franz-haag-am-hausruck-marktplatz","Website")</f>
        <v>Website</v>
      </c>
      <c r="C4538" t="str">
        <f>HYPERLINK("https://www.dasschnelle.at/kiener-franz-haag-am-hausruck-marktplatz","Website")</f>
        <v>Website</v>
      </c>
      <c r="D4538" t="str">
        <f>HYPERLINK("http://www.google.com/maps/place/48.18274,13.63554","Location")</f>
        <v>Location</v>
      </c>
      <c r="E4538" t="s">
        <v>38870</v>
      </c>
      <c r="F4538" t="s">
        <v>38871</v>
      </c>
      <c r="G4538" t="s">
        <v>7266</v>
      </c>
      <c r="H4538" t="s">
        <v>7267</v>
      </c>
      <c r="I4538" t="s">
        <v>85</v>
      </c>
      <c r="J4538" t="s">
        <v>22</v>
      </c>
      <c r="K4538" t="s">
        <v>11652</v>
      </c>
      <c r="L4538" t="s">
        <v>38874</v>
      </c>
      <c r="M4538" t="s">
        <v>25</v>
      </c>
      <c r="N4538" t="s">
        <v>38875</v>
      </c>
      <c r="O4538" t="s">
        <v>25</v>
      </c>
      <c r="P4538" t="s">
        <v>38876</v>
      </c>
      <c r="Q4538" t="s">
        <v>29</v>
      </c>
      <c r="R4538" t="s">
        <v>38872</v>
      </c>
      <c r="S4538" t="s">
        <v>38873</v>
      </c>
    </row>
    <row r="4539" spans="1:19" x14ac:dyDescent="0.25">
      <c r="A4539" s="1">
        <v>4537</v>
      </c>
      <c r="B4539" t="str">
        <f>HYPERLINK("https://www.dasschnelle.at/obimöbel-e-u-neuzeug-pachschallernstraße","Website")</f>
        <v>Website</v>
      </c>
      <c r="C4539" t="str">
        <f>HYPERLINK("http://www.obimoebel.at","Website")</f>
        <v>Website</v>
      </c>
      <c r="D4539" t="str">
        <f>HYPERLINK("http://www.google.com/maps/place/48.0550781,14.3287769","Location")</f>
        <v>Location</v>
      </c>
      <c r="E4539" t="s">
        <v>38877</v>
      </c>
      <c r="F4539" t="s">
        <v>38878</v>
      </c>
      <c r="G4539" t="s">
        <v>11109</v>
      </c>
      <c r="H4539" t="s">
        <v>11110</v>
      </c>
      <c r="I4539" t="s">
        <v>85</v>
      </c>
      <c r="J4539" t="s">
        <v>22</v>
      </c>
      <c r="K4539" t="s">
        <v>38879</v>
      </c>
      <c r="L4539" t="s">
        <v>38882</v>
      </c>
      <c r="M4539" t="s">
        <v>25</v>
      </c>
      <c r="N4539" t="s">
        <v>38883</v>
      </c>
      <c r="O4539" t="s">
        <v>38884</v>
      </c>
      <c r="P4539" t="s">
        <v>38885</v>
      </c>
      <c r="Q4539" t="s">
        <v>29</v>
      </c>
      <c r="R4539" t="s">
        <v>38880</v>
      </c>
      <c r="S4539" t="s">
        <v>38881</v>
      </c>
    </row>
    <row r="4540" spans="1:19" x14ac:dyDescent="0.25">
      <c r="A4540" s="1">
        <v>4538</v>
      </c>
      <c r="B4540" t="str">
        <f>HYPERLINK("https://www.dasschnelle.at/ploberger-erwin-dr-enns-schloßgasse","Website")</f>
        <v>Website</v>
      </c>
      <c r="C4540" t="str">
        <f>HYPERLINK("http://www.erwin-ploberger.at","Website")</f>
        <v>Website</v>
      </c>
      <c r="D4540" t="str">
        <f>HYPERLINK("http://www.google.com/maps/place/48.21583,14.48094","Location")</f>
        <v>Location</v>
      </c>
      <c r="E4540" t="s">
        <v>38886</v>
      </c>
      <c r="F4540" t="s">
        <v>38887</v>
      </c>
      <c r="G4540" t="s">
        <v>3307</v>
      </c>
      <c r="H4540" t="s">
        <v>3308</v>
      </c>
      <c r="I4540" t="s">
        <v>85</v>
      </c>
      <c r="J4540" t="s">
        <v>22</v>
      </c>
      <c r="K4540" t="s">
        <v>38458</v>
      </c>
      <c r="L4540" t="s">
        <v>38888</v>
      </c>
      <c r="M4540" t="s">
        <v>25</v>
      </c>
      <c r="N4540" t="s">
        <v>38889</v>
      </c>
      <c r="O4540" t="s">
        <v>25</v>
      </c>
      <c r="P4540" t="s">
        <v>38890</v>
      </c>
      <c r="Q4540" t="s">
        <v>29</v>
      </c>
      <c r="R4540" t="s">
        <v>38459</v>
      </c>
      <c r="S4540" t="s">
        <v>38460</v>
      </c>
    </row>
    <row r="4541" spans="1:19" x14ac:dyDescent="0.25">
      <c r="A4541" s="1">
        <v>4539</v>
      </c>
      <c r="B4541" t="str">
        <f>HYPERLINK("https://www.dasschnelle.at/rotter-friedrich-st-peter-am-wimberg-dorf","Website")</f>
        <v>Website</v>
      </c>
      <c r="C4541" t="str">
        <f>HYPERLINK("http://www.rotter-baustoffservice.at","Website")</f>
        <v>Website</v>
      </c>
      <c r="D4541" t="str">
        <f>HYPERLINK("http://www.google.com/maps/place/48.5025181,14.1024168","Location")</f>
        <v>Location</v>
      </c>
      <c r="E4541" t="s">
        <v>38891</v>
      </c>
      <c r="F4541" t="s">
        <v>38892</v>
      </c>
      <c r="G4541" t="s">
        <v>8591</v>
      </c>
      <c r="H4541" t="s">
        <v>38894</v>
      </c>
      <c r="I4541" t="s">
        <v>85</v>
      </c>
      <c r="J4541" t="s">
        <v>22</v>
      </c>
      <c r="K4541" t="s">
        <v>38893</v>
      </c>
      <c r="L4541" t="s">
        <v>38897</v>
      </c>
      <c r="M4541" t="s">
        <v>25</v>
      </c>
      <c r="N4541" t="s">
        <v>38898</v>
      </c>
      <c r="O4541" t="s">
        <v>25</v>
      </c>
      <c r="P4541" t="s">
        <v>38899</v>
      </c>
      <c r="Q4541" t="s">
        <v>29</v>
      </c>
      <c r="R4541" t="s">
        <v>38895</v>
      </c>
      <c r="S4541" t="s">
        <v>38896</v>
      </c>
    </row>
    <row r="4542" spans="1:19" x14ac:dyDescent="0.25">
      <c r="A4542" s="1">
        <v>4540</v>
      </c>
      <c r="B4542" t="str">
        <f>HYPERLINK("https://www.dasschnelle.at/ferienhotel-inn4tel-gmbh-gasthof-kirchenwirt-kirchheim-im-innkreis-kirchengasse","Website")</f>
        <v>Website</v>
      </c>
      <c r="C4542" t="str">
        <f>HYPERLINK("http://www.ferienpension.at","Website")</f>
        <v>Website</v>
      </c>
      <c r="D4542" t="str">
        <f>HYPERLINK("http://www.google.com/maps/place/48.20932,13.36062","Location")</f>
        <v>Location</v>
      </c>
      <c r="E4542" t="s">
        <v>38900</v>
      </c>
      <c r="F4542" t="s">
        <v>38901</v>
      </c>
      <c r="G4542" t="s">
        <v>38902</v>
      </c>
      <c r="H4542" t="s">
        <v>38903</v>
      </c>
      <c r="I4542" t="s">
        <v>85</v>
      </c>
      <c r="J4542" t="s">
        <v>22</v>
      </c>
      <c r="K4542" t="s">
        <v>25225</v>
      </c>
      <c r="L4542" t="s">
        <v>38906</v>
      </c>
      <c r="M4542" t="s">
        <v>25</v>
      </c>
      <c r="N4542" t="s">
        <v>38907</v>
      </c>
      <c r="O4542" t="s">
        <v>25</v>
      </c>
      <c r="P4542" t="s">
        <v>38908</v>
      </c>
      <c r="Q4542" t="s">
        <v>29</v>
      </c>
      <c r="R4542" t="s">
        <v>38904</v>
      </c>
      <c r="S4542" t="s">
        <v>38905</v>
      </c>
    </row>
    <row r="4543" spans="1:19" x14ac:dyDescent="0.25">
      <c r="A4543" s="1">
        <v>4541</v>
      </c>
      <c r="B4543" t="str">
        <f>HYPERLINK("https://www.dasschnelle.at/rögl-wirt-pattigham-hauptstraße","Website")</f>
        <v>Website</v>
      </c>
      <c r="C4543" t="str">
        <f>HYPERLINK("https://www.dasschnelle.at/r%C3%B6gl-wirt-pattigham-hauptstra%C3%9Fe","Website")</f>
        <v>Website</v>
      </c>
      <c r="D4543" t="str">
        <f>HYPERLINK("http://www.google.com/maps/place/48.15441,13.48412","Location")</f>
        <v>Location</v>
      </c>
      <c r="E4543" t="s">
        <v>38909</v>
      </c>
      <c r="F4543" t="s">
        <v>38910</v>
      </c>
      <c r="G4543" t="s">
        <v>6245</v>
      </c>
      <c r="H4543" t="s">
        <v>38911</v>
      </c>
      <c r="I4543" t="s">
        <v>85</v>
      </c>
      <c r="J4543" t="s">
        <v>22</v>
      </c>
      <c r="K4543" t="s">
        <v>10457</v>
      </c>
      <c r="L4543" t="s">
        <v>38914</v>
      </c>
      <c r="M4543" t="s">
        <v>25</v>
      </c>
      <c r="N4543" t="s">
        <v>38915</v>
      </c>
      <c r="O4543" t="s">
        <v>25</v>
      </c>
      <c r="P4543" t="s">
        <v>38916</v>
      </c>
      <c r="Q4543" t="s">
        <v>29</v>
      </c>
      <c r="R4543" t="s">
        <v>38912</v>
      </c>
      <c r="S4543" t="s">
        <v>38913</v>
      </c>
    </row>
    <row r="4544" spans="1:19" x14ac:dyDescent="0.25">
      <c r="A4544" s="1">
        <v>4542</v>
      </c>
      <c r="B4544" t="str">
        <f>HYPERLINK("https://www.dasschnelle.at/jaucker-erhard-aigen-schlägl-höhenstraße","Website")</f>
        <v>Website</v>
      </c>
      <c r="C4544" t="str">
        <f>HYPERLINK("http://www.gewoelbe-jauker.at","Website")</f>
        <v>Website</v>
      </c>
      <c r="D4544" t="str">
        <f>HYPERLINK("http://www.google.com/maps/place/48.6512133,13.9735074","Location")</f>
        <v>Location</v>
      </c>
      <c r="E4544" t="s">
        <v>38917</v>
      </c>
      <c r="F4544" t="s">
        <v>38918</v>
      </c>
      <c r="G4544" t="s">
        <v>8581</v>
      </c>
      <c r="H4544" t="s">
        <v>8582</v>
      </c>
      <c r="I4544" t="s">
        <v>85</v>
      </c>
      <c r="J4544" t="s">
        <v>22</v>
      </c>
      <c r="K4544" t="s">
        <v>38919</v>
      </c>
      <c r="L4544" t="s">
        <v>38922</v>
      </c>
      <c r="M4544" t="s">
        <v>25</v>
      </c>
      <c r="N4544" t="s">
        <v>38923</v>
      </c>
      <c r="O4544" t="s">
        <v>25</v>
      </c>
      <c r="P4544" t="s">
        <v>38924</v>
      </c>
      <c r="Q4544" t="s">
        <v>29</v>
      </c>
      <c r="R4544" t="s">
        <v>38920</v>
      </c>
      <c r="S4544" t="s">
        <v>38921</v>
      </c>
    </row>
    <row r="4545" spans="1:19" x14ac:dyDescent="0.25">
      <c r="A4545" s="1">
        <v>4543</v>
      </c>
      <c r="B4545" t="str">
        <f>HYPERLINK("https://www.dasschnelle.at/sun-energy-kobler-kg-peilstein-kirchbach","Website")</f>
        <v>Website</v>
      </c>
      <c r="C4545" t="str">
        <f>HYPERLINK("http://www.sunenergy-kobler.at","Website")</f>
        <v>Website</v>
      </c>
      <c r="D4545" t="str">
        <f>HYPERLINK("http://www.google.com/maps/place/48.6320796,13.9276298","Location")</f>
        <v>Location</v>
      </c>
      <c r="E4545" t="s">
        <v>38925</v>
      </c>
      <c r="F4545" t="s">
        <v>38926</v>
      </c>
      <c r="G4545" t="s">
        <v>8571</v>
      </c>
      <c r="H4545" t="s">
        <v>38928</v>
      </c>
      <c r="I4545" t="s">
        <v>85</v>
      </c>
      <c r="J4545" t="s">
        <v>22</v>
      </c>
      <c r="K4545" t="s">
        <v>38927</v>
      </c>
      <c r="L4545" t="s">
        <v>38931</v>
      </c>
      <c r="M4545" t="s">
        <v>25</v>
      </c>
      <c r="N4545" t="s">
        <v>38932</v>
      </c>
      <c r="O4545" t="s">
        <v>25</v>
      </c>
      <c r="P4545" t="s">
        <v>38933</v>
      </c>
      <c r="Q4545" t="s">
        <v>29</v>
      </c>
      <c r="R4545" t="s">
        <v>38929</v>
      </c>
      <c r="S4545" t="s">
        <v>38930</v>
      </c>
    </row>
    <row r="4546" spans="1:19" x14ac:dyDescent="0.25">
      <c r="A4546" s="1">
        <v>4544</v>
      </c>
      <c r="B4546" t="str">
        <f>HYPERLINK("https://www.dasschnelle.at/mairhofer-spenglerei-gmbh-lohnsburg-kobernaußerstraße","Website")</f>
        <v>Website</v>
      </c>
      <c r="C4546" t="str">
        <f>HYPERLINK("http://www.spenglerei-mairhofer.at","Website")</f>
        <v>Website</v>
      </c>
      <c r="D4546" t="str">
        <f>HYPERLINK("http://www.google.com/maps/place/48.1259132,13.3808565","Location")</f>
        <v>Location</v>
      </c>
      <c r="E4546" t="s">
        <v>38934</v>
      </c>
      <c r="F4546" t="s">
        <v>38935</v>
      </c>
      <c r="G4546" t="s">
        <v>37343</v>
      </c>
      <c r="H4546" t="s">
        <v>37344</v>
      </c>
      <c r="I4546" t="s">
        <v>85</v>
      </c>
      <c r="J4546" t="s">
        <v>22</v>
      </c>
      <c r="K4546" t="s">
        <v>38936</v>
      </c>
      <c r="L4546" t="s">
        <v>38939</v>
      </c>
      <c r="M4546" t="s">
        <v>25</v>
      </c>
      <c r="N4546" t="s">
        <v>38940</v>
      </c>
      <c r="O4546" t="s">
        <v>25</v>
      </c>
      <c r="P4546" t="s">
        <v>38941</v>
      </c>
      <c r="Q4546" t="s">
        <v>29</v>
      </c>
      <c r="R4546" t="s">
        <v>38937</v>
      </c>
      <c r="S4546" t="s">
        <v>38938</v>
      </c>
    </row>
    <row r="4547" spans="1:19" x14ac:dyDescent="0.25">
      <c r="A4547" s="1">
        <v>4545</v>
      </c>
      <c r="B4547" t="str">
        <f>HYPERLINK("https://www.dasschnelle.at/enghuber-möbelwerkstätte-gmbh-gunzing-gunzing","Website")</f>
        <v>Website</v>
      </c>
      <c r="C4547" t="str">
        <f>HYPERLINK("http://www.enghuber.at","Website")</f>
        <v>Website</v>
      </c>
      <c r="D4547" t="str">
        <f>HYPERLINK("http://www.google.com/maps/place/48.1727775,13.4012453","Location")</f>
        <v>Location</v>
      </c>
      <c r="E4547" t="s">
        <v>38942</v>
      </c>
      <c r="F4547" t="s">
        <v>38943</v>
      </c>
      <c r="G4547" t="s">
        <v>37343</v>
      </c>
      <c r="H4547" t="s">
        <v>38945</v>
      </c>
      <c r="I4547" t="s">
        <v>85</v>
      </c>
      <c r="J4547" t="s">
        <v>22</v>
      </c>
      <c r="K4547" t="s">
        <v>38944</v>
      </c>
      <c r="L4547" t="s">
        <v>38948</v>
      </c>
      <c r="M4547" t="s">
        <v>25</v>
      </c>
      <c r="N4547" t="s">
        <v>38949</v>
      </c>
      <c r="O4547" t="s">
        <v>25</v>
      </c>
      <c r="P4547" t="s">
        <v>38950</v>
      </c>
      <c r="Q4547" t="s">
        <v>29</v>
      </c>
      <c r="R4547" t="s">
        <v>38946</v>
      </c>
      <c r="S4547" t="s">
        <v>38947</v>
      </c>
    </row>
    <row r="4548" spans="1:19" x14ac:dyDescent="0.25">
      <c r="A4548" s="1">
        <v>4546</v>
      </c>
      <c r="B4548" t="str">
        <f>HYPERLINK("https://www.dasschnelle.at/pilz-roman-lorch-mühlenstraße","Website")</f>
        <v>Website</v>
      </c>
      <c r="C4548" t="str">
        <f>HYPERLINK("http://www.rpilz.at","Website")</f>
        <v>Website</v>
      </c>
      <c r="D4548" t="str">
        <f>HYPERLINK("http://www.google.com/maps/place/48.2232700,14.4677600","Location")</f>
        <v>Location</v>
      </c>
      <c r="E4548" t="s">
        <v>38951</v>
      </c>
      <c r="F4548" t="s">
        <v>38952</v>
      </c>
      <c r="G4548" t="s">
        <v>3307</v>
      </c>
      <c r="H4548" t="s">
        <v>38954</v>
      </c>
      <c r="I4548" t="s">
        <v>85</v>
      </c>
      <c r="J4548" t="s">
        <v>22</v>
      </c>
      <c r="K4548" t="s">
        <v>38953</v>
      </c>
      <c r="L4548" t="s">
        <v>38957</v>
      </c>
      <c r="M4548" t="s">
        <v>25</v>
      </c>
      <c r="N4548" t="s">
        <v>38958</v>
      </c>
      <c r="O4548" t="s">
        <v>25</v>
      </c>
      <c r="P4548" t="s">
        <v>38959</v>
      </c>
      <c r="Q4548" t="s">
        <v>29</v>
      </c>
      <c r="R4548" t="s">
        <v>38955</v>
      </c>
      <c r="S4548" t="s">
        <v>38956</v>
      </c>
    </row>
    <row r="4549" spans="1:19" x14ac:dyDescent="0.25">
      <c r="A4549" s="1">
        <v>4547</v>
      </c>
      <c r="B4549" t="str">
        <f>HYPERLINK("https://www.dasschnelle.at/dr-med-dent-teszner-thomas-schwechat-office-park","Website")</f>
        <v>Website</v>
      </c>
      <c r="C4549" t="str">
        <f>HYPERLINK("http://www.zahnarzt-schwechat.at","Website")</f>
        <v>Website</v>
      </c>
      <c r="D4549" t="str">
        <f>HYPERLINK("http://www.google.com/maps/place/48.12264,16.56455","Location")</f>
        <v>Location</v>
      </c>
      <c r="E4549" t="s">
        <v>38960</v>
      </c>
      <c r="F4549" t="s">
        <v>38961</v>
      </c>
      <c r="G4549" t="s">
        <v>38963</v>
      </c>
      <c r="H4549" t="s">
        <v>9770</v>
      </c>
      <c r="I4549" t="s">
        <v>177</v>
      </c>
      <c r="J4549" t="s">
        <v>22</v>
      </c>
      <c r="K4549" t="s">
        <v>38962</v>
      </c>
      <c r="L4549" t="s">
        <v>38966</v>
      </c>
      <c r="M4549" t="s">
        <v>25</v>
      </c>
      <c r="N4549" t="s">
        <v>38967</v>
      </c>
      <c r="O4549" t="s">
        <v>38968</v>
      </c>
      <c r="P4549" t="s">
        <v>697</v>
      </c>
      <c r="Q4549" t="s">
        <v>29</v>
      </c>
      <c r="R4549" t="s">
        <v>38964</v>
      </c>
      <c r="S4549" t="s">
        <v>38965</v>
      </c>
    </row>
    <row r="4550" spans="1:19" x14ac:dyDescent="0.25">
      <c r="A4550" s="1">
        <v>4548</v>
      </c>
      <c r="B4550" t="str">
        <f>HYPERLINK("https://www.dasschnelle.at/schneider-a-u-r-gesmbh-mannswörth-mannswörther-straße","Website")</f>
        <v>Website</v>
      </c>
      <c r="C4550" t="str">
        <f>HYPERLINK("http://www.aur-schneider.at","Website")</f>
        <v>Website</v>
      </c>
      <c r="D4550" t="str">
        <f>HYPERLINK("http://www.google.com/maps/place/48.14123,16.52592","Location")</f>
        <v>Location</v>
      </c>
      <c r="E4550" t="s">
        <v>38969</v>
      </c>
      <c r="F4550" t="s">
        <v>38970</v>
      </c>
      <c r="G4550" t="s">
        <v>9769</v>
      </c>
      <c r="H4550" t="s">
        <v>38972</v>
      </c>
      <c r="I4550" t="s">
        <v>177</v>
      </c>
      <c r="J4550" t="s">
        <v>22</v>
      </c>
      <c r="K4550" t="s">
        <v>38971</v>
      </c>
      <c r="L4550" t="s">
        <v>38975</v>
      </c>
      <c r="M4550" t="s">
        <v>25</v>
      </c>
      <c r="N4550" t="s">
        <v>38976</v>
      </c>
      <c r="O4550" t="s">
        <v>38977</v>
      </c>
      <c r="P4550" t="s">
        <v>38978</v>
      </c>
      <c r="Q4550" t="s">
        <v>29</v>
      </c>
      <c r="R4550" t="s">
        <v>38973</v>
      </c>
      <c r="S4550" t="s">
        <v>38974</v>
      </c>
    </row>
    <row r="4551" spans="1:19" x14ac:dyDescent="0.25">
      <c r="A4551" s="1">
        <v>4549</v>
      </c>
      <c r="B4551" t="str">
        <f>HYPERLINK("https://www.dasschnelle.at/kettl-alois-ing-neuratting-neuratting","Website")</f>
        <v>Website</v>
      </c>
      <c r="C4551" t="str">
        <f>HYPERLINK("http://www.installateur-kettl.at","Website")</f>
        <v>Website</v>
      </c>
      <c r="D4551" t="str">
        <f>HYPERLINK("http://www.google.com/maps/place/48.2254764,13.3700491","Location")</f>
        <v>Location</v>
      </c>
      <c r="E4551" t="s">
        <v>38979</v>
      </c>
      <c r="F4551" t="s">
        <v>38980</v>
      </c>
      <c r="G4551" t="s">
        <v>36606</v>
      </c>
      <c r="H4551" t="s">
        <v>38982</v>
      </c>
      <c r="I4551" t="s">
        <v>85</v>
      </c>
      <c r="J4551" t="s">
        <v>22</v>
      </c>
      <c r="K4551" t="s">
        <v>38981</v>
      </c>
      <c r="L4551" t="s">
        <v>38985</v>
      </c>
      <c r="M4551" t="s">
        <v>25</v>
      </c>
      <c r="N4551" t="s">
        <v>38986</v>
      </c>
      <c r="O4551" t="s">
        <v>25</v>
      </c>
      <c r="P4551" t="s">
        <v>38987</v>
      </c>
      <c r="Q4551" t="s">
        <v>29</v>
      </c>
      <c r="R4551" t="s">
        <v>38983</v>
      </c>
      <c r="S4551" t="s">
        <v>38984</v>
      </c>
    </row>
    <row r="4552" spans="1:19" x14ac:dyDescent="0.25">
      <c r="A4552" s="1">
        <v>4550</v>
      </c>
      <c r="B4552" t="str">
        <f>HYPERLINK("https://www.dasschnelle.at/spenglerei-krautgartner-gmbh-kramling-kramling","Website")</f>
        <v>Website</v>
      </c>
      <c r="C4552" t="str">
        <f>HYPERLINK("http://www.spenglerei-krautgartner.at","Website")</f>
        <v>Website</v>
      </c>
      <c r="D4552" t="str">
        <f>HYPERLINK("http://www.google.com/maps/place/48.1474766,13.4119293","Location")</f>
        <v>Location</v>
      </c>
      <c r="E4552" t="s">
        <v>38988</v>
      </c>
      <c r="F4552" t="s">
        <v>38989</v>
      </c>
      <c r="G4552" t="s">
        <v>37343</v>
      </c>
      <c r="H4552" t="s">
        <v>38991</v>
      </c>
      <c r="I4552" t="s">
        <v>85</v>
      </c>
      <c r="J4552" t="s">
        <v>22</v>
      </c>
      <c r="K4552" t="s">
        <v>38990</v>
      </c>
      <c r="L4552" t="s">
        <v>38994</v>
      </c>
      <c r="M4552" t="s">
        <v>25</v>
      </c>
      <c r="N4552" t="s">
        <v>38995</v>
      </c>
      <c r="O4552" t="s">
        <v>25</v>
      </c>
      <c r="P4552" t="s">
        <v>38996</v>
      </c>
      <c r="Q4552" t="s">
        <v>29</v>
      </c>
      <c r="R4552" t="s">
        <v>38992</v>
      </c>
      <c r="S4552" t="s">
        <v>38993</v>
      </c>
    </row>
    <row r="4553" spans="1:19" x14ac:dyDescent="0.25">
      <c r="A4553" s="1">
        <v>4551</v>
      </c>
      <c r="B4553" t="str">
        <f>HYPERLINK("https://www.dasschnelle.at/elektro-gressenberger-gmbh-bärnbach-blumenstraße","Website")</f>
        <v>Website</v>
      </c>
      <c r="C4553" t="str">
        <f>HYPERLINK("http://www.gressenberger.com","Website")</f>
        <v>Website</v>
      </c>
      <c r="D4553" t="str">
        <f>HYPERLINK("http://www.google.com/maps/place/47.0717,15.12177","Location")</f>
        <v>Location</v>
      </c>
      <c r="E4553" t="s">
        <v>38997</v>
      </c>
      <c r="F4553" t="s">
        <v>38998</v>
      </c>
      <c r="G4553" t="s">
        <v>4592</v>
      </c>
      <c r="H4553" t="s">
        <v>4593</v>
      </c>
      <c r="I4553" t="s">
        <v>451</v>
      </c>
      <c r="J4553" t="s">
        <v>22</v>
      </c>
      <c r="K4553" t="s">
        <v>38999</v>
      </c>
      <c r="L4553" t="s">
        <v>39002</v>
      </c>
      <c r="M4553" t="s">
        <v>25</v>
      </c>
      <c r="N4553" t="s">
        <v>39003</v>
      </c>
      <c r="O4553" t="s">
        <v>25</v>
      </c>
      <c r="P4553" t="s">
        <v>39004</v>
      </c>
      <c r="Q4553" t="s">
        <v>29</v>
      </c>
      <c r="R4553" t="s">
        <v>39000</v>
      </c>
      <c r="S4553" t="s">
        <v>39001</v>
      </c>
    </row>
    <row r="4554" spans="1:19" x14ac:dyDescent="0.25">
      <c r="A4554" s="1">
        <v>4552</v>
      </c>
      <c r="B4554" t="str">
        <f>HYPERLINK("https://www.dasschnelle.at/pfeifer-christian-pfeiferhaus-voitsberg-grazer-vorstadt","Website")</f>
        <v>Website</v>
      </c>
      <c r="C4554" t="str">
        <f>HYPERLINK("http://www.pfeiferhaus.at","Website")</f>
        <v>Website</v>
      </c>
      <c r="D4554" t="str">
        <f>HYPERLINK("http://www.google.com/maps/place/47.0394887,15.2209787","Location")</f>
        <v>Location</v>
      </c>
      <c r="E4554" t="s">
        <v>39005</v>
      </c>
      <c r="F4554" t="s">
        <v>39006</v>
      </c>
      <c r="G4554" t="s">
        <v>4572</v>
      </c>
      <c r="H4554" t="s">
        <v>4573</v>
      </c>
      <c r="I4554" t="s">
        <v>451</v>
      </c>
      <c r="J4554" t="s">
        <v>22</v>
      </c>
      <c r="K4554" t="s">
        <v>39007</v>
      </c>
      <c r="L4554" t="s">
        <v>39010</v>
      </c>
      <c r="M4554" t="s">
        <v>25</v>
      </c>
      <c r="N4554" t="s">
        <v>39011</v>
      </c>
      <c r="O4554" t="s">
        <v>25</v>
      </c>
      <c r="P4554" t="s">
        <v>39012</v>
      </c>
      <c r="Q4554" t="s">
        <v>29</v>
      </c>
      <c r="R4554" t="s">
        <v>39008</v>
      </c>
      <c r="S4554" t="s">
        <v>39009</v>
      </c>
    </row>
    <row r="4555" spans="1:19" x14ac:dyDescent="0.25">
      <c r="A4555" s="1">
        <v>4553</v>
      </c>
      <c r="B4555" t="str">
        <f>HYPERLINK("https://www.dasschnelle.at/pichler-harald-sierning-mühlberg","Website")</f>
        <v>Website</v>
      </c>
      <c r="C4555" t="str">
        <f>HYPERLINK("http://www.elektropichler.at","Website")</f>
        <v>Website</v>
      </c>
      <c r="D4555" t="str">
        <f>HYPERLINK("http://www.google.com/maps/place/48.04604,14.31032","Location")</f>
        <v>Location</v>
      </c>
      <c r="E4555" t="s">
        <v>39013</v>
      </c>
      <c r="F4555" t="s">
        <v>39014</v>
      </c>
      <c r="G4555" t="s">
        <v>11083</v>
      </c>
      <c r="H4555" t="s">
        <v>11084</v>
      </c>
      <c r="I4555" t="s">
        <v>85</v>
      </c>
      <c r="J4555" t="s">
        <v>22</v>
      </c>
      <c r="K4555" t="s">
        <v>39015</v>
      </c>
      <c r="L4555" t="s">
        <v>39018</v>
      </c>
      <c r="M4555" t="s">
        <v>25</v>
      </c>
      <c r="N4555" t="s">
        <v>39019</v>
      </c>
      <c r="O4555" t="s">
        <v>39020</v>
      </c>
      <c r="P4555" t="s">
        <v>39021</v>
      </c>
      <c r="Q4555" t="s">
        <v>29</v>
      </c>
      <c r="R4555" t="s">
        <v>39016</v>
      </c>
      <c r="S4555" t="s">
        <v>39017</v>
      </c>
    </row>
    <row r="4556" spans="1:19" x14ac:dyDescent="0.25">
      <c r="A4556" s="1">
        <v>4554</v>
      </c>
      <c r="B4556" t="str">
        <f>HYPERLINK("https://www.dasschnelle.at/bauer-ernst-köflach-albert-zach-siedlung","Website")</f>
        <v>Website</v>
      </c>
      <c r="C4556" t="str">
        <f>HYPERLINK("https://www.dasschnelle.at/bauer-ernst-k%C3%B6flach-albert-zach-siedlung","Website")</f>
        <v>Website</v>
      </c>
      <c r="D4556" t="str">
        <f>HYPERLINK("http://www.google.com/maps/place/47.03688,15.08138","Location")</f>
        <v>Location</v>
      </c>
      <c r="E4556" t="s">
        <v>39022</v>
      </c>
      <c r="F4556" t="s">
        <v>39023</v>
      </c>
      <c r="G4556" t="s">
        <v>4582</v>
      </c>
      <c r="H4556" t="s">
        <v>4583</v>
      </c>
      <c r="I4556" t="s">
        <v>451</v>
      </c>
      <c r="J4556" t="s">
        <v>22</v>
      </c>
      <c r="K4556" t="s">
        <v>39024</v>
      </c>
      <c r="L4556" t="s">
        <v>39027</v>
      </c>
      <c r="M4556" t="s">
        <v>25</v>
      </c>
      <c r="N4556" t="s">
        <v>39028</v>
      </c>
      <c r="O4556" t="s">
        <v>25</v>
      </c>
      <c r="P4556" t="s">
        <v>39029</v>
      </c>
      <c r="Q4556" t="s">
        <v>29</v>
      </c>
      <c r="R4556" t="s">
        <v>39025</v>
      </c>
      <c r="S4556" t="s">
        <v>39026</v>
      </c>
    </row>
    <row r="4557" spans="1:19" x14ac:dyDescent="0.25">
      <c r="A4557" s="1">
        <v>4555</v>
      </c>
      <c r="B4557" t="str">
        <f>HYPERLINK("https://www.dasschnelle.at/butter-kg-trieben-alte-tauernstraße","Website")</f>
        <v>Website</v>
      </c>
      <c r="C4557" t="str">
        <f>HYPERLINK("http://www.bestattungbutter.at","Website")</f>
        <v>Website</v>
      </c>
      <c r="D4557" t="str">
        <f>HYPERLINK("http://www.google.com/maps/place/47.48811,14.48592","Location")</f>
        <v>Location</v>
      </c>
      <c r="E4557" t="s">
        <v>39030</v>
      </c>
      <c r="F4557" t="s">
        <v>39031</v>
      </c>
      <c r="G4557" t="s">
        <v>1221</v>
      </c>
      <c r="H4557" t="s">
        <v>1222</v>
      </c>
      <c r="I4557" t="s">
        <v>451</v>
      </c>
      <c r="J4557" t="s">
        <v>22</v>
      </c>
      <c r="K4557" t="s">
        <v>39032</v>
      </c>
      <c r="L4557" t="s">
        <v>39035</v>
      </c>
      <c r="M4557" t="s">
        <v>39036</v>
      </c>
      <c r="N4557" t="s">
        <v>39037</v>
      </c>
      <c r="O4557" t="s">
        <v>25</v>
      </c>
      <c r="P4557" t="s">
        <v>39038</v>
      </c>
      <c r="Q4557" t="s">
        <v>29</v>
      </c>
      <c r="R4557" t="s">
        <v>39033</v>
      </c>
      <c r="S4557" t="s">
        <v>39034</v>
      </c>
    </row>
    <row r="4558" spans="1:19" x14ac:dyDescent="0.25">
      <c r="A4558" s="1">
        <v>4556</v>
      </c>
      <c r="B4558" t="str">
        <f>HYPERLINK("https://www.dasschnelle.at/nemetschek-peter-installations-gesmbh-sierning-bahnhofstraße","Website")</f>
        <v>Website</v>
      </c>
      <c r="C4558" t="str">
        <f>HYPERLINK("http://www.nemetschek.co.at","Website")</f>
        <v>Website</v>
      </c>
      <c r="D4558" t="str">
        <f>HYPERLINK("http://www.google.com/maps/place/48.04362,14.31006","Location")</f>
        <v>Location</v>
      </c>
      <c r="E4558" t="s">
        <v>39039</v>
      </c>
      <c r="F4558" t="s">
        <v>39040</v>
      </c>
      <c r="G4558" t="s">
        <v>11083</v>
      </c>
      <c r="H4558" t="s">
        <v>11084</v>
      </c>
      <c r="I4558" t="s">
        <v>85</v>
      </c>
      <c r="J4558" t="s">
        <v>22</v>
      </c>
      <c r="K4558" t="s">
        <v>10655</v>
      </c>
      <c r="L4558" t="s">
        <v>39043</v>
      </c>
      <c r="M4558" t="s">
        <v>25</v>
      </c>
      <c r="N4558" t="s">
        <v>39044</v>
      </c>
      <c r="O4558" t="s">
        <v>25</v>
      </c>
      <c r="P4558" t="s">
        <v>39045</v>
      </c>
      <c r="Q4558" t="s">
        <v>29</v>
      </c>
      <c r="R4558" t="s">
        <v>39041</v>
      </c>
      <c r="S4558" t="s">
        <v>39042</v>
      </c>
    </row>
    <row r="4559" spans="1:19" x14ac:dyDescent="0.25">
      <c r="A4559" s="1">
        <v>4557</v>
      </c>
      <c r="B4559" t="str">
        <f>HYPERLINK("https://www.dasschnelle.at/bestattung-josef-mayrhofer-schildorn-dorfplatz","Website")</f>
        <v>Website</v>
      </c>
      <c r="C4559" t="str">
        <f>HYPERLINK("http://www.bestattung-mayrhofer.at","Website")</f>
        <v>Website</v>
      </c>
      <c r="D4559" t="str">
        <f>HYPERLINK("http://www.google.com/maps/place/48.1466200,13.4662000","Location")</f>
        <v>Location</v>
      </c>
      <c r="E4559" t="s">
        <v>39046</v>
      </c>
      <c r="F4559" t="s">
        <v>39047</v>
      </c>
      <c r="G4559" t="s">
        <v>39048</v>
      </c>
      <c r="H4559" t="s">
        <v>39049</v>
      </c>
      <c r="I4559" t="s">
        <v>85</v>
      </c>
      <c r="J4559" t="s">
        <v>22</v>
      </c>
      <c r="K4559" t="s">
        <v>10617</v>
      </c>
      <c r="L4559" t="s">
        <v>39052</v>
      </c>
      <c r="M4559" t="s">
        <v>25</v>
      </c>
      <c r="N4559" t="s">
        <v>39053</v>
      </c>
      <c r="O4559" t="s">
        <v>25</v>
      </c>
      <c r="P4559" t="s">
        <v>39054</v>
      </c>
      <c r="Q4559" t="s">
        <v>29</v>
      </c>
      <c r="R4559" t="s">
        <v>39050</v>
      </c>
      <c r="S4559" t="s">
        <v>39051</v>
      </c>
    </row>
    <row r="4560" spans="1:19" x14ac:dyDescent="0.25">
      <c r="A4560" s="1">
        <v>4558</v>
      </c>
      <c r="B4560" t="str">
        <f>HYPERLINK("https://www.dasschnelle.at/grünes-türl-bad-schallerbach-gebersdorf","Website")</f>
        <v>Website</v>
      </c>
      <c r="C4560" t="str">
        <f>HYPERLINK("http://www.gruenes-tuerl.at","Website")</f>
        <v>Website</v>
      </c>
      <c r="D4560" t="str">
        <f>HYPERLINK("http://www.google.com/maps/place/48.2304702,13.9018876","Location")</f>
        <v>Location</v>
      </c>
      <c r="E4560" t="s">
        <v>39055</v>
      </c>
      <c r="F4560" t="s">
        <v>39056</v>
      </c>
      <c r="G4560" t="s">
        <v>37516</v>
      </c>
      <c r="H4560" t="s">
        <v>37517</v>
      </c>
      <c r="I4560" t="s">
        <v>85</v>
      </c>
      <c r="J4560" t="s">
        <v>22</v>
      </c>
      <c r="K4560" t="s">
        <v>39057</v>
      </c>
      <c r="L4560" t="s">
        <v>39060</v>
      </c>
      <c r="M4560" t="s">
        <v>39061</v>
      </c>
      <c r="N4560" t="s">
        <v>39062</v>
      </c>
      <c r="O4560" t="s">
        <v>25</v>
      </c>
      <c r="P4560" t="s">
        <v>39063</v>
      </c>
      <c r="Q4560" t="s">
        <v>29</v>
      </c>
      <c r="R4560" t="s">
        <v>39058</v>
      </c>
      <c r="S4560" t="s">
        <v>39059</v>
      </c>
    </row>
    <row r="4561" spans="1:19" x14ac:dyDescent="0.25">
      <c r="A4561" s="1">
        <v>4559</v>
      </c>
      <c r="B4561" t="str">
        <f>HYPERLINK("https://www.dasschnelle.at/kößl-eva-simone-dr-med-ried-im-innkreis-josef-kränzl-straße","Website")</f>
        <v>Website</v>
      </c>
      <c r="C4561" t="str">
        <f>HYPERLINK("http://www.zahnpraxis-koessl.at","Website")</f>
        <v>Website</v>
      </c>
      <c r="D4561" t="str">
        <f>HYPERLINK("http://www.google.com/maps/place/48.20309,13.48687","Location")</f>
        <v>Location</v>
      </c>
      <c r="E4561" t="s">
        <v>39064</v>
      </c>
      <c r="F4561" t="s">
        <v>39065</v>
      </c>
      <c r="G4561" t="s">
        <v>6245</v>
      </c>
      <c r="H4561" t="s">
        <v>6267</v>
      </c>
      <c r="I4561" t="s">
        <v>85</v>
      </c>
      <c r="J4561" t="s">
        <v>22</v>
      </c>
      <c r="K4561" t="s">
        <v>39066</v>
      </c>
      <c r="L4561" t="s">
        <v>39069</v>
      </c>
      <c r="M4561" t="s">
        <v>25</v>
      </c>
      <c r="N4561" t="s">
        <v>39070</v>
      </c>
      <c r="O4561" t="s">
        <v>25</v>
      </c>
      <c r="P4561" t="s">
        <v>39071</v>
      </c>
      <c r="Q4561" t="s">
        <v>29</v>
      </c>
      <c r="R4561" t="s">
        <v>39067</v>
      </c>
      <c r="S4561" t="s">
        <v>39068</v>
      </c>
    </row>
    <row r="4562" spans="1:19" x14ac:dyDescent="0.25">
      <c r="A4562" s="1">
        <v>4560</v>
      </c>
      <c r="B4562" t="str">
        <f>HYPERLINK("https://www.dasschnelle.at/fraungruber-und-leitner-gmbh-und-co-kg-bad-schallerbach-grieskirchner-straße","Website")</f>
        <v>Website</v>
      </c>
      <c r="C4562" t="str">
        <f>HYPERLINK("http://www.ful.at","Website")</f>
        <v>Website</v>
      </c>
      <c r="D4562" t="str">
        <f>HYPERLINK("http://www.google.com/maps/place/48.23087,13.91728","Location")</f>
        <v>Location</v>
      </c>
      <c r="E4562" t="s">
        <v>39072</v>
      </c>
      <c r="F4562" t="s">
        <v>39073</v>
      </c>
      <c r="G4562" t="s">
        <v>37516</v>
      </c>
      <c r="H4562" t="s">
        <v>37517</v>
      </c>
      <c r="I4562" t="s">
        <v>85</v>
      </c>
      <c r="J4562" t="s">
        <v>22</v>
      </c>
      <c r="K4562" t="s">
        <v>28358</v>
      </c>
      <c r="L4562" t="s">
        <v>39076</v>
      </c>
      <c r="M4562" t="s">
        <v>25</v>
      </c>
      <c r="N4562" t="s">
        <v>39077</v>
      </c>
      <c r="O4562" t="s">
        <v>39078</v>
      </c>
      <c r="P4562" t="s">
        <v>39079</v>
      </c>
      <c r="Q4562" t="s">
        <v>29</v>
      </c>
      <c r="R4562" t="s">
        <v>39074</v>
      </c>
      <c r="S4562" t="s">
        <v>39075</v>
      </c>
    </row>
    <row r="4563" spans="1:19" x14ac:dyDescent="0.25">
      <c r="A4563" s="1">
        <v>4561</v>
      </c>
      <c r="B4563" t="str">
        <f>HYPERLINK("https://www.dasschnelle.at/pachinger-christian-mag-bad-schallerbach-grieskirchner-straße","Website")</f>
        <v>Website</v>
      </c>
      <c r="C4563" t="str">
        <f>HYPERLINK("http://www.pachinger-rechtsanwalt.at","Website")</f>
        <v>Website</v>
      </c>
      <c r="D4563" t="str">
        <f>HYPERLINK("http://www.google.com/maps/place/48.2310680,13.9165766","Location")</f>
        <v>Location</v>
      </c>
      <c r="E4563" t="s">
        <v>39080</v>
      </c>
      <c r="F4563" t="s">
        <v>39081</v>
      </c>
      <c r="G4563" t="s">
        <v>37516</v>
      </c>
      <c r="H4563" t="s">
        <v>37517</v>
      </c>
      <c r="I4563" t="s">
        <v>85</v>
      </c>
      <c r="J4563" t="s">
        <v>22</v>
      </c>
      <c r="K4563" t="s">
        <v>39082</v>
      </c>
      <c r="L4563" t="s">
        <v>39085</v>
      </c>
      <c r="M4563" t="s">
        <v>25</v>
      </c>
      <c r="N4563" t="s">
        <v>39086</v>
      </c>
      <c r="O4563" t="s">
        <v>25</v>
      </c>
      <c r="P4563" t="s">
        <v>39087</v>
      </c>
      <c r="Q4563" t="s">
        <v>29</v>
      </c>
      <c r="R4563" t="s">
        <v>39083</v>
      </c>
      <c r="S4563" t="s">
        <v>39084</v>
      </c>
    </row>
    <row r="4564" spans="1:19" x14ac:dyDescent="0.25">
      <c r="A4564" s="1">
        <v>4562</v>
      </c>
      <c r="B4564" t="str">
        <f>HYPERLINK("https://www.dasschnelle.at/greinecker-franz-schönau-gstocket","Website")</f>
        <v>Website</v>
      </c>
      <c r="C4564" t="str">
        <f>HYPERLINK("http://www.tischlerei-greinecker.at","Website")</f>
        <v>Website</v>
      </c>
      <c r="D4564" t="str">
        <f>HYPERLINK("http://www.google.com/maps/place/48.24897,13.8899","Location")</f>
        <v>Location</v>
      </c>
      <c r="E4564" t="s">
        <v>39088</v>
      </c>
      <c r="F4564" t="s">
        <v>39089</v>
      </c>
      <c r="G4564" t="s">
        <v>37516</v>
      </c>
      <c r="H4564" t="s">
        <v>39091</v>
      </c>
      <c r="I4564" t="s">
        <v>85</v>
      </c>
      <c r="J4564" t="s">
        <v>22</v>
      </c>
      <c r="K4564" t="s">
        <v>39090</v>
      </c>
      <c r="L4564" t="s">
        <v>39094</v>
      </c>
      <c r="M4564" t="s">
        <v>39095</v>
      </c>
      <c r="N4564" t="s">
        <v>39096</v>
      </c>
      <c r="O4564" t="s">
        <v>39097</v>
      </c>
      <c r="P4564" t="s">
        <v>39098</v>
      </c>
      <c r="Q4564" t="s">
        <v>29</v>
      </c>
      <c r="R4564" t="s">
        <v>39092</v>
      </c>
      <c r="S4564" t="s">
        <v>39093</v>
      </c>
    </row>
    <row r="4565" spans="1:19" x14ac:dyDescent="0.25">
      <c r="A4565" s="1">
        <v>4563</v>
      </c>
      <c r="B4565" t="str">
        <f>HYPERLINK("https://www.dasschnelle.at/falk-hubert-bad-schallerbach-schönauer-straße","Website")</f>
        <v>Website</v>
      </c>
      <c r="C4565" t="str">
        <f>HYPERLINK("http://bestattung-falk.at","Website")</f>
        <v>Website</v>
      </c>
      <c r="D4565" t="str">
        <f>HYPERLINK("http://www.google.com/maps/place/48.23915,13.91205","Location")</f>
        <v>Location</v>
      </c>
      <c r="E4565" t="s">
        <v>39099</v>
      </c>
      <c r="F4565" t="s">
        <v>39100</v>
      </c>
      <c r="G4565" t="s">
        <v>37516</v>
      </c>
      <c r="H4565" t="s">
        <v>37517</v>
      </c>
      <c r="I4565" t="s">
        <v>85</v>
      </c>
      <c r="J4565" t="s">
        <v>22</v>
      </c>
      <c r="K4565" t="s">
        <v>39101</v>
      </c>
      <c r="L4565" t="s">
        <v>39104</v>
      </c>
      <c r="M4565" t="s">
        <v>39105</v>
      </c>
      <c r="N4565" t="s">
        <v>39106</v>
      </c>
      <c r="O4565" t="s">
        <v>25</v>
      </c>
      <c r="P4565" t="s">
        <v>39107</v>
      </c>
      <c r="Q4565" t="s">
        <v>29</v>
      </c>
      <c r="R4565" t="s">
        <v>39102</v>
      </c>
      <c r="S4565" t="s">
        <v>39103</v>
      </c>
    </row>
    <row r="4566" spans="1:19" x14ac:dyDescent="0.25">
      <c r="A4566" s="1">
        <v>4564</v>
      </c>
      <c r="B4566" t="str">
        <f>HYPERLINK("https://www.dasschnelle.at/hubert-enzlmüller-untermauer-untermauer","Website")</f>
        <v>Website</v>
      </c>
      <c r="C4566" t="str">
        <f>HYPERLINK("https://www.dasschnelle.at/hubert-enzlm%C3%BCller-untermauer-untermauer","Website")</f>
        <v>Website</v>
      </c>
      <c r="D4566" t="str">
        <f>HYPERLINK("http://www.google.com/maps/place/48.2354756,13.5562665","Location")</f>
        <v>Location</v>
      </c>
      <c r="E4566" t="s">
        <v>39108</v>
      </c>
      <c r="F4566" t="s">
        <v>39109</v>
      </c>
      <c r="G4566" t="s">
        <v>39111</v>
      </c>
      <c r="H4566" t="s">
        <v>39112</v>
      </c>
      <c r="I4566" t="s">
        <v>85</v>
      </c>
      <c r="J4566" t="s">
        <v>22</v>
      </c>
      <c r="K4566" t="s">
        <v>39110</v>
      </c>
      <c r="L4566" t="s">
        <v>39115</v>
      </c>
      <c r="M4566" t="s">
        <v>25</v>
      </c>
      <c r="N4566" t="s">
        <v>25</v>
      </c>
      <c r="O4566" t="s">
        <v>25</v>
      </c>
      <c r="P4566" t="s">
        <v>39116</v>
      </c>
      <c r="Q4566" t="s">
        <v>29</v>
      </c>
      <c r="R4566" t="s">
        <v>39113</v>
      </c>
      <c r="S4566" t="s">
        <v>39114</v>
      </c>
    </row>
    <row r="4567" spans="1:19" x14ac:dyDescent="0.25">
      <c r="A4567" s="1">
        <v>4565</v>
      </c>
      <c r="B4567" t="str">
        <f>HYPERLINK("https://www.dasschnelle.at/strasser-claudia-neuzeug-sierninghofenstraße","Website")</f>
        <v>Website</v>
      </c>
      <c r="C4567" t="str">
        <f>HYPERLINK("http://www.taxi-strasser.at","Website")</f>
        <v>Website</v>
      </c>
      <c r="D4567" t="str">
        <f>HYPERLINK("http://www.google.com/maps/place/48.0504,14.33422","Location")</f>
        <v>Location</v>
      </c>
      <c r="E4567" t="s">
        <v>39117</v>
      </c>
      <c r="F4567" t="s">
        <v>39118</v>
      </c>
      <c r="G4567" t="s">
        <v>11109</v>
      </c>
      <c r="H4567" t="s">
        <v>11110</v>
      </c>
      <c r="I4567" t="s">
        <v>85</v>
      </c>
      <c r="J4567" t="s">
        <v>22</v>
      </c>
      <c r="K4567" t="s">
        <v>39119</v>
      </c>
      <c r="L4567" t="s">
        <v>39122</v>
      </c>
      <c r="M4567" t="s">
        <v>25</v>
      </c>
      <c r="N4567" t="s">
        <v>39123</v>
      </c>
      <c r="O4567" t="s">
        <v>25</v>
      </c>
      <c r="P4567" t="s">
        <v>39124</v>
      </c>
      <c r="Q4567" t="s">
        <v>29</v>
      </c>
      <c r="R4567" t="s">
        <v>39120</v>
      </c>
      <c r="S4567" t="s">
        <v>39121</v>
      </c>
    </row>
    <row r="4568" spans="1:19" x14ac:dyDescent="0.25">
      <c r="A4568" s="1">
        <v>4566</v>
      </c>
      <c r="B4568" t="str">
        <f>HYPERLINK("https://www.dasschnelle.at/brandner-heribert-adlwang-fernbachweg","Website")</f>
        <v>Website</v>
      </c>
      <c r="C4568" t="str">
        <f>HYPERLINK("https://www.dasschnelle.at/brandner-heribert-adlwang-fernbachweg","Website")</f>
        <v>Website</v>
      </c>
      <c r="D4568" t="str">
        <f>HYPERLINK("http://www.google.com/maps/place/48.01709,14.23739","Location")</f>
        <v>Location</v>
      </c>
      <c r="E4568" t="s">
        <v>39125</v>
      </c>
      <c r="F4568" t="s">
        <v>39126</v>
      </c>
      <c r="G4568" t="s">
        <v>38282</v>
      </c>
      <c r="H4568" t="s">
        <v>38283</v>
      </c>
      <c r="I4568" t="s">
        <v>85</v>
      </c>
      <c r="J4568" t="s">
        <v>22</v>
      </c>
      <c r="K4568" t="s">
        <v>39127</v>
      </c>
      <c r="L4568" t="s">
        <v>39130</v>
      </c>
      <c r="M4568" t="s">
        <v>25</v>
      </c>
      <c r="N4568" t="s">
        <v>39131</v>
      </c>
      <c r="O4568" t="s">
        <v>25</v>
      </c>
      <c r="P4568" t="s">
        <v>39132</v>
      </c>
      <c r="Q4568" t="s">
        <v>29</v>
      </c>
      <c r="R4568" t="s">
        <v>39128</v>
      </c>
      <c r="S4568" t="s">
        <v>39129</v>
      </c>
    </row>
    <row r="4569" spans="1:19" x14ac:dyDescent="0.25">
      <c r="A4569" s="1">
        <v>4567</v>
      </c>
      <c r="B4569" t="str">
        <f>HYPERLINK("https://www.dasschnelle.at/maier-klaus-mag-iur-murau-schillerplatz","Website")</f>
        <v>Website</v>
      </c>
      <c r="C4569" t="str">
        <f>HYPERLINK("http://www.notar-maier.at","Website")</f>
        <v>Website</v>
      </c>
      <c r="D4569" t="str">
        <f>HYPERLINK("http://www.google.com/maps/place/47.11049,14.1709","Location")</f>
        <v>Location</v>
      </c>
      <c r="E4569" t="s">
        <v>39133</v>
      </c>
      <c r="F4569" t="s">
        <v>39134</v>
      </c>
      <c r="G4569" t="s">
        <v>12112</v>
      </c>
      <c r="H4569" t="s">
        <v>12113</v>
      </c>
      <c r="I4569" t="s">
        <v>451</v>
      </c>
      <c r="J4569" t="s">
        <v>22</v>
      </c>
      <c r="K4569" t="s">
        <v>39135</v>
      </c>
      <c r="L4569" t="s">
        <v>39138</v>
      </c>
      <c r="M4569" t="s">
        <v>25</v>
      </c>
      <c r="N4569" t="s">
        <v>39139</v>
      </c>
      <c r="O4569" t="s">
        <v>39140</v>
      </c>
      <c r="P4569" t="s">
        <v>39141</v>
      </c>
      <c r="Q4569" t="s">
        <v>29</v>
      </c>
      <c r="R4569" t="s">
        <v>39136</v>
      </c>
      <c r="S4569" t="s">
        <v>39137</v>
      </c>
    </row>
    <row r="4570" spans="1:19" x14ac:dyDescent="0.25">
      <c r="A4570" s="1">
        <v>4568</v>
      </c>
      <c r="B4570" t="str">
        <f>HYPERLINK("https://www.dasschnelle.at/wakolbinger-josef-jun-pfarrkirchen-wehrbach","Website")</f>
        <v>Website</v>
      </c>
      <c r="C4570" t="str">
        <f>HYPERLINK("http://www.baggerjoe.at","Website")</f>
        <v>Website</v>
      </c>
      <c r="D4570" t="str">
        <f>HYPERLINK("http://www.google.com/maps/place/48.5047262,13.8030569","Location")</f>
        <v>Location</v>
      </c>
      <c r="E4570" t="s">
        <v>39142</v>
      </c>
      <c r="F4570" t="s">
        <v>39143</v>
      </c>
      <c r="G4570" t="s">
        <v>38475</v>
      </c>
      <c r="H4570" t="s">
        <v>39145</v>
      </c>
      <c r="I4570" t="s">
        <v>85</v>
      </c>
      <c r="J4570" t="s">
        <v>22</v>
      </c>
      <c r="K4570" t="s">
        <v>39144</v>
      </c>
      <c r="L4570" t="s">
        <v>39148</v>
      </c>
      <c r="M4570" t="s">
        <v>25</v>
      </c>
      <c r="N4570" t="s">
        <v>39149</v>
      </c>
      <c r="O4570" t="s">
        <v>25</v>
      </c>
      <c r="P4570" t="s">
        <v>39150</v>
      </c>
      <c r="Q4570" t="s">
        <v>29</v>
      </c>
      <c r="R4570" t="s">
        <v>39146</v>
      </c>
      <c r="S4570" t="s">
        <v>39147</v>
      </c>
    </row>
    <row r="4571" spans="1:19" x14ac:dyDescent="0.25">
      <c r="A4571" s="1">
        <v>4569</v>
      </c>
      <c r="B4571" t="str">
        <f>HYPERLINK("https://www.dasschnelle.at/landtechnik-alois-krenn-gmbh-kollerschlag-mollmannsreith","Website")</f>
        <v>Website</v>
      </c>
      <c r="C4571" t="str">
        <f>HYPERLINK("http://www.landmaschinen-krenn.com","Website")</f>
        <v>Website</v>
      </c>
      <c r="D4571" t="str">
        <f>HYPERLINK("http://www.google.com/maps/place/48.5779402,13.8310524","Location")</f>
        <v>Location</v>
      </c>
      <c r="E4571" t="s">
        <v>39151</v>
      </c>
      <c r="F4571" t="s">
        <v>39152</v>
      </c>
      <c r="G4571" t="s">
        <v>8669</v>
      </c>
      <c r="H4571" t="s">
        <v>8670</v>
      </c>
      <c r="I4571" t="s">
        <v>85</v>
      </c>
      <c r="J4571" t="s">
        <v>22</v>
      </c>
      <c r="K4571" t="s">
        <v>39153</v>
      </c>
      <c r="L4571" t="s">
        <v>39156</v>
      </c>
      <c r="M4571" t="s">
        <v>25</v>
      </c>
      <c r="N4571" t="s">
        <v>39157</v>
      </c>
      <c r="O4571" t="s">
        <v>25</v>
      </c>
      <c r="P4571" t="s">
        <v>39158</v>
      </c>
      <c r="Q4571" t="s">
        <v>29</v>
      </c>
      <c r="R4571" t="s">
        <v>39154</v>
      </c>
      <c r="S4571" t="s">
        <v>39155</v>
      </c>
    </row>
    <row r="4572" spans="1:19" x14ac:dyDescent="0.25">
      <c r="A4572" s="1">
        <v>4570</v>
      </c>
      <c r="B4572" t="str">
        <f>HYPERLINK("https://www.dasschnelle.at/keuschnigg-andreas-bad-schallerbach-rathausplatz","Website")</f>
        <v>Website</v>
      </c>
      <c r="C4572" t="str">
        <f>HYPERLINK("http://www.goldschmiede-keuschnigg.at","Website")</f>
        <v>Website</v>
      </c>
      <c r="D4572" t="str">
        <f>HYPERLINK("http://www.google.com/maps/place/48.23152,13.91938","Location")</f>
        <v>Location</v>
      </c>
      <c r="E4572" t="s">
        <v>39159</v>
      </c>
      <c r="F4572" t="s">
        <v>39160</v>
      </c>
      <c r="G4572" t="s">
        <v>37516</v>
      </c>
      <c r="H4572" t="s">
        <v>37517</v>
      </c>
      <c r="I4572" t="s">
        <v>85</v>
      </c>
      <c r="J4572" t="s">
        <v>22</v>
      </c>
      <c r="K4572" t="s">
        <v>39161</v>
      </c>
      <c r="L4572" t="s">
        <v>39164</v>
      </c>
      <c r="M4572" t="s">
        <v>25</v>
      </c>
      <c r="N4572" t="s">
        <v>39165</v>
      </c>
      <c r="O4572" t="s">
        <v>25</v>
      </c>
      <c r="P4572" t="s">
        <v>39166</v>
      </c>
      <c r="Q4572" t="s">
        <v>29</v>
      </c>
      <c r="R4572" t="s">
        <v>39162</v>
      </c>
      <c r="S4572" t="s">
        <v>39163</v>
      </c>
    </row>
    <row r="4573" spans="1:19" x14ac:dyDescent="0.25">
      <c r="A4573" s="1">
        <v>4571</v>
      </c>
      <c r="B4573" t="str">
        <f>HYPERLINK("https://www.dasschnelle.at/roithmeier-iris-bad-schallerbach-schönauer-straße","Website")</f>
        <v>Website</v>
      </c>
      <c r="C4573" t="str">
        <f>HYPERLINK("http://www.beautymoment.at","Website")</f>
        <v>Website</v>
      </c>
      <c r="D4573" t="str">
        <f>HYPERLINK("http://www.google.com/maps/place/48.22935,13.92124","Location")</f>
        <v>Location</v>
      </c>
      <c r="E4573" t="s">
        <v>39167</v>
      </c>
      <c r="F4573" t="s">
        <v>39168</v>
      </c>
      <c r="G4573" t="s">
        <v>37516</v>
      </c>
      <c r="H4573" t="s">
        <v>37517</v>
      </c>
      <c r="I4573" t="s">
        <v>85</v>
      </c>
      <c r="J4573" t="s">
        <v>22</v>
      </c>
      <c r="K4573" t="s">
        <v>39169</v>
      </c>
      <c r="L4573" t="s">
        <v>39172</v>
      </c>
      <c r="M4573" t="s">
        <v>25</v>
      </c>
      <c r="N4573" t="s">
        <v>39173</v>
      </c>
      <c r="O4573" t="s">
        <v>25</v>
      </c>
      <c r="P4573" t="s">
        <v>697</v>
      </c>
      <c r="Q4573" t="s">
        <v>29</v>
      </c>
      <c r="R4573" t="s">
        <v>39170</v>
      </c>
      <c r="S4573" t="s">
        <v>39171</v>
      </c>
    </row>
    <row r="4574" spans="1:19" x14ac:dyDescent="0.25">
      <c r="A4574" s="1">
        <v>4572</v>
      </c>
      <c r="B4574" t="str">
        <f>HYPERLINK("https://www.dasschnelle.at/baublck-gebäude-und-anlagentechnik-ried-im-innkreis-voglweg-2","Website")</f>
        <v>Website</v>
      </c>
      <c r="C4574" t="str">
        <f>HYPERLINK("http://www.bauboeck-gat.at","Website")</f>
        <v>Website</v>
      </c>
      <c r="D4574" t="str">
        <f>HYPERLINK("http://www.google.com/maps/place/48.2137599,13.4894218","Location")</f>
        <v>Location</v>
      </c>
      <c r="E4574" t="s">
        <v>39174</v>
      </c>
      <c r="F4574" t="s">
        <v>39175</v>
      </c>
      <c r="G4574" t="s">
        <v>6245</v>
      </c>
      <c r="H4574" t="s">
        <v>6267</v>
      </c>
      <c r="I4574" t="s">
        <v>85</v>
      </c>
      <c r="J4574" t="s">
        <v>22</v>
      </c>
      <c r="K4574" t="s">
        <v>39176</v>
      </c>
      <c r="L4574" t="s">
        <v>4926</v>
      </c>
      <c r="M4574" t="s">
        <v>25</v>
      </c>
      <c r="N4574" t="s">
        <v>39179</v>
      </c>
      <c r="O4574" t="s">
        <v>25</v>
      </c>
      <c r="P4574" t="s">
        <v>39180</v>
      </c>
      <c r="Q4574" t="s">
        <v>29</v>
      </c>
      <c r="R4574" t="s">
        <v>39177</v>
      </c>
      <c r="S4574" t="s">
        <v>39178</v>
      </c>
    </row>
    <row r="4575" spans="1:19" x14ac:dyDescent="0.25">
      <c r="A4575" s="1">
        <v>4573</v>
      </c>
      <c r="B4575" t="str">
        <f>HYPERLINK("https://www.dasschnelle.at/autohaus-priewasser-gmbh-ried-im-innkreis-salzburger-straße","Website")</f>
        <v>Website</v>
      </c>
      <c r="C4575" t="str">
        <f>HYPERLINK("http://www.priewasserzentrum.at","Website")</f>
        <v>Website</v>
      </c>
      <c r="D4575" t="str">
        <f>HYPERLINK("http://www.google.com/maps/place/48.20243,13.47745","Location")</f>
        <v>Location</v>
      </c>
      <c r="E4575" t="s">
        <v>39181</v>
      </c>
      <c r="F4575" t="s">
        <v>39182</v>
      </c>
      <c r="G4575" t="s">
        <v>6245</v>
      </c>
      <c r="H4575" t="s">
        <v>6267</v>
      </c>
      <c r="I4575" t="s">
        <v>25</v>
      </c>
      <c r="J4575" t="s">
        <v>22</v>
      </c>
      <c r="K4575" t="s">
        <v>39183</v>
      </c>
      <c r="L4575" t="s">
        <v>39186</v>
      </c>
      <c r="M4575" t="s">
        <v>25</v>
      </c>
      <c r="N4575" t="s">
        <v>39187</v>
      </c>
      <c r="O4575" t="s">
        <v>25</v>
      </c>
      <c r="P4575" t="s">
        <v>39188</v>
      </c>
      <c r="Q4575" t="s">
        <v>29</v>
      </c>
      <c r="R4575" t="s">
        <v>39184</v>
      </c>
      <c r="S4575" t="s">
        <v>39185</v>
      </c>
    </row>
    <row r="4576" spans="1:19" x14ac:dyDescent="0.25">
      <c r="A4576" s="1">
        <v>4574</v>
      </c>
      <c r="B4576" t="str">
        <f>HYPERLINK("https://www.dasschnelle.at/innocente-gmbh-vorchdorf-danzlauer-straße","Website")</f>
        <v>Website</v>
      </c>
      <c r="C4576" t="str">
        <f>HYPERLINK("http://www.innocente.at","Website")</f>
        <v>Website</v>
      </c>
      <c r="D4576" t="str">
        <f>HYPERLINK("http://www.google.com/maps/place/47.97976,13.92439","Location")</f>
        <v>Location</v>
      </c>
      <c r="E4576" t="s">
        <v>39189</v>
      </c>
      <c r="F4576" t="s">
        <v>39190</v>
      </c>
      <c r="G4576" t="s">
        <v>6960</v>
      </c>
      <c r="H4576" t="s">
        <v>6961</v>
      </c>
      <c r="I4576" t="s">
        <v>85</v>
      </c>
      <c r="J4576" t="s">
        <v>22</v>
      </c>
      <c r="K4576" t="s">
        <v>39191</v>
      </c>
      <c r="L4576" t="s">
        <v>39194</v>
      </c>
      <c r="M4576" t="s">
        <v>25</v>
      </c>
      <c r="N4576" t="s">
        <v>39195</v>
      </c>
      <c r="O4576" t="s">
        <v>25</v>
      </c>
      <c r="P4576" t="s">
        <v>39196</v>
      </c>
      <c r="Q4576" t="s">
        <v>29</v>
      </c>
      <c r="R4576" t="s">
        <v>39192</v>
      </c>
      <c r="S4576" t="s">
        <v>39193</v>
      </c>
    </row>
    <row r="4577" spans="1:19" x14ac:dyDescent="0.25">
      <c r="A4577" s="1">
        <v>4575</v>
      </c>
      <c r="B4577" t="str">
        <f>HYPERLINK("https://www.dasschnelle.at/amering-gerhard-steinerkirchen-an-der-traun-gartenstraße","Website")</f>
        <v>Website</v>
      </c>
      <c r="C4577" t="str">
        <f>HYPERLINK("http://www.elektro-amering.at","Website")</f>
        <v>Website</v>
      </c>
      <c r="D4577" t="str">
        <f>HYPERLINK("http://www.google.com/maps/place/48.07609,13.9551","Location")</f>
        <v>Location</v>
      </c>
      <c r="E4577" t="s">
        <v>39197</v>
      </c>
      <c r="F4577" t="s">
        <v>39198</v>
      </c>
      <c r="G4577" t="s">
        <v>10886</v>
      </c>
      <c r="H4577" t="s">
        <v>10887</v>
      </c>
      <c r="I4577" t="s">
        <v>85</v>
      </c>
      <c r="J4577" t="s">
        <v>22</v>
      </c>
      <c r="K4577" t="s">
        <v>39199</v>
      </c>
      <c r="L4577" t="s">
        <v>39202</v>
      </c>
      <c r="M4577" t="s">
        <v>25</v>
      </c>
      <c r="N4577" t="s">
        <v>39203</v>
      </c>
      <c r="O4577" t="s">
        <v>25</v>
      </c>
      <c r="P4577" t="s">
        <v>39204</v>
      </c>
      <c r="Q4577" t="s">
        <v>29</v>
      </c>
      <c r="R4577" t="s">
        <v>39200</v>
      </c>
      <c r="S4577" t="s">
        <v>39201</v>
      </c>
    </row>
    <row r="4578" spans="1:19" x14ac:dyDescent="0.25">
      <c r="A4578" s="1">
        <v>4576</v>
      </c>
      <c r="B4578" t="str">
        <f>HYPERLINK("https://www.dasschnelle.at/zapfl-peter-ing-voitsberg-oberdorferstraße","Website")</f>
        <v>Website</v>
      </c>
      <c r="C4578" t="str">
        <f>HYPERLINK("http://www.zapfl.co.at","Website")</f>
        <v>Website</v>
      </c>
      <c r="D4578" t="str">
        <f>HYPERLINK("http://www.google.com/maps/place/47.05931,15.13687","Location")</f>
        <v>Location</v>
      </c>
      <c r="E4578" t="s">
        <v>39205</v>
      </c>
      <c r="F4578" t="s">
        <v>39206</v>
      </c>
      <c r="G4578" t="s">
        <v>4572</v>
      </c>
      <c r="H4578" t="s">
        <v>4573</v>
      </c>
      <c r="I4578" t="s">
        <v>451</v>
      </c>
      <c r="J4578" t="s">
        <v>22</v>
      </c>
      <c r="K4578" t="s">
        <v>39207</v>
      </c>
      <c r="L4578" t="s">
        <v>39210</v>
      </c>
      <c r="M4578" t="s">
        <v>25</v>
      </c>
      <c r="N4578" t="s">
        <v>39211</v>
      </c>
      <c r="O4578" t="s">
        <v>25</v>
      </c>
      <c r="P4578" t="s">
        <v>39212</v>
      </c>
      <c r="Q4578" t="s">
        <v>29</v>
      </c>
      <c r="R4578" t="s">
        <v>39208</v>
      </c>
      <c r="S4578" t="s">
        <v>39209</v>
      </c>
    </row>
    <row r="4579" spans="1:19" x14ac:dyDescent="0.25">
      <c r="A4579" s="1">
        <v>4577</v>
      </c>
      <c r="B4579" t="str">
        <f>HYPERLINK("https://www.dasschnelle.at/austaller-helmut-vorchdorf-pettenbacherstraße","Website")</f>
        <v>Website</v>
      </c>
      <c r="C4579" t="str">
        <f>HYPERLINK("http://www.h.aus.at","Website")</f>
        <v>Website</v>
      </c>
      <c r="D4579" t="str">
        <f>HYPERLINK("http://www.google.com/maps/place/47.99711,13.9387","Location")</f>
        <v>Location</v>
      </c>
      <c r="E4579" t="s">
        <v>39213</v>
      </c>
      <c r="F4579" t="s">
        <v>39214</v>
      </c>
      <c r="G4579" t="s">
        <v>6960</v>
      </c>
      <c r="H4579" t="s">
        <v>6961</v>
      </c>
      <c r="I4579" t="s">
        <v>85</v>
      </c>
      <c r="J4579" t="s">
        <v>22</v>
      </c>
      <c r="K4579" t="s">
        <v>39215</v>
      </c>
      <c r="L4579" t="s">
        <v>39218</v>
      </c>
      <c r="M4579" t="s">
        <v>25</v>
      </c>
      <c r="N4579" t="s">
        <v>39219</v>
      </c>
      <c r="O4579" t="s">
        <v>39220</v>
      </c>
      <c r="P4579" t="s">
        <v>39221</v>
      </c>
      <c r="Q4579" t="s">
        <v>29</v>
      </c>
      <c r="R4579" t="s">
        <v>39216</v>
      </c>
      <c r="S4579" t="s">
        <v>39217</v>
      </c>
    </row>
    <row r="4580" spans="1:19" x14ac:dyDescent="0.25">
      <c r="A4580" s="1">
        <v>4578</v>
      </c>
      <c r="B4580" t="str">
        <f>HYPERLINK("https://www.dasschnelle.at/wolfsmaier-gmbh-wallern-an-der-trattnach-höhenstraße","Website")</f>
        <v>Website</v>
      </c>
      <c r="C4580" t="str">
        <f>HYPERLINK("http://www.wolfsmaier.at","Website")</f>
        <v>Website</v>
      </c>
      <c r="D4580" t="str">
        <f>HYPERLINK("http://www.google.com/maps/place/48.23183,13.94207","Location")</f>
        <v>Location</v>
      </c>
      <c r="E4580" t="s">
        <v>39222</v>
      </c>
      <c r="F4580" t="s">
        <v>39223</v>
      </c>
      <c r="G4580" t="s">
        <v>39225</v>
      </c>
      <c r="H4580" t="s">
        <v>39226</v>
      </c>
      <c r="I4580" t="s">
        <v>85</v>
      </c>
      <c r="J4580" t="s">
        <v>22</v>
      </c>
      <c r="K4580" t="s">
        <v>39224</v>
      </c>
      <c r="L4580" t="s">
        <v>39229</v>
      </c>
      <c r="M4580" t="s">
        <v>39230</v>
      </c>
      <c r="N4580" t="s">
        <v>39231</v>
      </c>
      <c r="O4580" t="s">
        <v>39232</v>
      </c>
      <c r="P4580" t="s">
        <v>39233</v>
      </c>
      <c r="Q4580" t="s">
        <v>29</v>
      </c>
      <c r="R4580" t="s">
        <v>39227</v>
      </c>
      <c r="S4580" t="s">
        <v>39228</v>
      </c>
    </row>
    <row r="4581" spans="1:19" x14ac:dyDescent="0.25">
      <c r="A4581" s="1">
        <v>4579</v>
      </c>
      <c r="B4581" t="str">
        <f>HYPERLINK("https://www.dasschnelle.at/textilpflege-wächter-gmbh-bad-hall-kirchenstraße","Website")</f>
        <v>Website</v>
      </c>
      <c r="C4581" t="str">
        <f>HYPERLINK("http://www.textilpflege-waechter.at","Website")</f>
        <v>Website</v>
      </c>
      <c r="D4581" t="str">
        <f>HYPERLINK("http://www.google.com/maps/place/48.0474546,14.4176962","Location")</f>
        <v>Location</v>
      </c>
      <c r="E4581" t="s">
        <v>39234</v>
      </c>
      <c r="F4581" t="s">
        <v>39235</v>
      </c>
      <c r="G4581" t="s">
        <v>2280</v>
      </c>
      <c r="H4581" t="s">
        <v>2281</v>
      </c>
      <c r="I4581" t="s">
        <v>85</v>
      </c>
      <c r="J4581" t="s">
        <v>22</v>
      </c>
      <c r="K4581" t="s">
        <v>37563</v>
      </c>
      <c r="L4581" t="s">
        <v>39236</v>
      </c>
      <c r="M4581" t="s">
        <v>25</v>
      </c>
      <c r="N4581" t="s">
        <v>15119</v>
      </c>
      <c r="O4581" t="s">
        <v>39237</v>
      </c>
      <c r="P4581" t="s">
        <v>39238</v>
      </c>
      <c r="Q4581" t="s">
        <v>29</v>
      </c>
      <c r="R4581" t="s">
        <v>15116</v>
      </c>
      <c r="S4581" t="s">
        <v>15117</v>
      </c>
    </row>
    <row r="4582" spans="1:19" x14ac:dyDescent="0.25">
      <c r="A4582" s="1">
        <v>4580</v>
      </c>
      <c r="B4582" t="str">
        <f>HYPERLINK("https://www.dasschnelle.at/textilpflege-wächter-gmbh-sierning-kirchplatz","Website")</f>
        <v>Website</v>
      </c>
      <c r="C4582" t="str">
        <f>HYPERLINK("http://www.textilpflege-waechter.at","Website")</f>
        <v>Website</v>
      </c>
      <c r="D4582" t="str">
        <f>HYPERLINK("http://www.google.com/maps/place/48.0474546,14.4176962","Location")</f>
        <v>Location</v>
      </c>
      <c r="E4582" t="s">
        <v>39239</v>
      </c>
      <c r="F4582" t="s">
        <v>39240</v>
      </c>
      <c r="G4582" t="s">
        <v>11083</v>
      </c>
      <c r="H4582" t="s">
        <v>11084</v>
      </c>
      <c r="I4582" t="s">
        <v>85</v>
      </c>
      <c r="J4582" t="s">
        <v>22</v>
      </c>
      <c r="K4582" t="s">
        <v>39241</v>
      </c>
      <c r="L4582" t="s">
        <v>39242</v>
      </c>
      <c r="M4582" t="s">
        <v>25</v>
      </c>
      <c r="N4582" t="s">
        <v>15119</v>
      </c>
      <c r="O4582" t="s">
        <v>39243</v>
      </c>
      <c r="P4582" t="s">
        <v>39244</v>
      </c>
      <c r="Q4582" t="s">
        <v>29</v>
      </c>
      <c r="R4582" t="s">
        <v>15116</v>
      </c>
      <c r="S4582" t="s">
        <v>15117</v>
      </c>
    </row>
    <row r="4583" spans="1:19" x14ac:dyDescent="0.25">
      <c r="A4583" s="1">
        <v>4581</v>
      </c>
      <c r="B4583" t="str">
        <f>HYPERLINK("https://www.dasschnelle.at/dr-med-peter-lippitz-voitsberg-hauptplatz","Website")</f>
        <v>Website</v>
      </c>
      <c r="C4583" t="str">
        <f>HYPERLINK("http://www.roentgen-voitsberg.at","Website")</f>
        <v>Website</v>
      </c>
      <c r="D4583" t="str">
        <f>HYPERLINK("http://www.google.com/maps/place/47.04925,15.152","Location")</f>
        <v>Location</v>
      </c>
      <c r="E4583" t="s">
        <v>39245</v>
      </c>
      <c r="F4583" t="s">
        <v>39246</v>
      </c>
      <c r="G4583" t="s">
        <v>4572</v>
      </c>
      <c r="H4583" t="s">
        <v>4573</v>
      </c>
      <c r="I4583" t="s">
        <v>451</v>
      </c>
      <c r="J4583" t="s">
        <v>22</v>
      </c>
      <c r="K4583" t="s">
        <v>39247</v>
      </c>
      <c r="L4583" t="s">
        <v>39250</v>
      </c>
      <c r="M4583" t="s">
        <v>25</v>
      </c>
      <c r="N4583" t="s">
        <v>25</v>
      </c>
      <c r="O4583" t="s">
        <v>25</v>
      </c>
      <c r="P4583" t="s">
        <v>39251</v>
      </c>
      <c r="Q4583" t="s">
        <v>29</v>
      </c>
      <c r="R4583" t="s">
        <v>39248</v>
      </c>
      <c r="S4583" t="s">
        <v>39249</v>
      </c>
    </row>
    <row r="4584" spans="1:19" x14ac:dyDescent="0.25">
      <c r="A4584" s="1">
        <v>4582</v>
      </c>
      <c r="B4584" t="str">
        <f>HYPERLINK("https://www.dasschnelle.at/schmidt-klaus-dr-rosental-an-der-kainach-hauptstraße","Website")</f>
        <v>Website</v>
      </c>
      <c r="C4584" t="str">
        <f>HYPERLINK("http://www.drschmidt.at","Website")</f>
        <v>Website</v>
      </c>
      <c r="D4584" t="str">
        <f>HYPERLINK("http://www.google.com/maps/place/47.0524900,15.1241492","Location")</f>
        <v>Location</v>
      </c>
      <c r="E4584" t="s">
        <v>39252</v>
      </c>
      <c r="F4584" t="s">
        <v>39253</v>
      </c>
      <c r="G4584" t="s">
        <v>4689</v>
      </c>
      <c r="H4584" t="s">
        <v>4690</v>
      </c>
      <c r="I4584" t="s">
        <v>451</v>
      </c>
      <c r="J4584" t="s">
        <v>22</v>
      </c>
      <c r="K4584" t="s">
        <v>39254</v>
      </c>
      <c r="L4584" t="s">
        <v>39257</v>
      </c>
      <c r="M4584" t="s">
        <v>25</v>
      </c>
      <c r="N4584" t="s">
        <v>39258</v>
      </c>
      <c r="O4584" t="s">
        <v>25</v>
      </c>
      <c r="P4584" t="s">
        <v>39259</v>
      </c>
      <c r="Q4584" t="s">
        <v>29</v>
      </c>
      <c r="R4584" t="s">
        <v>39255</v>
      </c>
      <c r="S4584" t="s">
        <v>39256</v>
      </c>
    </row>
    <row r="4585" spans="1:19" x14ac:dyDescent="0.25">
      <c r="A4585" s="1">
        <v>4583</v>
      </c>
      <c r="B4585" t="str">
        <f>HYPERLINK("https://www.dasschnelle.at/zmugg-rainer-dr-voitsberg-hauptplatz","Website")</f>
        <v>Website</v>
      </c>
      <c r="C4585" t="str">
        <f>HYPERLINK("http://www.zahnarzt-zmugg.at","Website")</f>
        <v>Website</v>
      </c>
      <c r="D4585" t="str">
        <f>HYPERLINK("http://www.google.com/maps/place/47.04925,15.152","Location")</f>
        <v>Location</v>
      </c>
      <c r="E4585" t="s">
        <v>39260</v>
      </c>
      <c r="F4585" t="s">
        <v>39261</v>
      </c>
      <c r="G4585" t="s">
        <v>4572</v>
      </c>
      <c r="H4585" t="s">
        <v>4573</v>
      </c>
      <c r="I4585" t="s">
        <v>451</v>
      </c>
      <c r="J4585" t="s">
        <v>22</v>
      </c>
      <c r="K4585" t="s">
        <v>39247</v>
      </c>
      <c r="L4585" t="s">
        <v>39262</v>
      </c>
      <c r="M4585" t="s">
        <v>25</v>
      </c>
      <c r="N4585" t="s">
        <v>39263</v>
      </c>
      <c r="O4585" t="s">
        <v>25</v>
      </c>
      <c r="P4585" t="s">
        <v>39264</v>
      </c>
      <c r="Q4585" t="s">
        <v>29</v>
      </c>
      <c r="R4585" t="s">
        <v>39248</v>
      </c>
      <c r="S4585" t="s">
        <v>39249</v>
      </c>
    </row>
    <row r="4586" spans="1:19" x14ac:dyDescent="0.25">
      <c r="A4586" s="1">
        <v>4584</v>
      </c>
      <c r="B4586" t="str">
        <f>HYPERLINK("https://www.dasschnelle.at/lindinger-anita-edlgassen","Website")</f>
        <v>Website</v>
      </c>
      <c r="C4586" t="str">
        <f>HYPERLINK("http://www.taxi-anitalindinger.at","Website")</f>
        <v>Website</v>
      </c>
      <c r="D4586" t="str">
        <f>HYPERLINK("http://www.google.com/maps/place/48.2196343,13.9592089","Location")</f>
        <v>Location</v>
      </c>
      <c r="E4586" t="s">
        <v>39265</v>
      </c>
      <c r="F4586" t="s">
        <v>39266</v>
      </c>
      <c r="G4586" t="s">
        <v>39225</v>
      </c>
      <c r="H4586" t="s">
        <v>39267</v>
      </c>
      <c r="I4586" t="s">
        <v>85</v>
      </c>
      <c r="J4586" t="s">
        <v>22</v>
      </c>
      <c r="K4586" t="s">
        <v>25</v>
      </c>
      <c r="L4586" t="s">
        <v>39270</v>
      </c>
      <c r="M4586" t="s">
        <v>25</v>
      </c>
      <c r="N4586" t="s">
        <v>39271</v>
      </c>
      <c r="O4586" t="s">
        <v>25</v>
      </c>
      <c r="P4586" t="s">
        <v>39272</v>
      </c>
      <c r="Q4586" t="s">
        <v>29</v>
      </c>
      <c r="R4586" t="s">
        <v>39268</v>
      </c>
      <c r="S4586" t="s">
        <v>39269</v>
      </c>
    </row>
    <row r="4587" spans="1:19" x14ac:dyDescent="0.25">
      <c r="A4587" s="1">
        <v>4585</v>
      </c>
      <c r="B4587" t="str">
        <f>HYPERLINK("https://www.dasschnelle.at/nguyen-tri-quang-neuzeug-steyrtalstraße","Website")</f>
        <v>Website</v>
      </c>
      <c r="C4587" t="str">
        <f>HYPERLINK("https://www.dasschnelle.at/nguyen-tri-quang-neuzeug-steyrtalstra%C3%9Fe","Website")</f>
        <v>Website</v>
      </c>
      <c r="D4587" t="str">
        <f>HYPERLINK("http://www.google.com/maps/place/48.04413,14.33051","Location")</f>
        <v>Location</v>
      </c>
      <c r="E4587" t="s">
        <v>39273</v>
      </c>
      <c r="F4587" t="s">
        <v>39274</v>
      </c>
      <c r="G4587" t="s">
        <v>11109</v>
      </c>
      <c r="H4587" t="s">
        <v>11110</v>
      </c>
      <c r="I4587" t="s">
        <v>85</v>
      </c>
      <c r="J4587" t="s">
        <v>22</v>
      </c>
      <c r="K4587" t="s">
        <v>39275</v>
      </c>
      <c r="L4587" t="s">
        <v>39278</v>
      </c>
      <c r="M4587" t="s">
        <v>25</v>
      </c>
      <c r="N4587" t="s">
        <v>25</v>
      </c>
      <c r="O4587" t="s">
        <v>25</v>
      </c>
      <c r="P4587" t="s">
        <v>39279</v>
      </c>
      <c r="Q4587" t="s">
        <v>29</v>
      </c>
      <c r="R4587" t="s">
        <v>39276</v>
      </c>
      <c r="S4587" t="s">
        <v>39277</v>
      </c>
    </row>
    <row r="4588" spans="1:19" x14ac:dyDescent="0.25">
      <c r="A4588" s="1">
        <v>4586</v>
      </c>
      <c r="B4588" t="str">
        <f>HYPERLINK("https://www.dasschnelle.at/studio-cupak-haslach-an-der-mühl-marktplatz","Website")</f>
        <v>Website</v>
      </c>
      <c r="C4588" t="str">
        <f>HYPERLINK("http://www.friseur-cupak.at","Website")</f>
        <v>Website</v>
      </c>
      <c r="D4588" t="str">
        <f>HYPERLINK("http://www.google.com/maps/place/48.43146,14.29919","Location")</f>
        <v>Location</v>
      </c>
      <c r="E4588" t="s">
        <v>39280</v>
      </c>
      <c r="F4588" t="s">
        <v>39281</v>
      </c>
      <c r="G4588" t="s">
        <v>35103</v>
      </c>
      <c r="H4588" t="s">
        <v>35104</v>
      </c>
      <c r="I4588" t="s">
        <v>85</v>
      </c>
      <c r="J4588" t="s">
        <v>22</v>
      </c>
      <c r="K4588" t="s">
        <v>39282</v>
      </c>
      <c r="L4588" t="s">
        <v>39283</v>
      </c>
      <c r="M4588" t="s">
        <v>25</v>
      </c>
      <c r="N4588" t="s">
        <v>28269</v>
      </c>
      <c r="O4588" t="s">
        <v>25</v>
      </c>
      <c r="P4588" t="s">
        <v>39284</v>
      </c>
      <c r="Q4588" t="s">
        <v>29</v>
      </c>
      <c r="R4588" t="s">
        <v>28266</v>
      </c>
      <c r="S4588" t="s">
        <v>28267</v>
      </c>
    </row>
    <row r="4589" spans="1:19" x14ac:dyDescent="0.25">
      <c r="A4589" s="1">
        <v>4587</v>
      </c>
      <c r="B4589" t="str">
        <f>HYPERLINK("https://www.dasschnelle.at/lindinger-alfred-wallern-an-der-trattnach-gewerbepark-winkeln","Website")</f>
        <v>Website</v>
      </c>
      <c r="C4589" t="str">
        <f>HYPERLINK("http://www.stonesafe.at","Website")</f>
        <v>Website</v>
      </c>
      <c r="D4589" t="str">
        <f>HYPERLINK("http://www.google.com/maps/place/48.2402209,13.9129611","Location")</f>
        <v>Location</v>
      </c>
      <c r="E4589" t="s">
        <v>39285</v>
      </c>
      <c r="F4589" t="s">
        <v>39286</v>
      </c>
      <c r="G4589" t="s">
        <v>39225</v>
      </c>
      <c r="H4589" t="s">
        <v>39226</v>
      </c>
      <c r="I4589" t="s">
        <v>85</v>
      </c>
      <c r="J4589" t="s">
        <v>22</v>
      </c>
      <c r="K4589" t="s">
        <v>39287</v>
      </c>
      <c r="L4589" t="s">
        <v>39290</v>
      </c>
      <c r="M4589" t="s">
        <v>25</v>
      </c>
      <c r="N4589" t="s">
        <v>39291</v>
      </c>
      <c r="O4589" t="s">
        <v>39292</v>
      </c>
      <c r="P4589" t="s">
        <v>39293</v>
      </c>
      <c r="Q4589" t="s">
        <v>29</v>
      </c>
      <c r="R4589" t="s">
        <v>39288</v>
      </c>
      <c r="S4589" t="s">
        <v>39289</v>
      </c>
    </row>
    <row r="4590" spans="1:19" x14ac:dyDescent="0.25">
      <c r="A4590" s="1">
        <v>4588</v>
      </c>
      <c r="B4590" t="str">
        <f>HYPERLINK("https://www.dasschnelle.at/mustafa-ismet-bad-schallerbach-welser-straße","Website")</f>
        <v>Website</v>
      </c>
      <c r="C4590" t="str">
        <f>HYPERLINK("https://www.dasschnelle.at/mustafa-ismet-bad-schallerbach-welser-stra%C3%9Fe","Website")</f>
        <v>Website</v>
      </c>
      <c r="D4590" t="str">
        <f>HYPERLINK("http://www.google.com/maps/place/48.2261900,13.9270600","Location")</f>
        <v>Location</v>
      </c>
      <c r="E4590" t="s">
        <v>39294</v>
      </c>
      <c r="F4590" t="s">
        <v>39295</v>
      </c>
      <c r="G4590" t="s">
        <v>37516</v>
      </c>
      <c r="H4590" t="s">
        <v>37517</v>
      </c>
      <c r="I4590" t="s">
        <v>85</v>
      </c>
      <c r="J4590" t="s">
        <v>22</v>
      </c>
      <c r="K4590" t="s">
        <v>39296</v>
      </c>
      <c r="L4590" t="s">
        <v>39299</v>
      </c>
      <c r="M4590" t="s">
        <v>25</v>
      </c>
      <c r="N4590" t="s">
        <v>39300</v>
      </c>
      <c r="O4590" t="s">
        <v>25</v>
      </c>
      <c r="P4590" t="s">
        <v>39301</v>
      </c>
      <c r="Q4590" t="s">
        <v>29</v>
      </c>
      <c r="R4590" t="s">
        <v>39297</v>
      </c>
      <c r="S4590" t="s">
        <v>39298</v>
      </c>
    </row>
    <row r="4591" spans="1:19" x14ac:dyDescent="0.25">
      <c r="A4591" s="1">
        <v>4589</v>
      </c>
      <c r="B4591" t="str">
        <f>HYPERLINK("https://www.dasschnelle.at/haarchitekt-josef-murauer-kager-kager","Website")</f>
        <v>Website</v>
      </c>
      <c r="C4591" t="str">
        <f>HYPERLINK("https://www.dasschnelle.at/haarchitekt-josef-murauer-kager-kager","Website")</f>
        <v>Website</v>
      </c>
      <c r="D4591" t="str">
        <f>HYPERLINK("http://www.google.com/maps/place/48.2087678,13.5517116","Location")</f>
        <v>Location</v>
      </c>
      <c r="E4591" t="s">
        <v>39302</v>
      </c>
      <c r="F4591" t="s">
        <v>39303</v>
      </c>
      <c r="G4591" t="s">
        <v>37646</v>
      </c>
      <c r="H4591" t="s">
        <v>39305</v>
      </c>
      <c r="I4591" t="s">
        <v>85</v>
      </c>
      <c r="J4591" t="s">
        <v>22</v>
      </c>
      <c r="K4591" t="s">
        <v>39304</v>
      </c>
      <c r="L4591" t="s">
        <v>39308</v>
      </c>
      <c r="M4591" t="s">
        <v>25</v>
      </c>
      <c r="N4591" t="s">
        <v>39309</v>
      </c>
      <c r="O4591" t="s">
        <v>25</v>
      </c>
      <c r="P4591" t="s">
        <v>39310</v>
      </c>
      <c r="Q4591" t="s">
        <v>29</v>
      </c>
      <c r="R4591" t="s">
        <v>39306</v>
      </c>
      <c r="S4591" t="s">
        <v>39307</v>
      </c>
    </row>
    <row r="4592" spans="1:19" x14ac:dyDescent="0.25">
      <c r="A4592" s="1">
        <v>4590</v>
      </c>
      <c r="B4592" t="str">
        <f>HYPERLINK("https://www.dasschnelle.at/bestattungen-gabriele-brixner-e-u-enns-lauriacumstraße","Website")</f>
        <v>Website</v>
      </c>
      <c r="C4592" t="str">
        <f>HYPERLINK("http://www.bestattungbrixner.at","Website")</f>
        <v>Website</v>
      </c>
      <c r="D4592" t="str">
        <f>HYPERLINK("http://www.google.com/maps/place/48.21649,14.46706","Location")</f>
        <v>Location</v>
      </c>
      <c r="E4592" t="s">
        <v>39311</v>
      </c>
      <c r="F4592" t="s">
        <v>39312</v>
      </c>
      <c r="G4592" t="s">
        <v>3307</v>
      </c>
      <c r="H4592" t="s">
        <v>3308</v>
      </c>
      <c r="I4592" t="s">
        <v>85</v>
      </c>
      <c r="J4592" t="s">
        <v>22</v>
      </c>
      <c r="K4592" t="s">
        <v>39313</v>
      </c>
      <c r="L4592" t="s">
        <v>39316</v>
      </c>
      <c r="M4592" t="s">
        <v>25</v>
      </c>
      <c r="N4592" t="s">
        <v>39317</v>
      </c>
      <c r="O4592" t="s">
        <v>39318</v>
      </c>
      <c r="P4592" t="s">
        <v>39319</v>
      </c>
      <c r="Q4592" t="s">
        <v>29</v>
      </c>
      <c r="R4592" t="s">
        <v>39314</v>
      </c>
      <c r="S4592" t="s">
        <v>39315</v>
      </c>
    </row>
    <row r="4593" spans="1:19" x14ac:dyDescent="0.25">
      <c r="A4593" s="1">
        <v>4591</v>
      </c>
      <c r="B4593" t="str">
        <f>HYPERLINK("https://www.dasschnelle.at/huterer-manuel-graz-neubaugasse","Website")</f>
        <v>Website</v>
      </c>
      <c r="C4593" t="str">
        <f>HYPERLINK("https://www.dasschnelle.at/huterer-manuel-graz-neubaugasse","Website")</f>
        <v>Website</v>
      </c>
      <c r="D4593" t="str">
        <f>HYPERLINK("http://www.google.com/maps/place/47.0773900,15.4310500","Location")</f>
        <v>Location</v>
      </c>
      <c r="E4593" t="s">
        <v>39320</v>
      </c>
      <c r="F4593" t="s">
        <v>39321</v>
      </c>
      <c r="G4593" t="s">
        <v>20285</v>
      </c>
      <c r="H4593" t="s">
        <v>13542</v>
      </c>
      <c r="I4593" t="s">
        <v>451</v>
      </c>
      <c r="J4593" t="s">
        <v>22</v>
      </c>
      <c r="K4593" t="s">
        <v>39322</v>
      </c>
      <c r="L4593" t="s">
        <v>39325</v>
      </c>
      <c r="M4593" t="s">
        <v>25</v>
      </c>
      <c r="N4593" t="s">
        <v>39326</v>
      </c>
      <c r="O4593" t="s">
        <v>25</v>
      </c>
      <c r="P4593" t="s">
        <v>39327</v>
      </c>
      <c r="Q4593" t="s">
        <v>29</v>
      </c>
      <c r="R4593" t="s">
        <v>39323</v>
      </c>
      <c r="S4593" t="s">
        <v>39324</v>
      </c>
    </row>
    <row r="4594" spans="1:19" x14ac:dyDescent="0.25">
      <c r="A4594" s="1">
        <v>4592</v>
      </c>
      <c r="B4594" t="str">
        <f>HYPERLINK("https://www.dasschnelle.at/baier-erwin-kirchheim-im-innkreis-alleenweg","Website")</f>
        <v>Website</v>
      </c>
      <c r="C4594" t="str">
        <f>HYPERLINK("http://www.baier-metall.at","Website")</f>
        <v>Website</v>
      </c>
      <c r="D4594" t="str">
        <f>HYPERLINK("http://www.google.com/maps/place/48.20975,13.35428","Location")</f>
        <v>Location</v>
      </c>
      <c r="E4594" t="s">
        <v>39328</v>
      </c>
      <c r="F4594" t="s">
        <v>39329</v>
      </c>
      <c r="G4594" t="s">
        <v>38902</v>
      </c>
      <c r="H4594" t="s">
        <v>38903</v>
      </c>
      <c r="I4594" t="s">
        <v>85</v>
      </c>
      <c r="J4594" t="s">
        <v>22</v>
      </c>
      <c r="K4594" t="s">
        <v>39330</v>
      </c>
      <c r="L4594" t="s">
        <v>39333</v>
      </c>
      <c r="M4594" t="s">
        <v>25</v>
      </c>
      <c r="N4594" t="s">
        <v>39334</v>
      </c>
      <c r="O4594" t="s">
        <v>39335</v>
      </c>
      <c r="P4594" t="s">
        <v>39336</v>
      </c>
      <c r="Q4594" t="s">
        <v>29</v>
      </c>
      <c r="R4594" t="s">
        <v>39331</v>
      </c>
      <c r="S4594" t="s">
        <v>39332</v>
      </c>
    </row>
    <row r="4595" spans="1:19" x14ac:dyDescent="0.25">
      <c r="A4595" s="1">
        <v>4593</v>
      </c>
      <c r="B4595" t="str">
        <f>HYPERLINK("https://www.dasschnelle.at/altenburger-gmbh-voitsberg-am-vorum","Website")</f>
        <v>Website</v>
      </c>
      <c r="C4595" t="str">
        <f>HYPERLINK("http://www.altenburger-voitsberg.at","Website")</f>
        <v>Website</v>
      </c>
      <c r="D4595" t="str">
        <f>HYPERLINK("http://www.google.com/maps/place/47.0506137,15.1339443","Location")</f>
        <v>Location</v>
      </c>
      <c r="E4595" t="s">
        <v>39337</v>
      </c>
      <c r="F4595" t="s">
        <v>39338</v>
      </c>
      <c r="G4595" t="s">
        <v>4572</v>
      </c>
      <c r="H4595" t="s">
        <v>4573</v>
      </c>
      <c r="I4595" t="s">
        <v>451</v>
      </c>
      <c r="J4595" t="s">
        <v>22</v>
      </c>
      <c r="K4595" t="s">
        <v>39339</v>
      </c>
      <c r="L4595" t="s">
        <v>39342</v>
      </c>
      <c r="M4595" t="s">
        <v>39343</v>
      </c>
      <c r="N4595" t="s">
        <v>39344</v>
      </c>
      <c r="O4595" t="s">
        <v>25</v>
      </c>
      <c r="P4595" t="s">
        <v>697</v>
      </c>
      <c r="Q4595" t="s">
        <v>29</v>
      </c>
      <c r="R4595" t="s">
        <v>39340</v>
      </c>
      <c r="S4595" t="s">
        <v>39341</v>
      </c>
    </row>
    <row r="4596" spans="1:19" x14ac:dyDescent="0.25">
      <c r="A4596" s="1">
        <v>4594</v>
      </c>
      <c r="B4596" t="str">
        <f>HYPERLINK("https://www.dasschnelle.at/autohaus-seifried-gitthof-gitthof","Website")</f>
        <v>Website</v>
      </c>
      <c r="C4596" t="str">
        <f>HYPERLINK("http://www.autohaus-seifried.at","Website")</f>
        <v>Website</v>
      </c>
      <c r="D4596" t="str">
        <f>HYPERLINK("http://www.google.com/maps/place/48.1279310,13.4187210","Location")</f>
        <v>Location</v>
      </c>
      <c r="E4596" t="s">
        <v>39345</v>
      </c>
      <c r="F4596" t="s">
        <v>39346</v>
      </c>
      <c r="G4596" t="s">
        <v>37385</v>
      </c>
      <c r="H4596" t="s">
        <v>39348</v>
      </c>
      <c r="I4596" t="s">
        <v>85</v>
      </c>
      <c r="J4596" t="s">
        <v>22</v>
      </c>
      <c r="K4596" t="s">
        <v>39347</v>
      </c>
      <c r="L4596" t="s">
        <v>39351</v>
      </c>
      <c r="M4596" t="s">
        <v>25</v>
      </c>
      <c r="N4596" t="s">
        <v>39352</v>
      </c>
      <c r="O4596" t="s">
        <v>25</v>
      </c>
      <c r="P4596" t="s">
        <v>39353</v>
      </c>
      <c r="Q4596" t="s">
        <v>29</v>
      </c>
      <c r="R4596" t="s">
        <v>39349</v>
      </c>
      <c r="S4596" t="s">
        <v>39350</v>
      </c>
    </row>
    <row r="4597" spans="1:19" x14ac:dyDescent="0.25">
      <c r="A4597" s="1">
        <v>4595</v>
      </c>
      <c r="B4597" t="str">
        <f>HYPERLINK("https://www.dasschnelle.at/planner-gerald-mag-voitsberg-hauptplatz","Website")</f>
        <v>Website</v>
      </c>
      <c r="C4597" t="str">
        <f>HYPERLINK("http://www.ra-planner.at","Website")</f>
        <v>Website</v>
      </c>
      <c r="D4597" t="str">
        <f>HYPERLINK("http://www.google.com/maps/place/47.04902,15.15027","Location")</f>
        <v>Location</v>
      </c>
      <c r="E4597" t="s">
        <v>39354</v>
      </c>
      <c r="F4597" t="s">
        <v>39355</v>
      </c>
      <c r="G4597" t="s">
        <v>4572</v>
      </c>
      <c r="H4597" t="s">
        <v>4573</v>
      </c>
      <c r="I4597" t="s">
        <v>451</v>
      </c>
      <c r="J4597" t="s">
        <v>22</v>
      </c>
      <c r="K4597" t="s">
        <v>39356</v>
      </c>
      <c r="L4597" t="s">
        <v>39359</v>
      </c>
      <c r="M4597" t="s">
        <v>39360</v>
      </c>
      <c r="N4597" t="s">
        <v>39361</v>
      </c>
      <c r="O4597" t="s">
        <v>39362</v>
      </c>
      <c r="P4597" t="s">
        <v>39363</v>
      </c>
      <c r="Q4597" t="s">
        <v>29</v>
      </c>
      <c r="R4597" t="s">
        <v>39357</v>
      </c>
      <c r="S4597" t="s">
        <v>39358</v>
      </c>
    </row>
    <row r="4598" spans="1:19" x14ac:dyDescent="0.25">
      <c r="A4598" s="1">
        <v>4596</v>
      </c>
      <c r="B4598" t="str">
        <f>HYPERLINK("https://www.dasschnelle.at/krempl-barbara-ddr-köflach-judenburgerstraße","Website")</f>
        <v>Website</v>
      </c>
      <c r="C4598" t="str">
        <f>HYPERLINK("http://www.drkrempl.at","Website")</f>
        <v>Website</v>
      </c>
      <c r="D4598" t="str">
        <f>HYPERLINK("http://www.google.com/maps/place/47.06518,15.07765","Location")</f>
        <v>Location</v>
      </c>
      <c r="E4598" t="s">
        <v>39364</v>
      </c>
      <c r="F4598" t="s">
        <v>39365</v>
      </c>
      <c r="G4598" t="s">
        <v>4582</v>
      </c>
      <c r="H4598" t="s">
        <v>4583</v>
      </c>
      <c r="I4598" t="s">
        <v>451</v>
      </c>
      <c r="J4598" t="s">
        <v>22</v>
      </c>
      <c r="K4598" t="s">
        <v>39366</v>
      </c>
      <c r="L4598" t="s">
        <v>39369</v>
      </c>
      <c r="M4598" t="s">
        <v>25</v>
      </c>
      <c r="N4598" t="s">
        <v>28547</v>
      </c>
      <c r="O4598" t="s">
        <v>25</v>
      </c>
      <c r="P4598" t="s">
        <v>39370</v>
      </c>
      <c r="Q4598" t="s">
        <v>29</v>
      </c>
      <c r="R4598" t="s">
        <v>39367</v>
      </c>
      <c r="S4598" t="s">
        <v>39368</v>
      </c>
    </row>
    <row r="4599" spans="1:19" x14ac:dyDescent="0.25">
      <c r="A4599" s="1">
        <v>4597</v>
      </c>
      <c r="B4599" t="str">
        <f>HYPERLINK("https://www.dasschnelle.at/erlbeck-günther-dr-voitsberg-hauptplatz","Website")</f>
        <v>Website</v>
      </c>
      <c r="C4599" t="str">
        <f>HYPERLINK("http://www.dental-zentrum.at","Website")</f>
        <v>Website</v>
      </c>
      <c r="D4599" t="str">
        <f>HYPERLINK("http://www.google.com/maps/place/47.0504,15.1479","Location")</f>
        <v>Location</v>
      </c>
      <c r="E4599" t="s">
        <v>39371</v>
      </c>
      <c r="F4599" t="s">
        <v>39372</v>
      </c>
      <c r="G4599" t="s">
        <v>4572</v>
      </c>
      <c r="H4599" t="s">
        <v>4573</v>
      </c>
      <c r="I4599" t="s">
        <v>451</v>
      </c>
      <c r="J4599" t="s">
        <v>22</v>
      </c>
      <c r="K4599" t="s">
        <v>5078</v>
      </c>
      <c r="L4599" t="s">
        <v>39375</v>
      </c>
      <c r="M4599" t="s">
        <v>25</v>
      </c>
      <c r="N4599" t="s">
        <v>39376</v>
      </c>
      <c r="O4599" t="s">
        <v>25</v>
      </c>
      <c r="P4599" t="s">
        <v>39377</v>
      </c>
      <c r="Q4599" t="s">
        <v>29</v>
      </c>
      <c r="R4599" t="s">
        <v>39373</v>
      </c>
      <c r="S4599" t="s">
        <v>39374</v>
      </c>
    </row>
    <row r="4600" spans="1:19" x14ac:dyDescent="0.25">
      <c r="A4600" s="1">
        <v>4598</v>
      </c>
      <c r="B4600" t="str">
        <f>HYPERLINK("https://www.dasschnelle.at/kaliauer-roland-grub","Website")</f>
        <v>Website</v>
      </c>
      <c r="C4600" t="str">
        <f>HYPERLINK("https://www.dasschnelle.at/kaliauer-roland-grub","Website")</f>
        <v>Website</v>
      </c>
      <c r="D4600" t="str">
        <f>HYPERLINK("http://www.google.com/maps/place/48.2391277,13.9579950","Location")</f>
        <v>Location</v>
      </c>
      <c r="E4600" t="s">
        <v>39378</v>
      </c>
      <c r="F4600" t="s">
        <v>39379</v>
      </c>
      <c r="G4600" t="s">
        <v>39225</v>
      </c>
      <c r="H4600" t="s">
        <v>39380</v>
      </c>
      <c r="I4600" t="s">
        <v>85</v>
      </c>
      <c r="J4600" t="s">
        <v>22</v>
      </c>
      <c r="K4600" t="s">
        <v>25</v>
      </c>
      <c r="L4600" t="s">
        <v>39383</v>
      </c>
      <c r="M4600" t="s">
        <v>25</v>
      </c>
      <c r="N4600" t="s">
        <v>39384</v>
      </c>
      <c r="O4600" t="s">
        <v>25</v>
      </c>
      <c r="P4600" t="s">
        <v>39385</v>
      </c>
      <c r="Q4600" t="s">
        <v>29</v>
      </c>
      <c r="R4600" t="s">
        <v>39381</v>
      </c>
      <c r="S4600" t="s">
        <v>39382</v>
      </c>
    </row>
    <row r="4601" spans="1:19" x14ac:dyDescent="0.25">
      <c r="A4601" s="1">
        <v>4599</v>
      </c>
      <c r="B4601" t="str">
        <f>HYPERLINK("https://www.dasschnelle.at/roland-nimmervoll-wallern-eferdinger-strasse","Website")</f>
        <v>Website</v>
      </c>
      <c r="C4601" t="str">
        <f>HYPERLINK("http://www.nimmervoll.co.at","Website")</f>
        <v>Website</v>
      </c>
      <c r="D4601" t="str">
        <f>HYPERLINK("http://www.google.com/maps/place/48.23869,13.95752","Location")</f>
        <v>Location</v>
      </c>
      <c r="E4601" t="s">
        <v>39386</v>
      </c>
      <c r="F4601" t="s">
        <v>39387</v>
      </c>
      <c r="G4601" t="s">
        <v>39225</v>
      </c>
      <c r="H4601" t="s">
        <v>39389</v>
      </c>
      <c r="I4601" t="s">
        <v>85</v>
      </c>
      <c r="J4601" t="s">
        <v>22</v>
      </c>
      <c r="K4601" t="s">
        <v>39388</v>
      </c>
      <c r="L4601" t="s">
        <v>39392</v>
      </c>
      <c r="M4601" t="s">
        <v>25</v>
      </c>
      <c r="N4601" t="s">
        <v>39393</v>
      </c>
      <c r="O4601" t="s">
        <v>25</v>
      </c>
      <c r="P4601" t="s">
        <v>39394</v>
      </c>
      <c r="Q4601" t="s">
        <v>29</v>
      </c>
      <c r="R4601" t="s">
        <v>39390</v>
      </c>
      <c r="S4601" t="s">
        <v>39391</v>
      </c>
    </row>
    <row r="4602" spans="1:19" x14ac:dyDescent="0.25">
      <c r="A4602" s="1">
        <v>4600</v>
      </c>
      <c r="B4602" t="str">
        <f>HYPERLINK("https://www.dasschnelle.at/kornhuber-erich-spenglerei-u-dachdeckerei-gmbh-und-co-kg-grieskirchen-industriestraße","Website")</f>
        <v>Website</v>
      </c>
      <c r="C4602" t="str">
        <f>HYPERLINK("http://www.kornhuber.at","Website")</f>
        <v>Website</v>
      </c>
      <c r="D4602" t="str">
        <f>HYPERLINK("http://www.google.com/maps/place/48.22596,13.84675","Location")</f>
        <v>Location</v>
      </c>
      <c r="E4602" t="s">
        <v>39395</v>
      </c>
      <c r="F4602" t="s">
        <v>39396</v>
      </c>
      <c r="G4602" t="s">
        <v>4826</v>
      </c>
      <c r="H4602" t="s">
        <v>4827</v>
      </c>
      <c r="I4602" t="s">
        <v>85</v>
      </c>
      <c r="J4602" t="s">
        <v>22</v>
      </c>
      <c r="K4602" t="s">
        <v>39397</v>
      </c>
      <c r="L4602" t="s">
        <v>39399</v>
      </c>
      <c r="M4602" t="s">
        <v>39400</v>
      </c>
      <c r="N4602" t="s">
        <v>39401</v>
      </c>
      <c r="O4602" t="s">
        <v>39402</v>
      </c>
      <c r="P4602" t="s">
        <v>39403</v>
      </c>
      <c r="Q4602" t="s">
        <v>29</v>
      </c>
      <c r="R4602" t="s">
        <v>31395</v>
      </c>
      <c r="S4602" t="s">
        <v>39398</v>
      </c>
    </row>
    <row r="4603" spans="1:19" x14ac:dyDescent="0.25">
      <c r="A4603" s="1">
        <v>4601</v>
      </c>
      <c r="B4603" t="str">
        <f>HYPERLINK("https://www.dasschnelle.at/salber-michael-trieben-kleingartenstraße","Website")</f>
        <v>Website</v>
      </c>
      <c r="C4603" t="str">
        <f>HYPERLINK("http://www.salber-haustechnik.at","Website")</f>
        <v>Website</v>
      </c>
      <c r="D4603" t="str">
        <f>HYPERLINK("http://www.google.com/maps/place/47.4895200,14.4799300","Location")</f>
        <v>Location</v>
      </c>
      <c r="E4603" t="s">
        <v>39404</v>
      </c>
      <c r="F4603" t="s">
        <v>39405</v>
      </c>
      <c r="G4603" t="s">
        <v>1221</v>
      </c>
      <c r="H4603" t="s">
        <v>1222</v>
      </c>
      <c r="I4603" t="s">
        <v>451</v>
      </c>
      <c r="J4603" t="s">
        <v>22</v>
      </c>
      <c r="K4603" t="s">
        <v>39406</v>
      </c>
      <c r="L4603" t="s">
        <v>39409</v>
      </c>
      <c r="M4603" t="s">
        <v>25</v>
      </c>
      <c r="N4603" t="s">
        <v>39410</v>
      </c>
      <c r="O4603" t="s">
        <v>39411</v>
      </c>
      <c r="P4603" t="s">
        <v>39412</v>
      </c>
      <c r="Q4603" t="s">
        <v>29</v>
      </c>
      <c r="R4603" t="s">
        <v>39407</v>
      </c>
      <c r="S4603" t="s">
        <v>39408</v>
      </c>
    </row>
    <row r="4604" spans="1:19" x14ac:dyDescent="0.25">
      <c r="A4604" s="1">
        <v>4602</v>
      </c>
      <c r="B4604" t="str">
        <f>HYPERLINK("https://www.dasschnelle.at/bäckerei-vasold-cafe-konditorei-hildegard-liezen-ausseer-straße","Website")</f>
        <v>Website</v>
      </c>
      <c r="C4604" t="str">
        <f>HYPERLINK("http://www.vasold-baecker.at","Website")</f>
        <v>Website</v>
      </c>
      <c r="D4604" t="str">
        <f>HYPERLINK("http://www.google.com/maps/place/47.56916,14.24272","Location")</f>
        <v>Location</v>
      </c>
      <c r="E4604" t="s">
        <v>39413</v>
      </c>
      <c r="F4604" t="s">
        <v>39414</v>
      </c>
      <c r="G4604" t="s">
        <v>1095</v>
      </c>
      <c r="H4604" t="s">
        <v>1096</v>
      </c>
      <c r="I4604" t="s">
        <v>451</v>
      </c>
      <c r="J4604" t="s">
        <v>22</v>
      </c>
      <c r="K4604" t="s">
        <v>39415</v>
      </c>
      <c r="L4604" t="s">
        <v>39418</v>
      </c>
      <c r="M4604" t="s">
        <v>39419</v>
      </c>
      <c r="N4604" t="s">
        <v>39420</v>
      </c>
      <c r="O4604" t="s">
        <v>25</v>
      </c>
      <c r="P4604" t="s">
        <v>39421</v>
      </c>
      <c r="Q4604" t="s">
        <v>29</v>
      </c>
      <c r="R4604" t="s">
        <v>39416</v>
      </c>
      <c r="S4604" t="s">
        <v>39417</v>
      </c>
    </row>
    <row r="4605" spans="1:19" x14ac:dyDescent="0.25">
      <c r="A4605" s="1">
        <v>4603</v>
      </c>
      <c r="B4605" t="str">
        <f>HYPERLINK("https://www.dasschnelle.at/marchesini-barbara-dr-köflach-mühlgasse","Website")</f>
        <v>Website</v>
      </c>
      <c r="C4605" t="str">
        <f>HYPERLINK("https://www.dasschnelle.at/marchesini-barbara-dr-k%C3%B6flach-m%C3%BChlgasse","Website")</f>
        <v>Website</v>
      </c>
      <c r="D4605" t="str">
        <f>HYPERLINK("http://www.google.com/maps/place/47.06324,15.0934","Location")</f>
        <v>Location</v>
      </c>
      <c r="E4605" t="s">
        <v>39422</v>
      </c>
      <c r="F4605" t="s">
        <v>39423</v>
      </c>
      <c r="G4605" t="s">
        <v>4582</v>
      </c>
      <c r="H4605" t="s">
        <v>4583</v>
      </c>
      <c r="I4605" t="s">
        <v>451</v>
      </c>
      <c r="J4605" t="s">
        <v>22</v>
      </c>
      <c r="K4605" t="s">
        <v>39424</v>
      </c>
      <c r="L4605" t="s">
        <v>39426</v>
      </c>
      <c r="M4605" t="s">
        <v>25</v>
      </c>
      <c r="N4605" t="s">
        <v>25</v>
      </c>
      <c r="O4605" t="s">
        <v>25</v>
      </c>
      <c r="P4605" t="s">
        <v>39427</v>
      </c>
      <c r="Q4605" t="s">
        <v>29</v>
      </c>
      <c r="R4605" t="s">
        <v>36968</v>
      </c>
      <c r="S4605" t="s">
        <v>39425</v>
      </c>
    </row>
    <row r="4606" spans="1:19" x14ac:dyDescent="0.25">
      <c r="A4606" s="1">
        <v>4604</v>
      </c>
      <c r="B4606" t="str">
        <f>HYPERLINK("https://www.dasschnelle.at/notariat-köflach-dr-elisabeth-winkelbauer-hohenberger-und-partner-köflach-rathausplatz","Website")</f>
        <v>Website</v>
      </c>
      <c r="C4606" t="str">
        <f>HYPERLINK("http://www.notar-koeflach.at","Website")</f>
        <v>Website</v>
      </c>
      <c r="D4606" t="str">
        <f>HYPERLINK("http://www.google.com/maps/place/47.06425,15.08266","Location")</f>
        <v>Location</v>
      </c>
      <c r="E4606" t="s">
        <v>39428</v>
      </c>
      <c r="F4606" t="s">
        <v>39429</v>
      </c>
      <c r="G4606" t="s">
        <v>4582</v>
      </c>
      <c r="H4606" t="s">
        <v>4583</v>
      </c>
      <c r="I4606" t="s">
        <v>451</v>
      </c>
      <c r="J4606" t="s">
        <v>22</v>
      </c>
      <c r="K4606" t="s">
        <v>39430</v>
      </c>
      <c r="L4606" t="s">
        <v>39433</v>
      </c>
      <c r="M4606" t="s">
        <v>25</v>
      </c>
      <c r="N4606" t="s">
        <v>39434</v>
      </c>
      <c r="O4606" t="s">
        <v>39435</v>
      </c>
      <c r="P4606" t="s">
        <v>39436</v>
      </c>
      <c r="Q4606" t="s">
        <v>29</v>
      </c>
      <c r="R4606" t="s">
        <v>39431</v>
      </c>
      <c r="S4606" t="s">
        <v>39432</v>
      </c>
    </row>
    <row r="4607" spans="1:19" x14ac:dyDescent="0.25">
      <c r="A4607" s="1">
        <v>4605</v>
      </c>
      <c r="B4607" t="str">
        <f>HYPERLINK("https://www.dasschnelle.at/klobassa-wolfgang-dr-voitsberg-kirchengasse","Website")</f>
        <v>Website</v>
      </c>
      <c r="C4607" t="str">
        <f>HYPERLINK("http://www.ra-semlitsch-klobassa.at","Website")</f>
        <v>Website</v>
      </c>
      <c r="D4607" t="str">
        <f>HYPERLINK("http://www.google.com/maps/place/47.04918,15.14841","Location")</f>
        <v>Location</v>
      </c>
      <c r="E4607" t="s">
        <v>39437</v>
      </c>
      <c r="F4607" t="s">
        <v>39438</v>
      </c>
      <c r="G4607" t="s">
        <v>4572</v>
      </c>
      <c r="H4607" t="s">
        <v>4573</v>
      </c>
      <c r="I4607" t="s">
        <v>451</v>
      </c>
      <c r="J4607" t="s">
        <v>22</v>
      </c>
      <c r="K4607" t="s">
        <v>39439</v>
      </c>
      <c r="L4607" t="s">
        <v>39442</v>
      </c>
      <c r="M4607" t="s">
        <v>25</v>
      </c>
      <c r="N4607" t="s">
        <v>39443</v>
      </c>
      <c r="O4607" t="s">
        <v>25</v>
      </c>
      <c r="P4607" t="s">
        <v>39444</v>
      </c>
      <c r="Q4607" t="s">
        <v>29</v>
      </c>
      <c r="R4607" t="s">
        <v>39440</v>
      </c>
      <c r="S4607" t="s">
        <v>39441</v>
      </c>
    </row>
    <row r="4608" spans="1:19" x14ac:dyDescent="0.25">
      <c r="A4608" s="1">
        <v>4606</v>
      </c>
      <c r="B4608" t="str">
        <f>HYPERLINK("https://www.dasschnelle.at/seidermann-ingrid-bad-schallerbach-badstraße","Website")</f>
        <v>Website</v>
      </c>
      <c r="C4608" t="str">
        <f>HYPERLINK("http://www.friseur-seidermann.at","Website")</f>
        <v>Website</v>
      </c>
      <c r="D4608" t="str">
        <f>HYPERLINK("http://www.google.com/maps/place/48.23105,13.92068","Location")</f>
        <v>Location</v>
      </c>
      <c r="E4608" t="s">
        <v>39445</v>
      </c>
      <c r="F4608" t="s">
        <v>39446</v>
      </c>
      <c r="G4608" t="s">
        <v>37516</v>
      </c>
      <c r="H4608" t="s">
        <v>37517</v>
      </c>
      <c r="I4608" t="s">
        <v>85</v>
      </c>
      <c r="J4608" t="s">
        <v>22</v>
      </c>
      <c r="K4608" t="s">
        <v>39447</v>
      </c>
      <c r="L4608" t="s">
        <v>39450</v>
      </c>
      <c r="M4608" t="s">
        <v>25</v>
      </c>
      <c r="N4608" t="s">
        <v>39451</v>
      </c>
      <c r="O4608" t="s">
        <v>25</v>
      </c>
      <c r="P4608" t="s">
        <v>39452</v>
      </c>
      <c r="Q4608" t="s">
        <v>29</v>
      </c>
      <c r="R4608" t="s">
        <v>39448</v>
      </c>
      <c r="S4608" t="s">
        <v>39449</v>
      </c>
    </row>
    <row r="4609" spans="1:19" x14ac:dyDescent="0.25">
      <c r="A4609" s="1">
        <v>4607</v>
      </c>
      <c r="B4609" t="str">
        <f>HYPERLINK("https://www.dasschnelle.at/lehner-gmbh-sierning-weichstettener-straße","Website")</f>
        <v>Website</v>
      </c>
      <c r="C4609" t="str">
        <f>HYPERLINK("http://www.lehner-sierning.at","Website")</f>
        <v>Website</v>
      </c>
      <c r="D4609" t="str">
        <f>HYPERLINK("http://www.google.com/maps/place/48.05355,14.31367","Location")</f>
        <v>Location</v>
      </c>
      <c r="E4609" t="s">
        <v>39453</v>
      </c>
      <c r="F4609" t="s">
        <v>39454</v>
      </c>
      <c r="G4609" t="s">
        <v>11083</v>
      </c>
      <c r="H4609" t="s">
        <v>11084</v>
      </c>
      <c r="I4609" t="s">
        <v>85</v>
      </c>
      <c r="J4609" t="s">
        <v>22</v>
      </c>
      <c r="K4609" t="s">
        <v>39455</v>
      </c>
      <c r="L4609" t="s">
        <v>39458</v>
      </c>
      <c r="M4609" t="s">
        <v>25</v>
      </c>
      <c r="N4609" t="s">
        <v>39459</v>
      </c>
      <c r="O4609" t="s">
        <v>25</v>
      </c>
      <c r="P4609" t="s">
        <v>39460</v>
      </c>
      <c r="Q4609" t="s">
        <v>29</v>
      </c>
      <c r="R4609" t="s">
        <v>39456</v>
      </c>
      <c r="S4609" t="s">
        <v>39457</v>
      </c>
    </row>
    <row r="4610" spans="1:19" x14ac:dyDescent="0.25">
      <c r="A4610" s="1">
        <v>4608</v>
      </c>
      <c r="B4610" t="str">
        <f>HYPERLINK("https://www.dasschnelle.at/laher-gmbh-rohrbach-stadtplatz","Website")</f>
        <v>Website</v>
      </c>
      <c r="C4610" t="str">
        <f>HYPERLINK("http://www.laher.at","Website")</f>
        <v>Website</v>
      </c>
      <c r="D4610" t="str">
        <f>HYPERLINK("http://www.google.com/maps/place/48.5715660,13.9927150","Location")</f>
        <v>Location</v>
      </c>
      <c r="E4610" t="s">
        <v>39461</v>
      </c>
      <c r="F4610" t="s">
        <v>39462</v>
      </c>
      <c r="G4610" t="s">
        <v>8561</v>
      </c>
      <c r="H4610" t="s">
        <v>8562</v>
      </c>
      <c r="I4610" t="s">
        <v>85</v>
      </c>
      <c r="J4610" t="s">
        <v>22</v>
      </c>
      <c r="K4610" t="s">
        <v>39463</v>
      </c>
      <c r="L4610" t="s">
        <v>39466</v>
      </c>
      <c r="M4610" t="s">
        <v>25</v>
      </c>
      <c r="N4610" t="s">
        <v>39467</v>
      </c>
      <c r="O4610" t="s">
        <v>25</v>
      </c>
      <c r="P4610" t="s">
        <v>39468</v>
      </c>
      <c r="Q4610" t="s">
        <v>29</v>
      </c>
      <c r="R4610" t="s">
        <v>39464</v>
      </c>
      <c r="S4610" t="s">
        <v>39465</v>
      </c>
    </row>
    <row r="4611" spans="1:19" x14ac:dyDescent="0.25">
      <c r="A4611" s="1">
        <v>4609</v>
      </c>
      <c r="B4611" t="str">
        <f>HYPERLINK("https://www.dasschnelle.at/saniton-heizung-und-sanitär-gmbh-ried-im-innkreis-mühlbachgasse","Website")</f>
        <v>Website</v>
      </c>
      <c r="C4611" t="str">
        <f>HYPERLINK("http://www.saniton.at","Website")</f>
        <v>Website</v>
      </c>
      <c r="D4611" t="str">
        <f>HYPERLINK("http://www.google.com/maps/place/48.21199,13.48888","Location")</f>
        <v>Location</v>
      </c>
      <c r="E4611" t="s">
        <v>39469</v>
      </c>
      <c r="F4611" t="s">
        <v>39470</v>
      </c>
      <c r="G4611" t="s">
        <v>6245</v>
      </c>
      <c r="H4611" t="s">
        <v>6267</v>
      </c>
      <c r="I4611" t="s">
        <v>85</v>
      </c>
      <c r="J4611" t="s">
        <v>22</v>
      </c>
      <c r="K4611" t="s">
        <v>39471</v>
      </c>
      <c r="L4611" t="s">
        <v>39474</v>
      </c>
      <c r="M4611" t="s">
        <v>39475</v>
      </c>
      <c r="N4611" t="s">
        <v>39476</v>
      </c>
      <c r="O4611" t="s">
        <v>39477</v>
      </c>
      <c r="P4611" t="s">
        <v>39478</v>
      </c>
      <c r="Q4611" t="s">
        <v>29</v>
      </c>
      <c r="R4611" t="s">
        <v>39472</v>
      </c>
      <c r="S4611" t="s">
        <v>39473</v>
      </c>
    </row>
    <row r="4612" spans="1:19" x14ac:dyDescent="0.25">
      <c r="A4612" s="1">
        <v>4610</v>
      </c>
      <c r="B4612" t="str">
        <f>HYPERLINK("https://www.dasschnelle.at/flotzinger-franz-peterskirchen-peterskirchen","Website")</f>
        <v>Website</v>
      </c>
      <c r="C4612" t="str">
        <f>HYPERLINK("http://www.landtechnik-sternbauer.at","Website")</f>
        <v>Website</v>
      </c>
      <c r="D4612" t="str">
        <f>HYPERLINK("http://www.google.com/maps/place/48.2344939,13.5494146","Location")</f>
        <v>Location</v>
      </c>
      <c r="E4612" t="s">
        <v>39479</v>
      </c>
      <c r="F4612" t="s">
        <v>39480</v>
      </c>
      <c r="G4612" t="s">
        <v>39111</v>
      </c>
      <c r="H4612" t="s">
        <v>39482</v>
      </c>
      <c r="I4612" t="s">
        <v>85</v>
      </c>
      <c r="J4612" t="s">
        <v>22</v>
      </c>
      <c r="K4612" t="s">
        <v>39481</v>
      </c>
      <c r="L4612" t="s">
        <v>39485</v>
      </c>
      <c r="M4612" t="s">
        <v>25</v>
      </c>
      <c r="N4612" t="s">
        <v>39486</v>
      </c>
      <c r="O4612" t="s">
        <v>25</v>
      </c>
      <c r="P4612" t="s">
        <v>39487</v>
      </c>
      <c r="Q4612" t="s">
        <v>29</v>
      </c>
      <c r="R4612" t="s">
        <v>39483</v>
      </c>
      <c r="S4612" t="s">
        <v>39484</v>
      </c>
    </row>
    <row r="4613" spans="1:19" x14ac:dyDescent="0.25">
      <c r="A4613" s="1">
        <v>4611</v>
      </c>
      <c r="B4613" t="str">
        <f>HYPERLINK("https://www.dasschnelle.at/eberhard-werner-köflach-forstgasse","Website")</f>
        <v>Website</v>
      </c>
      <c r="C4613" t="str">
        <f>HYPERLINK("https://www.dasschnelle.at/eberhard-werner-k%C3%B6flach-forstgasse","Website")</f>
        <v>Website</v>
      </c>
      <c r="D4613" t="str">
        <f>HYPERLINK("http://www.google.com/maps/place/47.0505113,15.0641787","Location")</f>
        <v>Location</v>
      </c>
      <c r="E4613" t="s">
        <v>39488</v>
      </c>
      <c r="F4613" t="s">
        <v>39489</v>
      </c>
      <c r="G4613" t="s">
        <v>4582</v>
      </c>
      <c r="H4613" t="s">
        <v>4583</v>
      </c>
      <c r="I4613" t="s">
        <v>451</v>
      </c>
      <c r="J4613" t="s">
        <v>22</v>
      </c>
      <c r="K4613" t="s">
        <v>39490</v>
      </c>
      <c r="L4613" t="s">
        <v>39493</v>
      </c>
      <c r="M4613" t="s">
        <v>25</v>
      </c>
      <c r="N4613" t="s">
        <v>39494</v>
      </c>
      <c r="O4613" t="s">
        <v>25</v>
      </c>
      <c r="P4613" t="s">
        <v>39495</v>
      </c>
      <c r="Q4613" t="s">
        <v>29</v>
      </c>
      <c r="R4613" t="s">
        <v>39491</v>
      </c>
      <c r="S4613" t="s">
        <v>39492</v>
      </c>
    </row>
    <row r="4614" spans="1:19" x14ac:dyDescent="0.25">
      <c r="A4614" s="1">
        <v>4612</v>
      </c>
      <c r="B4614" t="str">
        <f>HYPERLINK("https://www.dasschnelle.at/s-a-t-sensenberger-eberschwang-oberbreitsach","Website")</f>
        <v>Website</v>
      </c>
      <c r="C4614" t="str">
        <f>HYPERLINK("http://www.sat-agrar.at","Website")</f>
        <v>Website</v>
      </c>
      <c r="D4614" t="str">
        <f>HYPERLINK("http://www.google.com/maps/place/48.1610501,13.5495506","Location")</f>
        <v>Location</v>
      </c>
      <c r="E4614" t="s">
        <v>39496</v>
      </c>
      <c r="F4614" t="s">
        <v>39497</v>
      </c>
      <c r="G4614" t="s">
        <v>6316</v>
      </c>
      <c r="H4614" t="s">
        <v>37018</v>
      </c>
      <c r="I4614" t="s">
        <v>85</v>
      </c>
      <c r="J4614" t="s">
        <v>22</v>
      </c>
      <c r="K4614" t="s">
        <v>39498</v>
      </c>
      <c r="L4614" t="s">
        <v>39501</v>
      </c>
      <c r="M4614" t="s">
        <v>25</v>
      </c>
      <c r="N4614" t="s">
        <v>39502</v>
      </c>
      <c r="O4614" t="s">
        <v>25</v>
      </c>
      <c r="P4614" t="s">
        <v>39503</v>
      </c>
      <c r="Q4614" t="s">
        <v>29</v>
      </c>
      <c r="R4614" t="s">
        <v>39499</v>
      </c>
      <c r="S4614" t="s">
        <v>39500</v>
      </c>
    </row>
    <row r="4615" spans="1:19" x14ac:dyDescent="0.25">
      <c r="A4615" s="1">
        <v>4613</v>
      </c>
      <c r="B4615" t="str">
        <f>HYPERLINK("https://www.dasschnelle.at/dipl-ing-josef-greil-baugesmbh-st-martin-im-innkreis-breitenaich","Website")</f>
        <v>Website</v>
      </c>
      <c r="C4615" t="str">
        <f>HYPERLINK("http://www.greilbau.at","Website")</f>
        <v>Website</v>
      </c>
      <c r="D4615" t="str">
        <f>HYPERLINK("http://www.google.com/maps/place/48.2958745,13.4331150","Location")</f>
        <v>Location</v>
      </c>
      <c r="E4615" t="s">
        <v>39504</v>
      </c>
      <c r="F4615" t="s">
        <v>39505</v>
      </c>
      <c r="G4615" t="s">
        <v>37944</v>
      </c>
      <c r="H4615" t="s">
        <v>39507</v>
      </c>
      <c r="I4615" t="s">
        <v>85</v>
      </c>
      <c r="J4615" t="s">
        <v>22</v>
      </c>
      <c r="K4615" t="s">
        <v>39506</v>
      </c>
      <c r="L4615" t="s">
        <v>39510</v>
      </c>
      <c r="M4615" t="s">
        <v>25</v>
      </c>
      <c r="N4615" t="s">
        <v>39511</v>
      </c>
      <c r="O4615" t="s">
        <v>39512</v>
      </c>
      <c r="P4615" t="s">
        <v>39513</v>
      </c>
      <c r="Q4615" t="s">
        <v>29</v>
      </c>
      <c r="R4615" t="s">
        <v>39508</v>
      </c>
      <c r="S4615" t="s">
        <v>39509</v>
      </c>
    </row>
    <row r="4616" spans="1:19" x14ac:dyDescent="0.25">
      <c r="A4616" s="1">
        <v>4614</v>
      </c>
      <c r="B4616" t="str">
        <f>HYPERLINK("https://www.dasschnelle.at/ofner-peter-bärnbach-hans-gross-siedlung","Website")</f>
        <v>Website</v>
      </c>
      <c r="C4616" t="str">
        <f>HYPERLINK("https://www.dasschnelle.at/ofner-peter-b%C3%A4rnbach-hans-gross-siedlung","Website")</f>
        <v>Website</v>
      </c>
      <c r="D4616" t="str">
        <f>HYPERLINK("http://www.google.com/maps/place/47.06932,15.12553","Location")</f>
        <v>Location</v>
      </c>
      <c r="E4616" t="s">
        <v>39514</v>
      </c>
      <c r="F4616" t="s">
        <v>39515</v>
      </c>
      <c r="G4616" t="s">
        <v>4592</v>
      </c>
      <c r="H4616" t="s">
        <v>4593</v>
      </c>
      <c r="I4616" t="s">
        <v>451</v>
      </c>
      <c r="J4616" t="s">
        <v>22</v>
      </c>
      <c r="K4616" t="s">
        <v>39516</v>
      </c>
      <c r="L4616" t="s">
        <v>39519</v>
      </c>
      <c r="M4616" t="s">
        <v>25</v>
      </c>
      <c r="N4616" t="s">
        <v>39520</v>
      </c>
      <c r="O4616" t="s">
        <v>25</v>
      </c>
      <c r="P4616" t="s">
        <v>39521</v>
      </c>
      <c r="Q4616" t="s">
        <v>29</v>
      </c>
      <c r="R4616" t="s">
        <v>39517</v>
      </c>
      <c r="S4616" t="s">
        <v>39518</v>
      </c>
    </row>
    <row r="4617" spans="1:19" x14ac:dyDescent="0.25">
      <c r="A4617" s="1">
        <v>4615</v>
      </c>
      <c r="B4617" t="str">
        <f>HYPERLINK("https://www.dasschnelle.at/mayr-birgit-dr-köflach-alleestr","Website")</f>
        <v>Website</v>
      </c>
      <c r="C4617" t="str">
        <f>HYPERLINK("http://www.drmayr.eu","Website")</f>
        <v>Website</v>
      </c>
      <c r="D4617" t="str">
        <f>HYPERLINK("http://www.google.com/maps/place/47.06174,15.07704","Location")</f>
        <v>Location</v>
      </c>
      <c r="E4617" t="s">
        <v>39522</v>
      </c>
      <c r="F4617" t="s">
        <v>39523</v>
      </c>
      <c r="G4617" t="s">
        <v>4582</v>
      </c>
      <c r="H4617" t="s">
        <v>4583</v>
      </c>
      <c r="I4617" t="s">
        <v>451</v>
      </c>
      <c r="J4617" t="s">
        <v>22</v>
      </c>
      <c r="K4617" t="s">
        <v>39524</v>
      </c>
      <c r="L4617" t="s">
        <v>39527</v>
      </c>
      <c r="M4617" t="s">
        <v>25</v>
      </c>
      <c r="N4617" t="s">
        <v>39528</v>
      </c>
      <c r="O4617" t="s">
        <v>25</v>
      </c>
      <c r="P4617" t="s">
        <v>39529</v>
      </c>
      <c r="Q4617" t="s">
        <v>29</v>
      </c>
      <c r="R4617" t="s">
        <v>39525</v>
      </c>
      <c r="S4617" t="s">
        <v>39526</v>
      </c>
    </row>
    <row r="4618" spans="1:19" x14ac:dyDescent="0.25">
      <c r="A4618" s="1">
        <v>4616</v>
      </c>
      <c r="B4618" t="str">
        <f>HYPERLINK("https://www.dasschnelle.at/apotheke-sonnen-apotheke-köflach-kärntnerstraße","Website")</f>
        <v>Website</v>
      </c>
      <c r="C4618" t="str">
        <f>HYPERLINK("http://www.sonnenapotheke-koeflach.at","Website")</f>
        <v>Website</v>
      </c>
      <c r="D4618" t="str">
        <f>HYPERLINK("http://www.google.com/maps/place/47.06373,15.08132","Location")</f>
        <v>Location</v>
      </c>
      <c r="E4618" t="s">
        <v>39530</v>
      </c>
      <c r="F4618" t="s">
        <v>39531</v>
      </c>
      <c r="G4618" t="s">
        <v>4582</v>
      </c>
      <c r="H4618" t="s">
        <v>4583</v>
      </c>
      <c r="I4618" t="s">
        <v>451</v>
      </c>
      <c r="J4618" t="s">
        <v>22</v>
      </c>
      <c r="K4618" t="s">
        <v>39532</v>
      </c>
      <c r="L4618" t="s">
        <v>39535</v>
      </c>
      <c r="M4618" t="s">
        <v>25</v>
      </c>
      <c r="N4618" t="s">
        <v>39536</v>
      </c>
      <c r="O4618" t="s">
        <v>25</v>
      </c>
      <c r="P4618" t="s">
        <v>39537</v>
      </c>
      <c r="Q4618" t="s">
        <v>29</v>
      </c>
      <c r="R4618" t="s">
        <v>39533</v>
      </c>
      <c r="S4618" t="s">
        <v>39534</v>
      </c>
    </row>
    <row r="4619" spans="1:19" x14ac:dyDescent="0.25">
      <c r="A4619" s="1">
        <v>4617</v>
      </c>
      <c r="B4619" t="str">
        <f>HYPERLINK("https://www.dasschnelle.at/kienesberger-steinmetzmeister-gmbh-schlüßlberg-au","Website")</f>
        <v>Website</v>
      </c>
      <c r="C4619" t="str">
        <f>HYPERLINK("http://www.kienesberger-stein.at","Website")</f>
        <v>Website</v>
      </c>
      <c r="D4619" t="str">
        <f>HYPERLINK("http://www.google.com/maps/place/48.2223100,13.8563861","Location")</f>
        <v>Location</v>
      </c>
      <c r="E4619" t="s">
        <v>39538</v>
      </c>
      <c r="F4619" t="s">
        <v>39539</v>
      </c>
      <c r="G4619" t="s">
        <v>7450</v>
      </c>
      <c r="H4619" t="s">
        <v>7451</v>
      </c>
      <c r="I4619" t="s">
        <v>85</v>
      </c>
      <c r="J4619" t="s">
        <v>22</v>
      </c>
      <c r="K4619" t="s">
        <v>39540</v>
      </c>
      <c r="L4619" t="s">
        <v>39543</v>
      </c>
      <c r="M4619" t="s">
        <v>25</v>
      </c>
      <c r="N4619" t="s">
        <v>39544</v>
      </c>
      <c r="O4619" t="s">
        <v>25</v>
      </c>
      <c r="P4619" t="s">
        <v>39545</v>
      </c>
      <c r="Q4619" t="s">
        <v>29</v>
      </c>
      <c r="R4619" t="s">
        <v>39541</v>
      </c>
      <c r="S4619" t="s">
        <v>39542</v>
      </c>
    </row>
    <row r="4620" spans="1:19" x14ac:dyDescent="0.25">
      <c r="A4620" s="1">
        <v>4618</v>
      </c>
      <c r="B4620" t="str">
        <f>HYPERLINK("https://www.dasschnelle.at/acham-willibald-jürgen-dipl-ing-voitsberg-roseggergasse","Website")</f>
        <v>Website</v>
      </c>
      <c r="C4620" t="str">
        <f>HYPERLINK("http://www.acham.co.at","Website")</f>
        <v>Website</v>
      </c>
      <c r="D4620" t="str">
        <f>HYPERLINK("http://www.google.com/maps/place/47.04797,15.15171","Location")</f>
        <v>Location</v>
      </c>
      <c r="E4620" t="s">
        <v>39546</v>
      </c>
      <c r="F4620" t="s">
        <v>39547</v>
      </c>
      <c r="G4620" t="s">
        <v>4572</v>
      </c>
      <c r="H4620" t="s">
        <v>4573</v>
      </c>
      <c r="I4620" t="s">
        <v>451</v>
      </c>
      <c r="J4620" t="s">
        <v>22</v>
      </c>
      <c r="K4620" t="s">
        <v>39548</v>
      </c>
      <c r="L4620" t="s">
        <v>39551</v>
      </c>
      <c r="M4620" t="s">
        <v>25</v>
      </c>
      <c r="N4620" t="s">
        <v>39552</v>
      </c>
      <c r="O4620" t="s">
        <v>25</v>
      </c>
      <c r="P4620" t="s">
        <v>39553</v>
      </c>
      <c r="Q4620" t="s">
        <v>29</v>
      </c>
      <c r="R4620" t="s">
        <v>39549</v>
      </c>
      <c r="S4620" t="s">
        <v>39550</v>
      </c>
    </row>
    <row r="4621" spans="1:19" x14ac:dyDescent="0.25">
      <c r="A4621" s="1">
        <v>4619</v>
      </c>
      <c r="B4621" t="str">
        <f>HYPERLINK("https://www.dasschnelle.at/samhaber-gerhard-grieskirchen-lanzenberg","Website")</f>
        <v>Website</v>
      </c>
      <c r="C4621" t="str">
        <f>HYPERLINK("http://www.gastropartner-samhaber.at","Website")</f>
        <v>Website</v>
      </c>
      <c r="D4621" t="str">
        <f>HYPERLINK("http://www.google.com/maps/place/48.24442,13.82666","Location")</f>
        <v>Location</v>
      </c>
      <c r="E4621" t="s">
        <v>39554</v>
      </c>
      <c r="F4621" t="s">
        <v>39555</v>
      </c>
      <c r="G4621" t="s">
        <v>4826</v>
      </c>
      <c r="H4621" t="s">
        <v>4827</v>
      </c>
      <c r="I4621" t="s">
        <v>85</v>
      </c>
      <c r="J4621" t="s">
        <v>22</v>
      </c>
      <c r="K4621" t="s">
        <v>39556</v>
      </c>
      <c r="L4621" t="s">
        <v>39559</v>
      </c>
      <c r="M4621" t="s">
        <v>25</v>
      </c>
      <c r="N4621" t="s">
        <v>39560</v>
      </c>
      <c r="O4621" t="s">
        <v>39561</v>
      </c>
      <c r="P4621" t="s">
        <v>39562</v>
      </c>
      <c r="Q4621" t="s">
        <v>29</v>
      </c>
      <c r="R4621" t="s">
        <v>39557</v>
      </c>
      <c r="S4621" t="s">
        <v>39558</v>
      </c>
    </row>
    <row r="4622" spans="1:19" x14ac:dyDescent="0.25">
      <c r="A4622" s="1">
        <v>4620</v>
      </c>
      <c r="B4622" t="str">
        <f>HYPERLINK("https://www.dasschnelle.at/hohl-vera-dr-bärnbach-piberstraße","Website")</f>
        <v>Website</v>
      </c>
      <c r="C4622" t="str">
        <f>HYPERLINK("https://www.dasschnelle.at/hohl-vera-dr-b%C3%A4rnbach-piberstra%C3%9Fe","Website")</f>
        <v>Website</v>
      </c>
      <c r="D4622" t="str">
        <f>HYPERLINK("http://www.google.com/maps/place/47.07002,15.12758","Location")</f>
        <v>Location</v>
      </c>
      <c r="E4622" t="s">
        <v>39563</v>
      </c>
      <c r="F4622" t="s">
        <v>39564</v>
      </c>
      <c r="G4622" t="s">
        <v>4592</v>
      </c>
      <c r="H4622" t="s">
        <v>4593</v>
      </c>
      <c r="I4622" t="s">
        <v>451</v>
      </c>
      <c r="J4622" t="s">
        <v>22</v>
      </c>
      <c r="K4622" t="s">
        <v>38366</v>
      </c>
      <c r="L4622" t="s">
        <v>39565</v>
      </c>
      <c r="M4622" t="s">
        <v>25</v>
      </c>
      <c r="N4622" t="s">
        <v>39566</v>
      </c>
      <c r="O4622" t="s">
        <v>25</v>
      </c>
      <c r="P4622" t="s">
        <v>39567</v>
      </c>
      <c r="Q4622" t="s">
        <v>29</v>
      </c>
      <c r="R4622" t="s">
        <v>38367</v>
      </c>
      <c r="S4622" t="s">
        <v>38368</v>
      </c>
    </row>
    <row r="4623" spans="1:19" x14ac:dyDescent="0.25">
      <c r="A4623" s="1">
        <v>4621</v>
      </c>
      <c r="B4623" t="str">
        <f>HYPERLINK("https://www.dasschnelle.at/rosatzin-karl-malerei-aschach-an-der-steyr-uferweg","Website")</f>
        <v>Website</v>
      </c>
      <c r="C4623" t="str">
        <f>HYPERLINK("https://www.dasschnelle.at/rosatzin-karl-malerei-aschach-an-der-steyr-uferweg","Website")</f>
        <v>Website</v>
      </c>
      <c r="D4623" t="str">
        <f>HYPERLINK("http://www.google.com/maps/place/48.02537,14.33202","Location")</f>
        <v>Location</v>
      </c>
      <c r="E4623" t="s">
        <v>39568</v>
      </c>
      <c r="F4623" t="s">
        <v>39569</v>
      </c>
      <c r="G4623" t="s">
        <v>23635</v>
      </c>
      <c r="H4623" t="s">
        <v>23636</v>
      </c>
      <c r="I4623" t="s">
        <v>85</v>
      </c>
      <c r="J4623" t="s">
        <v>22</v>
      </c>
      <c r="K4623" t="s">
        <v>39570</v>
      </c>
      <c r="L4623" t="s">
        <v>39573</v>
      </c>
      <c r="M4623" t="s">
        <v>25</v>
      </c>
      <c r="N4623" t="s">
        <v>39574</v>
      </c>
      <c r="O4623" t="s">
        <v>25</v>
      </c>
      <c r="P4623" t="s">
        <v>39575</v>
      </c>
      <c r="Q4623" t="s">
        <v>29</v>
      </c>
      <c r="R4623" t="s">
        <v>39571</v>
      </c>
      <c r="S4623" t="s">
        <v>39572</v>
      </c>
    </row>
    <row r="4624" spans="1:19" x14ac:dyDescent="0.25">
      <c r="A4624" s="1">
        <v>4622</v>
      </c>
      <c r="B4624" t="str">
        <f>HYPERLINK("https://www.dasschnelle.at/zechmeister-reischauer-gmbh-gurten-schoppering","Website")</f>
        <v>Website</v>
      </c>
      <c r="C4624" t="str">
        <f>HYPERLINK("http://www.steinzech.at","Website")</f>
        <v>Website</v>
      </c>
      <c r="D4624" t="str">
        <f>HYPERLINK("http://www.google.com/maps/place/48.23988,13.32595","Location")</f>
        <v>Location</v>
      </c>
      <c r="E4624" t="s">
        <v>39576</v>
      </c>
      <c r="F4624" t="s">
        <v>39577</v>
      </c>
      <c r="G4624" t="s">
        <v>36606</v>
      </c>
      <c r="H4624" t="s">
        <v>36607</v>
      </c>
      <c r="I4624" t="s">
        <v>85</v>
      </c>
      <c r="J4624" t="s">
        <v>22</v>
      </c>
      <c r="K4624" t="s">
        <v>39578</v>
      </c>
      <c r="L4624" t="s">
        <v>39581</v>
      </c>
      <c r="M4624" t="s">
        <v>25</v>
      </c>
      <c r="N4624" t="s">
        <v>39582</v>
      </c>
      <c r="O4624" t="s">
        <v>25</v>
      </c>
      <c r="P4624" t="s">
        <v>39583</v>
      </c>
      <c r="Q4624" t="s">
        <v>29</v>
      </c>
      <c r="R4624" t="s">
        <v>39579</v>
      </c>
      <c r="S4624" t="s">
        <v>39580</v>
      </c>
    </row>
    <row r="4625" spans="1:19" x14ac:dyDescent="0.25">
      <c r="A4625" s="1">
        <v>4623</v>
      </c>
      <c r="B4625" t="str">
        <f>HYPERLINK("https://www.dasschnelle.at/wimmer-manuela-hofkirchen-an-der-trattnach-hauptstraße","Website")</f>
        <v>Website</v>
      </c>
      <c r="C4625" t="str">
        <f>HYPERLINK("https://www.dasschnelle.at/wimmer-manuela-hofkirchen-an-der-trattnach-hauptstra%C3%9Fe","Website")</f>
        <v>Website</v>
      </c>
      <c r="D4625" t="str">
        <f>HYPERLINK("http://www.google.com/maps/place/48.2188,13.74025","Location")</f>
        <v>Location</v>
      </c>
      <c r="E4625" t="s">
        <v>39584</v>
      </c>
      <c r="F4625" t="s">
        <v>39585</v>
      </c>
      <c r="G4625" t="s">
        <v>7430</v>
      </c>
      <c r="H4625" t="s">
        <v>7431</v>
      </c>
      <c r="I4625" t="s">
        <v>85</v>
      </c>
      <c r="J4625" t="s">
        <v>22</v>
      </c>
      <c r="K4625" t="s">
        <v>23146</v>
      </c>
      <c r="L4625" t="s">
        <v>39588</v>
      </c>
      <c r="M4625" t="s">
        <v>25</v>
      </c>
      <c r="N4625" t="s">
        <v>25</v>
      </c>
      <c r="O4625" t="s">
        <v>25</v>
      </c>
      <c r="P4625" t="s">
        <v>39589</v>
      </c>
      <c r="Q4625" t="s">
        <v>29</v>
      </c>
      <c r="R4625" t="s">
        <v>39586</v>
      </c>
      <c r="S4625" t="s">
        <v>39587</v>
      </c>
    </row>
    <row r="4626" spans="1:19" x14ac:dyDescent="0.25">
      <c r="A4626" s="1">
        <v>4624</v>
      </c>
      <c r="B4626" t="str">
        <f>HYPERLINK("https://www.dasschnelle.at/hofmann-bernhard-ulrichsberg-falkensteinstraße","Website")</f>
        <v>Website</v>
      </c>
      <c r="C4626" t="str">
        <f>HYPERLINK("https://www.dasschnelle.at/hofmann-bernhard-ulrichsberg-falkensteinstra%C3%9Fe","Website")</f>
        <v>Website</v>
      </c>
      <c r="D4626" t="str">
        <f>HYPERLINK("http://www.google.com/maps/place/48.67328,13.91657","Location")</f>
        <v>Location</v>
      </c>
      <c r="E4626" t="s">
        <v>39590</v>
      </c>
      <c r="F4626" t="s">
        <v>39591</v>
      </c>
      <c r="G4626" t="s">
        <v>8779</v>
      </c>
      <c r="H4626" t="s">
        <v>8780</v>
      </c>
      <c r="I4626" t="s">
        <v>85</v>
      </c>
      <c r="J4626" t="s">
        <v>22</v>
      </c>
      <c r="K4626" t="s">
        <v>39592</v>
      </c>
      <c r="L4626" t="s">
        <v>39595</v>
      </c>
      <c r="M4626" t="s">
        <v>25</v>
      </c>
      <c r="N4626" t="s">
        <v>39596</v>
      </c>
      <c r="O4626" t="s">
        <v>25</v>
      </c>
      <c r="P4626" t="s">
        <v>39597</v>
      </c>
      <c r="Q4626" t="s">
        <v>29</v>
      </c>
      <c r="R4626" t="s">
        <v>39593</v>
      </c>
      <c r="S4626" t="s">
        <v>39594</v>
      </c>
    </row>
    <row r="4627" spans="1:19" x14ac:dyDescent="0.25">
      <c r="A4627" s="1">
        <v>4625</v>
      </c>
      <c r="B4627" t="str">
        <f>HYPERLINK("https://www.dasschnelle.at/märzinger-sicilia-heilmassage-rohrbach-berg-hanriederstraße","Website")</f>
        <v>Website</v>
      </c>
      <c r="C4627" t="str">
        <f>HYPERLINK("http://www.sicilias-heilmassage.at","Website")</f>
        <v>Website</v>
      </c>
      <c r="D4627" t="str">
        <f>HYPERLINK("http://www.google.com/maps/place/48.5702800,13.9860500","Location")</f>
        <v>Location</v>
      </c>
      <c r="E4627" t="s">
        <v>39598</v>
      </c>
      <c r="F4627" t="s">
        <v>39599</v>
      </c>
      <c r="G4627" t="s">
        <v>8561</v>
      </c>
      <c r="H4627" t="s">
        <v>8660</v>
      </c>
      <c r="I4627" t="s">
        <v>85</v>
      </c>
      <c r="J4627" t="s">
        <v>22</v>
      </c>
      <c r="K4627" t="s">
        <v>39600</v>
      </c>
      <c r="L4627" t="s">
        <v>39603</v>
      </c>
      <c r="M4627" t="s">
        <v>25</v>
      </c>
      <c r="N4627" t="s">
        <v>39604</v>
      </c>
      <c r="O4627" t="s">
        <v>25</v>
      </c>
      <c r="P4627" t="s">
        <v>39605</v>
      </c>
      <c r="Q4627" t="s">
        <v>29</v>
      </c>
      <c r="R4627" t="s">
        <v>39601</v>
      </c>
      <c r="S4627" t="s">
        <v>39602</v>
      </c>
    </row>
    <row r="4628" spans="1:19" x14ac:dyDescent="0.25">
      <c r="A4628" s="1">
        <v>4626</v>
      </c>
      <c r="B4628" t="str">
        <f>HYPERLINK("https://www.dasschnelle.at/weber-metalltechnik-lieboch-am-mühlbach","Website")</f>
        <v>Website</v>
      </c>
      <c r="C4628" t="str">
        <f>HYPERLINK("https://www.dasschnelle.at/weber-metalltechnik-lieboch-am-m%C3%BChlbach","Website")</f>
        <v>Website</v>
      </c>
      <c r="D4628" t="str">
        <f>HYPERLINK("http://www.google.com/maps/place/46.9740900,15.3393400","Location")</f>
        <v>Location</v>
      </c>
      <c r="E4628" t="s">
        <v>39606</v>
      </c>
      <c r="F4628" t="s">
        <v>39607</v>
      </c>
      <c r="G4628" t="s">
        <v>4655</v>
      </c>
      <c r="H4628" t="s">
        <v>4656</v>
      </c>
      <c r="I4628" t="s">
        <v>451</v>
      </c>
      <c r="J4628" t="s">
        <v>22</v>
      </c>
      <c r="K4628" t="s">
        <v>39608</v>
      </c>
      <c r="L4628" t="s">
        <v>39611</v>
      </c>
      <c r="M4628" t="s">
        <v>25</v>
      </c>
      <c r="N4628" t="s">
        <v>39612</v>
      </c>
      <c r="O4628" t="s">
        <v>25</v>
      </c>
      <c r="P4628" t="s">
        <v>39613</v>
      </c>
      <c r="Q4628" t="s">
        <v>29</v>
      </c>
      <c r="R4628" t="s">
        <v>39609</v>
      </c>
      <c r="S4628" t="s">
        <v>39610</v>
      </c>
    </row>
    <row r="4629" spans="1:19" x14ac:dyDescent="0.25">
      <c r="A4629" s="1">
        <v>4627</v>
      </c>
      <c r="B4629" t="str">
        <f>HYPERLINK("https://www.dasschnelle.at/scheschy-gmbh-neufelden-veldner-straße","Website")</f>
        <v>Website</v>
      </c>
      <c r="C4629" t="str">
        <f>HYPERLINK("http://www.scheschy.at","Website")</f>
        <v>Website</v>
      </c>
      <c r="D4629" t="str">
        <f>HYPERLINK("http://www.google.com/maps/place/48.48532,13.98449","Location")</f>
        <v>Location</v>
      </c>
      <c r="E4629" t="s">
        <v>39614</v>
      </c>
      <c r="F4629" t="s">
        <v>39615</v>
      </c>
      <c r="G4629" t="s">
        <v>35885</v>
      </c>
      <c r="H4629" t="s">
        <v>35886</v>
      </c>
      <c r="I4629" t="s">
        <v>85</v>
      </c>
      <c r="J4629" t="s">
        <v>22</v>
      </c>
      <c r="K4629" t="s">
        <v>39616</v>
      </c>
      <c r="L4629" t="s">
        <v>39619</v>
      </c>
      <c r="M4629" t="s">
        <v>25</v>
      </c>
      <c r="N4629" t="s">
        <v>39620</v>
      </c>
      <c r="O4629" t="s">
        <v>25</v>
      </c>
      <c r="P4629" t="s">
        <v>39621</v>
      </c>
      <c r="Q4629" t="s">
        <v>29</v>
      </c>
      <c r="R4629" t="s">
        <v>39617</v>
      </c>
      <c r="S4629" t="s">
        <v>39618</v>
      </c>
    </row>
    <row r="4630" spans="1:19" x14ac:dyDescent="0.25">
      <c r="A4630" s="1">
        <v>4628</v>
      </c>
      <c r="B4630" t="str">
        <f>HYPERLINK("https://www.dasschnelle.at/webinger-andreas-e-u-ulrichsberg-ulrichsberg","Website")</f>
        <v>Website</v>
      </c>
      <c r="C4630" t="str">
        <f>HYPERLINK("http://www.webinger.co.at","Website")</f>
        <v>Website</v>
      </c>
      <c r="D4630" t="str">
        <f>HYPERLINK("http://www.google.com/maps/place/48.6709200,13.9273515","Location")</f>
        <v>Location</v>
      </c>
      <c r="E4630" t="s">
        <v>39622</v>
      </c>
      <c r="F4630" t="s">
        <v>39623</v>
      </c>
      <c r="G4630" t="s">
        <v>8779</v>
      </c>
      <c r="H4630" t="s">
        <v>8780</v>
      </c>
      <c r="I4630" t="s">
        <v>85</v>
      </c>
      <c r="J4630" t="s">
        <v>22</v>
      </c>
      <c r="K4630" t="s">
        <v>39624</v>
      </c>
      <c r="L4630" t="s">
        <v>39627</v>
      </c>
      <c r="M4630" t="s">
        <v>25</v>
      </c>
      <c r="N4630" t="s">
        <v>39628</v>
      </c>
      <c r="O4630" t="s">
        <v>25</v>
      </c>
      <c r="P4630" t="s">
        <v>39629</v>
      </c>
      <c r="Q4630" t="s">
        <v>29</v>
      </c>
      <c r="R4630" t="s">
        <v>39625</v>
      </c>
      <c r="S4630" t="s">
        <v>39626</v>
      </c>
    </row>
    <row r="4631" spans="1:19" x14ac:dyDescent="0.25">
      <c r="A4631" s="1">
        <v>4629</v>
      </c>
      <c r="B4631" t="str">
        <f>HYPERLINK("https://www.dasschnelle.at/reisegger-franz-ort-im-innkreis-ort-im-innkreis","Website")</f>
        <v>Website</v>
      </c>
      <c r="C4631" t="str">
        <f>HYPERLINK("http://www.reisegger-trans.eu","Website")</f>
        <v>Website</v>
      </c>
      <c r="D4631" t="str">
        <f>HYPERLINK("http://www.google.com/maps/place/48.3188063,13.4324548","Location")</f>
        <v>Location</v>
      </c>
      <c r="E4631" t="s">
        <v>39630</v>
      </c>
      <c r="F4631" t="s">
        <v>39631</v>
      </c>
      <c r="G4631" t="s">
        <v>6352</v>
      </c>
      <c r="H4631" t="s">
        <v>6353</v>
      </c>
      <c r="I4631" t="s">
        <v>85</v>
      </c>
      <c r="J4631" t="s">
        <v>22</v>
      </c>
      <c r="K4631" t="s">
        <v>39632</v>
      </c>
      <c r="L4631" t="s">
        <v>39635</v>
      </c>
      <c r="M4631" t="s">
        <v>25</v>
      </c>
      <c r="N4631" t="s">
        <v>39636</v>
      </c>
      <c r="O4631" t="s">
        <v>25</v>
      </c>
      <c r="P4631" t="s">
        <v>39637</v>
      </c>
      <c r="Q4631" t="s">
        <v>29</v>
      </c>
      <c r="R4631" t="s">
        <v>39633</v>
      </c>
      <c r="S4631" t="s">
        <v>39634</v>
      </c>
    </row>
    <row r="4632" spans="1:19" x14ac:dyDescent="0.25">
      <c r="A4632" s="1">
        <v>4630</v>
      </c>
      <c r="B4632" t="str">
        <f>HYPERLINK("https://www.dasschnelle.at/künzel-christoph-mag-vorau-stift","Website")</f>
        <v>Website</v>
      </c>
      <c r="C4632" t="str">
        <f>HYPERLINK("http://www.notar-vorau.at","Website")</f>
        <v>Website</v>
      </c>
      <c r="D4632" t="str">
        <f>HYPERLINK("http://www.google.com/maps/place/47.4011476,15.8896408","Location")</f>
        <v>Location</v>
      </c>
      <c r="E4632" t="s">
        <v>39638</v>
      </c>
      <c r="F4632" t="s">
        <v>39639</v>
      </c>
      <c r="G4632" t="s">
        <v>1068</v>
      </c>
      <c r="H4632" t="s">
        <v>1069</v>
      </c>
      <c r="I4632" t="s">
        <v>451</v>
      </c>
      <c r="J4632" t="s">
        <v>22</v>
      </c>
      <c r="K4632" t="s">
        <v>39640</v>
      </c>
      <c r="L4632" t="s">
        <v>39643</v>
      </c>
      <c r="M4632" t="s">
        <v>25</v>
      </c>
      <c r="N4632" t="s">
        <v>39644</v>
      </c>
      <c r="O4632" t="s">
        <v>25</v>
      </c>
      <c r="P4632" t="s">
        <v>39645</v>
      </c>
      <c r="Q4632" t="s">
        <v>29</v>
      </c>
      <c r="R4632" t="s">
        <v>39641</v>
      </c>
      <c r="S4632" t="s">
        <v>39642</v>
      </c>
    </row>
    <row r="4633" spans="1:19" x14ac:dyDescent="0.25">
      <c r="A4633" s="1">
        <v>4631</v>
      </c>
      <c r="B4633" t="str">
        <f>HYPERLINK("https://www.dasschnelle.at/annerl-johann-grieskirchen-pollhamerwald","Website")</f>
        <v>Website</v>
      </c>
      <c r="C4633" t="str">
        <f>HYPERLINK("http://www.tischlerei-annerl.at","Website")</f>
        <v>Website</v>
      </c>
      <c r="D4633" t="str">
        <f>HYPERLINK("http://www.google.com/maps/place/48.2581849,13.8302181","Location")</f>
        <v>Location</v>
      </c>
      <c r="E4633" t="s">
        <v>39646</v>
      </c>
      <c r="F4633" t="s">
        <v>39647</v>
      </c>
      <c r="G4633" t="s">
        <v>4826</v>
      </c>
      <c r="H4633" t="s">
        <v>4827</v>
      </c>
      <c r="I4633" t="s">
        <v>85</v>
      </c>
      <c r="J4633" t="s">
        <v>22</v>
      </c>
      <c r="K4633" t="s">
        <v>39648</v>
      </c>
      <c r="L4633" t="s">
        <v>39651</v>
      </c>
      <c r="M4633" t="s">
        <v>25</v>
      </c>
      <c r="N4633" t="s">
        <v>39652</v>
      </c>
      <c r="O4633" t="s">
        <v>39653</v>
      </c>
      <c r="P4633" t="s">
        <v>39654</v>
      </c>
      <c r="Q4633" t="s">
        <v>29</v>
      </c>
      <c r="R4633" t="s">
        <v>39649</v>
      </c>
      <c r="S4633" t="s">
        <v>39650</v>
      </c>
    </row>
    <row r="4634" spans="1:19" x14ac:dyDescent="0.25">
      <c r="A4634" s="1">
        <v>4632</v>
      </c>
      <c r="B4634" t="str">
        <f>HYPERLINK("https://www.dasschnelle.at/möwa-ofenbau-ragering","Website")</f>
        <v>Website</v>
      </c>
      <c r="C4634" t="str">
        <f>HYPERLINK("http://www.moewa-ofenbau.at","Website")</f>
        <v>Website</v>
      </c>
      <c r="D4634" t="str">
        <f>HYPERLINK("http://www.google.com/maps/place/48.2625591,13.7566057","Location")</f>
        <v>Location</v>
      </c>
      <c r="E4634" t="s">
        <v>39655</v>
      </c>
      <c r="F4634" t="s">
        <v>39656</v>
      </c>
      <c r="G4634" t="s">
        <v>39657</v>
      </c>
      <c r="H4634" t="s">
        <v>39658</v>
      </c>
      <c r="I4634" t="s">
        <v>85</v>
      </c>
      <c r="J4634" t="s">
        <v>22</v>
      </c>
      <c r="K4634" t="s">
        <v>25</v>
      </c>
      <c r="L4634" t="s">
        <v>39661</v>
      </c>
      <c r="M4634" t="s">
        <v>25</v>
      </c>
      <c r="N4634" t="s">
        <v>39662</v>
      </c>
      <c r="O4634" t="s">
        <v>39663</v>
      </c>
      <c r="P4634" t="s">
        <v>39664</v>
      </c>
      <c r="Q4634" t="s">
        <v>29</v>
      </c>
      <c r="R4634" t="s">
        <v>39659</v>
      </c>
      <c r="S4634" t="s">
        <v>39660</v>
      </c>
    </row>
    <row r="4635" spans="1:19" x14ac:dyDescent="0.25">
      <c r="A4635" s="1">
        <v>4633</v>
      </c>
      <c r="B4635" t="str">
        <f>HYPERLINK("https://www.dasschnelle.at/standhartinger-franz-hofkirchen-an-der-trattnach-wengerstraße","Website")</f>
        <v>Website</v>
      </c>
      <c r="C4635" t="str">
        <f>HYPERLINK("http://www.kfz-standhartinger.eu","Website")</f>
        <v>Website</v>
      </c>
      <c r="D4635" t="str">
        <f>HYPERLINK("http://www.google.com/maps/place/48.22395,13.74375","Location")</f>
        <v>Location</v>
      </c>
      <c r="E4635" t="s">
        <v>39665</v>
      </c>
      <c r="F4635" t="s">
        <v>39666</v>
      </c>
      <c r="G4635" t="s">
        <v>7430</v>
      </c>
      <c r="H4635" t="s">
        <v>7431</v>
      </c>
      <c r="I4635" t="s">
        <v>85</v>
      </c>
      <c r="J4635" t="s">
        <v>22</v>
      </c>
      <c r="K4635" t="s">
        <v>39667</v>
      </c>
      <c r="L4635" t="s">
        <v>39670</v>
      </c>
      <c r="M4635" t="s">
        <v>25</v>
      </c>
      <c r="N4635" t="s">
        <v>39671</v>
      </c>
      <c r="O4635" t="s">
        <v>25</v>
      </c>
      <c r="P4635" t="s">
        <v>39672</v>
      </c>
      <c r="Q4635" t="s">
        <v>29</v>
      </c>
      <c r="R4635" t="s">
        <v>39668</v>
      </c>
      <c r="S4635" t="s">
        <v>39669</v>
      </c>
    </row>
    <row r="4636" spans="1:19" x14ac:dyDescent="0.25">
      <c r="A4636" s="1">
        <v>4634</v>
      </c>
      <c r="B4636" t="str">
        <f>HYPERLINK("https://www.dasschnelle.at/köstl-jürgen-peuerbach-oberaching","Website")</f>
        <v>Website</v>
      </c>
      <c r="C4636" t="str">
        <f>HYPERLINK("http://www.erdbau-koestl.at/","Website")</f>
        <v>Website</v>
      </c>
      <c r="D4636" t="str">
        <f>HYPERLINK("http://www.google.com/maps/place/48.3212484,13.8035951","Location")</f>
        <v>Location</v>
      </c>
      <c r="E4636" t="s">
        <v>39673</v>
      </c>
      <c r="F4636" t="s">
        <v>39674</v>
      </c>
      <c r="G4636" t="s">
        <v>7303</v>
      </c>
      <c r="H4636" t="s">
        <v>7304</v>
      </c>
      <c r="I4636" t="s">
        <v>85</v>
      </c>
      <c r="J4636" t="s">
        <v>22</v>
      </c>
      <c r="K4636" t="s">
        <v>39675</v>
      </c>
      <c r="L4636" t="s">
        <v>39678</v>
      </c>
      <c r="M4636" t="s">
        <v>25</v>
      </c>
      <c r="N4636" t="s">
        <v>39679</v>
      </c>
      <c r="O4636" t="s">
        <v>25</v>
      </c>
      <c r="P4636" t="s">
        <v>39680</v>
      </c>
      <c r="Q4636" t="s">
        <v>29</v>
      </c>
      <c r="R4636" t="s">
        <v>39676</v>
      </c>
      <c r="S4636" t="s">
        <v>39677</v>
      </c>
    </row>
    <row r="4637" spans="1:19" x14ac:dyDescent="0.25">
      <c r="A4637" s="1">
        <v>4635</v>
      </c>
      <c r="B4637" t="str">
        <f>HYPERLINK("https://www.dasschnelle.at/mühlböck-thomas-peuerbach-sölden-an-der-straß","Website")</f>
        <v>Website</v>
      </c>
      <c r="C4637" t="str">
        <f>HYPERLINK("https://bit.ly/3KUUqcB","Website")</f>
        <v>Website</v>
      </c>
      <c r="D4637" t="str">
        <f>HYPERLINK("http://www.google.com/maps/place/48.3257373,13.7997409","Location")</f>
        <v>Location</v>
      </c>
      <c r="E4637" t="s">
        <v>39681</v>
      </c>
      <c r="F4637" t="s">
        <v>39682</v>
      </c>
      <c r="G4637" t="s">
        <v>7303</v>
      </c>
      <c r="H4637" t="s">
        <v>7304</v>
      </c>
      <c r="I4637" t="s">
        <v>85</v>
      </c>
      <c r="J4637" t="s">
        <v>22</v>
      </c>
      <c r="K4637" t="s">
        <v>39683</v>
      </c>
      <c r="L4637" t="s">
        <v>39686</v>
      </c>
      <c r="M4637" t="s">
        <v>25</v>
      </c>
      <c r="N4637" t="s">
        <v>39687</v>
      </c>
      <c r="O4637" t="s">
        <v>39688</v>
      </c>
      <c r="P4637" t="s">
        <v>39689</v>
      </c>
      <c r="Q4637" t="s">
        <v>29</v>
      </c>
      <c r="R4637" t="s">
        <v>39684</v>
      </c>
      <c r="S4637" t="s">
        <v>39685</v>
      </c>
    </row>
    <row r="4638" spans="1:19" x14ac:dyDescent="0.25">
      <c r="A4638" s="1">
        <v>4636</v>
      </c>
      <c r="B4638" t="str">
        <f>HYPERLINK("https://www.dasschnelle.at/razenberger-johann-peuerbach-steegen","Website")</f>
        <v>Website</v>
      </c>
      <c r="C4638" t="str">
        <f>HYPERLINK("http://www.razenberger.at","Website")</f>
        <v>Website</v>
      </c>
      <c r="D4638" t="str">
        <f>HYPERLINK("http://www.google.com/maps/place/48.3384907,13.7631018","Location")</f>
        <v>Location</v>
      </c>
      <c r="E4638" t="s">
        <v>39690</v>
      </c>
      <c r="F4638" t="s">
        <v>39691</v>
      </c>
      <c r="G4638" t="s">
        <v>7303</v>
      </c>
      <c r="H4638" t="s">
        <v>7304</v>
      </c>
      <c r="I4638" t="s">
        <v>85</v>
      </c>
      <c r="J4638" t="s">
        <v>22</v>
      </c>
      <c r="K4638" t="s">
        <v>39692</v>
      </c>
      <c r="L4638" t="s">
        <v>39695</v>
      </c>
      <c r="M4638" t="s">
        <v>39696</v>
      </c>
      <c r="N4638" t="s">
        <v>39697</v>
      </c>
      <c r="O4638" t="s">
        <v>39698</v>
      </c>
      <c r="P4638" t="s">
        <v>39699</v>
      </c>
      <c r="Q4638" t="s">
        <v>29</v>
      </c>
      <c r="R4638" t="s">
        <v>39693</v>
      </c>
      <c r="S4638" t="s">
        <v>39694</v>
      </c>
    </row>
    <row r="4639" spans="1:19" x14ac:dyDescent="0.25">
      <c r="A4639" s="1">
        <v>4637</v>
      </c>
      <c r="B4639" t="str">
        <f>HYPERLINK("https://www.dasschnelle.at/schoiswohl-gerhard-dr-stubenberg-am-see-stubenberg-am-see","Website")</f>
        <v>Website</v>
      </c>
      <c r="C4639" t="str">
        <f>HYPERLINK("https://www.dasschnelle.at/schoiswohl-gerhard-dr-stubenberg-am-see-stubenberg-am-see","Website")</f>
        <v>Website</v>
      </c>
      <c r="D4639" t="str">
        <f>HYPERLINK("http://www.google.com/maps/place/47.2422260,15.8004247","Location")</f>
        <v>Location</v>
      </c>
      <c r="E4639" t="s">
        <v>39700</v>
      </c>
      <c r="F4639" t="s">
        <v>39701</v>
      </c>
      <c r="G4639" t="s">
        <v>39703</v>
      </c>
      <c r="H4639" t="s">
        <v>39704</v>
      </c>
      <c r="I4639" t="s">
        <v>451</v>
      </c>
      <c r="J4639" t="s">
        <v>22</v>
      </c>
      <c r="K4639" t="s">
        <v>39702</v>
      </c>
      <c r="L4639" t="s">
        <v>39707</v>
      </c>
      <c r="M4639" t="s">
        <v>25</v>
      </c>
      <c r="N4639" t="s">
        <v>15445</v>
      </c>
      <c r="O4639" t="s">
        <v>25</v>
      </c>
      <c r="P4639" t="s">
        <v>39708</v>
      </c>
      <c r="Q4639" t="s">
        <v>29</v>
      </c>
      <c r="R4639" t="s">
        <v>39705</v>
      </c>
      <c r="S4639" t="s">
        <v>39706</v>
      </c>
    </row>
    <row r="4640" spans="1:19" x14ac:dyDescent="0.25">
      <c r="A4640" s="1">
        <v>4638</v>
      </c>
      <c r="B4640" t="str">
        <f>HYPERLINK("https://www.dasschnelle.at/gschwandtner-gmbh-grieskirchen-lindenweg","Website")</f>
        <v>Website</v>
      </c>
      <c r="C4640" t="str">
        <f>HYPERLINK("http://www.gschwandtner.co.at","Website")</f>
        <v>Website</v>
      </c>
      <c r="D4640" t="str">
        <f>HYPERLINK("http://www.google.com/maps/place/48.23941,13.82338","Location")</f>
        <v>Location</v>
      </c>
      <c r="E4640" t="s">
        <v>39709</v>
      </c>
      <c r="F4640" t="s">
        <v>39710</v>
      </c>
      <c r="G4640" t="s">
        <v>4826</v>
      </c>
      <c r="H4640" t="s">
        <v>4827</v>
      </c>
      <c r="I4640" t="s">
        <v>85</v>
      </c>
      <c r="J4640" t="s">
        <v>22</v>
      </c>
      <c r="K4640" t="s">
        <v>39711</v>
      </c>
      <c r="L4640" t="s">
        <v>39714</v>
      </c>
      <c r="M4640" t="s">
        <v>25</v>
      </c>
      <c r="N4640" t="s">
        <v>39715</v>
      </c>
      <c r="O4640" t="s">
        <v>39716</v>
      </c>
      <c r="P4640" t="s">
        <v>39717</v>
      </c>
      <c r="Q4640" t="s">
        <v>29</v>
      </c>
      <c r="R4640" t="s">
        <v>39712</v>
      </c>
      <c r="S4640" t="s">
        <v>39713</v>
      </c>
    </row>
    <row r="4641" spans="1:19" x14ac:dyDescent="0.25">
      <c r="A4641" s="1">
        <v>4639</v>
      </c>
      <c r="B4641" t="str">
        <f>HYPERLINK("https://www.dasschnelle.at/purkhard-ernst-bad-mitterndorf-obersdorf","Website")</f>
        <v>Website</v>
      </c>
      <c r="C4641" t="str">
        <f>HYPERLINK("https://www.dasschnelle.at/purkhard-ernst-bad-mitterndorf-obersdorf","Website")</f>
        <v>Website</v>
      </c>
      <c r="D4641" t="str">
        <f>HYPERLINK("http://www.google.com/maps/place/47.5691071,13.8920331","Location")</f>
        <v>Location</v>
      </c>
      <c r="E4641" t="s">
        <v>39718</v>
      </c>
      <c r="F4641" t="s">
        <v>39719</v>
      </c>
      <c r="G4641" t="s">
        <v>1133</v>
      </c>
      <c r="H4641" t="s">
        <v>1134</v>
      </c>
      <c r="I4641" t="s">
        <v>451</v>
      </c>
      <c r="J4641" t="s">
        <v>22</v>
      </c>
      <c r="K4641" t="s">
        <v>39720</v>
      </c>
      <c r="L4641" t="s">
        <v>39723</v>
      </c>
      <c r="M4641" t="s">
        <v>25</v>
      </c>
      <c r="N4641" t="s">
        <v>39724</v>
      </c>
      <c r="O4641" t="s">
        <v>25</v>
      </c>
      <c r="P4641" t="s">
        <v>39725</v>
      </c>
      <c r="Q4641" t="s">
        <v>29</v>
      </c>
      <c r="R4641" t="s">
        <v>39721</v>
      </c>
      <c r="S4641" t="s">
        <v>39722</v>
      </c>
    </row>
    <row r="4642" spans="1:19" x14ac:dyDescent="0.25">
      <c r="A4642" s="1">
        <v>4640</v>
      </c>
      <c r="B4642" t="str">
        <f>HYPERLINK("https://www.dasschnelle.at/ostermann-wolfgang-schöder","Website")</f>
        <v>Website</v>
      </c>
      <c r="C4642" t="str">
        <f>HYPERLINK("http://www.malermeister-ostermann.at","Website")</f>
        <v>Website</v>
      </c>
      <c r="D4642" t="str">
        <f>HYPERLINK("http://www.google.com/maps/place/47.1816052,14.1123470","Location")</f>
        <v>Location</v>
      </c>
      <c r="E4642" t="s">
        <v>39726</v>
      </c>
      <c r="F4642" t="s">
        <v>39727</v>
      </c>
      <c r="G4642" t="s">
        <v>39728</v>
      </c>
      <c r="H4642" t="s">
        <v>39729</v>
      </c>
      <c r="I4642" t="s">
        <v>451</v>
      </c>
      <c r="J4642" t="s">
        <v>22</v>
      </c>
      <c r="K4642" t="s">
        <v>25</v>
      </c>
      <c r="L4642" t="s">
        <v>39732</v>
      </c>
      <c r="M4642" t="s">
        <v>25</v>
      </c>
      <c r="N4642" t="s">
        <v>39733</v>
      </c>
      <c r="O4642" t="s">
        <v>39734</v>
      </c>
      <c r="P4642" t="s">
        <v>39735</v>
      </c>
      <c r="Q4642" t="s">
        <v>29</v>
      </c>
      <c r="R4642" t="s">
        <v>39730</v>
      </c>
      <c r="S4642" t="s">
        <v>39731</v>
      </c>
    </row>
    <row r="4643" spans="1:19" x14ac:dyDescent="0.25">
      <c r="A4643" s="1">
        <v>4641</v>
      </c>
      <c r="B4643" t="str">
        <f>HYPERLINK("https://www.dasschnelle.at/kfz-rauöcker-neustift-eitzendorf","Website")</f>
        <v>Website</v>
      </c>
      <c r="C4643" t="str">
        <f>HYPERLINK("http://www.kfz-rauoecker.at","Website")</f>
        <v>Website</v>
      </c>
      <c r="D4643" t="str">
        <f>HYPERLINK("http://www.google.com/maps/place/48.5116058,13.7573589","Location")</f>
        <v>Location</v>
      </c>
      <c r="E4643" t="s">
        <v>39736</v>
      </c>
      <c r="F4643" t="s">
        <v>39737</v>
      </c>
      <c r="G4643" t="s">
        <v>8551</v>
      </c>
      <c r="H4643" t="s">
        <v>39739</v>
      </c>
      <c r="I4643" t="s">
        <v>85</v>
      </c>
      <c r="J4643" t="s">
        <v>22</v>
      </c>
      <c r="K4643" t="s">
        <v>39738</v>
      </c>
      <c r="L4643" t="s">
        <v>39742</v>
      </c>
      <c r="M4643" t="s">
        <v>25</v>
      </c>
      <c r="N4643" t="s">
        <v>39743</v>
      </c>
      <c r="O4643" t="s">
        <v>25</v>
      </c>
      <c r="P4643" t="s">
        <v>39744</v>
      </c>
      <c r="Q4643" t="s">
        <v>29</v>
      </c>
      <c r="R4643" t="s">
        <v>39740</v>
      </c>
      <c r="S4643" t="s">
        <v>39741</v>
      </c>
    </row>
    <row r="4644" spans="1:19" x14ac:dyDescent="0.25">
      <c r="A4644" s="1">
        <v>4642</v>
      </c>
      <c r="B4644" t="str">
        <f>HYPERLINK("https://www.dasschnelle.at/handl-marcella-mag-hartberg-rochusplatz","Website")</f>
        <v>Website</v>
      </c>
      <c r="C4644" t="str">
        <f>HYPERLINK("http://www.notariat-handl.at","Website")</f>
        <v>Website</v>
      </c>
      <c r="D4644" t="str">
        <f>HYPERLINK("http://www.google.com/maps/place/47.28181,15.97228","Location")</f>
        <v>Location</v>
      </c>
      <c r="E4644" t="s">
        <v>39745</v>
      </c>
      <c r="F4644" t="s">
        <v>39746</v>
      </c>
      <c r="G4644" t="s">
        <v>1050</v>
      </c>
      <c r="H4644" t="s">
        <v>1051</v>
      </c>
      <c r="I4644" t="s">
        <v>451</v>
      </c>
      <c r="J4644" t="s">
        <v>22</v>
      </c>
      <c r="K4644" t="s">
        <v>39747</v>
      </c>
      <c r="L4644" t="s">
        <v>39750</v>
      </c>
      <c r="M4644" t="s">
        <v>25</v>
      </c>
      <c r="N4644" t="s">
        <v>39751</v>
      </c>
      <c r="O4644" t="s">
        <v>25</v>
      </c>
      <c r="P4644" t="s">
        <v>39752</v>
      </c>
      <c r="Q4644" t="s">
        <v>29</v>
      </c>
      <c r="R4644" t="s">
        <v>39748</v>
      </c>
      <c r="S4644" t="s">
        <v>39749</v>
      </c>
    </row>
    <row r="4645" spans="1:19" x14ac:dyDescent="0.25">
      <c r="A4645" s="1">
        <v>4643</v>
      </c>
      <c r="B4645" t="str">
        <f>HYPERLINK("https://www.dasschnelle.at/geschenkebox-haslach-an-der-mühl-marktplatz","Website")</f>
        <v>Website</v>
      </c>
      <c r="C4645" t="str">
        <f>HYPERLINK("https://www.dasschnelle.at/geschenkebox-haslach-an-der-m%C3%BChl-marktplatz","Website")</f>
        <v>Website</v>
      </c>
      <c r="D4645" t="str">
        <f>HYPERLINK("http://www.google.com/maps/place/48.5748699,14.0419616","Location")</f>
        <v>Location</v>
      </c>
      <c r="E4645" t="s">
        <v>39753</v>
      </c>
      <c r="F4645" t="s">
        <v>39754</v>
      </c>
      <c r="G4645" t="s">
        <v>35103</v>
      </c>
      <c r="H4645" t="s">
        <v>35104</v>
      </c>
      <c r="I4645" t="s">
        <v>85</v>
      </c>
      <c r="J4645" t="s">
        <v>22</v>
      </c>
      <c r="K4645" t="s">
        <v>13575</v>
      </c>
      <c r="L4645" t="s">
        <v>39757</v>
      </c>
      <c r="M4645" t="s">
        <v>25</v>
      </c>
      <c r="N4645" t="s">
        <v>39758</v>
      </c>
      <c r="O4645" t="s">
        <v>25</v>
      </c>
      <c r="P4645" t="s">
        <v>39759</v>
      </c>
      <c r="Q4645" t="s">
        <v>29</v>
      </c>
      <c r="R4645" t="s">
        <v>39755</v>
      </c>
      <c r="S4645" t="s">
        <v>39756</v>
      </c>
    </row>
    <row r="4646" spans="1:19" x14ac:dyDescent="0.25">
      <c r="A4646" s="1">
        <v>4644</v>
      </c>
      <c r="B4646" t="str">
        <f>HYPERLINK("https://www.dasschnelle.at/elektrotechnik-ratzenböck-neumarkt-im-hausruckkreis-pehring","Website")</f>
        <v>Website</v>
      </c>
      <c r="C4646" t="str">
        <f>HYPERLINK("http://www.et-ratzenboeck.at","Website")</f>
        <v>Website</v>
      </c>
      <c r="D4646" t="str">
        <f>HYPERLINK("http://www.google.com/maps/place/48.2928463,13.6982771","Location")</f>
        <v>Location</v>
      </c>
      <c r="E4646" t="s">
        <v>39760</v>
      </c>
      <c r="F4646" t="s">
        <v>39761</v>
      </c>
      <c r="G4646" t="s">
        <v>7220</v>
      </c>
      <c r="H4646" t="s">
        <v>7221</v>
      </c>
      <c r="I4646" t="s">
        <v>85</v>
      </c>
      <c r="J4646" t="s">
        <v>22</v>
      </c>
      <c r="K4646" t="s">
        <v>39762</v>
      </c>
      <c r="L4646" t="s">
        <v>39765</v>
      </c>
      <c r="M4646" t="s">
        <v>25</v>
      </c>
      <c r="N4646" t="s">
        <v>39766</v>
      </c>
      <c r="O4646" t="s">
        <v>25</v>
      </c>
      <c r="P4646" t="s">
        <v>39767</v>
      </c>
      <c r="Q4646" t="s">
        <v>29</v>
      </c>
      <c r="R4646" t="s">
        <v>39763</v>
      </c>
      <c r="S4646" t="s">
        <v>39764</v>
      </c>
    </row>
    <row r="4647" spans="1:19" x14ac:dyDescent="0.25">
      <c r="A4647" s="1">
        <v>4645</v>
      </c>
      <c r="B4647" t="str">
        <f>HYPERLINK("https://www.dasschnelle.at/ertl-gmbh-peuerbach-grieskirchner-straße","Website")</f>
        <v>Website</v>
      </c>
      <c r="C4647" t="str">
        <f>HYPERLINK("http://www.raumkreationen.at","Website")</f>
        <v>Website</v>
      </c>
      <c r="D4647" t="str">
        <f>HYPERLINK("http://www.google.com/maps/place/48.33386,13.77107","Location")</f>
        <v>Location</v>
      </c>
      <c r="E4647" t="s">
        <v>39768</v>
      </c>
      <c r="F4647" t="s">
        <v>39769</v>
      </c>
      <c r="G4647" t="s">
        <v>7303</v>
      </c>
      <c r="H4647" t="s">
        <v>7304</v>
      </c>
      <c r="I4647" t="s">
        <v>85</v>
      </c>
      <c r="J4647" t="s">
        <v>22</v>
      </c>
      <c r="K4647" t="s">
        <v>39770</v>
      </c>
      <c r="L4647" t="s">
        <v>39773</v>
      </c>
      <c r="M4647" t="s">
        <v>25</v>
      </c>
      <c r="N4647" t="s">
        <v>39774</v>
      </c>
      <c r="O4647" t="s">
        <v>25</v>
      </c>
      <c r="P4647" t="s">
        <v>39775</v>
      </c>
      <c r="Q4647" t="s">
        <v>29</v>
      </c>
      <c r="R4647" t="s">
        <v>39771</v>
      </c>
      <c r="S4647" t="s">
        <v>39772</v>
      </c>
    </row>
    <row r="4648" spans="1:19" x14ac:dyDescent="0.25">
      <c r="A4648" s="1">
        <v>4646</v>
      </c>
      <c r="B4648" t="str">
        <f>HYPERLINK("https://www.dasschnelle.at/pieno-gmbh-sarleinsbach-hanriederstrße","Website")</f>
        <v>Website</v>
      </c>
      <c r="C4648" t="str">
        <f>HYPERLINK("http://www.pieno.at","Website")</f>
        <v>Website</v>
      </c>
      <c r="D4648" t="str">
        <f>HYPERLINK("http://www.google.com/maps/place/48.54735,13.904","Location")</f>
        <v>Location</v>
      </c>
      <c r="E4648" t="s">
        <v>39776</v>
      </c>
      <c r="F4648" t="s">
        <v>39777</v>
      </c>
      <c r="G4648" t="s">
        <v>35492</v>
      </c>
      <c r="H4648" t="s">
        <v>35493</v>
      </c>
      <c r="I4648" t="s">
        <v>85</v>
      </c>
      <c r="J4648" t="s">
        <v>22</v>
      </c>
      <c r="K4648" t="s">
        <v>39778</v>
      </c>
      <c r="L4648" t="s">
        <v>39781</v>
      </c>
      <c r="M4648" t="s">
        <v>25</v>
      </c>
      <c r="N4648" t="s">
        <v>39782</v>
      </c>
      <c r="O4648" t="s">
        <v>25</v>
      </c>
      <c r="P4648" t="s">
        <v>39783</v>
      </c>
      <c r="Q4648" t="s">
        <v>29</v>
      </c>
      <c r="R4648" t="s">
        <v>39779</v>
      </c>
      <c r="S4648" t="s">
        <v>39780</v>
      </c>
    </row>
    <row r="4649" spans="1:19" x14ac:dyDescent="0.25">
      <c r="A4649" s="1">
        <v>4647</v>
      </c>
      <c r="B4649" t="str">
        <f>HYPERLINK("https://www.dasschnelle.at/sixtus-erdbau-gmbh-mitterberg-mitterberg","Website")</f>
        <v>Website</v>
      </c>
      <c r="C4649" t="str">
        <f>HYPERLINK("http://www.sixtus-erdbau.at","Website")</f>
        <v>Website</v>
      </c>
      <c r="D4649" t="str">
        <f>HYPERLINK("http://www.google.com/maps/place/48.1438668,13.4058546","Location")</f>
        <v>Location</v>
      </c>
      <c r="E4649" t="s">
        <v>39784</v>
      </c>
      <c r="F4649" t="s">
        <v>39785</v>
      </c>
      <c r="G4649" t="s">
        <v>37343</v>
      </c>
      <c r="H4649" t="s">
        <v>39787</v>
      </c>
      <c r="I4649" t="s">
        <v>85</v>
      </c>
      <c r="J4649" t="s">
        <v>22</v>
      </c>
      <c r="K4649" t="s">
        <v>39786</v>
      </c>
      <c r="L4649" t="s">
        <v>39790</v>
      </c>
      <c r="M4649" t="s">
        <v>25</v>
      </c>
      <c r="N4649" t="s">
        <v>39791</v>
      </c>
      <c r="O4649" t="s">
        <v>25</v>
      </c>
      <c r="P4649" t="s">
        <v>39792</v>
      </c>
      <c r="Q4649" t="s">
        <v>29</v>
      </c>
      <c r="R4649" t="s">
        <v>39788</v>
      </c>
      <c r="S4649" t="s">
        <v>39789</v>
      </c>
    </row>
    <row r="4650" spans="1:19" x14ac:dyDescent="0.25">
      <c r="A4650" s="1">
        <v>4648</v>
      </c>
      <c r="B4650" t="str">
        <f>HYPERLINK("https://www.dasschnelle.at/granitundmarmor-weng-weng","Website")</f>
        <v>Website</v>
      </c>
      <c r="C4650" t="str">
        <f>HYPERLINK("https://www.dasschnelle.at/granitundmarmor-weng-weng","Website")</f>
        <v>Website</v>
      </c>
      <c r="D4650" t="str">
        <f>HYPERLINK("http://www.google.com/maps/place/47.60235,14.49815","Location")</f>
        <v>Location</v>
      </c>
      <c r="E4650" t="s">
        <v>39793</v>
      </c>
      <c r="F4650" t="s">
        <v>39794</v>
      </c>
      <c r="G4650" t="s">
        <v>39796</v>
      </c>
      <c r="H4650" t="s">
        <v>39797</v>
      </c>
      <c r="I4650" t="s">
        <v>451</v>
      </c>
      <c r="J4650" t="s">
        <v>22</v>
      </c>
      <c r="K4650" t="s">
        <v>39795</v>
      </c>
      <c r="L4650" t="s">
        <v>39800</v>
      </c>
      <c r="M4650" t="s">
        <v>25</v>
      </c>
      <c r="N4650" t="s">
        <v>25</v>
      </c>
      <c r="O4650" t="s">
        <v>25</v>
      </c>
      <c r="P4650" t="s">
        <v>39801</v>
      </c>
      <c r="Q4650" t="s">
        <v>29</v>
      </c>
      <c r="R4650" t="s">
        <v>39798</v>
      </c>
      <c r="S4650" t="s">
        <v>39799</v>
      </c>
    </row>
    <row r="4651" spans="1:19" x14ac:dyDescent="0.25">
      <c r="A4651" s="1">
        <v>4649</v>
      </c>
      <c r="B4651" t="str">
        <f>HYPERLINK("https://www.dasschnelle.at/wiesner-gmbh-möbelerzeugung-ort-im-innkreis-ort-im-innkreis","Website")</f>
        <v>Website</v>
      </c>
      <c r="C4651" t="str">
        <f>HYPERLINK("http://www.wiesner-moebel.at","Website")</f>
        <v>Website</v>
      </c>
      <c r="D4651" t="str">
        <f>HYPERLINK("http://www.google.com/maps/place/48.3230981,13.4272274","Location")</f>
        <v>Location</v>
      </c>
      <c r="E4651" t="s">
        <v>39802</v>
      </c>
      <c r="F4651" t="s">
        <v>39803</v>
      </c>
      <c r="G4651" t="s">
        <v>6352</v>
      </c>
      <c r="H4651" t="s">
        <v>6353</v>
      </c>
      <c r="I4651" t="s">
        <v>85</v>
      </c>
      <c r="J4651" t="s">
        <v>22</v>
      </c>
      <c r="K4651" t="s">
        <v>39804</v>
      </c>
      <c r="L4651" t="s">
        <v>39807</v>
      </c>
      <c r="M4651" t="s">
        <v>39808</v>
      </c>
      <c r="N4651" t="s">
        <v>39809</v>
      </c>
      <c r="O4651" t="s">
        <v>25</v>
      </c>
      <c r="P4651" t="s">
        <v>39810</v>
      </c>
      <c r="Q4651" t="s">
        <v>29</v>
      </c>
      <c r="R4651" t="s">
        <v>39805</v>
      </c>
      <c r="S4651" t="s">
        <v>39806</v>
      </c>
    </row>
    <row r="4652" spans="1:19" x14ac:dyDescent="0.25">
      <c r="A4652" s="1">
        <v>4650</v>
      </c>
      <c r="B4652" t="str">
        <f>HYPERLINK("https://www.dasschnelle.at/haslehner-wohnbau-bauträger-gmbh-peuerbach-bruck-an-der-aschach","Website")</f>
        <v>Website</v>
      </c>
      <c r="C4652" t="str">
        <f>HYPERLINK("http://www.haslehner.net","Website")</f>
        <v>Website</v>
      </c>
      <c r="D4652" t="str">
        <f>HYPERLINK("http://www.google.com/maps/place/48.3270811,13.7740227","Location")</f>
        <v>Location</v>
      </c>
      <c r="E4652" t="s">
        <v>39811</v>
      </c>
      <c r="F4652" t="s">
        <v>39812</v>
      </c>
      <c r="G4652" t="s">
        <v>7303</v>
      </c>
      <c r="H4652" t="s">
        <v>7304</v>
      </c>
      <c r="I4652" t="s">
        <v>85</v>
      </c>
      <c r="J4652" t="s">
        <v>22</v>
      </c>
      <c r="K4652" t="s">
        <v>39813</v>
      </c>
      <c r="L4652" t="s">
        <v>39816</v>
      </c>
      <c r="M4652" t="s">
        <v>25</v>
      </c>
      <c r="N4652" t="s">
        <v>39817</v>
      </c>
      <c r="O4652" t="s">
        <v>25</v>
      </c>
      <c r="P4652" t="s">
        <v>39818</v>
      </c>
      <c r="Q4652" t="s">
        <v>29</v>
      </c>
      <c r="R4652" t="s">
        <v>39814</v>
      </c>
      <c r="S4652" t="s">
        <v>39815</v>
      </c>
    </row>
    <row r="4653" spans="1:19" x14ac:dyDescent="0.25">
      <c r="A4653" s="1">
        <v>4651</v>
      </c>
      <c r="B4653" t="str">
        <f>HYPERLINK("https://www.dasschnelle.at/vital-u-wellnesszentrum-samsunn-mariapfarr-sonnenweg","Website")</f>
        <v>Website</v>
      </c>
      <c r="C4653" t="str">
        <f>HYPERLINK("http://www.samsunn.at","Website")</f>
        <v>Website</v>
      </c>
      <c r="D4653" t="str">
        <f>HYPERLINK("http://www.google.com/maps/place/47.14917,13.74512","Location")</f>
        <v>Location</v>
      </c>
      <c r="E4653" t="s">
        <v>39819</v>
      </c>
      <c r="F4653" t="s">
        <v>39820</v>
      </c>
      <c r="G4653" t="s">
        <v>11563</v>
      </c>
      <c r="H4653" t="s">
        <v>11564</v>
      </c>
      <c r="I4653" t="s">
        <v>2239</v>
      </c>
      <c r="J4653" t="s">
        <v>22</v>
      </c>
      <c r="K4653" t="s">
        <v>39821</v>
      </c>
      <c r="L4653" t="s">
        <v>39824</v>
      </c>
      <c r="M4653" t="s">
        <v>25</v>
      </c>
      <c r="N4653" t="s">
        <v>39825</v>
      </c>
      <c r="O4653" t="s">
        <v>25</v>
      </c>
      <c r="P4653" t="s">
        <v>39826</v>
      </c>
      <c r="Q4653" t="s">
        <v>29</v>
      </c>
      <c r="R4653" t="s">
        <v>39822</v>
      </c>
      <c r="S4653" t="s">
        <v>39823</v>
      </c>
    </row>
    <row r="4654" spans="1:19" x14ac:dyDescent="0.25">
      <c r="A4654" s="1">
        <v>4652</v>
      </c>
      <c r="B4654" t="str">
        <f>HYPERLINK("https://www.dasschnelle.at/raimann-christoph-dr-hartberg-michaeligasse","Website")</f>
        <v>Website</v>
      </c>
      <c r="C4654" t="str">
        <f>HYPERLINK("http://www.notariat-hartberg.at/","Website")</f>
        <v>Website</v>
      </c>
      <c r="D4654" t="str">
        <f>HYPERLINK("http://www.google.com/maps/place/47.28132,15.97212","Location")</f>
        <v>Location</v>
      </c>
      <c r="E4654" t="s">
        <v>39827</v>
      </c>
      <c r="F4654" t="s">
        <v>39828</v>
      </c>
      <c r="G4654" t="s">
        <v>1050</v>
      </c>
      <c r="H4654" t="s">
        <v>1051</v>
      </c>
      <c r="I4654" t="s">
        <v>451</v>
      </c>
      <c r="J4654" t="s">
        <v>22</v>
      </c>
      <c r="K4654" t="s">
        <v>39829</v>
      </c>
      <c r="L4654" t="s">
        <v>39832</v>
      </c>
      <c r="M4654" t="s">
        <v>39833</v>
      </c>
      <c r="N4654" t="s">
        <v>39834</v>
      </c>
      <c r="O4654" t="s">
        <v>25</v>
      </c>
      <c r="P4654" t="s">
        <v>39835</v>
      </c>
      <c r="Q4654" t="s">
        <v>29</v>
      </c>
      <c r="R4654" t="s">
        <v>39830</v>
      </c>
      <c r="S4654" t="s">
        <v>39831</v>
      </c>
    </row>
    <row r="4655" spans="1:19" x14ac:dyDescent="0.25">
      <c r="A4655" s="1">
        <v>4653</v>
      </c>
      <c r="B4655" t="str">
        <f>HYPERLINK("https://www.dasschnelle.at/humer-josef-ing-natternbach-vischerstraße","Website")</f>
        <v>Website</v>
      </c>
      <c r="C4655" t="str">
        <f>HYPERLINK("https://www.dasschnelle.at/humer-josef-ing-natternbach-vischerstra%C3%9Fe","Website")</f>
        <v>Website</v>
      </c>
      <c r="D4655" t="str">
        <f>HYPERLINK("http://www.google.com/maps/place/48.39769,13.74483","Location")</f>
        <v>Location</v>
      </c>
      <c r="E4655" t="s">
        <v>39836</v>
      </c>
      <c r="F4655" t="s">
        <v>39837</v>
      </c>
      <c r="G4655" t="s">
        <v>7283</v>
      </c>
      <c r="H4655" t="s">
        <v>7284</v>
      </c>
      <c r="I4655" t="s">
        <v>85</v>
      </c>
      <c r="J4655" t="s">
        <v>22</v>
      </c>
      <c r="K4655" t="s">
        <v>39838</v>
      </c>
      <c r="L4655" t="s">
        <v>39841</v>
      </c>
      <c r="M4655" t="s">
        <v>25</v>
      </c>
      <c r="N4655" t="s">
        <v>39842</v>
      </c>
      <c r="O4655" t="s">
        <v>25</v>
      </c>
      <c r="P4655" t="s">
        <v>39843</v>
      </c>
      <c r="Q4655" t="s">
        <v>29</v>
      </c>
      <c r="R4655" t="s">
        <v>39839</v>
      </c>
      <c r="S4655" t="s">
        <v>39840</v>
      </c>
    </row>
    <row r="4656" spans="1:19" x14ac:dyDescent="0.25">
      <c r="A4656" s="1">
        <v>4654</v>
      </c>
      <c r="B4656" t="str">
        <f>HYPERLINK("https://www.dasschnelle.at/vmd-versicherungsmaklerbüro-doppler-gmbh-neukirchen-am-walde-ertl","Website")</f>
        <v>Website</v>
      </c>
      <c r="C4656" t="str">
        <f>HYPERLINK("http://www.vmdoppler.at","Website")</f>
        <v>Website</v>
      </c>
      <c r="D4656" t="str">
        <f>HYPERLINK("http://www.google.com/maps/place/48.4047,13.78286","Location")</f>
        <v>Location</v>
      </c>
      <c r="E4656" t="s">
        <v>39844</v>
      </c>
      <c r="F4656" t="s">
        <v>39845</v>
      </c>
      <c r="G4656" t="s">
        <v>7293</v>
      </c>
      <c r="H4656" t="s">
        <v>7294</v>
      </c>
      <c r="I4656" t="s">
        <v>85</v>
      </c>
      <c r="J4656" t="s">
        <v>22</v>
      </c>
      <c r="K4656" t="s">
        <v>39846</v>
      </c>
      <c r="L4656" t="s">
        <v>39849</v>
      </c>
      <c r="M4656" t="s">
        <v>25</v>
      </c>
      <c r="N4656" t="s">
        <v>39850</v>
      </c>
      <c r="O4656" t="s">
        <v>25</v>
      </c>
      <c r="P4656" t="s">
        <v>39851</v>
      </c>
      <c r="Q4656" t="s">
        <v>29</v>
      </c>
      <c r="R4656" t="s">
        <v>39847</v>
      </c>
      <c r="S4656" t="s">
        <v>39848</v>
      </c>
    </row>
    <row r="4657" spans="1:19" x14ac:dyDescent="0.25">
      <c r="A4657" s="1">
        <v>4655</v>
      </c>
      <c r="B4657" t="str">
        <f>HYPERLINK("https://www.dasschnelle.at/luksch-haustechnik-gmbh-dorf-gewerbepark","Website")</f>
        <v>Website</v>
      </c>
      <c r="C4657" t="str">
        <f>HYPERLINK("http://www.luksch.at","Website")</f>
        <v>Website</v>
      </c>
      <c r="D4657" t="str">
        <f>HYPERLINK("http://www.google.com/maps/place/48.2818936,13.6261137","Location")</f>
        <v>Location</v>
      </c>
      <c r="E4657" t="s">
        <v>39852</v>
      </c>
      <c r="F4657" t="s">
        <v>39853</v>
      </c>
      <c r="G4657" t="s">
        <v>39854</v>
      </c>
      <c r="H4657" t="s">
        <v>35167</v>
      </c>
      <c r="I4657" t="s">
        <v>85</v>
      </c>
      <c r="J4657" t="s">
        <v>22</v>
      </c>
      <c r="K4657" t="s">
        <v>20996</v>
      </c>
      <c r="L4657" t="s">
        <v>39857</v>
      </c>
      <c r="M4657" t="s">
        <v>25</v>
      </c>
      <c r="N4657" t="s">
        <v>39858</v>
      </c>
      <c r="O4657" t="s">
        <v>39859</v>
      </c>
      <c r="P4657" t="s">
        <v>39860</v>
      </c>
      <c r="Q4657" t="s">
        <v>29</v>
      </c>
      <c r="R4657" t="s">
        <v>39855</v>
      </c>
      <c r="S4657" t="s">
        <v>39856</v>
      </c>
    </row>
    <row r="4658" spans="1:19" x14ac:dyDescent="0.25">
      <c r="A4658" s="1">
        <v>4656</v>
      </c>
      <c r="B4658" t="str">
        <f>HYPERLINK("https://www.dasschnelle.at/erdbau-irnberger-e-u-waldneukirchen-eggmairstraße","Website")</f>
        <v>Website</v>
      </c>
      <c r="C4658" t="str">
        <f>HYPERLINK("http://www.erdbau-irnberger.at","Website")</f>
        <v>Website</v>
      </c>
      <c r="D4658" t="str">
        <f>HYPERLINK("http://www.google.com/maps/place/48.0017646,14.2477581","Location")</f>
        <v>Location</v>
      </c>
      <c r="E4658" t="s">
        <v>39861</v>
      </c>
      <c r="F4658" t="s">
        <v>39862</v>
      </c>
      <c r="G4658" t="s">
        <v>2268</v>
      </c>
      <c r="H4658" t="s">
        <v>2269</v>
      </c>
      <c r="I4658" t="s">
        <v>85</v>
      </c>
      <c r="J4658" t="s">
        <v>22</v>
      </c>
      <c r="K4658" t="s">
        <v>39863</v>
      </c>
      <c r="L4658" t="s">
        <v>39866</v>
      </c>
      <c r="M4658" t="s">
        <v>25</v>
      </c>
      <c r="N4658" t="s">
        <v>39867</v>
      </c>
      <c r="O4658" t="s">
        <v>25</v>
      </c>
      <c r="P4658" t="s">
        <v>39868</v>
      </c>
      <c r="Q4658" t="s">
        <v>29</v>
      </c>
      <c r="R4658" t="s">
        <v>39864</v>
      </c>
      <c r="S4658" t="s">
        <v>39865</v>
      </c>
    </row>
    <row r="4659" spans="1:19" x14ac:dyDescent="0.25">
      <c r="A4659" s="1">
        <v>4657</v>
      </c>
      <c r="B4659" t="str">
        <f>HYPERLINK("https://www.dasschnelle.at/schönleitner-parkett-gmbh-peuerbach-niederweiding","Website")</f>
        <v>Website</v>
      </c>
      <c r="C4659" t="str">
        <f>HYPERLINK("http://www.schoenleitner-parkett.at","Website")</f>
        <v>Website</v>
      </c>
      <c r="D4659" t="str">
        <f>HYPERLINK("http://www.google.com/maps/place/48.3289912,13.7887094","Location")</f>
        <v>Location</v>
      </c>
      <c r="E4659" t="s">
        <v>39869</v>
      </c>
      <c r="F4659" t="s">
        <v>39870</v>
      </c>
      <c r="G4659" t="s">
        <v>7303</v>
      </c>
      <c r="H4659" t="s">
        <v>7304</v>
      </c>
      <c r="I4659" t="s">
        <v>85</v>
      </c>
      <c r="J4659" t="s">
        <v>22</v>
      </c>
      <c r="K4659" t="s">
        <v>39871</v>
      </c>
      <c r="L4659" t="s">
        <v>39874</v>
      </c>
      <c r="M4659" t="s">
        <v>25</v>
      </c>
      <c r="N4659" t="s">
        <v>39875</v>
      </c>
      <c r="O4659" t="s">
        <v>39876</v>
      </c>
      <c r="P4659" t="s">
        <v>39877</v>
      </c>
      <c r="Q4659" t="s">
        <v>29</v>
      </c>
      <c r="R4659" t="s">
        <v>39872</v>
      </c>
      <c r="S4659" t="s">
        <v>39873</v>
      </c>
    </row>
    <row r="4660" spans="1:19" x14ac:dyDescent="0.25">
      <c r="A4660" s="1">
        <v>4658</v>
      </c>
      <c r="B4660" t="str">
        <f>HYPERLINK("https://www.dasschnelle.at/humer-johannes-grieskirchen-kickendorf","Website")</f>
        <v>Website</v>
      </c>
      <c r="C4660" t="str">
        <f>HYPERLINK("http://www.johannes-humer.at","Website")</f>
        <v>Website</v>
      </c>
      <c r="D4660" t="str">
        <f>HYPERLINK("http://www.google.com/maps/place/48.2460431,13.8357161","Location")</f>
        <v>Location</v>
      </c>
      <c r="E4660" t="s">
        <v>39878</v>
      </c>
      <c r="F4660" t="s">
        <v>39879</v>
      </c>
      <c r="G4660" t="s">
        <v>4826</v>
      </c>
      <c r="H4660" t="s">
        <v>4827</v>
      </c>
      <c r="I4660" t="s">
        <v>85</v>
      </c>
      <c r="J4660" t="s">
        <v>22</v>
      </c>
      <c r="K4660" t="s">
        <v>39880</v>
      </c>
      <c r="L4660" t="s">
        <v>39883</v>
      </c>
      <c r="M4660" t="s">
        <v>25</v>
      </c>
      <c r="N4660" t="s">
        <v>39884</v>
      </c>
      <c r="O4660" t="s">
        <v>25</v>
      </c>
      <c r="P4660" t="s">
        <v>39885</v>
      </c>
      <c r="Q4660" t="s">
        <v>29</v>
      </c>
      <c r="R4660" t="s">
        <v>39881</v>
      </c>
      <c r="S4660" t="s">
        <v>39882</v>
      </c>
    </row>
    <row r="4661" spans="1:19" x14ac:dyDescent="0.25">
      <c r="A4661" s="1">
        <v>4659</v>
      </c>
      <c r="B4661" t="str">
        <f>HYPERLINK("https://www.dasschnelle.at/johann-urwanisch-dunzing-dunzing","Website")</f>
        <v>Website</v>
      </c>
      <c r="C4661" t="str">
        <f>HYPERLINK("http://www.urwanisch.at","Website")</f>
        <v>Website</v>
      </c>
      <c r="D4661" t="str">
        <f>HYPERLINK("http://www.google.com/maps/place/48.1576370,13.4761642","Location")</f>
        <v>Location</v>
      </c>
      <c r="E4661" t="s">
        <v>39886</v>
      </c>
      <c r="F4661" t="s">
        <v>39887</v>
      </c>
      <c r="G4661" t="s">
        <v>6245</v>
      </c>
      <c r="H4661" t="s">
        <v>39889</v>
      </c>
      <c r="I4661" t="s">
        <v>85</v>
      </c>
      <c r="J4661" t="s">
        <v>22</v>
      </c>
      <c r="K4661" t="s">
        <v>39888</v>
      </c>
      <c r="L4661" t="s">
        <v>39892</v>
      </c>
      <c r="M4661" t="s">
        <v>25</v>
      </c>
      <c r="N4661" t="s">
        <v>39893</v>
      </c>
      <c r="O4661" t="s">
        <v>25</v>
      </c>
      <c r="P4661" t="s">
        <v>39894</v>
      </c>
      <c r="Q4661" t="s">
        <v>29</v>
      </c>
      <c r="R4661" t="s">
        <v>39890</v>
      </c>
      <c r="S4661" t="s">
        <v>39891</v>
      </c>
    </row>
    <row r="4662" spans="1:19" x14ac:dyDescent="0.25">
      <c r="A4662" s="1">
        <v>4660</v>
      </c>
      <c r="B4662" t="str">
        <f>HYPERLINK("https://www.dasschnelle.at/ovszenik-gmbh-voitsberg-grazer-vorstadt","Website")</f>
        <v>Website</v>
      </c>
      <c r="C4662" t="str">
        <f>HYPERLINK("http://www.ovszenik.at","Website")</f>
        <v>Website</v>
      </c>
      <c r="D4662" t="str">
        <f>HYPERLINK("http://www.google.com/maps/place/47.0428,15.16203","Location")</f>
        <v>Location</v>
      </c>
      <c r="E4662" t="s">
        <v>39895</v>
      </c>
      <c r="F4662" t="s">
        <v>39896</v>
      </c>
      <c r="G4662" t="s">
        <v>4572</v>
      </c>
      <c r="H4662" t="s">
        <v>4573</v>
      </c>
      <c r="I4662" t="s">
        <v>451</v>
      </c>
      <c r="J4662" t="s">
        <v>22</v>
      </c>
      <c r="K4662" t="s">
        <v>4708</v>
      </c>
      <c r="L4662" t="s">
        <v>39897</v>
      </c>
      <c r="M4662" t="s">
        <v>25</v>
      </c>
      <c r="N4662" t="s">
        <v>39898</v>
      </c>
      <c r="O4662" t="s">
        <v>25</v>
      </c>
      <c r="P4662" t="s">
        <v>39899</v>
      </c>
      <c r="Q4662" t="s">
        <v>29</v>
      </c>
      <c r="R4662" t="s">
        <v>4709</v>
      </c>
      <c r="S4662" t="s">
        <v>4710</v>
      </c>
    </row>
    <row r="4663" spans="1:19" x14ac:dyDescent="0.25">
      <c r="A4663" s="1">
        <v>4661</v>
      </c>
      <c r="B4663" t="str">
        <f>HYPERLINK("https://www.dasschnelle.at/temm-kurt-mag-pöllau-märzgasse","Website")</f>
        <v>Website</v>
      </c>
      <c r="C4663" t="str">
        <f>HYPERLINK("http://www.temm.at","Website")</f>
        <v>Website</v>
      </c>
      <c r="D4663" t="str">
        <f>HYPERLINK("http://www.google.com/maps/place/47.30297,15.83493","Location")</f>
        <v>Location</v>
      </c>
      <c r="E4663" t="s">
        <v>39900</v>
      </c>
      <c r="F4663" t="s">
        <v>39901</v>
      </c>
      <c r="G4663" t="s">
        <v>34859</v>
      </c>
      <c r="H4663" t="s">
        <v>34860</v>
      </c>
      <c r="I4663" t="s">
        <v>451</v>
      </c>
      <c r="J4663" t="s">
        <v>22</v>
      </c>
      <c r="K4663" t="s">
        <v>39902</v>
      </c>
      <c r="L4663" t="s">
        <v>39905</v>
      </c>
      <c r="M4663" t="s">
        <v>39906</v>
      </c>
      <c r="N4663" t="s">
        <v>39907</v>
      </c>
      <c r="O4663" t="s">
        <v>25</v>
      </c>
      <c r="P4663" t="s">
        <v>39908</v>
      </c>
      <c r="Q4663" t="s">
        <v>29</v>
      </c>
      <c r="R4663" t="s">
        <v>39903</v>
      </c>
      <c r="S4663" t="s">
        <v>39904</v>
      </c>
    </row>
    <row r="4664" spans="1:19" x14ac:dyDescent="0.25">
      <c r="A4664" s="1">
        <v>4662</v>
      </c>
      <c r="B4664" t="str">
        <f>HYPERLINK("https://www.dasschnelle.at/mandl-elisabeth-sankt-marein-bei-neumarkt-pöllau","Website")</f>
        <v>Website</v>
      </c>
      <c r="C4664" t="str">
        <f>HYPERLINK("http://www.poellauerhof.at","Website")</f>
        <v>Website</v>
      </c>
      <c r="D4664" t="str">
        <f>HYPERLINK("http://www.google.com/maps/place/47.0393804,14.3856134","Location")</f>
        <v>Location</v>
      </c>
      <c r="E4664" t="s">
        <v>39909</v>
      </c>
      <c r="F4664" t="s">
        <v>39910</v>
      </c>
      <c r="G4664" t="s">
        <v>12200</v>
      </c>
      <c r="H4664" t="s">
        <v>39912</v>
      </c>
      <c r="I4664" t="s">
        <v>451</v>
      </c>
      <c r="J4664" t="s">
        <v>22</v>
      </c>
      <c r="K4664" t="s">
        <v>39911</v>
      </c>
      <c r="L4664" t="s">
        <v>39915</v>
      </c>
      <c r="M4664" t="s">
        <v>25</v>
      </c>
      <c r="N4664" t="s">
        <v>39916</v>
      </c>
      <c r="O4664" t="s">
        <v>25</v>
      </c>
      <c r="P4664" t="s">
        <v>39917</v>
      </c>
      <c r="Q4664" t="s">
        <v>29</v>
      </c>
      <c r="R4664" t="s">
        <v>39913</v>
      </c>
      <c r="S4664" t="s">
        <v>39914</v>
      </c>
    </row>
    <row r="4665" spans="1:19" x14ac:dyDescent="0.25">
      <c r="A4665" s="1">
        <v>4663</v>
      </c>
      <c r="B4665" t="str">
        <f>HYPERLINK("https://www.dasschnelle.at/aunitz-werner-teufenbach-bahnhofstraße","Website")</f>
        <v>Website</v>
      </c>
      <c r="C4665" t="str">
        <f>HYPERLINK("https://www.dasschnelle.at/aunitz-werner-teufenbach-bahnhofstra%C3%9Fe","Website")</f>
        <v>Website</v>
      </c>
      <c r="D4665" t="str">
        <f>HYPERLINK("http://www.google.com/maps/place/47.1350200,14.3213600","Location")</f>
        <v>Location</v>
      </c>
      <c r="E4665" t="s">
        <v>39918</v>
      </c>
      <c r="F4665" t="s">
        <v>39919</v>
      </c>
      <c r="G4665" t="s">
        <v>12181</v>
      </c>
      <c r="H4665" t="s">
        <v>12182</v>
      </c>
      <c r="I4665" t="s">
        <v>451</v>
      </c>
      <c r="J4665" t="s">
        <v>22</v>
      </c>
      <c r="K4665" t="s">
        <v>10655</v>
      </c>
      <c r="L4665" t="s">
        <v>39922</v>
      </c>
      <c r="M4665" t="s">
        <v>25</v>
      </c>
      <c r="N4665" t="s">
        <v>39923</v>
      </c>
      <c r="O4665" t="s">
        <v>25</v>
      </c>
      <c r="P4665" t="s">
        <v>39924</v>
      </c>
      <c r="Q4665" t="s">
        <v>29</v>
      </c>
      <c r="R4665" t="s">
        <v>39920</v>
      </c>
      <c r="S4665" t="s">
        <v>39921</v>
      </c>
    </row>
    <row r="4666" spans="1:19" x14ac:dyDescent="0.25">
      <c r="A4666" s="1">
        <v>4664</v>
      </c>
      <c r="B4666" t="str">
        <f>HYPERLINK("https://www.dasschnelle.at/gf-consulting-fleischanderl-gmbh-natternbach-kirchenplatz","Website")</f>
        <v>Website</v>
      </c>
      <c r="C4666" t="str">
        <f>HYPERLINK("http://www.gf-consulting.at","Website")</f>
        <v>Website</v>
      </c>
      <c r="D4666" t="str">
        <f>HYPERLINK("http://www.google.com/maps/place/48.3974,13.74887","Location")</f>
        <v>Location</v>
      </c>
      <c r="E4666" t="s">
        <v>39925</v>
      </c>
      <c r="F4666" t="s">
        <v>39926</v>
      </c>
      <c r="G4666" t="s">
        <v>7283</v>
      </c>
      <c r="H4666" t="s">
        <v>7284</v>
      </c>
      <c r="I4666" t="s">
        <v>85</v>
      </c>
      <c r="J4666" t="s">
        <v>22</v>
      </c>
      <c r="K4666" t="s">
        <v>39927</v>
      </c>
      <c r="L4666" t="s">
        <v>39930</v>
      </c>
      <c r="M4666" t="s">
        <v>25</v>
      </c>
      <c r="N4666" t="s">
        <v>39931</v>
      </c>
      <c r="O4666" t="s">
        <v>39932</v>
      </c>
      <c r="P4666" t="s">
        <v>39933</v>
      </c>
      <c r="Q4666" t="s">
        <v>29</v>
      </c>
      <c r="R4666" t="s">
        <v>39928</v>
      </c>
      <c r="S4666" t="s">
        <v>39929</v>
      </c>
    </row>
    <row r="4667" spans="1:19" x14ac:dyDescent="0.25">
      <c r="A4667" s="1">
        <v>4665</v>
      </c>
      <c r="B4667" t="str">
        <f>HYPERLINK("https://www.dasschnelle.at/bruckner-kg-natternbach-steinweg","Website")</f>
        <v>Website</v>
      </c>
      <c r="C4667" t="str">
        <f>HYPERLINK("http://www.bruckner-moebel.at","Website")</f>
        <v>Website</v>
      </c>
      <c r="D4667" t="str">
        <f>HYPERLINK("http://www.google.com/maps/place/48.39697,13.74881","Location")</f>
        <v>Location</v>
      </c>
      <c r="E4667" t="s">
        <v>39934</v>
      </c>
      <c r="F4667" t="s">
        <v>39935</v>
      </c>
      <c r="G4667" t="s">
        <v>7283</v>
      </c>
      <c r="H4667" t="s">
        <v>7284</v>
      </c>
      <c r="I4667" t="s">
        <v>85</v>
      </c>
      <c r="J4667" t="s">
        <v>22</v>
      </c>
      <c r="K4667" t="s">
        <v>39936</v>
      </c>
      <c r="L4667" t="s">
        <v>39939</v>
      </c>
      <c r="M4667" t="s">
        <v>25</v>
      </c>
      <c r="N4667" t="s">
        <v>39940</v>
      </c>
      <c r="O4667" t="s">
        <v>39941</v>
      </c>
      <c r="P4667" t="s">
        <v>39942</v>
      </c>
      <c r="Q4667" t="s">
        <v>29</v>
      </c>
      <c r="R4667" t="s">
        <v>39937</v>
      </c>
      <c r="S4667" t="s">
        <v>39938</v>
      </c>
    </row>
    <row r="4668" spans="1:19" x14ac:dyDescent="0.25">
      <c r="A4668" s="1">
        <v>4666</v>
      </c>
      <c r="B4668" t="str">
        <f>HYPERLINK("https://www.dasschnelle.at/schützeneder-norbert-waizenkirchen-bahnhofstraße","Website")</f>
        <v>Website</v>
      </c>
      <c r="C4668" t="str">
        <f>HYPERLINK("http://www.malerei-schuetzeneder.at","Website")</f>
        <v>Website</v>
      </c>
      <c r="D4668" t="str">
        <f>HYPERLINK("http://www.google.com/maps/place/48.32948,13.8511","Location")</f>
        <v>Location</v>
      </c>
      <c r="E4668" t="s">
        <v>39943</v>
      </c>
      <c r="F4668" t="s">
        <v>39944</v>
      </c>
      <c r="G4668" t="s">
        <v>7239</v>
      </c>
      <c r="H4668" t="s">
        <v>7240</v>
      </c>
      <c r="I4668" t="s">
        <v>85</v>
      </c>
      <c r="J4668" t="s">
        <v>22</v>
      </c>
      <c r="K4668" t="s">
        <v>15748</v>
      </c>
      <c r="L4668" t="s">
        <v>39946</v>
      </c>
      <c r="M4668" t="s">
        <v>39947</v>
      </c>
      <c r="N4668" t="s">
        <v>39948</v>
      </c>
      <c r="O4668" t="s">
        <v>25</v>
      </c>
      <c r="P4668" t="s">
        <v>39949</v>
      </c>
      <c r="Q4668" t="s">
        <v>29</v>
      </c>
      <c r="R4668" t="s">
        <v>9588</v>
      </c>
      <c r="S4668" t="s">
        <v>39945</v>
      </c>
    </row>
    <row r="4669" spans="1:19" x14ac:dyDescent="0.25">
      <c r="A4669" s="1">
        <v>4667</v>
      </c>
      <c r="B4669" t="str">
        <f>HYPERLINK("https://www.dasschnelle.at/pfisterer-claudia-mehrnbach-atzing","Website")</f>
        <v>Website</v>
      </c>
      <c r="C4669" t="str">
        <f>HYPERLINK("http://www.jausnsackerl-atzing.at","Website")</f>
        <v>Website</v>
      </c>
      <c r="D4669" t="str">
        <f>HYPERLINK("http://www.google.com/maps/place/48.2069137,13.4098589","Location")</f>
        <v>Location</v>
      </c>
      <c r="E4669" t="s">
        <v>39950</v>
      </c>
      <c r="F4669" t="s">
        <v>39951</v>
      </c>
      <c r="G4669" t="s">
        <v>6256</v>
      </c>
      <c r="H4669" t="s">
        <v>6257</v>
      </c>
      <c r="I4669" t="s">
        <v>85</v>
      </c>
      <c r="J4669" t="s">
        <v>22</v>
      </c>
      <c r="K4669" t="s">
        <v>39952</v>
      </c>
      <c r="L4669" t="s">
        <v>39955</v>
      </c>
      <c r="M4669" t="s">
        <v>25</v>
      </c>
      <c r="N4669" t="s">
        <v>39956</v>
      </c>
      <c r="O4669" t="s">
        <v>25</v>
      </c>
      <c r="P4669" t="s">
        <v>39957</v>
      </c>
      <c r="Q4669" t="s">
        <v>29</v>
      </c>
      <c r="R4669" t="s">
        <v>39953</v>
      </c>
      <c r="S4669" t="s">
        <v>39954</v>
      </c>
    </row>
    <row r="4670" spans="1:19" x14ac:dyDescent="0.25">
      <c r="A4670" s="1">
        <v>4668</v>
      </c>
      <c r="B4670" t="str">
        <f>HYPERLINK("https://www.dasschnelle.at/winterheller-christina-mag-tamsweg-kuenburgstraße","Website")</f>
        <v>Website</v>
      </c>
      <c r="C4670" t="str">
        <f>HYPERLINK("http://www.ra-winterheller.at","Website")</f>
        <v>Website</v>
      </c>
      <c r="D4670" t="str">
        <f>HYPERLINK("http://www.google.com/maps/place/47.12741,13.81094","Location")</f>
        <v>Location</v>
      </c>
      <c r="E4670" t="s">
        <v>39958</v>
      </c>
      <c r="F4670" t="s">
        <v>39959</v>
      </c>
      <c r="G4670" t="s">
        <v>11522</v>
      </c>
      <c r="H4670" t="s">
        <v>11523</v>
      </c>
      <c r="I4670" t="s">
        <v>2239</v>
      </c>
      <c r="J4670" t="s">
        <v>22</v>
      </c>
      <c r="K4670" t="s">
        <v>39960</v>
      </c>
      <c r="L4670" t="s">
        <v>39963</v>
      </c>
      <c r="M4670" t="s">
        <v>25</v>
      </c>
      <c r="N4670" t="s">
        <v>39964</v>
      </c>
      <c r="O4670" t="s">
        <v>25</v>
      </c>
      <c r="P4670" t="s">
        <v>39965</v>
      </c>
      <c r="Q4670" t="s">
        <v>29</v>
      </c>
      <c r="R4670" t="s">
        <v>39961</v>
      </c>
      <c r="S4670" t="s">
        <v>39962</v>
      </c>
    </row>
    <row r="4671" spans="1:19" x14ac:dyDescent="0.25">
      <c r="A4671" s="1">
        <v>4669</v>
      </c>
      <c r="B4671" t="str">
        <f>HYPERLINK("https://www.dasschnelle.at/prasser-silvia-mag-tamsweg-marktplatz","Website")</f>
        <v>Website</v>
      </c>
      <c r="C4671" t="str">
        <f>HYPERLINK("http://www.notarin-prasser.at","Website")</f>
        <v>Website</v>
      </c>
      <c r="D4671" t="str">
        <f>HYPERLINK("http://www.google.com/maps/place/47.1259,13.80985","Location")</f>
        <v>Location</v>
      </c>
      <c r="E4671" t="s">
        <v>39966</v>
      </c>
      <c r="F4671" t="s">
        <v>39967</v>
      </c>
      <c r="G4671" t="s">
        <v>11522</v>
      </c>
      <c r="H4671" t="s">
        <v>11523</v>
      </c>
      <c r="I4671" t="s">
        <v>2239</v>
      </c>
      <c r="J4671" t="s">
        <v>22</v>
      </c>
      <c r="K4671" t="s">
        <v>1394</v>
      </c>
      <c r="L4671" t="s">
        <v>39970</v>
      </c>
      <c r="M4671" t="s">
        <v>39971</v>
      </c>
      <c r="N4671" t="s">
        <v>39972</v>
      </c>
      <c r="O4671" t="s">
        <v>39973</v>
      </c>
      <c r="P4671" t="s">
        <v>39974</v>
      </c>
      <c r="Q4671" t="s">
        <v>29</v>
      </c>
      <c r="R4671" t="s">
        <v>39968</v>
      </c>
      <c r="S4671" t="s">
        <v>39969</v>
      </c>
    </row>
    <row r="4672" spans="1:19" x14ac:dyDescent="0.25">
      <c r="A4672" s="1">
        <v>4670</v>
      </c>
      <c r="B4672" t="str">
        <f>HYPERLINK("https://www.dasschnelle.at/rosian-peter-dr-med-univ-et-med-dent-tamsweg-kuenburgstraße","Website")</f>
        <v>Website</v>
      </c>
      <c r="C4672" t="str">
        <f>HYPERLINK("http://www.rosian.at","Website")</f>
        <v>Website</v>
      </c>
      <c r="D4672" t="str">
        <f>HYPERLINK("http://www.google.com/maps/place/47.0859090,13.9796116","Location")</f>
        <v>Location</v>
      </c>
      <c r="E4672" t="s">
        <v>39975</v>
      </c>
      <c r="F4672" t="s">
        <v>39976</v>
      </c>
      <c r="G4672" t="s">
        <v>11522</v>
      </c>
      <c r="H4672" t="s">
        <v>11523</v>
      </c>
      <c r="I4672" t="s">
        <v>451</v>
      </c>
      <c r="J4672" t="s">
        <v>22</v>
      </c>
      <c r="K4672" t="s">
        <v>39977</v>
      </c>
      <c r="L4672" t="s">
        <v>39980</v>
      </c>
      <c r="M4672" t="s">
        <v>39981</v>
      </c>
      <c r="N4672" t="s">
        <v>39982</v>
      </c>
      <c r="O4672" t="s">
        <v>25</v>
      </c>
      <c r="P4672" t="s">
        <v>39983</v>
      </c>
      <c r="Q4672" t="s">
        <v>29</v>
      </c>
      <c r="R4672" t="s">
        <v>39978</v>
      </c>
      <c r="S4672" t="s">
        <v>39979</v>
      </c>
    </row>
    <row r="4673" spans="1:19" x14ac:dyDescent="0.25">
      <c r="A4673" s="1">
        <v>4671</v>
      </c>
      <c r="B4673" t="str">
        <f>HYPERLINK("https://www.dasschnelle.at/paschinger-gmbh-hartkirchen-vornholz","Website")</f>
        <v>Website</v>
      </c>
      <c r="C4673" t="str">
        <f>HYPERLINK("http://www.installateur-paschinger.at","Website")</f>
        <v>Website</v>
      </c>
      <c r="D4673" t="str">
        <f>HYPERLINK("http://www.google.com/maps/place/48.3789700,14.0185000","Location")</f>
        <v>Location</v>
      </c>
      <c r="E4673" t="s">
        <v>39984</v>
      </c>
      <c r="F4673" t="s">
        <v>39985</v>
      </c>
      <c r="G4673" t="s">
        <v>3111</v>
      </c>
      <c r="H4673" t="s">
        <v>3112</v>
      </c>
      <c r="I4673" t="s">
        <v>85</v>
      </c>
      <c r="J4673" t="s">
        <v>22</v>
      </c>
      <c r="K4673" t="s">
        <v>39986</v>
      </c>
      <c r="L4673" t="s">
        <v>39989</v>
      </c>
      <c r="M4673" t="s">
        <v>25</v>
      </c>
      <c r="N4673" t="s">
        <v>39990</v>
      </c>
      <c r="O4673" t="s">
        <v>25</v>
      </c>
      <c r="P4673" t="s">
        <v>39991</v>
      </c>
      <c r="Q4673" t="s">
        <v>29</v>
      </c>
      <c r="R4673" t="s">
        <v>39987</v>
      </c>
      <c r="S4673" t="s">
        <v>39988</v>
      </c>
    </row>
    <row r="4674" spans="1:19" x14ac:dyDescent="0.25">
      <c r="A4674" s="1">
        <v>4672</v>
      </c>
      <c r="B4674" t="str">
        <f>HYPERLINK("https://www.dasschnelle.at/mkw-kunststofftechnik-gmbh-weibern-jutogasse","Website")</f>
        <v>Website</v>
      </c>
      <c r="C4674" t="str">
        <f>HYPERLINK("http://www.mkw.at","Website")</f>
        <v>Website</v>
      </c>
      <c r="D4674" t="str">
        <f>HYPERLINK("http://www.google.com/maps/place/48.18304,13.69945","Location")</f>
        <v>Location</v>
      </c>
      <c r="E4674" t="s">
        <v>39992</v>
      </c>
      <c r="F4674" t="s">
        <v>39993</v>
      </c>
      <c r="G4674" t="s">
        <v>7355</v>
      </c>
      <c r="H4674" t="s">
        <v>7356</v>
      </c>
      <c r="I4674" t="s">
        <v>85</v>
      </c>
      <c r="J4674" t="s">
        <v>22</v>
      </c>
      <c r="K4674" t="s">
        <v>39994</v>
      </c>
      <c r="L4674" t="s">
        <v>39997</v>
      </c>
      <c r="M4674" t="s">
        <v>25</v>
      </c>
      <c r="N4674" t="s">
        <v>39998</v>
      </c>
      <c r="O4674" t="s">
        <v>25</v>
      </c>
      <c r="P4674" t="s">
        <v>39999</v>
      </c>
      <c r="Q4674" t="s">
        <v>29</v>
      </c>
      <c r="R4674" t="s">
        <v>39995</v>
      </c>
      <c r="S4674" t="s">
        <v>39996</v>
      </c>
    </row>
    <row r="4675" spans="1:19" x14ac:dyDescent="0.25">
      <c r="A4675" s="1">
        <v>4673</v>
      </c>
      <c r="B4675" t="str">
        <f>HYPERLINK("https://www.dasschnelle.at/eizenberger-manfred-steegen","Website")</f>
        <v>Website</v>
      </c>
      <c r="C4675" t="str">
        <f>HYPERLINK("http://www.spenglerei-eizenberger.at","Website")</f>
        <v>Website</v>
      </c>
      <c r="D4675" t="str">
        <f>HYPERLINK("http://www.google.com/maps/place/48.3375636,13.7653478","Location")</f>
        <v>Location</v>
      </c>
      <c r="E4675" t="s">
        <v>40000</v>
      </c>
      <c r="F4675" t="s">
        <v>40001</v>
      </c>
      <c r="G4675" t="s">
        <v>7303</v>
      </c>
      <c r="H4675" t="s">
        <v>40002</v>
      </c>
      <c r="I4675" t="s">
        <v>25</v>
      </c>
      <c r="J4675" t="s">
        <v>22</v>
      </c>
      <c r="K4675" t="s">
        <v>25</v>
      </c>
      <c r="L4675" t="s">
        <v>40005</v>
      </c>
      <c r="M4675" t="s">
        <v>25</v>
      </c>
      <c r="N4675" t="s">
        <v>40006</v>
      </c>
      <c r="O4675" t="s">
        <v>40007</v>
      </c>
      <c r="P4675" t="s">
        <v>40008</v>
      </c>
      <c r="Q4675" t="s">
        <v>29</v>
      </c>
      <c r="R4675" t="s">
        <v>40003</v>
      </c>
      <c r="S4675" t="s">
        <v>40004</v>
      </c>
    </row>
    <row r="4676" spans="1:19" x14ac:dyDescent="0.25">
      <c r="A4676" s="1">
        <v>4674</v>
      </c>
      <c r="B4676" t="str">
        <f>HYPERLINK("https://www.dasschnelle.at/herzblut-malerei-gmbh-putzleinsdorf-krien","Website")</f>
        <v>Website</v>
      </c>
      <c r="C4676" t="str">
        <f>HYPERLINK("https://www.dasschnelle.at/herzblut-malerei-gmbh-putzleinsdorf-krien","Website")</f>
        <v>Website</v>
      </c>
      <c r="D4676" t="str">
        <f>HYPERLINK("http://www.google.com/maps/place/48.5325000,13.8512300","Location")</f>
        <v>Location</v>
      </c>
      <c r="E4676" t="s">
        <v>40009</v>
      </c>
      <c r="F4676" t="s">
        <v>40010</v>
      </c>
      <c r="G4676" t="s">
        <v>8761</v>
      </c>
      <c r="H4676" t="s">
        <v>8762</v>
      </c>
      <c r="I4676" t="s">
        <v>85</v>
      </c>
      <c r="J4676" t="s">
        <v>22</v>
      </c>
      <c r="K4676" t="s">
        <v>40011</v>
      </c>
      <c r="L4676" t="s">
        <v>40014</v>
      </c>
      <c r="M4676" t="s">
        <v>25</v>
      </c>
      <c r="N4676" t="s">
        <v>40015</v>
      </c>
      <c r="O4676" t="s">
        <v>25</v>
      </c>
      <c r="P4676" t="s">
        <v>40016</v>
      </c>
      <c r="Q4676" t="s">
        <v>29</v>
      </c>
      <c r="R4676" t="s">
        <v>40012</v>
      </c>
      <c r="S4676" t="s">
        <v>40013</v>
      </c>
    </row>
    <row r="4677" spans="1:19" x14ac:dyDescent="0.25">
      <c r="A4677" s="1">
        <v>4675</v>
      </c>
      <c r="B4677" t="str">
        <f>HYPERLINK("https://www.dasschnelle.at/kaser-johann-gallspach-dr-rotter-straße","Website")</f>
        <v>Website</v>
      </c>
      <c r="C4677" t="str">
        <f>HYPERLINK("http://www.maklerbuero-wiesinger.at","Website")</f>
        <v>Website</v>
      </c>
      <c r="D4677" t="str">
        <f>HYPERLINK("http://www.google.com/maps/place/48.21274,13.80966","Location")</f>
        <v>Location</v>
      </c>
      <c r="E4677" t="s">
        <v>40017</v>
      </c>
      <c r="F4677" t="s">
        <v>40018</v>
      </c>
      <c r="G4677" t="s">
        <v>7365</v>
      </c>
      <c r="H4677" t="s">
        <v>7366</v>
      </c>
      <c r="I4677" t="s">
        <v>85</v>
      </c>
      <c r="J4677" t="s">
        <v>22</v>
      </c>
      <c r="K4677" t="s">
        <v>40019</v>
      </c>
      <c r="L4677" t="s">
        <v>40022</v>
      </c>
      <c r="M4677" t="s">
        <v>25</v>
      </c>
      <c r="N4677" t="s">
        <v>40023</v>
      </c>
      <c r="O4677" t="s">
        <v>25</v>
      </c>
      <c r="P4677" t="s">
        <v>40024</v>
      </c>
      <c r="Q4677" t="s">
        <v>29</v>
      </c>
      <c r="R4677" t="s">
        <v>40020</v>
      </c>
      <c r="S4677" t="s">
        <v>40021</v>
      </c>
    </row>
    <row r="4678" spans="1:19" x14ac:dyDescent="0.25">
      <c r="A4678" s="1">
        <v>4676</v>
      </c>
      <c r="B4678" t="str">
        <f>HYPERLINK("https://www.dasschnelle.at/bruckbauer-robert-neumarkt-im-hausruckkreis-schildorf","Website")</f>
        <v>Website</v>
      </c>
      <c r="C4678" t="str">
        <f>HYPERLINK("http://www.kunstschmiede-bruckbauer.at","Website")</f>
        <v>Website</v>
      </c>
      <c r="D4678" t="str">
        <f>HYPERLINK("http://www.google.com/maps/place/48.2841772,13.7012139","Location")</f>
        <v>Location</v>
      </c>
      <c r="E4678" t="s">
        <v>40025</v>
      </c>
      <c r="F4678" t="s">
        <v>40026</v>
      </c>
      <c r="G4678" t="s">
        <v>7220</v>
      </c>
      <c r="H4678" t="s">
        <v>7221</v>
      </c>
      <c r="I4678" t="s">
        <v>85</v>
      </c>
      <c r="J4678" t="s">
        <v>22</v>
      </c>
      <c r="K4678" t="s">
        <v>40027</v>
      </c>
      <c r="L4678" t="s">
        <v>40030</v>
      </c>
      <c r="M4678" t="s">
        <v>25</v>
      </c>
      <c r="N4678" t="s">
        <v>40031</v>
      </c>
      <c r="O4678" t="s">
        <v>40032</v>
      </c>
      <c r="P4678" t="s">
        <v>40033</v>
      </c>
      <c r="Q4678" t="s">
        <v>29</v>
      </c>
      <c r="R4678" t="s">
        <v>40028</v>
      </c>
      <c r="S4678" t="s">
        <v>40029</v>
      </c>
    </row>
    <row r="4679" spans="1:19" x14ac:dyDescent="0.25">
      <c r="A4679" s="1">
        <v>4677</v>
      </c>
      <c r="B4679" t="str">
        <f>HYPERLINK("https://www.dasschnelle.at/schneeberger-walter-e-u-neumarkt-im-hausruckkreis-ziehbachstraße","Website")</f>
        <v>Website</v>
      </c>
      <c r="C4679" t="str">
        <f>HYPERLINK("https://www.dasschnelle.at/schneeberger-walter-e-u-neumarkt-im-hausruckkreis-ziehbachstra%C3%9Fe","Website")</f>
        <v>Website</v>
      </c>
      <c r="D4679" t="str">
        <f>HYPERLINK("http://www.google.com/maps/place/48.27364,13.72082","Location")</f>
        <v>Location</v>
      </c>
      <c r="E4679" t="s">
        <v>40034</v>
      </c>
      <c r="F4679" t="s">
        <v>40035</v>
      </c>
      <c r="G4679" t="s">
        <v>7220</v>
      </c>
      <c r="H4679" t="s">
        <v>7221</v>
      </c>
      <c r="I4679" t="s">
        <v>85</v>
      </c>
      <c r="J4679" t="s">
        <v>22</v>
      </c>
      <c r="K4679" t="s">
        <v>40036</v>
      </c>
      <c r="L4679" t="s">
        <v>40039</v>
      </c>
      <c r="M4679" t="s">
        <v>25</v>
      </c>
      <c r="N4679" t="s">
        <v>40040</v>
      </c>
      <c r="O4679" t="s">
        <v>25</v>
      </c>
      <c r="P4679" t="s">
        <v>697</v>
      </c>
      <c r="Q4679" t="s">
        <v>29</v>
      </c>
      <c r="R4679" t="s">
        <v>40037</v>
      </c>
      <c r="S4679" t="s">
        <v>40038</v>
      </c>
    </row>
    <row r="4680" spans="1:19" x14ac:dyDescent="0.25">
      <c r="A4680" s="1">
        <v>4678</v>
      </c>
      <c r="B4680" t="str">
        <f>HYPERLINK("https://www.dasschnelle.at/erdbewegung-duki-söding-am-schlossbühel","Website")</f>
        <v>Website</v>
      </c>
      <c r="C4680" t="str">
        <f>HYPERLINK("https://www.dasschnelle.at/erdbewegung-duki-s%C3%B6ding-am-schlossb%C3%BChel","Website")</f>
        <v>Website</v>
      </c>
      <c r="D4680" t="str">
        <f>HYPERLINK("http://www.google.com/maps/place/47.0051206,15.2927735","Location")</f>
        <v>Location</v>
      </c>
      <c r="E4680" t="s">
        <v>40041</v>
      </c>
      <c r="F4680" t="s">
        <v>40042</v>
      </c>
      <c r="G4680" t="s">
        <v>4644</v>
      </c>
      <c r="H4680" t="s">
        <v>37672</v>
      </c>
      <c r="I4680" t="s">
        <v>451</v>
      </c>
      <c r="J4680" t="s">
        <v>22</v>
      </c>
      <c r="K4680" t="s">
        <v>40043</v>
      </c>
      <c r="L4680" t="s">
        <v>40046</v>
      </c>
      <c r="M4680" t="s">
        <v>25</v>
      </c>
      <c r="N4680" t="s">
        <v>40047</v>
      </c>
      <c r="O4680" t="s">
        <v>25</v>
      </c>
      <c r="P4680" t="s">
        <v>40048</v>
      </c>
      <c r="Q4680" t="s">
        <v>29</v>
      </c>
      <c r="R4680" t="s">
        <v>40044</v>
      </c>
      <c r="S4680" t="s">
        <v>40045</v>
      </c>
    </row>
    <row r="4681" spans="1:19" x14ac:dyDescent="0.25">
      <c r="A4681" s="1">
        <v>4679</v>
      </c>
      <c r="B4681" t="str">
        <f>HYPERLINK("https://www.dasschnelle.at/rein-und-partner-steuerberatung-gmbh-hartberg-alleegasse","Website")</f>
        <v>Website</v>
      </c>
      <c r="C4681" t="str">
        <f>HYPERLINK("http://www.rein-stb.at","Website")</f>
        <v>Website</v>
      </c>
      <c r="D4681" t="str">
        <f>HYPERLINK("http://www.google.com/maps/place/47.28233,15.97177","Location")</f>
        <v>Location</v>
      </c>
      <c r="E4681" t="s">
        <v>40049</v>
      </c>
      <c r="F4681" t="s">
        <v>40050</v>
      </c>
      <c r="G4681" t="s">
        <v>1050</v>
      </c>
      <c r="H4681" t="s">
        <v>1051</v>
      </c>
      <c r="I4681" t="s">
        <v>451</v>
      </c>
      <c r="J4681" t="s">
        <v>22</v>
      </c>
      <c r="K4681" t="s">
        <v>40051</v>
      </c>
      <c r="L4681" t="s">
        <v>40054</v>
      </c>
      <c r="M4681" t="s">
        <v>25</v>
      </c>
      <c r="N4681" t="s">
        <v>40055</v>
      </c>
      <c r="O4681" t="s">
        <v>25</v>
      </c>
      <c r="P4681" t="s">
        <v>40056</v>
      </c>
      <c r="Q4681" t="s">
        <v>29</v>
      </c>
      <c r="R4681" t="s">
        <v>40052</v>
      </c>
      <c r="S4681" t="s">
        <v>40053</v>
      </c>
    </row>
    <row r="4682" spans="1:19" x14ac:dyDescent="0.25">
      <c r="A4682" s="1">
        <v>4680</v>
      </c>
      <c r="B4682" t="str">
        <f>HYPERLINK("https://www.dasschnelle.at/muggenhumer-energiesysteme-gmbh-grieskirchen-trattnachtalstraße","Website")</f>
        <v>Website</v>
      </c>
      <c r="C4682" t="str">
        <f>HYPERLINK("http://www.muggenhumer.at","Website")</f>
        <v>Website</v>
      </c>
      <c r="D4682" t="str">
        <f>HYPERLINK("http://www.google.com/maps/place/48.23696,13.81728","Location")</f>
        <v>Location</v>
      </c>
      <c r="E4682" t="s">
        <v>40057</v>
      </c>
      <c r="F4682" t="s">
        <v>40058</v>
      </c>
      <c r="G4682" t="s">
        <v>4826</v>
      </c>
      <c r="H4682" t="s">
        <v>4827</v>
      </c>
      <c r="I4682" t="s">
        <v>85</v>
      </c>
      <c r="J4682" t="s">
        <v>22</v>
      </c>
      <c r="K4682" t="s">
        <v>40059</v>
      </c>
      <c r="L4682" t="s">
        <v>40062</v>
      </c>
      <c r="M4682" t="s">
        <v>40063</v>
      </c>
      <c r="N4682" t="s">
        <v>40064</v>
      </c>
      <c r="O4682" t="s">
        <v>40065</v>
      </c>
      <c r="P4682" t="s">
        <v>40066</v>
      </c>
      <c r="Q4682" t="s">
        <v>29</v>
      </c>
      <c r="R4682" t="s">
        <v>40060</v>
      </c>
      <c r="S4682" t="s">
        <v>40061</v>
      </c>
    </row>
    <row r="4683" spans="1:19" x14ac:dyDescent="0.25">
      <c r="A4683" s="1">
        <v>4681</v>
      </c>
      <c r="B4683" t="str">
        <f>HYPERLINK("https://www.dasschnelle.at/meindlhumer-august-jun-schlüßlberg-rosenau","Website")</f>
        <v>Website</v>
      </c>
      <c r="C4683" t="str">
        <f>HYPERLINK("http://www.schmiedewerkstatt.at/mobile/","Website")</f>
        <v>Website</v>
      </c>
      <c r="D4683" t="str">
        <f>HYPERLINK("http://www.google.com/maps/place/48.2276314,13.8559168","Location")</f>
        <v>Location</v>
      </c>
      <c r="E4683" t="s">
        <v>40067</v>
      </c>
      <c r="F4683" t="s">
        <v>40068</v>
      </c>
      <c r="G4683" t="s">
        <v>7450</v>
      </c>
      <c r="H4683" t="s">
        <v>7451</v>
      </c>
      <c r="I4683" t="s">
        <v>85</v>
      </c>
      <c r="J4683" t="s">
        <v>22</v>
      </c>
      <c r="K4683" t="s">
        <v>40069</v>
      </c>
      <c r="L4683" t="s">
        <v>40072</v>
      </c>
      <c r="M4683" t="s">
        <v>25</v>
      </c>
      <c r="N4683" t="s">
        <v>40073</v>
      </c>
      <c r="O4683" t="s">
        <v>25</v>
      </c>
      <c r="P4683" t="s">
        <v>697</v>
      </c>
      <c r="Q4683" t="s">
        <v>29</v>
      </c>
      <c r="R4683" t="s">
        <v>40070</v>
      </c>
      <c r="S4683" t="s">
        <v>40071</v>
      </c>
    </row>
    <row r="4684" spans="1:19" x14ac:dyDescent="0.25">
      <c r="A4684" s="1">
        <v>4682</v>
      </c>
      <c r="B4684" t="str">
        <f>HYPERLINK("https://www.dasschnelle.at/fosodeder-gmbh-gaspoltshofen-hörbach","Website")</f>
        <v>Website</v>
      </c>
      <c r="C4684" t="str">
        <f>HYPERLINK("http://www.fosodeder.at","Website")</f>
        <v>Website</v>
      </c>
      <c r="D4684" t="str">
        <f>HYPERLINK("http://www.google.com/maps/place/48.1317862,13.7620594","Location")</f>
        <v>Location</v>
      </c>
      <c r="E4684" t="s">
        <v>40074</v>
      </c>
      <c r="F4684" t="s">
        <v>40075</v>
      </c>
      <c r="G4684" t="s">
        <v>7471</v>
      </c>
      <c r="H4684" t="s">
        <v>7472</v>
      </c>
      <c r="I4684" t="s">
        <v>85</v>
      </c>
      <c r="J4684" t="s">
        <v>22</v>
      </c>
      <c r="K4684" t="s">
        <v>40076</v>
      </c>
      <c r="L4684" t="s">
        <v>40079</v>
      </c>
      <c r="M4684" t="s">
        <v>25</v>
      </c>
      <c r="N4684" t="s">
        <v>40080</v>
      </c>
      <c r="O4684" t="s">
        <v>25</v>
      </c>
      <c r="P4684" t="s">
        <v>40081</v>
      </c>
      <c r="Q4684" t="s">
        <v>29</v>
      </c>
      <c r="R4684" t="s">
        <v>40077</v>
      </c>
      <c r="S4684" t="s">
        <v>40078</v>
      </c>
    </row>
    <row r="4685" spans="1:19" x14ac:dyDescent="0.25">
      <c r="A4685" s="1">
        <v>4683</v>
      </c>
      <c r="B4685" t="str">
        <f>HYPERLINK("https://www.dasschnelle.at/vme-eggendorfer-gmbh-sierning-neustraße","Website")</f>
        <v>Website</v>
      </c>
      <c r="C4685" t="str">
        <f>HYPERLINK("http://www.sierning.allianz.at","Website")</f>
        <v>Website</v>
      </c>
      <c r="D4685" t="str">
        <f>HYPERLINK("http://www.google.com/maps/place/48.0432910,14.3084174","Location")</f>
        <v>Location</v>
      </c>
      <c r="E4685" t="s">
        <v>40082</v>
      </c>
      <c r="F4685" t="s">
        <v>40083</v>
      </c>
      <c r="G4685" t="s">
        <v>11083</v>
      </c>
      <c r="H4685" t="s">
        <v>11084</v>
      </c>
      <c r="I4685" t="s">
        <v>85</v>
      </c>
      <c r="J4685" t="s">
        <v>22</v>
      </c>
      <c r="K4685" t="s">
        <v>40084</v>
      </c>
      <c r="L4685" t="s">
        <v>40087</v>
      </c>
      <c r="M4685" t="s">
        <v>25</v>
      </c>
      <c r="N4685" t="s">
        <v>40088</v>
      </c>
      <c r="O4685" t="s">
        <v>25</v>
      </c>
      <c r="P4685" t="s">
        <v>40089</v>
      </c>
      <c r="Q4685" t="s">
        <v>29</v>
      </c>
      <c r="R4685" t="s">
        <v>40085</v>
      </c>
      <c r="S4685" t="s">
        <v>40086</v>
      </c>
    </row>
    <row r="4686" spans="1:19" x14ac:dyDescent="0.25">
      <c r="A4686" s="1">
        <v>4684</v>
      </c>
      <c r="B4686" t="str">
        <f>HYPERLINK("https://www.dasschnelle.at/muggenhumer-elektro-gmbh-grieskirchen-oberer-stadtplatz","Website")</f>
        <v>Website</v>
      </c>
      <c r="C4686" t="str">
        <f>HYPERLINK("http://www.elektro-muggenhumer.at","Website")</f>
        <v>Website</v>
      </c>
      <c r="D4686" t="str">
        <f>HYPERLINK("http://www.google.com/maps/place/48.2356,13.82584","Location")</f>
        <v>Location</v>
      </c>
      <c r="E4686" t="s">
        <v>40090</v>
      </c>
      <c r="F4686" t="s">
        <v>40091</v>
      </c>
      <c r="G4686" t="s">
        <v>4826</v>
      </c>
      <c r="H4686" t="s">
        <v>4827</v>
      </c>
      <c r="I4686" t="s">
        <v>85</v>
      </c>
      <c r="J4686" t="s">
        <v>22</v>
      </c>
      <c r="K4686" t="s">
        <v>40092</v>
      </c>
      <c r="L4686" t="s">
        <v>40095</v>
      </c>
      <c r="M4686" t="s">
        <v>40096</v>
      </c>
      <c r="N4686" t="s">
        <v>40097</v>
      </c>
      <c r="O4686" t="s">
        <v>40098</v>
      </c>
      <c r="P4686" t="s">
        <v>40099</v>
      </c>
      <c r="Q4686" t="s">
        <v>29</v>
      </c>
      <c r="R4686" t="s">
        <v>40093</v>
      </c>
      <c r="S4686" t="s">
        <v>40094</v>
      </c>
    </row>
    <row r="4687" spans="1:19" x14ac:dyDescent="0.25">
      <c r="A4687" s="1">
        <v>4685</v>
      </c>
      <c r="B4687" t="str">
        <f>HYPERLINK("https://www.dasschnelle.at/teufel-richard-lackenhof-ötscherstraße","Website")</f>
        <v>Website</v>
      </c>
      <c r="C4687" t="str">
        <f>HYPERLINK("http://www.balkonteufel.at","Website")</f>
        <v>Website</v>
      </c>
      <c r="D4687" t="str">
        <f>HYPERLINK("http://www.google.com/maps/place/47.87149,15.14879","Location")</f>
        <v>Location</v>
      </c>
      <c r="E4687" t="s">
        <v>40100</v>
      </c>
      <c r="F4687" t="s">
        <v>40101</v>
      </c>
      <c r="G4687" t="s">
        <v>40103</v>
      </c>
      <c r="H4687" t="s">
        <v>40104</v>
      </c>
      <c r="I4687" t="s">
        <v>177</v>
      </c>
      <c r="J4687" t="s">
        <v>22</v>
      </c>
      <c r="K4687" t="s">
        <v>40102</v>
      </c>
      <c r="L4687" t="s">
        <v>40107</v>
      </c>
      <c r="M4687" t="s">
        <v>25</v>
      </c>
      <c r="N4687" t="s">
        <v>40108</v>
      </c>
      <c r="O4687" t="s">
        <v>40109</v>
      </c>
      <c r="P4687" t="s">
        <v>40110</v>
      </c>
      <c r="Q4687" t="s">
        <v>29</v>
      </c>
      <c r="R4687" t="s">
        <v>40105</v>
      </c>
      <c r="S4687" t="s">
        <v>40106</v>
      </c>
    </row>
    <row r="4688" spans="1:19" x14ac:dyDescent="0.25">
      <c r="A4688" s="1">
        <v>4686</v>
      </c>
      <c r="B4688" t="str">
        <f>HYPERLINK("https://www.dasschnelle.at/mimmo-ristorante-pizzeria-ried-im-innkreis-rennerstraße","Website")</f>
        <v>Website</v>
      </c>
      <c r="C4688" t="str">
        <f>HYPERLINK("http://www.pizzeria-mimmo.com","Website")</f>
        <v>Website</v>
      </c>
      <c r="D4688" t="str">
        <f>HYPERLINK("http://www.google.com/maps/place/48.22053,13.48551","Location")</f>
        <v>Location</v>
      </c>
      <c r="E4688" t="s">
        <v>40111</v>
      </c>
      <c r="F4688" t="s">
        <v>40112</v>
      </c>
      <c r="G4688" t="s">
        <v>6245</v>
      </c>
      <c r="H4688" t="s">
        <v>6267</v>
      </c>
      <c r="I4688" t="s">
        <v>85</v>
      </c>
      <c r="J4688" t="s">
        <v>22</v>
      </c>
      <c r="K4688" t="s">
        <v>40113</v>
      </c>
      <c r="L4688" t="s">
        <v>40115</v>
      </c>
      <c r="M4688" t="s">
        <v>25</v>
      </c>
      <c r="N4688" t="s">
        <v>40116</v>
      </c>
      <c r="O4688" t="s">
        <v>25</v>
      </c>
      <c r="P4688" t="s">
        <v>40117</v>
      </c>
      <c r="Q4688" t="s">
        <v>29</v>
      </c>
      <c r="R4688" t="s">
        <v>40114</v>
      </c>
      <c r="S4688" t="s">
        <v>37725</v>
      </c>
    </row>
    <row r="4689" spans="1:19" x14ac:dyDescent="0.25">
      <c r="A4689" s="1">
        <v>4687</v>
      </c>
      <c r="B4689" t="str">
        <f>HYPERLINK("https://www.dasschnelle.at/thomas-spat-deutschlandsberg-hochholzweg","Website")</f>
        <v>Website</v>
      </c>
      <c r="C4689" t="str">
        <f>HYPERLINK("http://www.die-hafnerei.at","Website")</f>
        <v>Website</v>
      </c>
      <c r="D4689" t="str">
        <f>HYPERLINK("http://www.google.com/maps/place/46.8424311,15.2075522","Location")</f>
        <v>Location</v>
      </c>
      <c r="E4689" t="s">
        <v>40118</v>
      </c>
      <c r="F4689" t="s">
        <v>40119</v>
      </c>
      <c r="G4689" t="s">
        <v>2921</v>
      </c>
      <c r="H4689" t="s">
        <v>2922</v>
      </c>
      <c r="I4689" t="s">
        <v>451</v>
      </c>
      <c r="J4689" t="s">
        <v>22</v>
      </c>
      <c r="K4689" t="s">
        <v>40120</v>
      </c>
      <c r="L4689" t="s">
        <v>40123</v>
      </c>
      <c r="M4689" t="s">
        <v>25</v>
      </c>
      <c r="N4689" t="s">
        <v>40124</v>
      </c>
      <c r="O4689" t="s">
        <v>25</v>
      </c>
      <c r="P4689" t="s">
        <v>697</v>
      </c>
      <c r="Q4689" t="s">
        <v>29</v>
      </c>
      <c r="R4689" t="s">
        <v>40121</v>
      </c>
      <c r="S4689" t="s">
        <v>40122</v>
      </c>
    </row>
    <row r="4690" spans="1:19" x14ac:dyDescent="0.25">
      <c r="A4690" s="1">
        <v>4688</v>
      </c>
      <c r="B4690" t="str">
        <f>HYPERLINK("https://www.dasschnelle.at/schlosserei-krendl-gaming-erlauftalstraße","Website")</f>
        <v>Website</v>
      </c>
      <c r="C4690" t="str">
        <f>HYPERLINK("https://www.dasschnelle.at/schlosserei-krendl-gaming-erlauftalstra%C3%9Fe","Website")</f>
        <v>Website</v>
      </c>
      <c r="D4690" t="str">
        <f>HYPERLINK("http://www.google.com/maps/place/47.93555,15.09538","Location")</f>
        <v>Location</v>
      </c>
      <c r="E4690" t="s">
        <v>40125</v>
      </c>
      <c r="F4690" t="s">
        <v>40126</v>
      </c>
      <c r="G4690" t="s">
        <v>9853</v>
      </c>
      <c r="H4690" t="s">
        <v>9854</v>
      </c>
      <c r="I4690" t="s">
        <v>177</v>
      </c>
      <c r="J4690" t="s">
        <v>22</v>
      </c>
      <c r="K4690" t="s">
        <v>40127</v>
      </c>
      <c r="L4690" t="s">
        <v>40130</v>
      </c>
      <c r="M4690" t="s">
        <v>25</v>
      </c>
      <c r="N4690" t="s">
        <v>40131</v>
      </c>
      <c r="O4690" t="s">
        <v>25</v>
      </c>
      <c r="P4690" t="s">
        <v>40132</v>
      </c>
      <c r="Q4690" t="s">
        <v>29</v>
      </c>
      <c r="R4690" t="s">
        <v>40128</v>
      </c>
      <c r="S4690" t="s">
        <v>40129</v>
      </c>
    </row>
    <row r="4691" spans="1:19" x14ac:dyDescent="0.25">
      <c r="A4691" s="1">
        <v>4689</v>
      </c>
      <c r="B4691" t="str">
        <f>HYPERLINK("https://www.dasschnelle.at/dahdal-sami-gresten-bahnhofstraße","Website")</f>
        <v>Website</v>
      </c>
      <c r="C4691" t="str">
        <f>HYPERLINK("https://www.facebook.com/Pizzeria-Napoli-114275918","Website")</f>
        <v>Website</v>
      </c>
      <c r="D4691" t="str">
        <f>HYPERLINK("http://www.google.com/maps/place/47.98331,15.0252","Location")</f>
        <v>Location</v>
      </c>
      <c r="E4691" t="s">
        <v>40133</v>
      </c>
      <c r="F4691" t="s">
        <v>40134</v>
      </c>
      <c r="G4691" t="s">
        <v>9890</v>
      </c>
      <c r="H4691" t="s">
        <v>9930</v>
      </c>
      <c r="I4691" t="s">
        <v>177</v>
      </c>
      <c r="J4691" t="s">
        <v>22</v>
      </c>
      <c r="K4691" t="s">
        <v>4581</v>
      </c>
      <c r="L4691" t="s">
        <v>40137</v>
      </c>
      <c r="M4691" t="s">
        <v>25</v>
      </c>
      <c r="N4691" t="s">
        <v>40138</v>
      </c>
      <c r="O4691" t="s">
        <v>25</v>
      </c>
      <c r="P4691" t="s">
        <v>40139</v>
      </c>
      <c r="Q4691" t="s">
        <v>29</v>
      </c>
      <c r="R4691" t="s">
        <v>40135</v>
      </c>
      <c r="S4691" t="s">
        <v>40136</v>
      </c>
    </row>
    <row r="4692" spans="1:19" x14ac:dyDescent="0.25">
      <c r="A4692" s="1">
        <v>4690</v>
      </c>
      <c r="B4692" t="str">
        <f>HYPERLINK("https://www.dasschnelle.at/hinterholzer-taxi-und-transporte-hohenzell-oberlangstadl","Website")</f>
        <v>Website</v>
      </c>
      <c r="C4692" t="str">
        <f>HYPERLINK("http://www.taxi-hinterholzer.at","Website")</f>
        <v>Website</v>
      </c>
      <c r="D4692" t="str">
        <f>HYPERLINK("http://www.google.com/maps/place/48.21397,13.51653","Location")</f>
        <v>Location</v>
      </c>
      <c r="E4692" t="s">
        <v>40140</v>
      </c>
      <c r="F4692" t="s">
        <v>40141</v>
      </c>
      <c r="G4692" t="s">
        <v>37646</v>
      </c>
      <c r="H4692" t="s">
        <v>37647</v>
      </c>
      <c r="I4692" t="s">
        <v>85</v>
      </c>
      <c r="J4692" t="s">
        <v>22</v>
      </c>
      <c r="K4692" t="s">
        <v>40142</v>
      </c>
      <c r="L4692" t="s">
        <v>40145</v>
      </c>
      <c r="M4692" t="s">
        <v>25</v>
      </c>
      <c r="N4692" t="s">
        <v>40146</v>
      </c>
      <c r="O4692" t="s">
        <v>25</v>
      </c>
      <c r="P4692" t="s">
        <v>40147</v>
      </c>
      <c r="Q4692" t="s">
        <v>29</v>
      </c>
      <c r="R4692" t="s">
        <v>40143</v>
      </c>
      <c r="S4692" t="s">
        <v>40144</v>
      </c>
    </row>
    <row r="4693" spans="1:19" x14ac:dyDescent="0.25">
      <c r="A4693" s="1">
        <v>4691</v>
      </c>
      <c r="B4693" t="str">
        <f>HYPERLINK("https://www.dasschnelle.at/haslinger-manuela-tumeltsham-oberleiten","Website")</f>
        <v>Website</v>
      </c>
      <c r="C4693" t="str">
        <f>HYPERLINK("https://www.dasschnelle.at/haslinger-manuela-tumeltsham-oberleiten","Website")</f>
        <v>Website</v>
      </c>
      <c r="D4693" t="str">
        <f>HYPERLINK("http://www.google.com/maps/place/48.22906,13.50467","Location")</f>
        <v>Location</v>
      </c>
      <c r="E4693" t="s">
        <v>40148</v>
      </c>
      <c r="F4693" t="s">
        <v>40149</v>
      </c>
      <c r="G4693" t="s">
        <v>37821</v>
      </c>
      <c r="H4693" t="s">
        <v>37822</v>
      </c>
      <c r="I4693" t="s">
        <v>85</v>
      </c>
      <c r="J4693" t="s">
        <v>22</v>
      </c>
      <c r="K4693" t="s">
        <v>40150</v>
      </c>
      <c r="L4693" t="s">
        <v>40153</v>
      </c>
      <c r="M4693" t="s">
        <v>25</v>
      </c>
      <c r="N4693" t="s">
        <v>40154</v>
      </c>
      <c r="O4693" t="s">
        <v>25</v>
      </c>
      <c r="P4693" t="s">
        <v>40155</v>
      </c>
      <c r="Q4693" t="s">
        <v>29</v>
      </c>
      <c r="R4693" t="s">
        <v>40151</v>
      </c>
      <c r="S4693" t="s">
        <v>40152</v>
      </c>
    </row>
    <row r="4694" spans="1:19" x14ac:dyDescent="0.25">
      <c r="A4694" s="1">
        <v>4692</v>
      </c>
      <c r="B4694" t="str">
        <f>HYPERLINK("https://www.dasschnelle.at/bestattung-wilfinger-büro-hartberg-michaeligasse","Website")</f>
        <v>Website</v>
      </c>
      <c r="C4694" t="str">
        <f>HYPERLINK("http://wwww.bestattung-wilfinger.at","Website")</f>
        <v>Website</v>
      </c>
      <c r="D4694" t="str">
        <f>HYPERLINK("http://www.google.com/maps/place/47.2793,15.96859","Location")</f>
        <v>Location</v>
      </c>
      <c r="E4694" t="s">
        <v>40156</v>
      </c>
      <c r="F4694" t="s">
        <v>40157</v>
      </c>
      <c r="G4694" t="s">
        <v>1050</v>
      </c>
      <c r="H4694" t="s">
        <v>1051</v>
      </c>
      <c r="I4694" t="s">
        <v>451</v>
      </c>
      <c r="J4694" t="s">
        <v>22</v>
      </c>
      <c r="K4694" t="s">
        <v>40158</v>
      </c>
      <c r="L4694" t="s">
        <v>40161</v>
      </c>
      <c r="M4694" t="s">
        <v>25</v>
      </c>
      <c r="N4694" t="s">
        <v>40162</v>
      </c>
      <c r="O4694" t="s">
        <v>25</v>
      </c>
      <c r="P4694" t="s">
        <v>40163</v>
      </c>
      <c r="Q4694" t="s">
        <v>29</v>
      </c>
      <c r="R4694" t="s">
        <v>40159</v>
      </c>
      <c r="S4694" t="s">
        <v>40160</v>
      </c>
    </row>
    <row r="4695" spans="1:19" x14ac:dyDescent="0.25">
      <c r="A4695" s="1">
        <v>4693</v>
      </c>
      <c r="B4695" t="str">
        <f>HYPERLINK("https://www.dasschnelle.at/kaimberger-peuerbach-erlenstraße","Website")</f>
        <v>Website</v>
      </c>
      <c r="C4695" t="str">
        <f>HYPERLINK("http://www.kaimberger.at","Website")</f>
        <v>Website</v>
      </c>
      <c r="D4695" t="str">
        <f>HYPERLINK("http://www.google.com/maps/place/48.34256,13.78282","Location")</f>
        <v>Location</v>
      </c>
      <c r="E4695" t="s">
        <v>40164</v>
      </c>
      <c r="F4695" t="s">
        <v>40165</v>
      </c>
      <c r="G4695" t="s">
        <v>7303</v>
      </c>
      <c r="H4695" t="s">
        <v>7304</v>
      </c>
      <c r="I4695" t="s">
        <v>85</v>
      </c>
      <c r="J4695" t="s">
        <v>22</v>
      </c>
      <c r="K4695" t="s">
        <v>40166</v>
      </c>
      <c r="L4695" t="s">
        <v>40169</v>
      </c>
      <c r="M4695" t="s">
        <v>25</v>
      </c>
      <c r="N4695" t="s">
        <v>40170</v>
      </c>
      <c r="O4695" t="s">
        <v>40171</v>
      </c>
      <c r="P4695" t="s">
        <v>40172</v>
      </c>
      <c r="Q4695" t="s">
        <v>29</v>
      </c>
      <c r="R4695" t="s">
        <v>40167</v>
      </c>
      <c r="S4695" t="s">
        <v>40168</v>
      </c>
    </row>
    <row r="4696" spans="1:19" x14ac:dyDescent="0.25">
      <c r="A4696" s="1">
        <v>4694</v>
      </c>
      <c r="B4696" t="str">
        <f>HYPERLINK("https://www.dasschnelle.at/seyr-harald-gmbh-bad-wimsbach-kößlwang","Website")</f>
        <v>Website</v>
      </c>
      <c r="C4696" t="str">
        <f>HYPERLINK("http://www.seyr.org","Website")</f>
        <v>Website</v>
      </c>
      <c r="D4696" t="str">
        <f>HYPERLINK("http://www.google.com/maps/place/48.0254232,13.9033133","Location")</f>
        <v>Location</v>
      </c>
      <c r="E4696" t="s">
        <v>40173</v>
      </c>
      <c r="F4696" t="s">
        <v>40174</v>
      </c>
      <c r="G4696" t="s">
        <v>18038</v>
      </c>
      <c r="H4696" t="s">
        <v>40176</v>
      </c>
      <c r="I4696" t="s">
        <v>85</v>
      </c>
      <c r="J4696" t="s">
        <v>22</v>
      </c>
      <c r="K4696" t="s">
        <v>40175</v>
      </c>
      <c r="L4696" t="s">
        <v>40179</v>
      </c>
      <c r="M4696" t="s">
        <v>25</v>
      </c>
      <c r="N4696" t="s">
        <v>40180</v>
      </c>
      <c r="O4696" t="s">
        <v>25</v>
      </c>
      <c r="P4696" t="s">
        <v>40181</v>
      </c>
      <c r="Q4696" t="s">
        <v>29</v>
      </c>
      <c r="R4696" t="s">
        <v>40177</v>
      </c>
      <c r="S4696" t="s">
        <v>40178</v>
      </c>
    </row>
    <row r="4697" spans="1:19" x14ac:dyDescent="0.25">
      <c r="A4697" s="1">
        <v>4695</v>
      </c>
      <c r="B4697" t="str">
        <f>HYPERLINK("https://www.dasschnelle.at/scherrer-maria-peuerbach-oberndorf","Website")</f>
        <v>Website</v>
      </c>
      <c r="C4697" t="str">
        <f>HYPERLINK("http://www.maria-scherrer.at","Website")</f>
        <v>Website</v>
      </c>
      <c r="D4697" t="str">
        <f>HYPERLINK("http://www.google.com/maps/place/48.3004170,13.7500340","Location")</f>
        <v>Location</v>
      </c>
      <c r="E4697" t="s">
        <v>40182</v>
      </c>
      <c r="F4697" t="s">
        <v>40183</v>
      </c>
      <c r="G4697" t="s">
        <v>7303</v>
      </c>
      <c r="H4697" t="s">
        <v>7304</v>
      </c>
      <c r="I4697" t="s">
        <v>85</v>
      </c>
      <c r="J4697" t="s">
        <v>22</v>
      </c>
      <c r="K4697" t="s">
        <v>40184</v>
      </c>
      <c r="L4697" t="s">
        <v>40187</v>
      </c>
      <c r="M4697" t="s">
        <v>25</v>
      </c>
      <c r="N4697" t="s">
        <v>40188</v>
      </c>
      <c r="O4697" t="s">
        <v>40189</v>
      </c>
      <c r="P4697" t="s">
        <v>40190</v>
      </c>
      <c r="Q4697" t="s">
        <v>29</v>
      </c>
      <c r="R4697" t="s">
        <v>40185</v>
      </c>
      <c r="S4697" t="s">
        <v>40186</v>
      </c>
    </row>
    <row r="4698" spans="1:19" x14ac:dyDescent="0.25">
      <c r="A4698" s="1">
        <v>4696</v>
      </c>
      <c r="B4698" t="str">
        <f>HYPERLINK("https://www.dasschnelle.at/aydar-cetin-peuerbach-hauptstraße","Website")</f>
        <v>Website</v>
      </c>
      <c r="C4698" t="str">
        <f>HYPERLINK("https://www.dasschnelle.at/aydar-cetin-peuerbach-hauptstra%C3%9Fe","Website")</f>
        <v>Website</v>
      </c>
      <c r="D4698" t="str">
        <f>HYPERLINK("http://www.google.com/maps/place/48.34387,13.77185","Location")</f>
        <v>Location</v>
      </c>
      <c r="E4698" t="s">
        <v>40191</v>
      </c>
      <c r="F4698" t="s">
        <v>40192</v>
      </c>
      <c r="G4698" t="s">
        <v>7303</v>
      </c>
      <c r="H4698" t="s">
        <v>7304</v>
      </c>
      <c r="I4698" t="s">
        <v>85</v>
      </c>
      <c r="J4698" t="s">
        <v>22</v>
      </c>
      <c r="K4698" t="s">
        <v>23146</v>
      </c>
      <c r="L4698" t="s">
        <v>40195</v>
      </c>
      <c r="M4698" t="s">
        <v>25</v>
      </c>
      <c r="N4698" t="s">
        <v>25</v>
      </c>
      <c r="O4698" t="s">
        <v>25</v>
      </c>
      <c r="P4698" t="s">
        <v>40196</v>
      </c>
      <c r="Q4698" t="s">
        <v>29</v>
      </c>
      <c r="R4698" t="s">
        <v>40193</v>
      </c>
      <c r="S4698" t="s">
        <v>40194</v>
      </c>
    </row>
    <row r="4699" spans="1:19" x14ac:dyDescent="0.25">
      <c r="A4699" s="1">
        <v>4697</v>
      </c>
      <c r="B4699" t="str">
        <f>HYPERLINK("https://www.dasschnelle.at/stolz-bestattung-gmbh-murau-bundesstraße","Website")</f>
        <v>Website</v>
      </c>
      <c r="C4699" t="str">
        <f>HYPERLINK("http://www.bestattung-stolz.at","Website")</f>
        <v>Website</v>
      </c>
      <c r="D4699" t="str">
        <f>HYPERLINK("http://www.google.com/maps/place/47.1114800,14.1839900","Location")</f>
        <v>Location</v>
      </c>
      <c r="E4699" t="s">
        <v>40197</v>
      </c>
      <c r="F4699" t="s">
        <v>40198</v>
      </c>
      <c r="G4699" t="s">
        <v>12112</v>
      </c>
      <c r="H4699" t="s">
        <v>12113</v>
      </c>
      <c r="I4699" t="s">
        <v>451</v>
      </c>
      <c r="J4699" t="s">
        <v>22</v>
      </c>
      <c r="K4699" t="s">
        <v>35773</v>
      </c>
      <c r="L4699" t="s">
        <v>40201</v>
      </c>
      <c r="M4699" t="s">
        <v>25</v>
      </c>
      <c r="N4699" t="s">
        <v>40202</v>
      </c>
      <c r="O4699" t="s">
        <v>40203</v>
      </c>
      <c r="P4699" t="s">
        <v>40204</v>
      </c>
      <c r="Q4699" t="s">
        <v>29</v>
      </c>
      <c r="R4699" t="s">
        <v>40199</v>
      </c>
      <c r="S4699" t="s">
        <v>40200</v>
      </c>
    </row>
    <row r="4700" spans="1:19" x14ac:dyDescent="0.25">
      <c r="A4700" s="1">
        <v>4698</v>
      </c>
      <c r="B4700" t="str">
        <f>HYPERLINK("https://www.dasschnelle.at/neumann-holzbau-kg-köflach-unterer-kreuzberg","Website")</f>
        <v>Website</v>
      </c>
      <c r="C4700" t="str">
        <f>HYPERLINK("http://www.neumann-holzbau.at","Website")</f>
        <v>Website</v>
      </c>
      <c r="D4700" t="str">
        <f>HYPERLINK("http://www.google.com/maps/place/47.03515,15.06235","Location")</f>
        <v>Location</v>
      </c>
      <c r="E4700" t="s">
        <v>40205</v>
      </c>
      <c r="F4700" t="s">
        <v>40206</v>
      </c>
      <c r="G4700" t="s">
        <v>4582</v>
      </c>
      <c r="H4700" t="s">
        <v>4583</v>
      </c>
      <c r="I4700" t="s">
        <v>451</v>
      </c>
      <c r="J4700" t="s">
        <v>22</v>
      </c>
      <c r="K4700" t="s">
        <v>40207</v>
      </c>
      <c r="L4700" t="s">
        <v>40210</v>
      </c>
      <c r="M4700" t="s">
        <v>25</v>
      </c>
      <c r="N4700" t="s">
        <v>40211</v>
      </c>
      <c r="O4700" t="s">
        <v>25</v>
      </c>
      <c r="P4700" t="s">
        <v>40212</v>
      </c>
      <c r="Q4700" t="s">
        <v>29</v>
      </c>
      <c r="R4700" t="s">
        <v>40208</v>
      </c>
      <c r="S4700" t="s">
        <v>40209</v>
      </c>
    </row>
    <row r="4701" spans="1:19" x14ac:dyDescent="0.25">
      <c r="A4701" s="1">
        <v>4699</v>
      </c>
      <c r="B4701" t="str">
        <f>HYPERLINK("https://www.dasschnelle.at/augenzentrum-bachernegg-hartberg-wiener-straße","Website")</f>
        <v>Website</v>
      </c>
      <c r="C4701" t="str">
        <f>HYPERLINK("http://www.augenzentrum-bachernegg.at","Website")</f>
        <v>Website</v>
      </c>
      <c r="D4701" t="str">
        <f>HYPERLINK("http://www.google.com/maps/place/47.28171,15.96996","Location")</f>
        <v>Location</v>
      </c>
      <c r="E4701" t="s">
        <v>40213</v>
      </c>
      <c r="F4701" t="s">
        <v>40214</v>
      </c>
      <c r="G4701" t="s">
        <v>1050</v>
      </c>
      <c r="H4701" t="s">
        <v>1051</v>
      </c>
      <c r="I4701" t="s">
        <v>451</v>
      </c>
      <c r="J4701" t="s">
        <v>22</v>
      </c>
      <c r="K4701" t="s">
        <v>8479</v>
      </c>
      <c r="L4701" t="s">
        <v>40217</v>
      </c>
      <c r="M4701" t="s">
        <v>25</v>
      </c>
      <c r="N4701" t="s">
        <v>40218</v>
      </c>
      <c r="O4701" t="s">
        <v>25</v>
      </c>
      <c r="P4701" t="s">
        <v>40219</v>
      </c>
      <c r="Q4701" t="s">
        <v>29</v>
      </c>
      <c r="R4701" t="s">
        <v>40215</v>
      </c>
      <c r="S4701" t="s">
        <v>40216</v>
      </c>
    </row>
    <row r="4702" spans="1:19" x14ac:dyDescent="0.25">
      <c r="A4702" s="1">
        <v>4700</v>
      </c>
      <c r="B4702" t="str">
        <f>HYPERLINK("https://www.dasschnelle.at/bauer-christian-schlüßlberg-hermann-erdpresser-siedlung","Website")</f>
        <v>Website</v>
      </c>
      <c r="C4702" t="str">
        <f>HYPERLINK("https://www.dasschnelle.at/bauer-christian-schl%C3%BC%C3%9Flberg-hermann-erdpresser-siedlung","Website")</f>
        <v>Website</v>
      </c>
      <c r="D4702" t="str">
        <f>HYPERLINK("http://www.google.com/maps/place/48.22288,13.86827","Location")</f>
        <v>Location</v>
      </c>
      <c r="E4702" t="s">
        <v>40220</v>
      </c>
      <c r="F4702" t="s">
        <v>40221</v>
      </c>
      <c r="G4702" t="s">
        <v>7450</v>
      </c>
      <c r="H4702" t="s">
        <v>7451</v>
      </c>
      <c r="I4702" t="s">
        <v>85</v>
      </c>
      <c r="J4702" t="s">
        <v>22</v>
      </c>
      <c r="K4702" t="s">
        <v>40222</v>
      </c>
      <c r="L4702" t="s">
        <v>40225</v>
      </c>
      <c r="M4702" t="s">
        <v>25</v>
      </c>
      <c r="N4702" t="s">
        <v>40226</v>
      </c>
      <c r="O4702" t="s">
        <v>40227</v>
      </c>
      <c r="P4702" t="s">
        <v>697</v>
      </c>
      <c r="Q4702" t="s">
        <v>29</v>
      </c>
      <c r="R4702" t="s">
        <v>40223</v>
      </c>
      <c r="S4702" t="s">
        <v>40224</v>
      </c>
    </row>
    <row r="4703" spans="1:19" x14ac:dyDescent="0.25">
      <c r="A4703" s="1">
        <v>4701</v>
      </c>
      <c r="B4703" t="str">
        <f>HYPERLINK("https://www.dasschnelle.at/berger-günter-neumarkt-in-steiermark-gewerbepark-bahnhof","Website")</f>
        <v>Website</v>
      </c>
      <c r="C4703" t="str">
        <f>HYPERLINK("http://www.kfz-berger.com","Website")</f>
        <v>Website</v>
      </c>
      <c r="D4703" t="str">
        <f>HYPERLINK("http://www.google.com/maps/place/47.0750106,14.4095500","Location")</f>
        <v>Location</v>
      </c>
      <c r="E4703" t="s">
        <v>40228</v>
      </c>
      <c r="F4703" t="s">
        <v>40229</v>
      </c>
      <c r="G4703" t="s">
        <v>12200</v>
      </c>
      <c r="H4703" t="s">
        <v>35824</v>
      </c>
      <c r="I4703" t="s">
        <v>451</v>
      </c>
      <c r="J4703" t="s">
        <v>22</v>
      </c>
      <c r="K4703" t="s">
        <v>40230</v>
      </c>
      <c r="L4703" t="s">
        <v>40233</v>
      </c>
      <c r="M4703" t="s">
        <v>25</v>
      </c>
      <c r="N4703" t="s">
        <v>40234</v>
      </c>
      <c r="O4703" t="s">
        <v>40235</v>
      </c>
      <c r="P4703" t="s">
        <v>40236</v>
      </c>
      <c r="Q4703" t="s">
        <v>29</v>
      </c>
      <c r="R4703" t="s">
        <v>40231</v>
      </c>
      <c r="S4703" t="s">
        <v>40232</v>
      </c>
    </row>
    <row r="4704" spans="1:19" x14ac:dyDescent="0.25">
      <c r="A4704" s="1">
        <v>4702</v>
      </c>
      <c r="B4704" t="str">
        <f>HYPERLINK("https://www.dasschnelle.at/sport-suli-gmbh-sankt-lorenzen-ob-murau-sankt-lorenzen","Website")</f>
        <v>Website</v>
      </c>
      <c r="C4704" t="str">
        <f>HYPERLINK("http://www.suli.at","Website")</f>
        <v>Website</v>
      </c>
      <c r="D4704" t="str">
        <f>HYPERLINK("http://www.google.com/maps/place/47.09833,14.09054","Location")</f>
        <v>Location</v>
      </c>
      <c r="E4704" t="s">
        <v>40237</v>
      </c>
      <c r="F4704" t="s">
        <v>40238</v>
      </c>
      <c r="G4704" t="s">
        <v>35441</v>
      </c>
      <c r="H4704" t="s">
        <v>35442</v>
      </c>
      <c r="I4704" t="s">
        <v>451</v>
      </c>
      <c r="J4704" t="s">
        <v>22</v>
      </c>
      <c r="K4704" t="s">
        <v>40239</v>
      </c>
      <c r="L4704" t="s">
        <v>40242</v>
      </c>
      <c r="M4704" t="s">
        <v>40243</v>
      </c>
      <c r="N4704" t="s">
        <v>40244</v>
      </c>
      <c r="O4704" t="s">
        <v>40245</v>
      </c>
      <c r="P4704" t="s">
        <v>40246</v>
      </c>
      <c r="Q4704" t="s">
        <v>29</v>
      </c>
      <c r="R4704" t="s">
        <v>40240</v>
      </c>
      <c r="S4704" t="s">
        <v>40241</v>
      </c>
    </row>
    <row r="4705" spans="1:19" x14ac:dyDescent="0.25">
      <c r="A4705" s="1">
        <v>4703</v>
      </c>
      <c r="B4705" t="str">
        <f>HYPERLINK("https://www.dasschnelle.at/silberbauer-franz-schwechat-raiffeisenstraße","Website")</f>
        <v>Website</v>
      </c>
      <c r="C4705" t="str">
        <f>HYPERLINK("https://www.dasschnelle.at/silberbauer-franz-schwechat-raiffeisenstra%C3%9Fe","Website")</f>
        <v>Website</v>
      </c>
      <c r="D4705" t="str">
        <f>HYPERLINK("http://www.google.com/maps/place/48.08363,16.53183","Location")</f>
        <v>Location</v>
      </c>
      <c r="E4705" t="s">
        <v>40247</v>
      </c>
      <c r="F4705" t="s">
        <v>40248</v>
      </c>
      <c r="G4705" t="s">
        <v>9769</v>
      </c>
      <c r="H4705" t="s">
        <v>9770</v>
      </c>
      <c r="I4705" t="s">
        <v>177</v>
      </c>
      <c r="J4705" t="s">
        <v>22</v>
      </c>
      <c r="K4705" t="s">
        <v>9820</v>
      </c>
      <c r="L4705" t="s">
        <v>40249</v>
      </c>
      <c r="M4705" t="s">
        <v>25</v>
      </c>
      <c r="N4705" t="s">
        <v>9824</v>
      </c>
      <c r="O4705" t="s">
        <v>25</v>
      </c>
      <c r="P4705" t="s">
        <v>697</v>
      </c>
      <c r="Q4705" t="s">
        <v>29</v>
      </c>
      <c r="R4705" t="s">
        <v>9821</v>
      </c>
      <c r="S4705" t="s">
        <v>9822</v>
      </c>
    </row>
    <row r="4706" spans="1:19" x14ac:dyDescent="0.25">
      <c r="A4706" s="1">
        <v>4704</v>
      </c>
      <c r="B4706" t="str">
        <f>HYPERLINK("https://www.dasschnelle.at/optik-bachernegg-gmbh-hartberg-wienerstraße","Website")</f>
        <v>Website</v>
      </c>
      <c r="C4706" t="str">
        <f>HYPERLINK("http://www.bachernegg.com","Website")</f>
        <v>Website</v>
      </c>
      <c r="D4706" t="str">
        <f>HYPERLINK("http://www.google.com/maps/place/47.28171,15.96996","Location")</f>
        <v>Location</v>
      </c>
      <c r="E4706" t="s">
        <v>40250</v>
      </c>
      <c r="F4706" t="s">
        <v>40251</v>
      </c>
      <c r="G4706" t="s">
        <v>1050</v>
      </c>
      <c r="H4706" t="s">
        <v>1051</v>
      </c>
      <c r="I4706" t="s">
        <v>451</v>
      </c>
      <c r="J4706" t="s">
        <v>22</v>
      </c>
      <c r="K4706" t="s">
        <v>40252</v>
      </c>
      <c r="L4706" t="s">
        <v>40253</v>
      </c>
      <c r="M4706" t="s">
        <v>25</v>
      </c>
      <c r="N4706" t="s">
        <v>40218</v>
      </c>
      <c r="O4706" t="s">
        <v>40254</v>
      </c>
      <c r="P4706" t="s">
        <v>40255</v>
      </c>
      <c r="Q4706" t="s">
        <v>29</v>
      </c>
      <c r="R4706" t="s">
        <v>40215</v>
      </c>
      <c r="S4706" t="s">
        <v>40216</v>
      </c>
    </row>
    <row r="4707" spans="1:19" x14ac:dyDescent="0.25">
      <c r="A4707" s="1">
        <v>4705</v>
      </c>
      <c r="B4707" t="str">
        <f>HYPERLINK("https://www.dasschnelle.at/renault-krendel-gmbh-ulrichsberg-markt","Website")</f>
        <v>Website</v>
      </c>
      <c r="C4707" t="str">
        <f>HYPERLINK("http://www.renaultkrendel.at","Website")</f>
        <v>Website</v>
      </c>
      <c r="D4707" t="str">
        <f>HYPERLINK("http://www.google.com/maps/place/48.67527,13.90961","Location")</f>
        <v>Location</v>
      </c>
      <c r="E4707" t="s">
        <v>40256</v>
      </c>
      <c r="F4707" t="s">
        <v>40257</v>
      </c>
      <c r="G4707" t="s">
        <v>8779</v>
      </c>
      <c r="H4707" t="s">
        <v>8780</v>
      </c>
      <c r="I4707" t="s">
        <v>85</v>
      </c>
      <c r="J4707" t="s">
        <v>22</v>
      </c>
      <c r="K4707" t="s">
        <v>18436</v>
      </c>
      <c r="L4707" t="s">
        <v>40260</v>
      </c>
      <c r="M4707" t="s">
        <v>25</v>
      </c>
      <c r="N4707" t="s">
        <v>40261</v>
      </c>
      <c r="O4707" t="s">
        <v>40262</v>
      </c>
      <c r="P4707" t="s">
        <v>40263</v>
      </c>
      <c r="Q4707" t="s">
        <v>29</v>
      </c>
      <c r="R4707" t="s">
        <v>40258</v>
      </c>
      <c r="S4707" t="s">
        <v>40259</v>
      </c>
    </row>
    <row r="4708" spans="1:19" x14ac:dyDescent="0.25">
      <c r="A4708" s="1">
        <v>4706</v>
      </c>
      <c r="B4708" t="str">
        <f>HYPERLINK("https://www.dasschnelle.at/zwei-stein-gmbh-rohrbach-berg-auhäuser","Website")</f>
        <v>Website</v>
      </c>
      <c r="C4708" t="str">
        <f>HYPERLINK("http://www.zwei-stein.at","Website")</f>
        <v>Website</v>
      </c>
      <c r="D4708" t="str">
        <f>HYPERLINK("http://www.google.com/maps/place/48.58551,13.98698","Location")</f>
        <v>Location</v>
      </c>
      <c r="E4708" t="s">
        <v>40264</v>
      </c>
      <c r="F4708" t="s">
        <v>40265</v>
      </c>
      <c r="G4708" t="s">
        <v>8561</v>
      </c>
      <c r="H4708" t="s">
        <v>8660</v>
      </c>
      <c r="I4708" t="s">
        <v>85</v>
      </c>
      <c r="J4708" t="s">
        <v>22</v>
      </c>
      <c r="K4708" t="s">
        <v>40266</v>
      </c>
      <c r="L4708" t="s">
        <v>40269</v>
      </c>
      <c r="M4708" t="s">
        <v>25</v>
      </c>
      <c r="N4708" t="s">
        <v>40270</v>
      </c>
      <c r="O4708" t="s">
        <v>25</v>
      </c>
      <c r="P4708" t="s">
        <v>40271</v>
      </c>
      <c r="Q4708" t="s">
        <v>29</v>
      </c>
      <c r="R4708" t="s">
        <v>40267</v>
      </c>
      <c r="S4708" t="s">
        <v>40268</v>
      </c>
    </row>
    <row r="4709" spans="1:19" x14ac:dyDescent="0.25">
      <c r="A4709" s="1">
        <v>4707</v>
      </c>
      <c r="B4709" t="str">
        <f>HYPERLINK("https://www.dasschnelle.at/nöbauer-victor-raab-marktstrasse","Website")</f>
        <v>Website</v>
      </c>
      <c r="C4709" t="str">
        <f>HYPERLINK("http://een.co.at","Website")</f>
        <v>Website</v>
      </c>
      <c r="D4709" t="str">
        <f>HYPERLINK("http://www.google.com/maps/place/48.35102,13.65451","Location")</f>
        <v>Location</v>
      </c>
      <c r="E4709" t="s">
        <v>40272</v>
      </c>
      <c r="F4709" t="s">
        <v>40273</v>
      </c>
      <c r="G4709" t="s">
        <v>8869</v>
      </c>
      <c r="H4709" t="s">
        <v>8870</v>
      </c>
      <c r="I4709" t="s">
        <v>85</v>
      </c>
      <c r="J4709" t="s">
        <v>22</v>
      </c>
      <c r="K4709" t="s">
        <v>40274</v>
      </c>
      <c r="L4709" t="s">
        <v>27380</v>
      </c>
      <c r="M4709" t="s">
        <v>25</v>
      </c>
      <c r="N4709" t="s">
        <v>25</v>
      </c>
      <c r="O4709" t="s">
        <v>25</v>
      </c>
      <c r="P4709" t="s">
        <v>40275</v>
      </c>
      <c r="Q4709" t="s">
        <v>29</v>
      </c>
      <c r="R4709" t="s">
        <v>27378</v>
      </c>
      <c r="S4709" t="s">
        <v>27379</v>
      </c>
    </row>
    <row r="4710" spans="1:19" x14ac:dyDescent="0.25">
      <c r="A4710" s="1">
        <v>4708</v>
      </c>
      <c r="B4710" t="str">
        <f>HYPERLINK("https://www.dasschnelle.at/atc-gmbh-enns-steyrerstrasse","Website")</f>
        <v>Website</v>
      </c>
      <c r="C4710" t="str">
        <f>HYPERLINK("http://www.atc-elektro.at","Website")</f>
        <v>Website</v>
      </c>
      <c r="D4710" t="str">
        <f>HYPERLINK("http://www.google.com/maps/place/48.2091700,14.4795700","Location")</f>
        <v>Location</v>
      </c>
      <c r="E4710" t="s">
        <v>40276</v>
      </c>
      <c r="F4710" t="s">
        <v>40277</v>
      </c>
      <c r="G4710" t="s">
        <v>3307</v>
      </c>
      <c r="H4710" t="s">
        <v>3308</v>
      </c>
      <c r="I4710" t="s">
        <v>85</v>
      </c>
      <c r="J4710" t="s">
        <v>22</v>
      </c>
      <c r="K4710" t="s">
        <v>40278</v>
      </c>
      <c r="L4710" t="s">
        <v>40281</v>
      </c>
      <c r="M4710" t="s">
        <v>25</v>
      </c>
      <c r="N4710" t="s">
        <v>40282</v>
      </c>
      <c r="O4710" t="s">
        <v>40283</v>
      </c>
      <c r="P4710" t="s">
        <v>40284</v>
      </c>
      <c r="Q4710" t="s">
        <v>29</v>
      </c>
      <c r="R4710" t="s">
        <v>40279</v>
      </c>
      <c r="S4710" t="s">
        <v>40280</v>
      </c>
    </row>
    <row r="4711" spans="1:19" x14ac:dyDescent="0.25">
      <c r="A4711" s="1">
        <v>4709</v>
      </c>
      <c r="B4711" t="str">
        <f>HYPERLINK("https://www.dasschnelle.at/dr-andreas-berger-grieskirchen-steiffstraße","Website")</f>
        <v>Website</v>
      </c>
      <c r="C4711" t="str">
        <f>HYPERLINK("http://www.frauenarzt-grieskirchen.net","Website")</f>
        <v>Website</v>
      </c>
      <c r="D4711" t="str">
        <f>HYPERLINK("http://www.google.com/maps/place/48.23365,13.82068","Location")</f>
        <v>Location</v>
      </c>
      <c r="E4711" t="s">
        <v>40285</v>
      </c>
      <c r="F4711" t="s">
        <v>40286</v>
      </c>
      <c r="G4711" t="s">
        <v>4826</v>
      </c>
      <c r="H4711" t="s">
        <v>4827</v>
      </c>
      <c r="I4711" t="s">
        <v>85</v>
      </c>
      <c r="J4711" t="s">
        <v>22</v>
      </c>
      <c r="K4711" t="s">
        <v>4825</v>
      </c>
      <c r="L4711" t="s">
        <v>40289</v>
      </c>
      <c r="M4711" t="s">
        <v>25</v>
      </c>
      <c r="N4711" t="s">
        <v>40290</v>
      </c>
      <c r="O4711" t="s">
        <v>25</v>
      </c>
      <c r="P4711" t="s">
        <v>40291</v>
      </c>
      <c r="Q4711" t="s">
        <v>29</v>
      </c>
      <c r="R4711" t="s">
        <v>40287</v>
      </c>
      <c r="S4711" t="s">
        <v>40288</v>
      </c>
    </row>
    <row r="4712" spans="1:19" x14ac:dyDescent="0.25">
      <c r="A4712" s="1">
        <v>4710</v>
      </c>
      <c r="B4712" t="str">
        <f>HYPERLINK("https://www.dasschnelle.at/karrer-elektro-gesmbh-sankt-florian-linzer-straße","Website")</f>
        <v>Website</v>
      </c>
      <c r="C4712" t="str">
        <f>HYPERLINK("http://www.karrernet.at","Website")</f>
        <v>Website</v>
      </c>
      <c r="D4712" t="str">
        <f>HYPERLINK("http://www.google.com/maps/place/48.20396,14.37323","Location")</f>
        <v>Location</v>
      </c>
      <c r="E4712" t="s">
        <v>40292</v>
      </c>
      <c r="F4712" t="s">
        <v>40293</v>
      </c>
      <c r="G4712" t="s">
        <v>3388</v>
      </c>
      <c r="H4712" t="s">
        <v>3389</v>
      </c>
      <c r="I4712" t="s">
        <v>85</v>
      </c>
      <c r="J4712" t="s">
        <v>22</v>
      </c>
      <c r="K4712" t="s">
        <v>40294</v>
      </c>
      <c r="L4712" t="s">
        <v>40297</v>
      </c>
      <c r="M4712" t="s">
        <v>40298</v>
      </c>
      <c r="N4712" t="s">
        <v>40299</v>
      </c>
      <c r="O4712" t="s">
        <v>25</v>
      </c>
      <c r="P4712" t="s">
        <v>40300</v>
      </c>
      <c r="Q4712" t="s">
        <v>29</v>
      </c>
      <c r="R4712" t="s">
        <v>40295</v>
      </c>
      <c r="S4712" t="s">
        <v>40296</v>
      </c>
    </row>
    <row r="4713" spans="1:19" x14ac:dyDescent="0.25">
      <c r="A4713" s="1">
        <v>4711</v>
      </c>
      <c r="B4713" t="str">
        <f>HYPERLINK("https://www.dasschnelle.at/stöger-markus-asten-astner-strasse","Website")</f>
        <v>Website</v>
      </c>
      <c r="C4713" t="str">
        <f>HYPERLINK("http://www.malerei-stoeger.at","Website")</f>
        <v>Website</v>
      </c>
      <c r="D4713" t="str">
        <f>HYPERLINK("http://www.google.com/maps/place/48.2188234,14.4202806","Location")</f>
        <v>Location</v>
      </c>
      <c r="E4713" t="s">
        <v>40301</v>
      </c>
      <c r="F4713" t="s">
        <v>40302</v>
      </c>
      <c r="G4713" t="s">
        <v>3333</v>
      </c>
      <c r="H4713" t="s">
        <v>3334</v>
      </c>
      <c r="I4713" t="s">
        <v>85</v>
      </c>
      <c r="J4713" t="s">
        <v>22</v>
      </c>
      <c r="K4713" t="s">
        <v>40303</v>
      </c>
      <c r="L4713" t="s">
        <v>40306</v>
      </c>
      <c r="M4713" t="s">
        <v>25</v>
      </c>
      <c r="N4713" t="s">
        <v>40307</v>
      </c>
      <c r="O4713" t="s">
        <v>25</v>
      </c>
      <c r="P4713" t="s">
        <v>40308</v>
      </c>
      <c r="Q4713" t="s">
        <v>29</v>
      </c>
      <c r="R4713" t="s">
        <v>40304</v>
      </c>
      <c r="S4713" t="s">
        <v>40305</v>
      </c>
    </row>
    <row r="4714" spans="1:19" x14ac:dyDescent="0.25">
      <c r="A4714" s="1">
        <v>4712</v>
      </c>
      <c r="B4714" t="str">
        <f>HYPERLINK("https://www.dasschnelle.at/haustechnik-leitner-gmbh-gallspach-hauptplatz","Website")</f>
        <v>Website</v>
      </c>
      <c r="C4714" t="str">
        <f>HYPERLINK("http://www.haustechnik-leitner.at","Website")</f>
        <v>Website</v>
      </c>
      <c r="D4714" t="str">
        <f>HYPERLINK("http://www.google.com/maps/place/48.20659,13.81466","Location")</f>
        <v>Location</v>
      </c>
      <c r="E4714" t="s">
        <v>40309</v>
      </c>
      <c r="F4714" t="s">
        <v>40310</v>
      </c>
      <c r="G4714" t="s">
        <v>7365</v>
      </c>
      <c r="H4714" t="s">
        <v>7366</v>
      </c>
      <c r="I4714" t="s">
        <v>85</v>
      </c>
      <c r="J4714" t="s">
        <v>22</v>
      </c>
      <c r="K4714" t="s">
        <v>1594</v>
      </c>
      <c r="L4714" t="s">
        <v>40313</v>
      </c>
      <c r="M4714" t="s">
        <v>25</v>
      </c>
      <c r="N4714" t="s">
        <v>40314</v>
      </c>
      <c r="O4714" t="s">
        <v>25</v>
      </c>
      <c r="P4714" t="s">
        <v>697</v>
      </c>
      <c r="Q4714" t="s">
        <v>29</v>
      </c>
      <c r="R4714" t="s">
        <v>40311</v>
      </c>
      <c r="S4714" t="s">
        <v>40312</v>
      </c>
    </row>
    <row r="4715" spans="1:19" x14ac:dyDescent="0.25">
      <c r="A4715" s="1">
        <v>4713</v>
      </c>
      <c r="B4715" t="str">
        <f>HYPERLINK("https://www.dasschnelle.at/silvia-fötsch-mooskirchen-oberer-markt","Website")</f>
        <v>Website</v>
      </c>
      <c r="C4715" t="str">
        <f>HYPERLINK("http://www.silvias-haarkunst.at","Website")</f>
        <v>Website</v>
      </c>
      <c r="D4715" t="str">
        <f>HYPERLINK("http://www.google.com/maps/place/46.98548,15.28108","Location")</f>
        <v>Location</v>
      </c>
      <c r="E4715" t="s">
        <v>40315</v>
      </c>
      <c r="F4715" t="s">
        <v>40316</v>
      </c>
      <c r="G4715" t="s">
        <v>36760</v>
      </c>
      <c r="H4715" t="s">
        <v>36761</v>
      </c>
      <c r="I4715" t="s">
        <v>451</v>
      </c>
      <c r="J4715" t="s">
        <v>22</v>
      </c>
      <c r="K4715" t="s">
        <v>40317</v>
      </c>
      <c r="L4715" t="s">
        <v>40320</v>
      </c>
      <c r="M4715" t="s">
        <v>25</v>
      </c>
      <c r="N4715" t="s">
        <v>40321</v>
      </c>
      <c r="O4715" t="s">
        <v>40322</v>
      </c>
      <c r="P4715" t="s">
        <v>40323</v>
      </c>
      <c r="Q4715" t="s">
        <v>29</v>
      </c>
      <c r="R4715" t="s">
        <v>40318</v>
      </c>
      <c r="S4715" t="s">
        <v>40319</v>
      </c>
    </row>
    <row r="4716" spans="1:19" x14ac:dyDescent="0.25">
      <c r="A4716" s="1">
        <v>4714</v>
      </c>
      <c r="B4716" t="str">
        <f>HYPERLINK("https://www.dasschnelle.at/stadtgemeinde-fischamend-fischamend-gregerstraße","Website")</f>
        <v>Website</v>
      </c>
      <c r="C4716" t="str">
        <f>HYPERLINK("http://www.fischamend.gv.at","Website")</f>
        <v>Website</v>
      </c>
      <c r="D4716" t="str">
        <f>HYPERLINK("http://www.google.com/maps/place/48.11809,16.61179","Location")</f>
        <v>Location</v>
      </c>
      <c r="E4716" t="s">
        <v>40324</v>
      </c>
      <c r="F4716" t="s">
        <v>40325</v>
      </c>
      <c r="G4716" t="s">
        <v>9720</v>
      </c>
      <c r="H4716" t="s">
        <v>40327</v>
      </c>
      <c r="I4716" t="s">
        <v>177</v>
      </c>
      <c r="J4716" t="s">
        <v>22</v>
      </c>
      <c r="K4716" t="s">
        <v>40326</v>
      </c>
      <c r="L4716" t="s">
        <v>40330</v>
      </c>
      <c r="M4716" t="s">
        <v>25</v>
      </c>
      <c r="N4716" t="s">
        <v>40331</v>
      </c>
      <c r="O4716" t="s">
        <v>40332</v>
      </c>
      <c r="P4716" t="s">
        <v>40333</v>
      </c>
      <c r="Q4716" t="s">
        <v>29</v>
      </c>
      <c r="R4716" t="s">
        <v>40328</v>
      </c>
      <c r="S4716" t="s">
        <v>40329</v>
      </c>
    </row>
    <row r="4717" spans="1:19" x14ac:dyDescent="0.25">
      <c r="A4717" s="1">
        <v>4715</v>
      </c>
      <c r="B4717" t="str">
        <f>HYPERLINK("https://www.dasschnelle.at/bestattung-lang-eu-gramatneusiedl-oberortsstraße","Website")</f>
        <v>Website</v>
      </c>
      <c r="C4717" t="str">
        <f>HYPERLINK("http://www.bestattung-lang.at","Website")</f>
        <v>Website</v>
      </c>
      <c r="D4717" t="str">
        <f>HYPERLINK("http://www.google.com/maps/place/48.02827,16.48856","Location")</f>
        <v>Location</v>
      </c>
      <c r="E4717" t="s">
        <v>40334</v>
      </c>
      <c r="F4717" t="s">
        <v>40335</v>
      </c>
      <c r="G4717" t="s">
        <v>9699</v>
      </c>
      <c r="H4717" t="s">
        <v>9700</v>
      </c>
      <c r="I4717" t="s">
        <v>177</v>
      </c>
      <c r="J4717" t="s">
        <v>22</v>
      </c>
      <c r="K4717" t="s">
        <v>40336</v>
      </c>
      <c r="L4717" t="s">
        <v>40339</v>
      </c>
      <c r="M4717" t="s">
        <v>40340</v>
      </c>
      <c r="N4717" t="s">
        <v>40341</v>
      </c>
      <c r="O4717" t="s">
        <v>25</v>
      </c>
      <c r="P4717" t="s">
        <v>40342</v>
      </c>
      <c r="Q4717" t="s">
        <v>29</v>
      </c>
      <c r="R4717" t="s">
        <v>40337</v>
      </c>
      <c r="S4717" t="s">
        <v>40338</v>
      </c>
    </row>
    <row r="4718" spans="1:19" x14ac:dyDescent="0.25">
      <c r="A4718" s="1">
        <v>4716</v>
      </c>
      <c r="B4718" t="str">
        <f>HYPERLINK("https://www.dasschnelle.at/tupperware-angelika-fleischhacker-hitzendorf-hitzendorf","Website")</f>
        <v>Website</v>
      </c>
      <c r="C4718" t="str">
        <f>HYPERLINK("http://angelika-fleischhacker-eu-tupperware.business.site","Website")</f>
        <v>Website</v>
      </c>
      <c r="D4718" t="str">
        <f>HYPERLINK("http://www.google.com/maps/place/47.0344100,15.2999000","Location")</f>
        <v>Location</v>
      </c>
      <c r="E4718" t="s">
        <v>40343</v>
      </c>
      <c r="F4718" t="s">
        <v>40344</v>
      </c>
      <c r="G4718" t="s">
        <v>7844</v>
      </c>
      <c r="H4718" t="s">
        <v>7845</v>
      </c>
      <c r="I4718" t="s">
        <v>451</v>
      </c>
      <c r="J4718" t="s">
        <v>22</v>
      </c>
      <c r="K4718" t="s">
        <v>40345</v>
      </c>
      <c r="L4718" t="s">
        <v>40348</v>
      </c>
      <c r="M4718" t="s">
        <v>25</v>
      </c>
      <c r="N4718" t="s">
        <v>40349</v>
      </c>
      <c r="O4718" t="s">
        <v>25</v>
      </c>
      <c r="P4718" t="s">
        <v>40350</v>
      </c>
      <c r="Q4718" t="s">
        <v>29</v>
      </c>
      <c r="R4718" t="s">
        <v>40346</v>
      </c>
      <c r="S4718" t="s">
        <v>40347</v>
      </c>
    </row>
    <row r="4719" spans="1:19" x14ac:dyDescent="0.25">
      <c r="A4719" s="1">
        <v>4717</v>
      </c>
      <c r="B4719" t="str">
        <f>HYPERLINK("https://www.dasschnelle.at/jung-immobilien-gmbh-sattledt-tassilostraße","Website")</f>
        <v>Website</v>
      </c>
      <c r="C4719" t="str">
        <f>HYPERLINK("http://www.jung-immobilien.at","Website")</f>
        <v>Website</v>
      </c>
      <c r="D4719" t="str">
        <f>HYPERLINK("http://www.google.com/maps/place/48.0719600,14.0544700","Location")</f>
        <v>Location</v>
      </c>
      <c r="E4719" t="s">
        <v>40351</v>
      </c>
      <c r="F4719" t="s">
        <v>40352</v>
      </c>
      <c r="G4719" t="s">
        <v>10896</v>
      </c>
      <c r="H4719" t="s">
        <v>10897</v>
      </c>
      <c r="I4719" t="s">
        <v>85</v>
      </c>
      <c r="J4719" t="s">
        <v>22</v>
      </c>
      <c r="K4719" t="s">
        <v>40353</v>
      </c>
      <c r="L4719" t="s">
        <v>40356</v>
      </c>
      <c r="M4719" t="s">
        <v>25</v>
      </c>
      <c r="N4719" t="s">
        <v>40357</v>
      </c>
      <c r="O4719" t="s">
        <v>25</v>
      </c>
      <c r="P4719" t="s">
        <v>40358</v>
      </c>
      <c r="Q4719" t="s">
        <v>29</v>
      </c>
      <c r="R4719" t="s">
        <v>40354</v>
      </c>
      <c r="S4719" t="s">
        <v>40355</v>
      </c>
    </row>
    <row r="4720" spans="1:19" x14ac:dyDescent="0.25">
      <c r="A4720" s="1">
        <v>4718</v>
      </c>
      <c r="B4720" t="str">
        <f>HYPERLINK("https://www.dasschnelle.at/hetzmannseder-norbert-dr-rohrbach-gerberweg","Website")</f>
        <v>Website</v>
      </c>
      <c r="C4720" t="str">
        <f>HYPERLINK("http://www.tierarzt-rohrbach.at","Website")</f>
        <v>Website</v>
      </c>
      <c r="D4720" t="str">
        <f>HYPERLINK("http://www.google.com/maps/place/48.58156,14.04613","Location")</f>
        <v>Location</v>
      </c>
      <c r="E4720" t="s">
        <v>40359</v>
      </c>
      <c r="F4720" t="s">
        <v>40360</v>
      </c>
      <c r="G4720" t="s">
        <v>8561</v>
      </c>
      <c r="H4720" t="s">
        <v>8562</v>
      </c>
      <c r="I4720" t="s">
        <v>85</v>
      </c>
      <c r="J4720" t="s">
        <v>22</v>
      </c>
      <c r="K4720" t="s">
        <v>37473</v>
      </c>
      <c r="L4720" t="s">
        <v>40363</v>
      </c>
      <c r="M4720" t="s">
        <v>25</v>
      </c>
      <c r="N4720" t="s">
        <v>40364</v>
      </c>
      <c r="O4720" t="s">
        <v>25</v>
      </c>
      <c r="P4720" t="s">
        <v>40365</v>
      </c>
      <c r="Q4720" t="s">
        <v>29</v>
      </c>
      <c r="R4720" t="s">
        <v>40361</v>
      </c>
      <c r="S4720" t="s">
        <v>40362</v>
      </c>
    </row>
    <row r="4721" spans="1:19" x14ac:dyDescent="0.25">
      <c r="A4721" s="1">
        <v>4719</v>
      </c>
      <c r="B4721" t="str">
        <f>HYPERLINK("https://www.dasschnelle.at/kern-siegfried-walter-ddr-murau-schwarzenbergstraße","Website")</f>
        <v>Website</v>
      </c>
      <c r="C4721" t="str">
        <f>HYPERLINK("https://www.dasschnelle.at/kern-siegfried-walter-ddr-murau-schwarzenbergstra%C3%9Fe","Website")</f>
        <v>Website</v>
      </c>
      <c r="D4721" t="str">
        <f>HYPERLINK("http://www.google.com/maps/place/47.11123,14.17046","Location")</f>
        <v>Location</v>
      </c>
      <c r="E4721" t="s">
        <v>40366</v>
      </c>
      <c r="F4721" t="s">
        <v>40367</v>
      </c>
      <c r="G4721" t="s">
        <v>12112</v>
      </c>
      <c r="H4721" t="s">
        <v>12113</v>
      </c>
      <c r="I4721" t="s">
        <v>451</v>
      </c>
      <c r="J4721" t="s">
        <v>22</v>
      </c>
      <c r="K4721" t="s">
        <v>40368</v>
      </c>
      <c r="L4721" t="s">
        <v>40371</v>
      </c>
      <c r="M4721" t="s">
        <v>25</v>
      </c>
      <c r="N4721" t="s">
        <v>40372</v>
      </c>
      <c r="O4721" t="s">
        <v>25</v>
      </c>
      <c r="P4721" t="s">
        <v>40373</v>
      </c>
      <c r="Q4721" t="s">
        <v>29</v>
      </c>
      <c r="R4721" t="s">
        <v>40369</v>
      </c>
      <c r="S4721" t="s">
        <v>40370</v>
      </c>
    </row>
    <row r="4722" spans="1:19" x14ac:dyDescent="0.25">
      <c r="A4722" s="1">
        <v>4720</v>
      </c>
      <c r="B4722" t="str">
        <f>HYPERLINK("https://www.dasschnelle.at/brunner-andrea-wieselburg-wiener-straße","Website")</f>
        <v>Website</v>
      </c>
      <c r="C4722" t="str">
        <f>HYPERLINK("http://www.kammundschere.com","Website")</f>
        <v>Website</v>
      </c>
      <c r="D4722" t="str">
        <f>HYPERLINK("http://www.google.com/maps/place/48.13443,15.14204","Location")</f>
        <v>Location</v>
      </c>
      <c r="E4722" t="s">
        <v>40374</v>
      </c>
      <c r="F4722" t="s">
        <v>40375</v>
      </c>
      <c r="G4722" t="s">
        <v>9881</v>
      </c>
      <c r="H4722" t="s">
        <v>10007</v>
      </c>
      <c r="I4722" t="s">
        <v>177</v>
      </c>
      <c r="J4722" t="s">
        <v>22</v>
      </c>
      <c r="K4722" t="s">
        <v>40376</v>
      </c>
      <c r="L4722" t="s">
        <v>40379</v>
      </c>
      <c r="M4722" t="s">
        <v>25</v>
      </c>
      <c r="N4722" t="s">
        <v>40380</v>
      </c>
      <c r="O4722" t="s">
        <v>25</v>
      </c>
      <c r="P4722" t="s">
        <v>40381</v>
      </c>
      <c r="Q4722" t="s">
        <v>29</v>
      </c>
      <c r="R4722" t="s">
        <v>40377</v>
      </c>
      <c r="S4722" t="s">
        <v>40378</v>
      </c>
    </row>
    <row r="4723" spans="1:19" x14ac:dyDescent="0.25">
      <c r="A4723" s="1">
        <v>4721</v>
      </c>
      <c r="B4723" t="str">
        <f>HYPERLINK("https://www.dasschnelle.at/autohaus-wang-im-alpenvorland-gmbh-wang-oberer-markt","Website")</f>
        <v>Website</v>
      </c>
      <c r="C4723" t="str">
        <f>HYPERLINK("http://www.autohaus-alpenvorland.at","Website")</f>
        <v>Website</v>
      </c>
      <c r="D4723" t="str">
        <f>HYPERLINK("http://www.google.com/maps/place/48.04133,15.02238","Location")</f>
        <v>Location</v>
      </c>
      <c r="E4723" t="s">
        <v>40382</v>
      </c>
      <c r="F4723" t="s">
        <v>40383</v>
      </c>
      <c r="G4723" t="s">
        <v>10143</v>
      </c>
      <c r="H4723" t="s">
        <v>10144</v>
      </c>
      <c r="I4723" t="s">
        <v>177</v>
      </c>
      <c r="J4723" t="s">
        <v>22</v>
      </c>
      <c r="K4723" t="s">
        <v>40384</v>
      </c>
      <c r="L4723" t="s">
        <v>40387</v>
      </c>
      <c r="M4723" t="s">
        <v>25</v>
      </c>
      <c r="N4723" t="s">
        <v>40388</v>
      </c>
      <c r="O4723" t="s">
        <v>40389</v>
      </c>
      <c r="P4723" t="s">
        <v>40390</v>
      </c>
      <c r="Q4723" t="s">
        <v>29</v>
      </c>
      <c r="R4723" t="s">
        <v>40385</v>
      </c>
      <c r="S4723" t="s">
        <v>40386</v>
      </c>
    </row>
    <row r="4724" spans="1:19" x14ac:dyDescent="0.25">
      <c r="A4724" s="1">
        <v>4722</v>
      </c>
      <c r="B4724" t="str">
        <f>HYPERLINK("https://www.dasschnelle.at/mayrhofer-floristik-e-u-purgstall-feichsenstraße","Website")</f>
        <v>Website</v>
      </c>
      <c r="C4724" t="str">
        <f>HYPERLINK("http://www.blumen-mayrhofer.at","Website")</f>
        <v>Website</v>
      </c>
      <c r="D4724" t="str">
        <f>HYPERLINK("http://www.google.com/maps/place/48.0574949,15.1324515","Location")</f>
        <v>Location</v>
      </c>
      <c r="E4724" t="s">
        <v>40391</v>
      </c>
      <c r="F4724" t="s">
        <v>40392</v>
      </c>
      <c r="G4724" t="s">
        <v>9909</v>
      </c>
      <c r="H4724" t="s">
        <v>9910</v>
      </c>
      <c r="I4724" t="s">
        <v>177</v>
      </c>
      <c r="J4724" t="s">
        <v>22</v>
      </c>
      <c r="K4724" t="s">
        <v>40393</v>
      </c>
      <c r="L4724" t="s">
        <v>40396</v>
      </c>
      <c r="M4724" t="s">
        <v>25</v>
      </c>
      <c r="N4724" t="s">
        <v>40397</v>
      </c>
      <c r="O4724" t="s">
        <v>40398</v>
      </c>
      <c r="P4724" t="s">
        <v>40399</v>
      </c>
      <c r="Q4724" t="s">
        <v>29</v>
      </c>
      <c r="R4724" t="s">
        <v>40394</v>
      </c>
      <c r="S4724" t="s">
        <v>40395</v>
      </c>
    </row>
    <row r="4725" spans="1:19" x14ac:dyDescent="0.25">
      <c r="A4725" s="1">
        <v>4723</v>
      </c>
      <c r="B4725" t="str">
        <f>HYPERLINK("https://www.dasschnelle.at/michis-sunrise-köflach-grazerstraße","Website")</f>
        <v>Website</v>
      </c>
      <c r="C4725" t="str">
        <f>HYPERLINK("https://www.dasschnelle.at/michis-sunrise-k%C3%B6flach-grazerstra%C3%9Fe","Website")</f>
        <v>Website</v>
      </c>
      <c r="D4725" t="str">
        <f>HYPERLINK("http://www.google.com/maps/place/47.0642400,15.0871100","Location")</f>
        <v>Location</v>
      </c>
      <c r="E4725" t="s">
        <v>40400</v>
      </c>
      <c r="F4725" t="s">
        <v>40401</v>
      </c>
      <c r="G4725" t="s">
        <v>4582</v>
      </c>
      <c r="H4725" t="s">
        <v>4583</v>
      </c>
      <c r="I4725" t="s">
        <v>451</v>
      </c>
      <c r="J4725" t="s">
        <v>22</v>
      </c>
      <c r="K4725" t="s">
        <v>40402</v>
      </c>
      <c r="L4725" t="s">
        <v>40405</v>
      </c>
      <c r="M4725" t="s">
        <v>25</v>
      </c>
      <c r="N4725" t="s">
        <v>40406</v>
      </c>
      <c r="O4725" t="s">
        <v>25</v>
      </c>
      <c r="P4725" t="s">
        <v>40407</v>
      </c>
      <c r="Q4725" t="s">
        <v>29</v>
      </c>
      <c r="R4725" t="s">
        <v>40403</v>
      </c>
      <c r="S4725" t="s">
        <v>40404</v>
      </c>
    </row>
    <row r="4726" spans="1:19" x14ac:dyDescent="0.25">
      <c r="A4726" s="1">
        <v>4724</v>
      </c>
      <c r="B4726" t="str">
        <f>HYPERLINK("https://www.dasschnelle.at/heinzi-s-montage-köflach-packerstraße","Website")</f>
        <v>Website</v>
      </c>
      <c r="C4726" t="str">
        <f>HYPERLINK("https://www.dasschnelle.at/heinzi-s-montage-k%C3%B6flach-packerstra%C3%9Fe","Website")</f>
        <v>Website</v>
      </c>
      <c r="D4726" t="str">
        <f>HYPERLINK("http://www.google.com/maps/place/47.0492000,15.0716500","Location")</f>
        <v>Location</v>
      </c>
      <c r="E4726" t="s">
        <v>40408</v>
      </c>
      <c r="F4726" t="s">
        <v>40409</v>
      </c>
      <c r="G4726" t="s">
        <v>4582</v>
      </c>
      <c r="H4726" t="s">
        <v>4583</v>
      </c>
      <c r="I4726" t="s">
        <v>451</v>
      </c>
      <c r="J4726" t="s">
        <v>22</v>
      </c>
      <c r="K4726" t="s">
        <v>40410</v>
      </c>
      <c r="L4726" t="s">
        <v>40413</v>
      </c>
      <c r="M4726" t="s">
        <v>25</v>
      </c>
      <c r="N4726" t="s">
        <v>40414</v>
      </c>
      <c r="O4726" t="s">
        <v>25</v>
      </c>
      <c r="P4726" t="s">
        <v>40415</v>
      </c>
      <c r="Q4726" t="s">
        <v>29</v>
      </c>
      <c r="R4726" t="s">
        <v>40411</v>
      </c>
      <c r="S4726" t="s">
        <v>40412</v>
      </c>
    </row>
    <row r="4727" spans="1:19" x14ac:dyDescent="0.25">
      <c r="A4727" s="1">
        <v>4725</v>
      </c>
      <c r="B4727" t="str">
        <f>HYPERLINK("https://www.dasschnelle.at/geodata-oö-zt-gmbh-sattledt-tassilostraße","Website")</f>
        <v>Website</v>
      </c>
      <c r="C4727" t="str">
        <f>HYPERLINK("http://www.geodata.com","Website")</f>
        <v>Website</v>
      </c>
      <c r="D4727" t="str">
        <f>HYPERLINK("http://www.google.com/maps/place/48.07209,14.05423","Location")</f>
        <v>Location</v>
      </c>
      <c r="E4727" t="s">
        <v>40416</v>
      </c>
      <c r="F4727" t="s">
        <v>40417</v>
      </c>
      <c r="G4727" t="s">
        <v>10896</v>
      </c>
      <c r="H4727" t="s">
        <v>10897</v>
      </c>
      <c r="I4727" t="s">
        <v>85</v>
      </c>
      <c r="J4727" t="s">
        <v>22</v>
      </c>
      <c r="K4727" t="s">
        <v>40418</v>
      </c>
      <c r="L4727" t="s">
        <v>40421</v>
      </c>
      <c r="M4727" t="s">
        <v>25</v>
      </c>
      <c r="N4727" t="s">
        <v>40422</v>
      </c>
      <c r="O4727" t="s">
        <v>25</v>
      </c>
      <c r="P4727" t="s">
        <v>40423</v>
      </c>
      <c r="Q4727" t="s">
        <v>29</v>
      </c>
      <c r="R4727" t="s">
        <v>40419</v>
      </c>
      <c r="S4727" t="s">
        <v>40420</v>
      </c>
    </row>
    <row r="4728" spans="1:19" x14ac:dyDescent="0.25">
      <c r="A4728" s="1">
        <v>4726</v>
      </c>
      <c r="B4728" t="str">
        <f>HYPERLINK("https://www.dasschnelle.at/stockinger-stefan-gresten-wieselburger-straße","Website")</f>
        <v>Website</v>
      </c>
      <c r="C4728" t="str">
        <f>HYPERLINK("http://www.ofen-stockinger.at","Website")</f>
        <v>Website</v>
      </c>
      <c r="D4728" t="str">
        <f>HYPERLINK("http://www.google.com/maps/place/47.98793,15.02435","Location")</f>
        <v>Location</v>
      </c>
      <c r="E4728" t="s">
        <v>40424</v>
      </c>
      <c r="F4728" t="s">
        <v>40425</v>
      </c>
      <c r="G4728" t="s">
        <v>9890</v>
      </c>
      <c r="H4728" t="s">
        <v>9930</v>
      </c>
      <c r="I4728" t="s">
        <v>177</v>
      </c>
      <c r="J4728" t="s">
        <v>22</v>
      </c>
      <c r="K4728" t="s">
        <v>40426</v>
      </c>
      <c r="L4728" t="s">
        <v>40429</v>
      </c>
      <c r="M4728" t="s">
        <v>40430</v>
      </c>
      <c r="N4728" t="s">
        <v>40431</v>
      </c>
      <c r="O4728" t="s">
        <v>40432</v>
      </c>
      <c r="P4728" t="s">
        <v>40433</v>
      </c>
      <c r="Q4728" t="s">
        <v>29</v>
      </c>
      <c r="R4728" t="s">
        <v>40427</v>
      </c>
      <c r="S4728" t="s">
        <v>40428</v>
      </c>
    </row>
    <row r="4729" spans="1:19" x14ac:dyDescent="0.25">
      <c r="A4729" s="1">
        <v>4727</v>
      </c>
      <c r="B4729" t="str">
        <f>HYPERLINK("https://www.dasschnelle.at/cafe-stadtor-voitsberg-hauptplatz","Website")</f>
        <v>Website</v>
      </c>
      <c r="C4729" t="str">
        <f>HYPERLINK("https://www.dasschnelle.at/cafe-stadtor-voitsberg-hauptplatz","Website")</f>
        <v>Website</v>
      </c>
      <c r="D4729" t="str">
        <f>HYPERLINK("http://www.google.com/maps/place/47.0504100,15.1473300","Location")</f>
        <v>Location</v>
      </c>
      <c r="E4729" t="s">
        <v>40434</v>
      </c>
      <c r="F4729" t="s">
        <v>40435</v>
      </c>
      <c r="G4729" t="s">
        <v>4572</v>
      </c>
      <c r="H4729" t="s">
        <v>4573</v>
      </c>
      <c r="I4729" t="s">
        <v>451</v>
      </c>
      <c r="J4729" t="s">
        <v>22</v>
      </c>
      <c r="K4729" t="s">
        <v>2833</v>
      </c>
      <c r="L4729" t="s">
        <v>40438</v>
      </c>
      <c r="M4729" t="s">
        <v>25</v>
      </c>
      <c r="N4729" t="s">
        <v>40439</v>
      </c>
      <c r="O4729" t="s">
        <v>25</v>
      </c>
      <c r="P4729" t="s">
        <v>40440</v>
      </c>
      <c r="Q4729" t="s">
        <v>29</v>
      </c>
      <c r="R4729" t="s">
        <v>40436</v>
      </c>
      <c r="S4729" t="s">
        <v>40437</v>
      </c>
    </row>
    <row r="4730" spans="1:19" x14ac:dyDescent="0.25">
      <c r="A4730" s="1">
        <v>4728</v>
      </c>
      <c r="B4730" t="str">
        <f>HYPERLINK("https://www.dasschnelle.at/cup-gmbh-wang-oberer-markt","Website")</f>
        <v>Website</v>
      </c>
      <c r="C4730" t="str">
        <f>HYPERLINK("https://www.dasschnelle.at/cup-gmbh-wang-oberer-markt","Website")</f>
        <v>Website</v>
      </c>
      <c r="D4730" t="str">
        <f>HYPERLINK("http://www.google.com/maps/place/48.04133,15.02238","Location")</f>
        <v>Location</v>
      </c>
      <c r="E4730" t="s">
        <v>40441</v>
      </c>
      <c r="F4730" t="s">
        <v>40442</v>
      </c>
      <c r="G4730" t="s">
        <v>10143</v>
      </c>
      <c r="H4730" t="s">
        <v>10144</v>
      </c>
      <c r="I4730" t="s">
        <v>177</v>
      </c>
      <c r="J4730" t="s">
        <v>22</v>
      </c>
      <c r="K4730" t="s">
        <v>40384</v>
      </c>
      <c r="L4730" t="s">
        <v>40443</v>
      </c>
      <c r="M4730" t="s">
        <v>25</v>
      </c>
      <c r="N4730" t="s">
        <v>40444</v>
      </c>
      <c r="O4730" t="s">
        <v>25</v>
      </c>
      <c r="P4730" t="s">
        <v>40445</v>
      </c>
      <c r="Q4730" t="s">
        <v>29</v>
      </c>
      <c r="R4730" t="s">
        <v>40385</v>
      </c>
      <c r="S4730" t="s">
        <v>40386</v>
      </c>
    </row>
    <row r="4731" spans="1:19" x14ac:dyDescent="0.25">
      <c r="A4731" s="1">
        <v>4729</v>
      </c>
      <c r="B4731" t="str">
        <f>HYPERLINK("https://www.dasschnelle.at/tischlerei-spiesberger-weißkirchen-fasanenweg","Website")</f>
        <v>Website</v>
      </c>
      <c r="C4731" t="str">
        <f>HYPERLINK("http://www.wohnraumplaner.at","Website")</f>
        <v>Website</v>
      </c>
      <c r="D4731" t="str">
        <f>HYPERLINK("http://www.google.com/maps/place/48.1635084,14.1185244","Location")</f>
        <v>Location</v>
      </c>
      <c r="E4731" t="s">
        <v>40446</v>
      </c>
      <c r="F4731" t="s">
        <v>40447</v>
      </c>
      <c r="G4731" t="s">
        <v>32148</v>
      </c>
      <c r="H4731" t="s">
        <v>32149</v>
      </c>
      <c r="I4731" t="s">
        <v>85</v>
      </c>
      <c r="J4731" t="s">
        <v>22</v>
      </c>
      <c r="K4731" t="s">
        <v>40448</v>
      </c>
      <c r="L4731" t="s">
        <v>40451</v>
      </c>
      <c r="M4731" t="s">
        <v>25</v>
      </c>
      <c r="N4731" t="s">
        <v>40452</v>
      </c>
      <c r="O4731" t="s">
        <v>25</v>
      </c>
      <c r="P4731" t="s">
        <v>697</v>
      </c>
      <c r="Q4731" t="s">
        <v>29</v>
      </c>
      <c r="R4731" t="s">
        <v>40449</v>
      </c>
      <c r="S4731" t="s">
        <v>40450</v>
      </c>
    </row>
    <row r="4732" spans="1:19" x14ac:dyDescent="0.25">
      <c r="A4732" s="1">
        <v>4730</v>
      </c>
      <c r="B4732" t="str">
        <f>HYPERLINK("https://www.dasschnelle.at/ewald-leichtfried-gmbh-und-co-kg-göstling-an-der-ybbs-stixenlehen","Website")</f>
        <v>Website</v>
      </c>
      <c r="C4732" t="str">
        <f>HYPERLINK("http://www.leichtfried-dach.at","Website")</f>
        <v>Website</v>
      </c>
      <c r="D4732" t="str">
        <f>HYPERLINK("http://www.google.com/maps/place/47.8060752,14.9380189","Location")</f>
        <v>Location</v>
      </c>
      <c r="E4732" t="s">
        <v>40453</v>
      </c>
      <c r="F4732" t="s">
        <v>40454</v>
      </c>
      <c r="G4732" t="s">
        <v>10032</v>
      </c>
      <c r="H4732" t="s">
        <v>10033</v>
      </c>
      <c r="I4732" t="s">
        <v>177</v>
      </c>
      <c r="J4732" t="s">
        <v>22</v>
      </c>
      <c r="K4732" t="s">
        <v>40455</v>
      </c>
      <c r="L4732" t="s">
        <v>40458</v>
      </c>
      <c r="M4732" t="s">
        <v>25</v>
      </c>
      <c r="N4732" t="s">
        <v>40459</v>
      </c>
      <c r="O4732" t="s">
        <v>40460</v>
      </c>
      <c r="P4732" t="s">
        <v>40461</v>
      </c>
      <c r="Q4732" t="s">
        <v>29</v>
      </c>
      <c r="R4732" t="s">
        <v>40456</v>
      </c>
      <c r="S4732" t="s">
        <v>40457</v>
      </c>
    </row>
    <row r="4733" spans="1:19" x14ac:dyDescent="0.25">
      <c r="A4733" s="1">
        <v>4731</v>
      </c>
      <c r="B4733" t="str">
        <f>HYPERLINK("https://www.dasschnelle.at/franzesko-stein-mit-system-gmbh-pram-gstöcket","Website")</f>
        <v>Website</v>
      </c>
      <c r="C4733" t="str">
        <f>HYPERLINK("http://www.stein-franzesko.at","Website")</f>
        <v>Website</v>
      </c>
      <c r="D4733" t="str">
        <f>HYPERLINK("http://www.google.com/maps/place/48.23415,13.60622","Location")</f>
        <v>Location</v>
      </c>
      <c r="E4733" t="s">
        <v>40462</v>
      </c>
      <c r="F4733" t="s">
        <v>40463</v>
      </c>
      <c r="G4733" t="s">
        <v>40465</v>
      </c>
      <c r="H4733" t="s">
        <v>40466</v>
      </c>
      <c r="I4733" t="s">
        <v>85</v>
      </c>
      <c r="J4733" t="s">
        <v>22</v>
      </c>
      <c r="K4733" t="s">
        <v>40464</v>
      </c>
      <c r="L4733" t="s">
        <v>40469</v>
      </c>
      <c r="M4733" t="s">
        <v>25</v>
      </c>
      <c r="N4733" t="s">
        <v>40470</v>
      </c>
      <c r="O4733" t="s">
        <v>40471</v>
      </c>
      <c r="P4733" t="s">
        <v>40472</v>
      </c>
      <c r="Q4733" t="s">
        <v>29</v>
      </c>
      <c r="R4733" t="s">
        <v>40467</v>
      </c>
      <c r="S4733" t="s">
        <v>40468</v>
      </c>
    </row>
    <row r="4734" spans="1:19" x14ac:dyDescent="0.25">
      <c r="A4734" s="1">
        <v>4732</v>
      </c>
      <c r="B4734" t="str">
        <f>HYPERLINK("https://www.dasschnelle.at/rosian-peter-dr-med-univ-et-med-dent-stadl-an-der-mur","Website")</f>
        <v>Website</v>
      </c>
      <c r="C4734" t="str">
        <f>HYPERLINK("http://www.rosian.at","Website")</f>
        <v>Website</v>
      </c>
      <c r="D4734" t="str">
        <f>HYPERLINK("http://www.google.com/maps/place/47.0859090,13.9796116","Location")</f>
        <v>Location</v>
      </c>
      <c r="E4734" t="s">
        <v>40473</v>
      </c>
      <c r="F4734" t="s">
        <v>40474</v>
      </c>
      <c r="G4734" t="s">
        <v>12082</v>
      </c>
      <c r="H4734" t="s">
        <v>12140</v>
      </c>
      <c r="I4734" t="s">
        <v>451</v>
      </c>
      <c r="J4734" t="s">
        <v>22</v>
      </c>
      <c r="K4734" t="s">
        <v>25</v>
      </c>
      <c r="L4734" t="s">
        <v>40475</v>
      </c>
      <c r="M4734" t="s">
        <v>39981</v>
      </c>
      <c r="N4734" t="s">
        <v>39982</v>
      </c>
      <c r="O4734" t="s">
        <v>25</v>
      </c>
      <c r="P4734" t="s">
        <v>40476</v>
      </c>
      <c r="Q4734" t="s">
        <v>29</v>
      </c>
      <c r="R4734" t="s">
        <v>39978</v>
      </c>
      <c r="S4734" t="s">
        <v>39979</v>
      </c>
    </row>
    <row r="4735" spans="1:19" x14ac:dyDescent="0.25">
      <c r="A4735" s="1">
        <v>4733</v>
      </c>
      <c r="B4735" t="str">
        <f>HYPERLINK("https://www.dasschnelle.at/stankovic-dario-tumeltsham-hannesgrub-süd","Website")</f>
        <v>Website</v>
      </c>
      <c r="C4735" t="str">
        <f>HYPERLINK("http://www.auto-bramer.at","Website")</f>
        <v>Website</v>
      </c>
      <c r="D4735" t="str">
        <f>HYPERLINK("http://www.google.com/maps/place/48.2175727,13.4978991","Location")</f>
        <v>Location</v>
      </c>
      <c r="E4735" t="s">
        <v>40477</v>
      </c>
      <c r="F4735" t="s">
        <v>40478</v>
      </c>
      <c r="G4735" t="s">
        <v>37821</v>
      </c>
      <c r="H4735" t="s">
        <v>37822</v>
      </c>
      <c r="I4735" t="s">
        <v>85</v>
      </c>
      <c r="J4735" t="s">
        <v>22</v>
      </c>
      <c r="K4735" t="s">
        <v>40479</v>
      </c>
      <c r="L4735" t="s">
        <v>40482</v>
      </c>
      <c r="M4735" t="s">
        <v>25</v>
      </c>
      <c r="N4735" t="s">
        <v>40483</v>
      </c>
      <c r="O4735" t="s">
        <v>25</v>
      </c>
      <c r="P4735" t="s">
        <v>40484</v>
      </c>
      <c r="Q4735" t="s">
        <v>29</v>
      </c>
      <c r="R4735" t="s">
        <v>40480</v>
      </c>
      <c r="S4735" t="s">
        <v>40481</v>
      </c>
    </row>
    <row r="4736" spans="1:19" x14ac:dyDescent="0.25">
      <c r="A4736" s="1">
        <v>4734</v>
      </c>
      <c r="B4736" t="str">
        <f>HYPERLINK("https://www.dasschnelle.at/dr-siegfried-zachhuber-ll-m-ried-im-innkreis-parkgasse","Website")</f>
        <v>Website</v>
      </c>
      <c r="C4736" t="str">
        <f>HYPERLINK("http://www.zachhuber.law","Website")</f>
        <v>Website</v>
      </c>
      <c r="D4736" t="str">
        <f>HYPERLINK("http://www.google.com/maps/place/48.20619,13.48986","Location")</f>
        <v>Location</v>
      </c>
      <c r="E4736" t="s">
        <v>40485</v>
      </c>
      <c r="F4736" t="s">
        <v>40486</v>
      </c>
      <c r="G4736" t="s">
        <v>6245</v>
      </c>
      <c r="H4736" t="s">
        <v>6267</v>
      </c>
      <c r="I4736" t="s">
        <v>85</v>
      </c>
      <c r="J4736" t="s">
        <v>22</v>
      </c>
      <c r="K4736" t="s">
        <v>40487</v>
      </c>
      <c r="L4736" t="s">
        <v>40490</v>
      </c>
      <c r="M4736" t="s">
        <v>25</v>
      </c>
      <c r="N4736" t="s">
        <v>40491</v>
      </c>
      <c r="O4736" t="s">
        <v>25</v>
      </c>
      <c r="P4736" t="s">
        <v>40492</v>
      </c>
      <c r="Q4736" t="s">
        <v>29</v>
      </c>
      <c r="R4736" t="s">
        <v>40488</v>
      </c>
      <c r="S4736" t="s">
        <v>40489</v>
      </c>
    </row>
    <row r="4737" spans="1:19" x14ac:dyDescent="0.25">
      <c r="A4737" s="1">
        <v>4735</v>
      </c>
      <c r="B4737" t="str">
        <f>HYPERLINK("https://www.dasschnelle.at/rahmendamen-scheibbs-hauptstraße","Website")</f>
        <v>Website</v>
      </c>
      <c r="C4737" t="str">
        <f>HYPERLINK("http://www.rahmendamen.at","Website")</f>
        <v>Website</v>
      </c>
      <c r="D4737" t="str">
        <f>HYPERLINK("http://www.google.com/maps/place/48.0070520,15.1659115","Location")</f>
        <v>Location</v>
      </c>
      <c r="E4737" t="s">
        <v>40493</v>
      </c>
      <c r="F4737" t="s">
        <v>40494</v>
      </c>
      <c r="G4737" t="s">
        <v>9836</v>
      </c>
      <c r="H4737" t="s">
        <v>9837</v>
      </c>
      <c r="I4737" t="s">
        <v>177</v>
      </c>
      <c r="J4737" t="s">
        <v>22</v>
      </c>
      <c r="K4737" t="s">
        <v>28420</v>
      </c>
      <c r="L4737" t="s">
        <v>40497</v>
      </c>
      <c r="M4737" t="s">
        <v>25</v>
      </c>
      <c r="N4737" t="s">
        <v>40498</v>
      </c>
      <c r="O4737" t="s">
        <v>40499</v>
      </c>
      <c r="P4737" t="s">
        <v>40500</v>
      </c>
      <c r="Q4737" t="s">
        <v>29</v>
      </c>
      <c r="R4737" t="s">
        <v>40495</v>
      </c>
      <c r="S4737" t="s">
        <v>40496</v>
      </c>
    </row>
    <row r="4738" spans="1:19" x14ac:dyDescent="0.25">
      <c r="A4738" s="1">
        <v>4736</v>
      </c>
      <c r="B4738" t="str">
        <f>HYPERLINK("https://www.dasschnelle.at/leutner-martin-gresten-robitzboden","Website")</f>
        <v>Website</v>
      </c>
      <c r="C4738" t="str">
        <f>HYPERLINK("https://www.dasschnelle.at/leutner-martin-gresten-robitzboden","Website")</f>
        <v>Website</v>
      </c>
      <c r="D4738" t="str">
        <f>HYPERLINK("http://www.google.com/maps/place/47.9931207,15.0647900","Location")</f>
        <v>Location</v>
      </c>
      <c r="E4738" t="s">
        <v>40501</v>
      </c>
      <c r="F4738" t="s">
        <v>40502</v>
      </c>
      <c r="G4738" t="s">
        <v>9890</v>
      </c>
      <c r="H4738" t="s">
        <v>9930</v>
      </c>
      <c r="I4738" t="s">
        <v>177</v>
      </c>
      <c r="J4738" t="s">
        <v>22</v>
      </c>
      <c r="K4738" t="s">
        <v>40503</v>
      </c>
      <c r="L4738" t="s">
        <v>40506</v>
      </c>
      <c r="M4738" t="s">
        <v>25</v>
      </c>
      <c r="N4738" t="s">
        <v>40507</v>
      </c>
      <c r="O4738" t="s">
        <v>25</v>
      </c>
      <c r="P4738" t="s">
        <v>697</v>
      </c>
      <c r="Q4738" t="s">
        <v>29</v>
      </c>
      <c r="R4738" t="s">
        <v>40504</v>
      </c>
      <c r="S4738" t="s">
        <v>40505</v>
      </c>
    </row>
    <row r="4739" spans="1:19" x14ac:dyDescent="0.25">
      <c r="A4739" s="1">
        <v>4737</v>
      </c>
      <c r="B4739" t="str">
        <f>HYPERLINK("https://www.dasschnelle.at/sigl-tamara-enns-dr-renner-strasse","Website")</f>
        <v>Website</v>
      </c>
      <c r="C4739" t="str">
        <f>HYPERLINK("https://www.dasschnelle.at/sigl-tamara-enns-dr-renner-strasse","Website")</f>
        <v>Website</v>
      </c>
      <c r="D4739" t="str">
        <f>HYPERLINK("http://www.google.com/maps/place/48.2134472,14.4758748","Location")</f>
        <v>Location</v>
      </c>
      <c r="E4739" t="s">
        <v>40508</v>
      </c>
      <c r="F4739" t="s">
        <v>40509</v>
      </c>
      <c r="G4739" t="s">
        <v>3307</v>
      </c>
      <c r="H4739" t="s">
        <v>3308</v>
      </c>
      <c r="I4739" t="s">
        <v>85</v>
      </c>
      <c r="J4739" t="s">
        <v>22</v>
      </c>
      <c r="K4739" t="s">
        <v>40510</v>
      </c>
      <c r="L4739" t="s">
        <v>40513</v>
      </c>
      <c r="M4739" t="s">
        <v>25</v>
      </c>
      <c r="N4739" t="s">
        <v>40514</v>
      </c>
      <c r="O4739" t="s">
        <v>25</v>
      </c>
      <c r="P4739" t="s">
        <v>40515</v>
      </c>
      <c r="Q4739" t="s">
        <v>29</v>
      </c>
      <c r="R4739" t="s">
        <v>40511</v>
      </c>
      <c r="S4739" t="s">
        <v>40512</v>
      </c>
    </row>
    <row r="4740" spans="1:19" x14ac:dyDescent="0.25">
      <c r="A4740" s="1">
        <v>4738</v>
      </c>
      <c r="B4740" t="str">
        <f>HYPERLINK("https://www.dasschnelle.at/farben-fassaden-selmann-e-u-jürgen-selmann-scheibbs-brandstatt","Website")</f>
        <v>Website</v>
      </c>
      <c r="C4740" t="str">
        <f>HYPERLINK("http://www.farben-fassaden-selmann.at","Website")</f>
        <v>Website</v>
      </c>
      <c r="D4740" t="str">
        <f>HYPERLINK("http://www.google.com/maps/place/48.01624,15.15092","Location")</f>
        <v>Location</v>
      </c>
      <c r="E4740" t="s">
        <v>40516</v>
      </c>
      <c r="F4740" t="s">
        <v>40517</v>
      </c>
      <c r="G4740" t="s">
        <v>9836</v>
      </c>
      <c r="H4740" t="s">
        <v>9837</v>
      </c>
      <c r="I4740" t="s">
        <v>177</v>
      </c>
      <c r="J4740" t="s">
        <v>22</v>
      </c>
      <c r="K4740" t="s">
        <v>40518</v>
      </c>
      <c r="L4740" t="s">
        <v>40521</v>
      </c>
      <c r="M4740" t="s">
        <v>25</v>
      </c>
      <c r="N4740" t="s">
        <v>40522</v>
      </c>
      <c r="O4740" t="s">
        <v>25</v>
      </c>
      <c r="P4740" t="s">
        <v>40523</v>
      </c>
      <c r="Q4740" t="s">
        <v>29</v>
      </c>
      <c r="R4740" t="s">
        <v>40519</v>
      </c>
      <c r="S4740" t="s">
        <v>40520</v>
      </c>
    </row>
    <row r="4741" spans="1:19" x14ac:dyDescent="0.25">
      <c r="A4741" s="1">
        <v>4739</v>
      </c>
      <c r="B4741" t="str">
        <f>HYPERLINK("https://www.dasschnelle.at/schagerl-bauelemente-gmbh-und-co-kg-sankt-georgen-maierhof","Website")</f>
        <v>Website</v>
      </c>
      <c r="C4741" t="str">
        <f>HYPERLINK("http://www.schagerl.co.at","Website")</f>
        <v>Website</v>
      </c>
      <c r="D4741" t="str">
        <f>HYPERLINK("http://www.google.com/maps/place/48.0314034,15.2308674","Location")</f>
        <v>Location</v>
      </c>
      <c r="E4741" t="s">
        <v>40524</v>
      </c>
      <c r="F4741" t="s">
        <v>40525</v>
      </c>
      <c r="G4741" t="s">
        <v>40527</v>
      </c>
      <c r="H4741" t="s">
        <v>12771</v>
      </c>
      <c r="I4741" t="s">
        <v>177</v>
      </c>
      <c r="J4741" t="s">
        <v>22</v>
      </c>
      <c r="K4741" t="s">
        <v>40526</v>
      </c>
      <c r="L4741" t="s">
        <v>40530</v>
      </c>
      <c r="M4741" t="s">
        <v>25</v>
      </c>
      <c r="N4741" t="s">
        <v>40531</v>
      </c>
      <c r="O4741" t="s">
        <v>25</v>
      </c>
      <c r="P4741" t="s">
        <v>40532</v>
      </c>
      <c r="Q4741" t="s">
        <v>29</v>
      </c>
      <c r="R4741" t="s">
        <v>40528</v>
      </c>
      <c r="S4741" t="s">
        <v>40529</v>
      </c>
    </row>
    <row r="4742" spans="1:19" x14ac:dyDescent="0.25">
      <c r="A4742" s="1">
        <v>4740</v>
      </c>
      <c r="B4742" t="str">
        <f>HYPERLINK("https://www.dasschnelle.at/ahmed-auto-cleaner-und-cosmetic-regau-feldstraße","Website")</f>
        <v>Website</v>
      </c>
      <c r="C4742" t="str">
        <f>HYPERLINK("http://www.ahmed-autocleaner.at","Website")</f>
        <v>Website</v>
      </c>
      <c r="D4742" t="str">
        <f>HYPERLINK("http://www.google.com/maps/place/48.01344,13.73011","Location")</f>
        <v>Location</v>
      </c>
      <c r="E4742" t="s">
        <v>40533</v>
      </c>
      <c r="F4742" t="s">
        <v>40534</v>
      </c>
      <c r="G4742" t="s">
        <v>3728</v>
      </c>
      <c r="H4742" t="s">
        <v>3774</v>
      </c>
      <c r="I4742" t="s">
        <v>85</v>
      </c>
      <c r="J4742" t="s">
        <v>22</v>
      </c>
      <c r="K4742" t="s">
        <v>3842</v>
      </c>
      <c r="L4742" t="s">
        <v>3845</v>
      </c>
      <c r="M4742" t="s">
        <v>25</v>
      </c>
      <c r="N4742" t="s">
        <v>40535</v>
      </c>
      <c r="O4742" t="s">
        <v>40536</v>
      </c>
      <c r="P4742" t="s">
        <v>40537</v>
      </c>
      <c r="Q4742" t="s">
        <v>29</v>
      </c>
      <c r="R4742" t="s">
        <v>3843</v>
      </c>
      <c r="S4742" t="s">
        <v>3844</v>
      </c>
    </row>
    <row r="4743" spans="1:19" x14ac:dyDescent="0.25">
      <c r="A4743" s="1">
        <v>4741</v>
      </c>
      <c r="B4743" t="str">
        <f>HYPERLINK("https://www.dasschnelle.at/stoagoartn-innviertel-gmbh-aurolzmünster-weierfing","Website")</f>
        <v>Website</v>
      </c>
      <c r="C4743" t="str">
        <f>HYPERLINK("http://www.stoagoartn-innviertel.at","Website")</f>
        <v>Website</v>
      </c>
      <c r="D4743" t="str">
        <f>HYPERLINK("http://www.google.com/maps/place/48.2277473,13.4695326","Location")</f>
        <v>Location</v>
      </c>
      <c r="E4743" t="s">
        <v>40538</v>
      </c>
      <c r="F4743" t="s">
        <v>40539</v>
      </c>
      <c r="G4743" t="s">
        <v>6286</v>
      </c>
      <c r="H4743" t="s">
        <v>6287</v>
      </c>
      <c r="I4743" t="s">
        <v>85</v>
      </c>
      <c r="J4743" t="s">
        <v>22</v>
      </c>
      <c r="K4743" t="s">
        <v>40540</v>
      </c>
      <c r="L4743" t="s">
        <v>40543</v>
      </c>
      <c r="M4743" t="s">
        <v>25</v>
      </c>
      <c r="N4743" t="s">
        <v>40544</v>
      </c>
      <c r="O4743" t="s">
        <v>25</v>
      </c>
      <c r="P4743" t="s">
        <v>40545</v>
      </c>
      <c r="Q4743" t="s">
        <v>29</v>
      </c>
      <c r="R4743" t="s">
        <v>40541</v>
      </c>
      <c r="S4743" t="s">
        <v>40542</v>
      </c>
    </row>
    <row r="4744" spans="1:19" x14ac:dyDescent="0.25">
      <c r="A4744" s="1">
        <v>4742</v>
      </c>
      <c r="B4744" t="str">
        <f>HYPERLINK("https://www.dasschnelle.at/karin-schreckensberger-mühlheim-am-inn-gimpling","Website")</f>
        <v>Website</v>
      </c>
      <c r="C4744" t="str">
        <f>HYPERLINK("http://www.schreckensberger-zelte.at","Website")</f>
        <v>Website</v>
      </c>
      <c r="D4744" t="str">
        <f>HYPERLINK("http://www.google.com/maps/place/48.2756471,13.2540365","Location")</f>
        <v>Location</v>
      </c>
      <c r="E4744" t="s">
        <v>40546</v>
      </c>
      <c r="F4744" t="s">
        <v>40547</v>
      </c>
      <c r="G4744" t="s">
        <v>40549</v>
      </c>
      <c r="H4744" t="s">
        <v>40550</v>
      </c>
      <c r="I4744" t="s">
        <v>85</v>
      </c>
      <c r="J4744" t="s">
        <v>22</v>
      </c>
      <c r="K4744" t="s">
        <v>40548</v>
      </c>
      <c r="L4744" t="s">
        <v>40553</v>
      </c>
      <c r="M4744" t="s">
        <v>25</v>
      </c>
      <c r="N4744" t="s">
        <v>40554</v>
      </c>
      <c r="O4744" t="s">
        <v>25</v>
      </c>
      <c r="P4744" t="s">
        <v>40555</v>
      </c>
      <c r="Q4744" t="s">
        <v>29</v>
      </c>
      <c r="R4744" t="s">
        <v>40551</v>
      </c>
      <c r="S4744" t="s">
        <v>40552</v>
      </c>
    </row>
    <row r="4745" spans="1:19" x14ac:dyDescent="0.25">
      <c r="A4745" s="1">
        <v>4743</v>
      </c>
      <c r="B4745" t="str">
        <f>HYPERLINK("https://www.dasschnelle.at/haustechnik-berghammer-gmbh-osternach-osternach","Website")</f>
        <v>Website</v>
      </c>
      <c r="C4745" t="str">
        <f>HYPERLINK("http://www.haustechnik-berghammer.at","Website")</f>
        <v>Website</v>
      </c>
      <c r="D4745" t="str">
        <f>HYPERLINK("http://www.google.com/maps/place/48.2397923,13.5305790","Location")</f>
        <v>Location</v>
      </c>
      <c r="E4745" t="s">
        <v>40556</v>
      </c>
      <c r="F4745" t="s">
        <v>40557</v>
      </c>
      <c r="G4745" t="s">
        <v>39111</v>
      </c>
      <c r="H4745" t="s">
        <v>40559</v>
      </c>
      <c r="I4745" t="s">
        <v>85</v>
      </c>
      <c r="J4745" t="s">
        <v>22</v>
      </c>
      <c r="K4745" t="s">
        <v>40558</v>
      </c>
      <c r="L4745" t="s">
        <v>40562</v>
      </c>
      <c r="M4745" t="s">
        <v>25</v>
      </c>
      <c r="N4745" t="s">
        <v>40563</v>
      </c>
      <c r="O4745" t="s">
        <v>40564</v>
      </c>
      <c r="P4745" t="s">
        <v>40565</v>
      </c>
      <c r="Q4745" t="s">
        <v>29</v>
      </c>
      <c r="R4745" t="s">
        <v>40560</v>
      </c>
      <c r="S4745" t="s">
        <v>40561</v>
      </c>
    </row>
    <row r="4746" spans="1:19" x14ac:dyDescent="0.25">
      <c r="A4746" s="1">
        <v>4744</v>
      </c>
      <c r="B4746" t="str">
        <f>HYPERLINK("https://www.dasschnelle.at/kraft-josef-göstling-an-der-ybbs-göstling","Website")</f>
        <v>Website</v>
      </c>
      <c r="C4746" t="str">
        <f>HYPERLINK("http://www.kraft.at","Website")</f>
        <v>Website</v>
      </c>
      <c r="D4746" t="str">
        <f>HYPERLINK("http://www.google.com/maps/place/47.8049312,14.9288114","Location")</f>
        <v>Location</v>
      </c>
      <c r="E4746" t="s">
        <v>40566</v>
      </c>
      <c r="F4746" t="s">
        <v>40567</v>
      </c>
      <c r="G4746" t="s">
        <v>10032</v>
      </c>
      <c r="H4746" t="s">
        <v>10033</v>
      </c>
      <c r="I4746" t="s">
        <v>177</v>
      </c>
      <c r="J4746" t="s">
        <v>22</v>
      </c>
      <c r="K4746" t="s">
        <v>40568</v>
      </c>
      <c r="L4746" t="s">
        <v>40571</v>
      </c>
      <c r="M4746" t="s">
        <v>25</v>
      </c>
      <c r="N4746" t="s">
        <v>40572</v>
      </c>
      <c r="O4746" t="s">
        <v>25</v>
      </c>
      <c r="P4746" t="s">
        <v>40573</v>
      </c>
      <c r="Q4746" t="s">
        <v>29</v>
      </c>
      <c r="R4746" t="s">
        <v>40569</v>
      </c>
      <c r="S4746" t="s">
        <v>40570</v>
      </c>
    </row>
    <row r="4747" spans="1:19" x14ac:dyDescent="0.25">
      <c r="A4747" s="1">
        <v>4745</v>
      </c>
      <c r="B4747" t="str">
        <f>HYPERLINK("https://www.dasschnelle.at/holzwerkstatt-pechhacker-gmbh-purgstall-hochrießer-straße","Website")</f>
        <v>Website</v>
      </c>
      <c r="C4747" t="str">
        <f>HYPERLINK("http://www.hws.cc","Website")</f>
        <v>Website</v>
      </c>
      <c r="D4747" t="str">
        <f>HYPERLINK("http://www.google.com/maps/place/48.0648375,15.1412964","Location")</f>
        <v>Location</v>
      </c>
      <c r="E4747" t="s">
        <v>40574</v>
      </c>
      <c r="F4747" t="s">
        <v>40575</v>
      </c>
      <c r="G4747" t="s">
        <v>9909</v>
      </c>
      <c r="H4747" t="s">
        <v>9910</v>
      </c>
      <c r="I4747" t="s">
        <v>177</v>
      </c>
      <c r="J4747" t="s">
        <v>22</v>
      </c>
      <c r="K4747" t="s">
        <v>40576</v>
      </c>
      <c r="L4747" t="s">
        <v>40579</v>
      </c>
      <c r="M4747" t="s">
        <v>25</v>
      </c>
      <c r="N4747" t="s">
        <v>40580</v>
      </c>
      <c r="O4747" t="s">
        <v>25</v>
      </c>
      <c r="P4747" t="s">
        <v>40581</v>
      </c>
      <c r="Q4747" t="s">
        <v>29</v>
      </c>
      <c r="R4747" t="s">
        <v>40577</v>
      </c>
      <c r="S4747" t="s">
        <v>40578</v>
      </c>
    </row>
    <row r="4748" spans="1:19" x14ac:dyDescent="0.25">
      <c r="A4748" s="1">
        <v>4746</v>
      </c>
      <c r="B4748" t="str">
        <f>HYPERLINK("https://www.dasschnelle.at/elektro-pagger-köflach-grazerstraße","Website")</f>
        <v>Website</v>
      </c>
      <c r="C4748" t="str">
        <f>HYPERLINK("https://www.dasschnelle.at/elektro-pagger-k%C3%B6flach-grazerstra%C3%9Fe","Website")</f>
        <v>Website</v>
      </c>
      <c r="D4748" t="str">
        <f>HYPERLINK("http://www.google.com/maps/place/47.0623400,15.0921200","Location")</f>
        <v>Location</v>
      </c>
      <c r="E4748" t="s">
        <v>40582</v>
      </c>
      <c r="F4748" t="s">
        <v>40583</v>
      </c>
      <c r="G4748" t="s">
        <v>4582</v>
      </c>
      <c r="H4748" t="s">
        <v>4583</v>
      </c>
      <c r="I4748" t="s">
        <v>451</v>
      </c>
      <c r="J4748" t="s">
        <v>22</v>
      </c>
      <c r="K4748" t="s">
        <v>40584</v>
      </c>
      <c r="L4748" t="s">
        <v>40587</v>
      </c>
      <c r="M4748" t="s">
        <v>25</v>
      </c>
      <c r="N4748" t="s">
        <v>40588</v>
      </c>
      <c r="O4748" t="s">
        <v>25</v>
      </c>
      <c r="P4748" t="s">
        <v>40589</v>
      </c>
      <c r="Q4748" t="s">
        <v>29</v>
      </c>
      <c r="R4748" t="s">
        <v>40585</v>
      </c>
      <c r="S4748" t="s">
        <v>40586</v>
      </c>
    </row>
    <row r="4749" spans="1:19" x14ac:dyDescent="0.25">
      <c r="A4749" s="1">
        <v>4747</v>
      </c>
      <c r="B4749" t="str">
        <f>HYPERLINK("https://www.dasschnelle.at/speed-pizza-köflach-hauptplatz","Website")</f>
        <v>Website</v>
      </c>
      <c r="C4749" t="str">
        <f>HYPERLINK("https://www.dasschnelle.at/speed-pizza-k%C3%B6flach-hauptplatz","Website")</f>
        <v>Website</v>
      </c>
      <c r="D4749" t="str">
        <f>HYPERLINK("http://www.google.com/maps/place/47.0644443,15.0832948","Location")</f>
        <v>Location</v>
      </c>
      <c r="E4749" t="s">
        <v>40590</v>
      </c>
      <c r="F4749" t="s">
        <v>40591</v>
      </c>
      <c r="G4749" t="s">
        <v>4582</v>
      </c>
      <c r="H4749" t="s">
        <v>4583</v>
      </c>
      <c r="I4749" t="s">
        <v>451</v>
      </c>
      <c r="J4749" t="s">
        <v>22</v>
      </c>
      <c r="K4749" t="s">
        <v>20025</v>
      </c>
      <c r="L4749" t="s">
        <v>40594</v>
      </c>
      <c r="M4749" t="s">
        <v>25</v>
      </c>
      <c r="N4749" t="s">
        <v>40595</v>
      </c>
      <c r="O4749" t="s">
        <v>25</v>
      </c>
      <c r="P4749" t="s">
        <v>40596</v>
      </c>
      <c r="Q4749" t="s">
        <v>29</v>
      </c>
      <c r="R4749" t="s">
        <v>40592</v>
      </c>
      <c r="S4749" t="s">
        <v>40593</v>
      </c>
    </row>
    <row r="4750" spans="1:19" x14ac:dyDescent="0.25">
      <c r="A4750" s="1">
        <v>4748</v>
      </c>
      <c r="B4750" t="str">
        <f>HYPERLINK("https://www.dasschnelle.at/grasserbauer-elektrotechnik-gmbh-hargelsberg-thann","Website")</f>
        <v>Website</v>
      </c>
      <c r="C4750" t="str">
        <f>HYPERLINK("http://www.grasserbauer.com","Website")</f>
        <v>Website</v>
      </c>
      <c r="D4750" t="str">
        <f>HYPERLINK("http://www.google.com/maps/place/48.1645200,14.4263100","Location")</f>
        <v>Location</v>
      </c>
      <c r="E4750" t="s">
        <v>40597</v>
      </c>
      <c r="F4750" t="s">
        <v>40598</v>
      </c>
      <c r="G4750" t="s">
        <v>3352</v>
      </c>
      <c r="H4750" t="s">
        <v>3353</v>
      </c>
      <c r="I4750" t="s">
        <v>85</v>
      </c>
      <c r="J4750" t="s">
        <v>22</v>
      </c>
      <c r="K4750" t="s">
        <v>40599</v>
      </c>
      <c r="L4750" t="s">
        <v>40602</v>
      </c>
      <c r="M4750" t="s">
        <v>25</v>
      </c>
      <c r="N4750" t="s">
        <v>40603</v>
      </c>
      <c r="O4750" t="s">
        <v>25</v>
      </c>
      <c r="P4750" t="s">
        <v>40604</v>
      </c>
      <c r="Q4750" t="s">
        <v>29</v>
      </c>
      <c r="R4750" t="s">
        <v>40600</v>
      </c>
      <c r="S4750" t="s">
        <v>40601</v>
      </c>
    </row>
    <row r="4751" spans="1:19" x14ac:dyDescent="0.25">
      <c r="A4751" s="1">
        <v>4749</v>
      </c>
      <c r="B4751" t="str">
        <f>HYPERLINK("https://www.dasschnelle.at/forster-franz-installationen-gesmbh-sankt-florian-wiener-straße","Website")</f>
        <v>Website</v>
      </c>
      <c r="C4751" t="str">
        <f>HYPERLINK("http://www.forster.or.at","Website")</f>
        <v>Website</v>
      </c>
      <c r="D4751" t="str">
        <f>HYPERLINK("http://www.google.com/maps/place/48.2085,14.3906","Location")</f>
        <v>Location</v>
      </c>
      <c r="E4751" t="s">
        <v>40605</v>
      </c>
      <c r="F4751" t="s">
        <v>40606</v>
      </c>
      <c r="G4751" t="s">
        <v>3388</v>
      </c>
      <c r="H4751" t="s">
        <v>3389</v>
      </c>
      <c r="I4751" t="s">
        <v>85</v>
      </c>
      <c r="J4751" t="s">
        <v>22</v>
      </c>
      <c r="K4751" t="s">
        <v>40607</v>
      </c>
      <c r="L4751" t="s">
        <v>40610</v>
      </c>
      <c r="M4751" t="s">
        <v>25</v>
      </c>
      <c r="N4751" t="s">
        <v>40611</v>
      </c>
      <c r="O4751" t="s">
        <v>40612</v>
      </c>
      <c r="P4751" t="s">
        <v>40613</v>
      </c>
      <c r="Q4751" t="s">
        <v>29</v>
      </c>
      <c r="R4751" t="s">
        <v>40608</v>
      </c>
      <c r="S4751" t="s">
        <v>40609</v>
      </c>
    </row>
    <row r="4752" spans="1:19" x14ac:dyDescent="0.25">
      <c r="A4752" s="1">
        <v>4750</v>
      </c>
      <c r="B4752" t="str">
        <f>HYPERLINK("https://www.dasschnelle.at/gartenservice-simon-agrill-kremsmünster-auweg","Website")</f>
        <v>Website</v>
      </c>
      <c r="C4752" t="str">
        <f>HYPERLINK("http://www.gartenservice-agrill.at","Website")</f>
        <v>Website</v>
      </c>
      <c r="D4752" t="str">
        <f>HYPERLINK("http://www.google.com/maps/place/48.0606200,14.1408400","Location")</f>
        <v>Location</v>
      </c>
      <c r="E4752" t="s">
        <v>40614</v>
      </c>
      <c r="F4752" t="s">
        <v>40615</v>
      </c>
      <c r="G4752" t="s">
        <v>9173</v>
      </c>
      <c r="H4752" t="s">
        <v>9174</v>
      </c>
      <c r="I4752" t="s">
        <v>85</v>
      </c>
      <c r="J4752" t="s">
        <v>22</v>
      </c>
      <c r="K4752" t="s">
        <v>40616</v>
      </c>
      <c r="L4752" t="s">
        <v>40619</v>
      </c>
      <c r="M4752" t="s">
        <v>25</v>
      </c>
      <c r="N4752" t="s">
        <v>40620</v>
      </c>
      <c r="O4752" t="s">
        <v>25</v>
      </c>
      <c r="P4752" t="s">
        <v>40621</v>
      </c>
      <c r="Q4752" t="s">
        <v>29</v>
      </c>
      <c r="R4752" t="s">
        <v>40617</v>
      </c>
      <c r="S4752" t="s">
        <v>40618</v>
      </c>
    </row>
    <row r="4753" spans="1:19" x14ac:dyDescent="0.25">
      <c r="A4753" s="1">
        <v>4751</v>
      </c>
      <c r="B4753" t="str">
        <f>HYPERLINK("https://www.dasschnelle.at/heigl-bernhard-gresten-schönauergasse","Website")</f>
        <v>Website</v>
      </c>
      <c r="C4753" t="str">
        <f>HYPERLINK("https://www.dasschnelle.at/heigl-bernhard-gresten-sch%C3%B6nauergasse","Website")</f>
        <v>Website</v>
      </c>
      <c r="D4753" t="str">
        <f>HYPERLINK("http://www.google.com/maps/place/47.9805343,15.0275208","Location")</f>
        <v>Location</v>
      </c>
      <c r="E4753" t="s">
        <v>40622</v>
      </c>
      <c r="F4753" t="s">
        <v>40623</v>
      </c>
      <c r="G4753" t="s">
        <v>9890</v>
      </c>
      <c r="H4753" t="s">
        <v>9930</v>
      </c>
      <c r="I4753" t="s">
        <v>177</v>
      </c>
      <c r="J4753" t="s">
        <v>22</v>
      </c>
      <c r="K4753" t="s">
        <v>40624</v>
      </c>
      <c r="L4753" t="s">
        <v>40627</v>
      </c>
      <c r="M4753" t="s">
        <v>25</v>
      </c>
      <c r="N4753" t="s">
        <v>40628</v>
      </c>
      <c r="O4753" t="s">
        <v>25</v>
      </c>
      <c r="P4753" t="s">
        <v>40629</v>
      </c>
      <c r="Q4753" t="s">
        <v>29</v>
      </c>
      <c r="R4753" t="s">
        <v>40625</v>
      </c>
      <c r="S4753" t="s">
        <v>40626</v>
      </c>
    </row>
    <row r="4754" spans="1:19" x14ac:dyDescent="0.25">
      <c r="A4754" s="1">
        <v>4752</v>
      </c>
      <c r="B4754" t="str">
        <f>HYPERLINK("https://www.dasschnelle.at/bezirkspflege-u-seniorenheim-voitsberg-franz-schöpfer-gasse","Website")</f>
        <v>Website</v>
      </c>
      <c r="C4754" t="str">
        <f>HYPERLINK("http://www.bezirkspflegeheim-voitsberg.at","Website")</f>
        <v>Website</v>
      </c>
      <c r="D4754" t="str">
        <f>HYPERLINK("http://www.google.com/maps/place/47.05403,15.14943","Location")</f>
        <v>Location</v>
      </c>
      <c r="E4754" t="s">
        <v>40630</v>
      </c>
      <c r="F4754" t="s">
        <v>40631</v>
      </c>
      <c r="G4754" t="s">
        <v>4572</v>
      </c>
      <c r="H4754" t="s">
        <v>4573</v>
      </c>
      <c r="I4754" t="s">
        <v>451</v>
      </c>
      <c r="J4754" t="s">
        <v>22</v>
      </c>
      <c r="K4754" t="s">
        <v>40632</v>
      </c>
      <c r="L4754" t="s">
        <v>40635</v>
      </c>
      <c r="M4754" t="s">
        <v>40636</v>
      </c>
      <c r="N4754" t="s">
        <v>40637</v>
      </c>
      <c r="O4754" t="s">
        <v>25</v>
      </c>
      <c r="P4754" t="s">
        <v>40638</v>
      </c>
      <c r="Q4754" t="s">
        <v>29</v>
      </c>
      <c r="R4754" t="s">
        <v>40633</v>
      </c>
      <c r="S4754" t="s">
        <v>40634</v>
      </c>
    </row>
    <row r="4755" spans="1:19" x14ac:dyDescent="0.25">
      <c r="A4755" s="1">
        <v>4753</v>
      </c>
      <c r="B4755" t="str">
        <f>HYPERLINK("https://www.dasschnelle.at/goldener-stern-bad-hall-linzer-strasse","Website")</f>
        <v>Website</v>
      </c>
      <c r="C4755" t="str">
        <f>HYPERLINK("https://www.dasschnelle.at/goldener-stern-bad-hall-linzer-strasse","Website")</f>
        <v>Website</v>
      </c>
      <c r="D4755" t="str">
        <f>HYPERLINK("http://www.google.com/maps/place/48.0394,14.20437","Location")</f>
        <v>Location</v>
      </c>
      <c r="E4755" t="s">
        <v>40639</v>
      </c>
      <c r="F4755" t="s">
        <v>40640</v>
      </c>
      <c r="G4755" t="s">
        <v>2280</v>
      </c>
      <c r="H4755" t="s">
        <v>2281</v>
      </c>
      <c r="I4755" t="s">
        <v>85</v>
      </c>
      <c r="J4755" t="s">
        <v>22</v>
      </c>
      <c r="K4755" t="s">
        <v>40641</v>
      </c>
      <c r="L4755" t="s">
        <v>40644</v>
      </c>
      <c r="M4755" t="s">
        <v>25</v>
      </c>
      <c r="N4755" t="s">
        <v>40645</v>
      </c>
      <c r="O4755" t="s">
        <v>25</v>
      </c>
      <c r="P4755" t="s">
        <v>40646</v>
      </c>
      <c r="Q4755" t="s">
        <v>29</v>
      </c>
      <c r="R4755" t="s">
        <v>40642</v>
      </c>
      <c r="S4755" t="s">
        <v>40643</v>
      </c>
    </row>
    <row r="4756" spans="1:19" x14ac:dyDescent="0.25">
      <c r="A4756" s="1">
        <v>4754</v>
      </c>
      <c r="B4756" t="str">
        <f>HYPERLINK("https://www.dasschnelle.at/baumstoff-holzbau-meister-ried-im-traunkreis-kilianstraße","Website")</f>
        <v>Website</v>
      </c>
      <c r="C4756" t="str">
        <f>HYPERLINK("http://www.baumstoff.at","Website")</f>
        <v>Website</v>
      </c>
      <c r="D4756" t="str">
        <f>HYPERLINK("http://www.google.com/maps/place/48.02904,14.07743","Location")</f>
        <v>Location</v>
      </c>
      <c r="E4756" t="s">
        <v>40647</v>
      </c>
      <c r="F4756" t="s">
        <v>40648</v>
      </c>
      <c r="G4756" t="s">
        <v>36671</v>
      </c>
      <c r="H4756" t="s">
        <v>36672</v>
      </c>
      <c r="I4756" t="s">
        <v>85</v>
      </c>
      <c r="J4756" t="s">
        <v>22</v>
      </c>
      <c r="K4756" t="s">
        <v>40649</v>
      </c>
      <c r="L4756" t="s">
        <v>40652</v>
      </c>
      <c r="M4756" t="s">
        <v>25</v>
      </c>
      <c r="N4756" t="s">
        <v>40653</v>
      </c>
      <c r="O4756" t="s">
        <v>25</v>
      </c>
      <c r="P4756" t="s">
        <v>40654</v>
      </c>
      <c r="Q4756" t="s">
        <v>29</v>
      </c>
      <c r="R4756" t="s">
        <v>40650</v>
      </c>
      <c r="S4756" t="s">
        <v>40651</v>
      </c>
    </row>
    <row r="4757" spans="1:19" x14ac:dyDescent="0.25">
      <c r="A4757" s="1">
        <v>4755</v>
      </c>
      <c r="B4757" t="str">
        <f>HYPERLINK("https://www.dasschnelle.at/heuriger-furtmühle-bad-hall-sierninger-straße","Website")</f>
        <v>Website</v>
      </c>
      <c r="C4757" t="str">
        <f>HYPERLINK("http://heuriger-furtmuehle.stadtausstellung.at","Website")</f>
        <v>Website</v>
      </c>
      <c r="D4757" t="str">
        <f>HYPERLINK("http://www.google.com/maps/place/48.03979,14.22075","Location")</f>
        <v>Location</v>
      </c>
      <c r="E4757" t="s">
        <v>40655</v>
      </c>
      <c r="F4757" t="s">
        <v>40656</v>
      </c>
      <c r="G4757" t="s">
        <v>2280</v>
      </c>
      <c r="H4757" t="s">
        <v>2281</v>
      </c>
      <c r="I4757" t="s">
        <v>85</v>
      </c>
      <c r="J4757" t="s">
        <v>22</v>
      </c>
      <c r="K4757" t="s">
        <v>40657</v>
      </c>
      <c r="L4757" t="s">
        <v>40660</v>
      </c>
      <c r="M4757" t="s">
        <v>25</v>
      </c>
      <c r="N4757" t="s">
        <v>40661</v>
      </c>
      <c r="O4757" t="s">
        <v>25</v>
      </c>
      <c r="P4757" t="s">
        <v>40662</v>
      </c>
      <c r="Q4757" t="s">
        <v>29</v>
      </c>
      <c r="R4757" t="s">
        <v>40658</v>
      </c>
      <c r="S4757" t="s">
        <v>40659</v>
      </c>
    </row>
    <row r="4758" spans="1:19" x14ac:dyDescent="0.25">
      <c r="A4758" s="1">
        <v>4756</v>
      </c>
      <c r="B4758" t="str">
        <f>HYPERLINK("https://www.dasschnelle.at/resch-michael-steinakirchen-am-forst-pechert","Website")</f>
        <v>Website</v>
      </c>
      <c r="C4758" t="str">
        <f>HYPERLINK("http://www.resch-bestattung.at","Website")</f>
        <v>Website</v>
      </c>
      <c r="D4758" t="str">
        <f>HYPERLINK("http://www.google.com/maps/place/48.06701,15.04731","Location")</f>
        <v>Location</v>
      </c>
      <c r="E4758" t="s">
        <v>40663</v>
      </c>
      <c r="F4758" t="s">
        <v>40664</v>
      </c>
      <c r="G4758" t="s">
        <v>9997</v>
      </c>
      <c r="H4758" t="s">
        <v>9998</v>
      </c>
      <c r="I4758" t="s">
        <v>177</v>
      </c>
      <c r="J4758" t="s">
        <v>22</v>
      </c>
      <c r="K4758" t="s">
        <v>40665</v>
      </c>
      <c r="L4758" t="s">
        <v>40668</v>
      </c>
      <c r="M4758" t="s">
        <v>25</v>
      </c>
      <c r="N4758" t="s">
        <v>40669</v>
      </c>
      <c r="O4758" t="s">
        <v>40670</v>
      </c>
      <c r="P4758" t="s">
        <v>697</v>
      </c>
      <c r="Q4758" t="s">
        <v>29</v>
      </c>
      <c r="R4758" t="s">
        <v>40666</v>
      </c>
      <c r="S4758" t="s">
        <v>40667</v>
      </c>
    </row>
    <row r="4759" spans="1:19" x14ac:dyDescent="0.25">
      <c r="A4759" s="1">
        <v>4757</v>
      </c>
      <c r="B4759" t="str">
        <f>HYPERLINK("https://www.dasschnelle.at/pöchacker-august-gresten-unteramt","Website")</f>
        <v>Website</v>
      </c>
      <c r="C4759" t="str">
        <f>HYPERLINK("http://www.die-idee.at","Website")</f>
        <v>Website</v>
      </c>
      <c r="D4759" t="str">
        <f>HYPERLINK("http://www.google.com/maps/place/47.9816584,15.0368981","Location")</f>
        <v>Location</v>
      </c>
      <c r="E4759" t="s">
        <v>40671</v>
      </c>
      <c r="F4759" t="s">
        <v>40672</v>
      </c>
      <c r="G4759" t="s">
        <v>9890</v>
      </c>
      <c r="H4759" t="s">
        <v>9930</v>
      </c>
      <c r="I4759" t="s">
        <v>177</v>
      </c>
      <c r="J4759" t="s">
        <v>22</v>
      </c>
      <c r="K4759" t="s">
        <v>40673</v>
      </c>
      <c r="L4759" t="s">
        <v>40676</v>
      </c>
      <c r="M4759" t="s">
        <v>25</v>
      </c>
      <c r="N4759" t="s">
        <v>40677</v>
      </c>
      <c r="O4759" t="s">
        <v>25</v>
      </c>
      <c r="P4759" t="s">
        <v>40678</v>
      </c>
      <c r="Q4759" t="s">
        <v>29</v>
      </c>
      <c r="R4759" t="s">
        <v>40674</v>
      </c>
      <c r="S4759" t="s">
        <v>40675</v>
      </c>
    </row>
    <row r="4760" spans="1:19" x14ac:dyDescent="0.25">
      <c r="A4760" s="1">
        <v>4758</v>
      </c>
      <c r="B4760" t="str">
        <f>HYPERLINK("https://www.dasschnelle.at/real-treuhand-grieskirchen-roßmarkt","Website")</f>
        <v>Website</v>
      </c>
      <c r="C4760" t="str">
        <f>HYPERLINK("http://www.raiffeisen-immobilien.at","Website")</f>
        <v>Website</v>
      </c>
      <c r="D4760" t="str">
        <f>HYPERLINK("http://www.google.com/maps/place/48.2339351,13.8312750","Location")</f>
        <v>Location</v>
      </c>
      <c r="E4760" t="s">
        <v>40679</v>
      </c>
      <c r="F4760" t="s">
        <v>40680</v>
      </c>
      <c r="G4760" t="s">
        <v>4826</v>
      </c>
      <c r="H4760" t="s">
        <v>4827</v>
      </c>
      <c r="I4760" t="s">
        <v>85</v>
      </c>
      <c r="J4760" t="s">
        <v>22</v>
      </c>
      <c r="K4760" t="s">
        <v>40681</v>
      </c>
      <c r="L4760" t="s">
        <v>40684</v>
      </c>
      <c r="M4760" t="s">
        <v>25</v>
      </c>
      <c r="N4760" t="s">
        <v>40685</v>
      </c>
      <c r="O4760" t="s">
        <v>25</v>
      </c>
      <c r="P4760" t="s">
        <v>40686</v>
      </c>
      <c r="Q4760" t="s">
        <v>29</v>
      </c>
      <c r="R4760" t="s">
        <v>40682</v>
      </c>
      <c r="S4760" t="s">
        <v>40683</v>
      </c>
    </row>
    <row r="4761" spans="1:19" x14ac:dyDescent="0.25">
      <c r="A4761" s="1">
        <v>4759</v>
      </c>
      <c r="B4761" t="str">
        <f>HYPERLINK("https://www.dasschnelle.at/dr-horst-aichinger-grieskirchen-roßmarkt","Website")</f>
        <v>Website</v>
      </c>
      <c r="C4761" t="str">
        <f>HYPERLINK("http://www.notar-grieskirchen.at","Website")</f>
        <v>Website</v>
      </c>
      <c r="D4761" t="str">
        <f>HYPERLINK("http://www.google.com/maps/place/48.2344,13.82977","Location")</f>
        <v>Location</v>
      </c>
      <c r="E4761" t="s">
        <v>40687</v>
      </c>
      <c r="F4761" t="s">
        <v>40688</v>
      </c>
      <c r="G4761" t="s">
        <v>4826</v>
      </c>
      <c r="H4761" t="s">
        <v>4827</v>
      </c>
      <c r="I4761" t="s">
        <v>85</v>
      </c>
      <c r="J4761" t="s">
        <v>22</v>
      </c>
      <c r="K4761" t="s">
        <v>40689</v>
      </c>
      <c r="L4761" t="s">
        <v>40692</v>
      </c>
      <c r="M4761" t="s">
        <v>25</v>
      </c>
      <c r="N4761" t="s">
        <v>40693</v>
      </c>
      <c r="O4761" t="s">
        <v>25</v>
      </c>
      <c r="P4761" t="s">
        <v>40694</v>
      </c>
      <c r="Q4761" t="s">
        <v>29</v>
      </c>
      <c r="R4761" t="s">
        <v>40690</v>
      </c>
      <c r="S4761" t="s">
        <v>40691</v>
      </c>
    </row>
    <row r="4762" spans="1:19" x14ac:dyDescent="0.25">
      <c r="A4762" s="1">
        <v>4760</v>
      </c>
      <c r="B4762" t="str">
        <f>HYPERLINK("https://www.dasschnelle.at/wendl-brigitte-univ-prof-doz-dr-edelschrott-schulstraße","Website")</f>
        <v>Website</v>
      </c>
      <c r="C4762" t="str">
        <f>HYPERLINK("http://www.zahnarzt-kieferorthopu00e4die.at","Website")</f>
        <v>Website</v>
      </c>
      <c r="D4762" t="str">
        <f>HYPERLINK("http://www.google.com/maps/place/47.02189,15.0536","Location")</f>
        <v>Location</v>
      </c>
      <c r="E4762" t="s">
        <v>40695</v>
      </c>
      <c r="F4762" t="s">
        <v>40696</v>
      </c>
      <c r="G4762" t="s">
        <v>38134</v>
      </c>
      <c r="H4762" t="s">
        <v>38135</v>
      </c>
      <c r="I4762" t="s">
        <v>451</v>
      </c>
      <c r="J4762" t="s">
        <v>22</v>
      </c>
      <c r="K4762" t="s">
        <v>40697</v>
      </c>
      <c r="L4762" t="s">
        <v>40700</v>
      </c>
      <c r="M4762" t="s">
        <v>25</v>
      </c>
      <c r="N4762" t="s">
        <v>40701</v>
      </c>
      <c r="O4762" t="s">
        <v>40702</v>
      </c>
      <c r="P4762" t="s">
        <v>40703</v>
      </c>
      <c r="Q4762" t="s">
        <v>29</v>
      </c>
      <c r="R4762" t="s">
        <v>40698</v>
      </c>
      <c r="S4762" t="s">
        <v>40699</v>
      </c>
    </row>
    <row r="4763" spans="1:19" x14ac:dyDescent="0.25">
      <c r="A4763" s="1">
        <v>4761</v>
      </c>
      <c r="B4763" t="str">
        <f>HYPERLINK("https://www.dasschnelle.at/doris-landl-tornow-msc-liezen-unterer-moosweg","Website")</f>
        <v>Website</v>
      </c>
      <c r="C4763" t="str">
        <f>HYPERLINK("http://www.psyonline.at","Website")</f>
        <v>Website</v>
      </c>
      <c r="D4763" t="str">
        <f>HYPERLINK("http://www.google.com/maps/place/47.5630649,14.2332944","Location")</f>
        <v>Location</v>
      </c>
      <c r="E4763" t="s">
        <v>40704</v>
      </c>
      <c r="F4763" t="s">
        <v>40705</v>
      </c>
      <c r="G4763" t="s">
        <v>1095</v>
      </c>
      <c r="H4763" t="s">
        <v>1096</v>
      </c>
      <c r="I4763" t="s">
        <v>451</v>
      </c>
      <c r="J4763" t="s">
        <v>22</v>
      </c>
      <c r="K4763" t="s">
        <v>40706</v>
      </c>
      <c r="L4763" t="s">
        <v>40709</v>
      </c>
      <c r="M4763" t="s">
        <v>25</v>
      </c>
      <c r="N4763" t="s">
        <v>40710</v>
      </c>
      <c r="O4763" t="s">
        <v>25</v>
      </c>
      <c r="P4763" t="s">
        <v>40711</v>
      </c>
      <c r="Q4763" t="s">
        <v>29</v>
      </c>
      <c r="R4763" t="s">
        <v>40707</v>
      </c>
      <c r="S4763" t="s">
        <v>40708</v>
      </c>
    </row>
    <row r="4764" spans="1:19" x14ac:dyDescent="0.25">
      <c r="A4764" s="1">
        <v>4762</v>
      </c>
      <c r="B4764" t="str">
        <f>HYPERLINK("https://www.dasschnelle.at/pöchacker-wieselburg-handel-mazzetti-weg","Website")</f>
        <v>Website</v>
      </c>
      <c r="C4764" t="str">
        <f>HYPERLINK("http://www.dpf.at","Website")</f>
        <v>Website</v>
      </c>
      <c r="D4764" t="str">
        <f>HYPERLINK("http://www.google.com/maps/place/48.0059218,14.9992729","Location")</f>
        <v>Location</v>
      </c>
      <c r="E4764" t="s">
        <v>40712</v>
      </c>
      <c r="F4764" t="s">
        <v>40713</v>
      </c>
      <c r="G4764" t="s">
        <v>9881</v>
      </c>
      <c r="H4764" t="s">
        <v>10007</v>
      </c>
      <c r="I4764" t="s">
        <v>25</v>
      </c>
      <c r="J4764" t="s">
        <v>22</v>
      </c>
      <c r="K4764" t="s">
        <v>40714</v>
      </c>
      <c r="L4764" t="s">
        <v>40717</v>
      </c>
      <c r="M4764" t="s">
        <v>25</v>
      </c>
      <c r="N4764" t="s">
        <v>40718</v>
      </c>
      <c r="O4764" t="s">
        <v>25</v>
      </c>
      <c r="P4764" t="s">
        <v>40719</v>
      </c>
      <c r="Q4764" t="s">
        <v>29</v>
      </c>
      <c r="R4764" t="s">
        <v>40715</v>
      </c>
      <c r="S4764" t="s">
        <v>40716</v>
      </c>
    </row>
    <row r="4765" spans="1:19" x14ac:dyDescent="0.25">
      <c r="A4765" s="1">
        <v>4763</v>
      </c>
      <c r="B4765" t="str">
        <f>HYPERLINK("https://www.dasschnelle.at/purgstall-dr-rauja-fichtinger-kg-purgstall-ötscherlandstraße","Website")</f>
        <v>Website</v>
      </c>
      <c r="C4765" t="str">
        <f>HYPERLINK("https://www.dasschnelle.at/purgstall-dr-rauja-fichtinger-kg-purgstall-%C3%B6tscherlandstra%C3%9Fe","Website")</f>
        <v>Website</v>
      </c>
      <c r="D4765" t="str">
        <f>HYPERLINK("http://www.google.com/maps/place/48.0542976,15.1384861","Location")</f>
        <v>Location</v>
      </c>
      <c r="E4765" t="s">
        <v>40720</v>
      </c>
      <c r="F4765" t="s">
        <v>40721</v>
      </c>
      <c r="G4765" t="s">
        <v>9909</v>
      </c>
      <c r="H4765" t="s">
        <v>9910</v>
      </c>
      <c r="I4765" t="s">
        <v>177</v>
      </c>
      <c r="J4765" t="s">
        <v>22</v>
      </c>
      <c r="K4765" t="s">
        <v>40722</v>
      </c>
      <c r="L4765" t="s">
        <v>40725</v>
      </c>
      <c r="M4765" t="s">
        <v>40726</v>
      </c>
      <c r="N4765" t="s">
        <v>40727</v>
      </c>
      <c r="O4765" t="s">
        <v>25</v>
      </c>
      <c r="P4765" t="s">
        <v>40728</v>
      </c>
      <c r="Q4765" t="s">
        <v>29</v>
      </c>
      <c r="R4765" t="s">
        <v>40723</v>
      </c>
      <c r="S4765" t="s">
        <v>40724</v>
      </c>
    </row>
    <row r="4766" spans="1:19" x14ac:dyDescent="0.25">
      <c r="A4766" s="1">
        <v>4764</v>
      </c>
      <c r="B4766" t="str">
        <f>HYPERLINK("https://www.dasschnelle.at/pfeiffer-uwe-gresten-spörken","Website")</f>
        <v>Website</v>
      </c>
      <c r="C4766" t="str">
        <f>HYPERLINK("http://www.u-pfeiffer.at","Website")</f>
        <v>Website</v>
      </c>
      <c r="D4766" t="str">
        <f>HYPERLINK("http://www.google.com/maps/place/47.98107,15.02596","Location")</f>
        <v>Location</v>
      </c>
      <c r="E4766" t="s">
        <v>40729</v>
      </c>
      <c r="F4766" t="s">
        <v>40730</v>
      </c>
      <c r="G4766" t="s">
        <v>9890</v>
      </c>
      <c r="H4766" t="s">
        <v>9930</v>
      </c>
      <c r="I4766" t="s">
        <v>177</v>
      </c>
      <c r="J4766" t="s">
        <v>22</v>
      </c>
      <c r="K4766" t="s">
        <v>40731</v>
      </c>
      <c r="L4766" t="s">
        <v>40734</v>
      </c>
      <c r="M4766" t="s">
        <v>25</v>
      </c>
      <c r="N4766" t="s">
        <v>40735</v>
      </c>
      <c r="O4766" t="s">
        <v>25</v>
      </c>
      <c r="P4766" t="s">
        <v>40736</v>
      </c>
      <c r="Q4766" t="s">
        <v>29</v>
      </c>
      <c r="R4766" t="s">
        <v>40732</v>
      </c>
      <c r="S4766" t="s">
        <v>40733</v>
      </c>
    </row>
    <row r="4767" spans="1:19" x14ac:dyDescent="0.25">
      <c r="A4767" s="1">
        <v>4765</v>
      </c>
      <c r="B4767" t="str">
        <f>HYPERLINK("https://www.dasschnelle.at/dr-med-univ-franz-siegl-söchau-nr","Website")</f>
        <v>Website</v>
      </c>
      <c r="C4767" t="str">
        <f>HYPERLINK("https://www.dasschnelle.at/dr-med-univ-franz-siegl-s%C3%B6chau-nr","Website")</f>
        <v>Website</v>
      </c>
      <c r="D4767" t="str">
        <f>HYPERLINK("http://www.google.com/maps/place/47.0280733,16.0142725","Location")</f>
        <v>Location</v>
      </c>
      <c r="E4767" t="s">
        <v>40737</v>
      </c>
      <c r="F4767" t="s">
        <v>40738</v>
      </c>
      <c r="G4767" t="s">
        <v>26143</v>
      </c>
      <c r="H4767" t="s">
        <v>26144</v>
      </c>
      <c r="I4767" t="s">
        <v>451</v>
      </c>
      <c r="J4767" t="s">
        <v>22</v>
      </c>
      <c r="K4767" t="s">
        <v>40739</v>
      </c>
      <c r="L4767" t="s">
        <v>40742</v>
      </c>
      <c r="M4767" t="s">
        <v>25</v>
      </c>
      <c r="N4767" t="s">
        <v>40743</v>
      </c>
      <c r="O4767" t="s">
        <v>25</v>
      </c>
      <c r="P4767" t="s">
        <v>40744</v>
      </c>
      <c r="Q4767" t="s">
        <v>29</v>
      </c>
      <c r="R4767" t="s">
        <v>40740</v>
      </c>
      <c r="S4767" t="s">
        <v>40741</v>
      </c>
    </row>
    <row r="4768" spans="1:19" x14ac:dyDescent="0.25">
      <c r="A4768" s="1">
        <v>4766</v>
      </c>
      <c r="B4768" t="str">
        <f>HYPERLINK("https://www.dasschnelle.at/glettler-kg-gratwein-bahnhofstraße","Website")</f>
        <v>Website</v>
      </c>
      <c r="C4768" t="str">
        <f>HYPERLINK("http://www.glettler-installationen.at","Website")</f>
        <v>Website</v>
      </c>
      <c r="D4768" t="str">
        <f>HYPERLINK("http://www.google.com/maps/place/47.13142,15.32322","Location")</f>
        <v>Location</v>
      </c>
      <c r="E4768" t="s">
        <v>40745</v>
      </c>
      <c r="F4768" t="s">
        <v>40746</v>
      </c>
      <c r="G4768" t="s">
        <v>7864</v>
      </c>
      <c r="H4768" t="s">
        <v>7865</v>
      </c>
      <c r="I4768" t="s">
        <v>451</v>
      </c>
      <c r="J4768" t="s">
        <v>22</v>
      </c>
      <c r="K4768" t="s">
        <v>6326</v>
      </c>
      <c r="L4768" t="s">
        <v>40749</v>
      </c>
      <c r="M4768" t="s">
        <v>25</v>
      </c>
      <c r="N4768" t="s">
        <v>40750</v>
      </c>
      <c r="O4768" t="s">
        <v>25</v>
      </c>
      <c r="P4768" t="s">
        <v>40751</v>
      </c>
      <c r="Q4768" t="s">
        <v>29</v>
      </c>
      <c r="R4768" t="s">
        <v>40747</v>
      </c>
      <c r="S4768" t="s">
        <v>40748</v>
      </c>
    </row>
    <row r="4769" spans="1:19" x14ac:dyDescent="0.25">
      <c r="A4769" s="1">
        <v>4767</v>
      </c>
      <c r="B4769" t="str">
        <f>HYPERLINK("https://www.dasschnelle.at/schwienbacher-martin-landeck-nesselgarten","Website")</f>
        <v>Website</v>
      </c>
      <c r="C4769" t="str">
        <f>HYPERLINK("http://www.steinbildhauer-sm.at","Website")</f>
        <v>Website</v>
      </c>
      <c r="D4769" t="str">
        <f>HYPERLINK("http://www.google.com/maps/place/47.1162200,10.6164700","Location")</f>
        <v>Location</v>
      </c>
      <c r="E4769" t="s">
        <v>40752</v>
      </c>
      <c r="F4769" t="s">
        <v>40753</v>
      </c>
      <c r="G4769" t="s">
        <v>1279</v>
      </c>
      <c r="H4769" t="s">
        <v>1280</v>
      </c>
      <c r="I4769" t="s">
        <v>21</v>
      </c>
      <c r="J4769" t="s">
        <v>22</v>
      </c>
      <c r="K4769" t="s">
        <v>40754</v>
      </c>
      <c r="L4769" t="s">
        <v>40757</v>
      </c>
      <c r="M4769" t="s">
        <v>25</v>
      </c>
      <c r="N4769" t="s">
        <v>40758</v>
      </c>
      <c r="O4769" t="s">
        <v>25</v>
      </c>
      <c r="P4769" t="s">
        <v>40759</v>
      </c>
      <c r="Q4769" t="s">
        <v>29</v>
      </c>
      <c r="R4769" t="s">
        <v>40755</v>
      </c>
      <c r="S4769" t="s">
        <v>40756</v>
      </c>
    </row>
    <row r="4770" spans="1:19" x14ac:dyDescent="0.25">
      <c r="A4770" s="1">
        <v>4768</v>
      </c>
      <c r="B4770" t="str">
        <f>HYPERLINK("https://www.dasschnelle.at/einfalt-christine-e-u-gmünd-schremser-straße","Website")</f>
        <v>Website</v>
      </c>
      <c r="C4770" t="str">
        <f>HYPERLINK("http://www.opel-einfalt.at","Website")</f>
        <v>Website</v>
      </c>
      <c r="D4770" t="str">
        <f>HYPERLINK("http://www.google.com/maps/place/48.76917,14.99847","Location")</f>
        <v>Location</v>
      </c>
      <c r="E4770" t="s">
        <v>40760</v>
      </c>
      <c r="F4770" t="s">
        <v>40761</v>
      </c>
      <c r="G4770" t="s">
        <v>13116</v>
      </c>
      <c r="H4770" t="s">
        <v>13117</v>
      </c>
      <c r="I4770" t="s">
        <v>177</v>
      </c>
      <c r="J4770" t="s">
        <v>22</v>
      </c>
      <c r="K4770" t="s">
        <v>40762</v>
      </c>
      <c r="L4770" t="s">
        <v>40765</v>
      </c>
      <c r="M4770" t="s">
        <v>25</v>
      </c>
      <c r="N4770" t="s">
        <v>40766</v>
      </c>
      <c r="O4770" t="s">
        <v>25</v>
      </c>
      <c r="P4770" t="s">
        <v>40767</v>
      </c>
      <c r="Q4770" t="s">
        <v>29</v>
      </c>
      <c r="R4770" t="s">
        <v>40763</v>
      </c>
      <c r="S4770" t="s">
        <v>40764</v>
      </c>
    </row>
    <row r="4771" spans="1:19" x14ac:dyDescent="0.25">
      <c r="A4771" s="1">
        <v>4769</v>
      </c>
      <c r="B4771" t="str">
        <f>HYPERLINK("https://www.dasschnelle.at/wallner-martin-zwettl-niederösterreich-pater-werner-deibl-straße","Website")</f>
        <v>Website</v>
      </c>
      <c r="C4771" t="str">
        <f>HYPERLINK("http://www.stiegen-wallner.at","Website")</f>
        <v>Website</v>
      </c>
      <c r="D4771" t="str">
        <f>HYPERLINK("http://www.google.com/maps/place/48.60311,15.17633","Location")</f>
        <v>Location</v>
      </c>
      <c r="E4771" t="s">
        <v>40768</v>
      </c>
      <c r="F4771" t="s">
        <v>40769</v>
      </c>
      <c r="G4771" t="s">
        <v>10518</v>
      </c>
      <c r="H4771" t="s">
        <v>10519</v>
      </c>
      <c r="I4771" t="s">
        <v>177</v>
      </c>
      <c r="J4771" t="s">
        <v>22</v>
      </c>
      <c r="K4771" t="s">
        <v>40770</v>
      </c>
      <c r="L4771" t="s">
        <v>40773</v>
      </c>
      <c r="M4771" t="s">
        <v>40774</v>
      </c>
      <c r="N4771" t="s">
        <v>40775</v>
      </c>
      <c r="O4771" t="s">
        <v>25</v>
      </c>
      <c r="P4771" t="s">
        <v>40776</v>
      </c>
      <c r="Q4771" t="s">
        <v>29</v>
      </c>
      <c r="R4771" t="s">
        <v>40771</v>
      </c>
      <c r="S4771" t="s">
        <v>40772</v>
      </c>
    </row>
    <row r="4772" spans="1:19" x14ac:dyDescent="0.25">
      <c r="A4772" s="1">
        <v>4770</v>
      </c>
      <c r="B4772" t="str">
        <f>HYPERLINK("https://www.dasschnelle.at/pronegg-markus-fresing-fresing","Website")</f>
        <v>Website</v>
      </c>
      <c r="C4772" t="str">
        <f>HYPERLINK("http://www.daihatsu-pronegg.at","Website")</f>
        <v>Website</v>
      </c>
      <c r="D4772" t="str">
        <f>HYPERLINK("http://www.google.com/maps/place/46.7633042,15.4507644","Location")</f>
        <v>Location</v>
      </c>
      <c r="E4772" t="s">
        <v>40777</v>
      </c>
      <c r="F4772" t="s">
        <v>40778</v>
      </c>
      <c r="G4772" t="s">
        <v>40780</v>
      </c>
      <c r="H4772" t="s">
        <v>40781</v>
      </c>
      <c r="I4772" t="s">
        <v>451</v>
      </c>
      <c r="J4772" t="s">
        <v>22</v>
      </c>
      <c r="K4772" t="s">
        <v>40779</v>
      </c>
      <c r="L4772" t="s">
        <v>40784</v>
      </c>
      <c r="M4772" t="s">
        <v>40785</v>
      </c>
      <c r="N4772" t="s">
        <v>40786</v>
      </c>
      <c r="O4772" t="s">
        <v>25</v>
      </c>
      <c r="P4772" t="s">
        <v>40787</v>
      </c>
      <c r="Q4772" t="s">
        <v>29</v>
      </c>
      <c r="R4772" t="s">
        <v>40782</v>
      </c>
      <c r="S4772" t="s">
        <v>40783</v>
      </c>
    </row>
    <row r="4773" spans="1:19" x14ac:dyDescent="0.25">
      <c r="A4773" s="1">
        <v>4771</v>
      </c>
      <c r="B4773" t="str">
        <f>HYPERLINK("https://www.dasschnelle.at/reiterer-gerold-sankt-johann-im-saggautal-gündorf","Website")</f>
        <v>Website</v>
      </c>
      <c r="C4773" t="str">
        <f>HYPERLINK("http://www.reiterergerold.at","Website")</f>
        <v>Website</v>
      </c>
      <c r="D4773" t="str">
        <f>HYPERLINK("http://www.google.com/maps/place/46.7185112,15.4128898","Location")</f>
        <v>Location</v>
      </c>
      <c r="E4773" t="s">
        <v>40788</v>
      </c>
      <c r="F4773" t="s">
        <v>40789</v>
      </c>
      <c r="G4773" t="s">
        <v>24374</v>
      </c>
      <c r="H4773" t="s">
        <v>24375</v>
      </c>
      <c r="I4773" t="s">
        <v>451</v>
      </c>
      <c r="J4773" t="s">
        <v>22</v>
      </c>
      <c r="K4773" t="s">
        <v>40790</v>
      </c>
      <c r="L4773" t="s">
        <v>40793</v>
      </c>
      <c r="M4773" t="s">
        <v>40794</v>
      </c>
      <c r="N4773" t="s">
        <v>40795</v>
      </c>
      <c r="O4773" t="s">
        <v>40796</v>
      </c>
      <c r="P4773" t="s">
        <v>40797</v>
      </c>
      <c r="Q4773" t="s">
        <v>29</v>
      </c>
      <c r="R4773" t="s">
        <v>40791</v>
      </c>
      <c r="S4773" t="s">
        <v>40792</v>
      </c>
    </row>
    <row r="4774" spans="1:19" x14ac:dyDescent="0.25">
      <c r="A4774" s="1">
        <v>4772</v>
      </c>
      <c r="B4774" t="str">
        <f>HYPERLINK("https://www.dasschnelle.at/miesenbeck-günther-dr-schärding-innere-stadt-ludwig-pfliegl-gasse","Website")</f>
        <v>Website</v>
      </c>
      <c r="C4774" t="str">
        <f>HYPERLINK("https://www.dasschnelle.at/miesenbeck-g%C3%BCnther-dr-sch%C3%A4rding-innere-stadt-ludwig-pfliegl-gasse","Website")</f>
        <v>Website</v>
      </c>
      <c r="D4774" t="str">
        <f>HYPERLINK("http://www.google.com/maps/place/48.45491,13.43153","Location")</f>
        <v>Location</v>
      </c>
      <c r="E4774" t="s">
        <v>40798</v>
      </c>
      <c r="F4774" t="s">
        <v>40799</v>
      </c>
      <c r="G4774" t="s">
        <v>8850</v>
      </c>
      <c r="H4774" t="s">
        <v>8859</v>
      </c>
      <c r="I4774" t="s">
        <v>85</v>
      </c>
      <c r="J4774" t="s">
        <v>22</v>
      </c>
      <c r="K4774" t="s">
        <v>25899</v>
      </c>
      <c r="L4774" t="s">
        <v>40800</v>
      </c>
      <c r="M4774" t="s">
        <v>25</v>
      </c>
      <c r="N4774" t="s">
        <v>40801</v>
      </c>
      <c r="O4774" t="s">
        <v>25</v>
      </c>
      <c r="P4774" t="s">
        <v>40802</v>
      </c>
      <c r="Q4774" t="s">
        <v>29</v>
      </c>
      <c r="R4774" t="s">
        <v>34025</v>
      </c>
      <c r="S4774" t="s">
        <v>34026</v>
      </c>
    </row>
    <row r="4775" spans="1:19" x14ac:dyDescent="0.25">
      <c r="A4775" s="1">
        <v>4773</v>
      </c>
      <c r="B4775" t="str">
        <f>HYPERLINK("https://www.dasschnelle.at/tischlerei-oberascher-gmbh-und-co-kg-mondsee-höribachstraße","Website")</f>
        <v>Website</v>
      </c>
      <c r="C4775" t="str">
        <f>HYPERLINK("http://www.oberascher.at","Website")</f>
        <v>Website</v>
      </c>
      <c r="D4775" t="str">
        <f>HYPERLINK("http://www.google.com/maps/place/47.83838,13.33517","Location")</f>
        <v>Location</v>
      </c>
      <c r="E4775" t="s">
        <v>40803</v>
      </c>
      <c r="F4775" t="s">
        <v>40804</v>
      </c>
      <c r="G4775" t="s">
        <v>6543</v>
      </c>
      <c r="H4775" t="s">
        <v>6544</v>
      </c>
      <c r="I4775" t="s">
        <v>85</v>
      </c>
      <c r="J4775" t="s">
        <v>22</v>
      </c>
      <c r="K4775" t="s">
        <v>40805</v>
      </c>
      <c r="L4775" t="s">
        <v>40808</v>
      </c>
      <c r="M4775" t="s">
        <v>25</v>
      </c>
      <c r="N4775" t="s">
        <v>40809</v>
      </c>
      <c r="O4775" t="s">
        <v>25</v>
      </c>
      <c r="P4775" t="s">
        <v>40810</v>
      </c>
      <c r="Q4775" t="s">
        <v>29</v>
      </c>
      <c r="R4775" t="s">
        <v>40806</v>
      </c>
      <c r="S4775" t="s">
        <v>40807</v>
      </c>
    </row>
    <row r="4776" spans="1:19" x14ac:dyDescent="0.25">
      <c r="A4776" s="1">
        <v>4774</v>
      </c>
      <c r="B4776" t="str">
        <f>HYPERLINK("https://www.dasschnelle.at/hütter-reinhold-dr-med-freistadt-bahnhofstraße","Website")</f>
        <v>Website</v>
      </c>
      <c r="C4776" t="str">
        <f>HYPERLINK("https://www.dasschnelle.at/h%C3%BCtter-reinhold-dr-med-freistadt-bahnhofstra%C3%9Fe","Website")</f>
        <v>Website</v>
      </c>
      <c r="D4776" t="str">
        <f>HYPERLINK("http://www.google.com/maps/place/48.50339,14.49792","Location")</f>
        <v>Location</v>
      </c>
      <c r="E4776" t="s">
        <v>40811</v>
      </c>
      <c r="F4776" t="s">
        <v>40812</v>
      </c>
      <c r="G4776" t="s">
        <v>6891</v>
      </c>
      <c r="H4776" t="s">
        <v>6892</v>
      </c>
      <c r="I4776" t="s">
        <v>85</v>
      </c>
      <c r="J4776" t="s">
        <v>22</v>
      </c>
      <c r="K4776" t="s">
        <v>40813</v>
      </c>
      <c r="L4776" t="s">
        <v>40816</v>
      </c>
      <c r="M4776" t="s">
        <v>25</v>
      </c>
      <c r="N4776" t="s">
        <v>25</v>
      </c>
      <c r="O4776" t="s">
        <v>25</v>
      </c>
      <c r="P4776" t="s">
        <v>40817</v>
      </c>
      <c r="Q4776" t="s">
        <v>29</v>
      </c>
      <c r="R4776" t="s">
        <v>40814</v>
      </c>
      <c r="S4776" t="s">
        <v>40815</v>
      </c>
    </row>
    <row r="4777" spans="1:19" x14ac:dyDescent="0.25">
      <c r="A4777" s="1">
        <v>4775</v>
      </c>
      <c r="B4777" t="str">
        <f>HYPERLINK("https://www.dasschnelle.at/inntal-gärtnerei-gmbh-und-co-kg-neuhaus-rothof","Website")</f>
        <v>Website</v>
      </c>
      <c r="C4777" t="str">
        <f>HYPERLINK("http://www.inntal-gaertnerei.de","Website")</f>
        <v>Website</v>
      </c>
      <c r="D4777" t="str">
        <f>HYPERLINK("http://www.google.com/maps/place/48.4862402,13.4215510","Location")</f>
        <v>Location</v>
      </c>
      <c r="E4777" t="s">
        <v>40818</v>
      </c>
      <c r="F4777" t="s">
        <v>40819</v>
      </c>
      <c r="G4777" t="s">
        <v>24282</v>
      </c>
      <c r="H4777" t="s">
        <v>24283</v>
      </c>
      <c r="I4777" t="s">
        <v>25</v>
      </c>
      <c r="J4777" t="s">
        <v>10106</v>
      </c>
      <c r="K4777" t="s">
        <v>40820</v>
      </c>
      <c r="L4777" t="s">
        <v>40823</v>
      </c>
      <c r="M4777" t="s">
        <v>25</v>
      </c>
      <c r="N4777" t="s">
        <v>40824</v>
      </c>
      <c r="O4777" t="s">
        <v>25</v>
      </c>
      <c r="P4777" t="s">
        <v>40825</v>
      </c>
      <c r="Q4777" t="s">
        <v>29</v>
      </c>
      <c r="R4777" t="s">
        <v>40821</v>
      </c>
      <c r="S4777" t="s">
        <v>40822</v>
      </c>
    </row>
    <row r="4778" spans="1:19" x14ac:dyDescent="0.25">
      <c r="A4778" s="1">
        <v>4776</v>
      </c>
      <c r="B4778" t="str">
        <f>HYPERLINK("https://www.dasschnelle.at/hochhold-rudolf-brunnenthal-wallensham","Website")</f>
        <v>Website</v>
      </c>
      <c r="C4778" t="str">
        <f>HYPERLINK("http://www.tischlerdesign.at","Website")</f>
        <v>Website</v>
      </c>
      <c r="D4778" t="str">
        <f>HYPERLINK("http://www.google.com/maps/place/48.4867464,13.5030928","Location")</f>
        <v>Location</v>
      </c>
      <c r="E4778" t="s">
        <v>40826</v>
      </c>
      <c r="F4778" t="s">
        <v>40827</v>
      </c>
      <c r="G4778" t="s">
        <v>24318</v>
      </c>
      <c r="H4778" t="s">
        <v>24319</v>
      </c>
      <c r="I4778" t="s">
        <v>85</v>
      </c>
      <c r="J4778" t="s">
        <v>22</v>
      </c>
      <c r="K4778" t="s">
        <v>40828</v>
      </c>
      <c r="L4778" t="s">
        <v>40831</v>
      </c>
      <c r="M4778" t="s">
        <v>25</v>
      </c>
      <c r="N4778" t="s">
        <v>40832</v>
      </c>
      <c r="O4778" t="s">
        <v>25</v>
      </c>
      <c r="P4778" t="s">
        <v>40833</v>
      </c>
      <c r="Q4778" t="s">
        <v>29</v>
      </c>
      <c r="R4778" t="s">
        <v>40829</v>
      </c>
      <c r="S4778" t="s">
        <v>40830</v>
      </c>
    </row>
    <row r="4779" spans="1:19" x14ac:dyDescent="0.25">
      <c r="A4779" s="1">
        <v>4777</v>
      </c>
      <c r="B4779" t="str">
        <f>HYPERLINK("https://www.dasschnelle.at/brandstötter-angelika-schärding-unterer-stadtplatz","Website")</f>
        <v>Website</v>
      </c>
      <c r="C4779" t="str">
        <f>HYPERLINK("http://www.friseurangelika.at","Website")</f>
        <v>Website</v>
      </c>
      <c r="D4779" t="str">
        <f>HYPERLINK("http://www.google.com/maps/place/48.4703,13.44468","Location")</f>
        <v>Location</v>
      </c>
      <c r="E4779" t="s">
        <v>40834</v>
      </c>
      <c r="F4779" t="s">
        <v>40835</v>
      </c>
      <c r="G4779" t="s">
        <v>8850</v>
      </c>
      <c r="H4779" t="s">
        <v>8851</v>
      </c>
      <c r="I4779" t="s">
        <v>85</v>
      </c>
      <c r="J4779" t="s">
        <v>22</v>
      </c>
      <c r="K4779" t="s">
        <v>40836</v>
      </c>
      <c r="L4779" t="s">
        <v>40839</v>
      </c>
      <c r="M4779" t="s">
        <v>25</v>
      </c>
      <c r="N4779" t="s">
        <v>40840</v>
      </c>
      <c r="O4779" t="s">
        <v>25</v>
      </c>
      <c r="P4779" t="s">
        <v>40841</v>
      </c>
      <c r="Q4779" t="s">
        <v>29</v>
      </c>
      <c r="R4779" t="s">
        <v>40837</v>
      </c>
      <c r="S4779" t="s">
        <v>40838</v>
      </c>
    </row>
    <row r="4780" spans="1:19" x14ac:dyDescent="0.25">
      <c r="A4780" s="1">
        <v>4778</v>
      </c>
      <c r="B4780" t="str">
        <f>HYPERLINK("https://www.dasschnelle.at/mcc-miedler-car-competence-gmünd-industriestraße","Website")</f>
        <v>Website</v>
      </c>
      <c r="C4780" t="str">
        <f>HYPERLINK("http://www.miedlercc.at","Website")</f>
        <v>Website</v>
      </c>
      <c r="D4780" t="str">
        <f>HYPERLINK("http://www.google.com/maps/place/48.93851,15.03999","Location")</f>
        <v>Location</v>
      </c>
      <c r="E4780" t="s">
        <v>40842</v>
      </c>
      <c r="F4780" t="s">
        <v>40843</v>
      </c>
      <c r="G4780" t="s">
        <v>7210</v>
      </c>
      <c r="H4780" t="s">
        <v>13117</v>
      </c>
      <c r="I4780" t="s">
        <v>177</v>
      </c>
      <c r="J4780" t="s">
        <v>22</v>
      </c>
      <c r="K4780" t="s">
        <v>25050</v>
      </c>
      <c r="L4780" t="s">
        <v>25053</v>
      </c>
      <c r="M4780" t="s">
        <v>25</v>
      </c>
      <c r="N4780" t="s">
        <v>25054</v>
      </c>
      <c r="O4780" t="s">
        <v>25</v>
      </c>
      <c r="P4780" t="s">
        <v>697</v>
      </c>
      <c r="Q4780" t="s">
        <v>29</v>
      </c>
      <c r="R4780" t="s">
        <v>25051</v>
      </c>
      <c r="S4780" t="s">
        <v>25052</v>
      </c>
    </row>
    <row r="4781" spans="1:19" x14ac:dyDescent="0.25">
      <c r="A4781" s="1">
        <v>4779</v>
      </c>
      <c r="B4781" t="str">
        <f>HYPERLINK("https://www.dasschnelle.at/kastner-hermann-gesmbh-zwettl-landstraße","Website")</f>
        <v>Website</v>
      </c>
      <c r="C4781" t="str">
        <f>HYPERLINK("http://www.kastner-zwettl.at","Website")</f>
        <v>Website</v>
      </c>
      <c r="D4781" t="str">
        <f>HYPERLINK("http://www.google.com/maps/place/48.60297,15.16804","Location")</f>
        <v>Location</v>
      </c>
      <c r="E4781" t="s">
        <v>40844</v>
      </c>
      <c r="F4781" t="s">
        <v>40845</v>
      </c>
      <c r="G4781" t="s">
        <v>10518</v>
      </c>
      <c r="H4781" t="s">
        <v>10791</v>
      </c>
      <c r="I4781" t="s">
        <v>177</v>
      </c>
      <c r="J4781" t="s">
        <v>22</v>
      </c>
      <c r="K4781" t="s">
        <v>40846</v>
      </c>
      <c r="L4781" t="s">
        <v>40849</v>
      </c>
      <c r="M4781" t="s">
        <v>40850</v>
      </c>
      <c r="N4781" t="s">
        <v>40851</v>
      </c>
      <c r="O4781" t="s">
        <v>25</v>
      </c>
      <c r="P4781" t="s">
        <v>697</v>
      </c>
      <c r="Q4781" t="s">
        <v>29</v>
      </c>
      <c r="R4781" t="s">
        <v>40847</v>
      </c>
      <c r="S4781" t="s">
        <v>40848</v>
      </c>
    </row>
    <row r="4782" spans="1:19" x14ac:dyDescent="0.25">
      <c r="A4782" s="1">
        <v>4780</v>
      </c>
      <c r="B4782" t="str">
        <f>HYPERLINK("https://www.dasschnelle.at/schweinzer-gerald-loipersdorf-bei-fürstenfeld-höhenstraße","Website")</f>
        <v>Website</v>
      </c>
      <c r="C4782" t="str">
        <f>HYPERLINK("http://www.schweinzer-dach.at","Website")</f>
        <v>Website</v>
      </c>
      <c r="D4782" t="str">
        <f>HYPERLINK("http://www.google.com/maps/place/47.0120308,16.0953100","Location")</f>
        <v>Location</v>
      </c>
      <c r="E4782" t="s">
        <v>40852</v>
      </c>
      <c r="F4782" t="s">
        <v>40853</v>
      </c>
      <c r="G4782" t="s">
        <v>25111</v>
      </c>
      <c r="H4782" t="s">
        <v>25112</v>
      </c>
      <c r="I4782" t="s">
        <v>451</v>
      </c>
      <c r="J4782" t="s">
        <v>22</v>
      </c>
      <c r="K4782" t="s">
        <v>40854</v>
      </c>
      <c r="L4782" t="s">
        <v>40857</v>
      </c>
      <c r="M4782" t="s">
        <v>25</v>
      </c>
      <c r="N4782" t="s">
        <v>40858</v>
      </c>
      <c r="O4782" t="s">
        <v>25</v>
      </c>
      <c r="P4782" t="s">
        <v>697</v>
      </c>
      <c r="Q4782" t="s">
        <v>29</v>
      </c>
      <c r="R4782" t="s">
        <v>40855</v>
      </c>
      <c r="S4782" t="s">
        <v>40856</v>
      </c>
    </row>
    <row r="4783" spans="1:19" x14ac:dyDescent="0.25">
      <c r="A4783" s="1">
        <v>4781</v>
      </c>
      <c r="B4783" t="str">
        <f>HYPERLINK("https://www.dasschnelle.at/spröba-alutechnik-d-neukirchen-am-inn-hauptstraße","Website")</f>
        <v>Website</v>
      </c>
      <c r="C4783" t="str">
        <f>HYPERLINK("http://www.sproeba.de","Website")</f>
        <v>Website</v>
      </c>
      <c r="D4783" t="str">
        <f>HYPERLINK("http://www.google.com/maps/place/48.5261600,13.3803600","Location")</f>
        <v>Location</v>
      </c>
      <c r="E4783" t="s">
        <v>40859</v>
      </c>
      <c r="F4783" t="s">
        <v>40860</v>
      </c>
      <c r="G4783" t="s">
        <v>40862</v>
      </c>
      <c r="H4783" t="s">
        <v>40863</v>
      </c>
      <c r="I4783" t="s">
        <v>85</v>
      </c>
      <c r="J4783" t="s">
        <v>22</v>
      </c>
      <c r="K4783" t="s">
        <v>40861</v>
      </c>
      <c r="L4783" t="s">
        <v>25</v>
      </c>
      <c r="M4783" t="s">
        <v>25</v>
      </c>
      <c r="N4783" t="s">
        <v>40866</v>
      </c>
      <c r="O4783" t="s">
        <v>25</v>
      </c>
      <c r="P4783" t="s">
        <v>697</v>
      </c>
      <c r="Q4783" t="s">
        <v>29</v>
      </c>
      <c r="R4783" t="s">
        <v>40864</v>
      </c>
      <c r="S4783" t="s">
        <v>40865</v>
      </c>
    </row>
    <row r="4784" spans="1:19" x14ac:dyDescent="0.25">
      <c r="A4784" s="1">
        <v>4782</v>
      </c>
      <c r="B4784" t="str">
        <f>HYPERLINK("https://www.dasschnelle.at/gassner-rainer-dr-und-partner-gruppenpraxis-klosterneuburg-stadtplatz","Website")</f>
        <v>Website</v>
      </c>
      <c r="C4784" t="str">
        <f>HYPERLINK("http://www.frauenarztpraxis-klosterneuburg.at","Website")</f>
        <v>Website</v>
      </c>
      <c r="D4784" t="str">
        <f>HYPERLINK("http://www.google.com/maps/place/48.3093458,16.3235225","Location")</f>
        <v>Location</v>
      </c>
      <c r="E4784" t="s">
        <v>40867</v>
      </c>
      <c r="F4784" t="s">
        <v>40868</v>
      </c>
      <c r="G4784" t="s">
        <v>10308</v>
      </c>
      <c r="H4784" t="s">
        <v>10317</v>
      </c>
      <c r="I4784" t="s">
        <v>177</v>
      </c>
      <c r="J4784" t="s">
        <v>22</v>
      </c>
      <c r="K4784" t="s">
        <v>27001</v>
      </c>
      <c r="L4784" t="s">
        <v>27004</v>
      </c>
      <c r="M4784" t="s">
        <v>25</v>
      </c>
      <c r="N4784" t="s">
        <v>27005</v>
      </c>
      <c r="O4784" t="s">
        <v>25</v>
      </c>
      <c r="P4784" t="s">
        <v>697</v>
      </c>
      <c r="Q4784" t="s">
        <v>29</v>
      </c>
      <c r="R4784" t="s">
        <v>27002</v>
      </c>
      <c r="S4784" t="s">
        <v>27003</v>
      </c>
    </row>
    <row r="4785" spans="1:19" x14ac:dyDescent="0.25">
      <c r="A4785" s="1">
        <v>4783</v>
      </c>
      <c r="B4785" t="str">
        <f>HYPERLINK("https://www.dasschnelle.at/pölz-baukultur-gmbh-mondsee-rainerstraße","Website")</f>
        <v>Website</v>
      </c>
      <c r="C4785" t="str">
        <f>HYPERLINK("http://www.poelz-baukultur.at","Website")</f>
        <v>Website</v>
      </c>
      <c r="D4785" t="str">
        <f>HYPERLINK("http://www.google.com/maps/place/47.85471,13.34772","Location")</f>
        <v>Location</v>
      </c>
      <c r="E4785" t="s">
        <v>40869</v>
      </c>
      <c r="F4785" t="s">
        <v>40870</v>
      </c>
      <c r="G4785" t="s">
        <v>6543</v>
      </c>
      <c r="H4785" t="s">
        <v>6544</v>
      </c>
      <c r="I4785" t="s">
        <v>85</v>
      </c>
      <c r="J4785" t="s">
        <v>22</v>
      </c>
      <c r="K4785" t="s">
        <v>40871</v>
      </c>
      <c r="L4785" t="s">
        <v>40874</v>
      </c>
      <c r="M4785" t="s">
        <v>25</v>
      </c>
      <c r="N4785" t="s">
        <v>40875</v>
      </c>
      <c r="O4785" t="s">
        <v>25</v>
      </c>
      <c r="P4785" t="s">
        <v>697</v>
      </c>
      <c r="Q4785" t="s">
        <v>29</v>
      </c>
      <c r="R4785" t="s">
        <v>40872</v>
      </c>
      <c r="S4785" t="s">
        <v>40873</v>
      </c>
    </row>
    <row r="4786" spans="1:19" x14ac:dyDescent="0.25">
      <c r="A4786" s="1">
        <v>4784</v>
      </c>
      <c r="B4786" t="str">
        <f>HYPERLINK("https://www.dasschnelle.at/gruber-sebastian-großarl-achengasse","Website")</f>
        <v>Website</v>
      </c>
      <c r="C4786" t="str">
        <f>HYPERLINK("http://www.sebastiangruber.at","Website")</f>
        <v>Website</v>
      </c>
      <c r="D4786" t="str">
        <f>HYPERLINK("http://www.google.com/maps/place/47.23306,13.19664","Location")</f>
        <v>Location</v>
      </c>
      <c r="E4786" t="s">
        <v>40876</v>
      </c>
      <c r="F4786" t="s">
        <v>40877</v>
      </c>
      <c r="G4786" t="s">
        <v>25267</v>
      </c>
      <c r="H4786" t="s">
        <v>25268</v>
      </c>
      <c r="I4786" t="s">
        <v>2239</v>
      </c>
      <c r="J4786" t="s">
        <v>22</v>
      </c>
      <c r="K4786" t="s">
        <v>40878</v>
      </c>
      <c r="L4786" t="s">
        <v>40881</v>
      </c>
      <c r="M4786" t="s">
        <v>25</v>
      </c>
      <c r="N4786" t="s">
        <v>40882</v>
      </c>
      <c r="O4786" t="s">
        <v>40883</v>
      </c>
      <c r="P4786" t="s">
        <v>40884</v>
      </c>
      <c r="Q4786" t="s">
        <v>29</v>
      </c>
      <c r="R4786" t="s">
        <v>40879</v>
      </c>
      <c r="S4786" t="s">
        <v>40880</v>
      </c>
    </row>
    <row r="4787" spans="1:19" x14ac:dyDescent="0.25">
      <c r="A4787" s="1">
        <v>4785</v>
      </c>
      <c r="B4787" t="str">
        <f>HYPERLINK("https://www.dasschnelle.at/kastler-autohaus-gmbh-freistadt-linzer-straße","Website")</f>
        <v>Website</v>
      </c>
      <c r="C4787" t="str">
        <f>HYPERLINK("http://www.autohaus-kastler.at","Website")</f>
        <v>Website</v>
      </c>
      <c r="D4787" t="str">
        <f>HYPERLINK("http://www.google.com/maps/place/48.49488,14.50336","Location")</f>
        <v>Location</v>
      </c>
      <c r="E4787" t="s">
        <v>40885</v>
      </c>
      <c r="F4787" t="s">
        <v>40886</v>
      </c>
      <c r="G4787" t="s">
        <v>6891</v>
      </c>
      <c r="H4787" t="s">
        <v>6892</v>
      </c>
      <c r="I4787" t="s">
        <v>85</v>
      </c>
      <c r="J4787" t="s">
        <v>22</v>
      </c>
      <c r="K4787" t="s">
        <v>40887</v>
      </c>
      <c r="L4787" t="s">
        <v>40890</v>
      </c>
      <c r="M4787" t="s">
        <v>40891</v>
      </c>
      <c r="N4787" t="s">
        <v>40892</v>
      </c>
      <c r="O4787" t="s">
        <v>25</v>
      </c>
      <c r="P4787" t="s">
        <v>40893</v>
      </c>
      <c r="Q4787" t="s">
        <v>29</v>
      </c>
      <c r="R4787" t="s">
        <v>40888</v>
      </c>
      <c r="S4787" t="s">
        <v>40889</v>
      </c>
    </row>
    <row r="4788" spans="1:19" x14ac:dyDescent="0.25">
      <c r="A4788" s="1">
        <v>4786</v>
      </c>
      <c r="B4788" t="str">
        <f>HYPERLINK("https://www.dasschnelle.at/kastner-gabriele-dr-in-msc-zwettl-stift-zwettl","Website")</f>
        <v>Website</v>
      </c>
      <c r="C4788" t="str">
        <f>HYPERLINK("http://www.psy4you.at","Website")</f>
        <v>Website</v>
      </c>
      <c r="D4788" t="str">
        <f>HYPERLINK("http://www.google.com/maps/place/48.76807,14.98544","Location")</f>
        <v>Location</v>
      </c>
      <c r="E4788" t="s">
        <v>40894</v>
      </c>
      <c r="F4788" t="s">
        <v>40895</v>
      </c>
      <c r="G4788" t="s">
        <v>10518</v>
      </c>
      <c r="H4788" t="s">
        <v>10791</v>
      </c>
      <c r="I4788" t="s">
        <v>177</v>
      </c>
      <c r="J4788" t="s">
        <v>22</v>
      </c>
      <c r="K4788" t="s">
        <v>40896</v>
      </c>
      <c r="L4788" t="s">
        <v>40899</v>
      </c>
      <c r="M4788" t="s">
        <v>25</v>
      </c>
      <c r="N4788" t="s">
        <v>40900</v>
      </c>
      <c r="O4788" t="s">
        <v>25</v>
      </c>
      <c r="P4788" t="s">
        <v>40901</v>
      </c>
      <c r="Q4788" t="s">
        <v>29</v>
      </c>
      <c r="R4788" t="s">
        <v>40897</v>
      </c>
      <c r="S4788" t="s">
        <v>40898</v>
      </c>
    </row>
    <row r="4789" spans="1:19" x14ac:dyDescent="0.25">
      <c r="A4789" s="1">
        <v>4787</v>
      </c>
      <c r="B4789" t="str">
        <f>HYPERLINK("https://www.dasschnelle.at/lackundspengler-at-leibnitz-wasserwerkstraße","Website")</f>
        <v>Website</v>
      </c>
      <c r="C4789" t="str">
        <f>HYPERLINK("http://www.lackundspengler.at","Website")</f>
        <v>Website</v>
      </c>
      <c r="D4789" t="str">
        <f>HYPERLINK("http://www.google.com/maps/place/46.7982600,15.5590000","Location")</f>
        <v>Location</v>
      </c>
      <c r="E4789" t="s">
        <v>40902</v>
      </c>
      <c r="F4789" t="s">
        <v>40903</v>
      </c>
      <c r="G4789" t="s">
        <v>1013</v>
      </c>
      <c r="H4789" t="s">
        <v>1023</v>
      </c>
      <c r="I4789" t="s">
        <v>451</v>
      </c>
      <c r="J4789" t="s">
        <v>22</v>
      </c>
      <c r="K4789" t="s">
        <v>40904</v>
      </c>
      <c r="L4789" t="s">
        <v>40907</v>
      </c>
      <c r="M4789" t="s">
        <v>25</v>
      </c>
      <c r="N4789" t="s">
        <v>40908</v>
      </c>
      <c r="O4789" t="s">
        <v>25</v>
      </c>
      <c r="P4789" t="s">
        <v>40909</v>
      </c>
      <c r="Q4789" t="s">
        <v>29</v>
      </c>
      <c r="R4789" t="s">
        <v>40905</v>
      </c>
      <c r="S4789" t="s">
        <v>40906</v>
      </c>
    </row>
    <row r="4790" spans="1:19" x14ac:dyDescent="0.25">
      <c r="A4790" s="1">
        <v>4788</v>
      </c>
      <c r="B4790" t="str">
        <f>HYPERLINK("https://www.dasschnelle.at/kinberger-johann-gesmbh-hörsching-forellenweg","Website")</f>
        <v>Website</v>
      </c>
      <c r="C4790" t="str">
        <f>HYPERLINK("http://www.kinberger.eu","Website")</f>
        <v>Website</v>
      </c>
      <c r="D4790" t="str">
        <f>HYPERLINK("http://www.google.com/maps/place/48.19699,14.15654","Location")</f>
        <v>Location</v>
      </c>
      <c r="E4790" t="s">
        <v>40910</v>
      </c>
      <c r="F4790" t="s">
        <v>40911</v>
      </c>
      <c r="G4790" t="s">
        <v>10217</v>
      </c>
      <c r="H4790" t="s">
        <v>10218</v>
      </c>
      <c r="I4790" t="s">
        <v>85</v>
      </c>
      <c r="J4790" t="s">
        <v>22</v>
      </c>
      <c r="K4790" t="s">
        <v>40912</v>
      </c>
      <c r="L4790" t="s">
        <v>40915</v>
      </c>
      <c r="M4790" t="s">
        <v>25</v>
      </c>
      <c r="N4790" t="s">
        <v>40916</v>
      </c>
      <c r="O4790" t="s">
        <v>25</v>
      </c>
      <c r="P4790" t="s">
        <v>40917</v>
      </c>
      <c r="Q4790" t="s">
        <v>29</v>
      </c>
      <c r="R4790" t="s">
        <v>40913</v>
      </c>
      <c r="S4790" t="s">
        <v>40914</v>
      </c>
    </row>
    <row r="4791" spans="1:19" x14ac:dyDescent="0.25">
      <c r="A4791" s="1">
        <v>4789</v>
      </c>
      <c r="B4791" t="str">
        <f>HYPERLINK("https://www.dasschnelle.at/land-fleischerei-sturm-og-eggenburg-hauptplatz","Website")</f>
        <v>Website</v>
      </c>
      <c r="C4791" t="str">
        <f>HYPERLINK("http://www.landfleischerei-sturm.at","Website")</f>
        <v>Website</v>
      </c>
      <c r="D4791" t="str">
        <f>HYPERLINK("http://www.google.com/maps/place/48.6424600,15.8166200","Location")</f>
        <v>Location</v>
      </c>
      <c r="E4791" t="s">
        <v>40918</v>
      </c>
      <c r="F4791" t="s">
        <v>40919</v>
      </c>
      <c r="G4791" t="s">
        <v>12596</v>
      </c>
      <c r="H4791" t="s">
        <v>12597</v>
      </c>
      <c r="I4791" t="s">
        <v>177</v>
      </c>
      <c r="J4791" t="s">
        <v>22</v>
      </c>
      <c r="K4791" t="s">
        <v>9698</v>
      </c>
      <c r="L4791" t="s">
        <v>40922</v>
      </c>
      <c r="M4791" t="s">
        <v>25</v>
      </c>
      <c r="N4791" t="s">
        <v>40923</v>
      </c>
      <c r="O4791" t="s">
        <v>25</v>
      </c>
      <c r="P4791" t="s">
        <v>40924</v>
      </c>
      <c r="Q4791" t="s">
        <v>29</v>
      </c>
      <c r="R4791" t="s">
        <v>40920</v>
      </c>
      <c r="S4791" t="s">
        <v>40921</v>
      </c>
    </row>
    <row r="4792" spans="1:19" x14ac:dyDescent="0.25">
      <c r="A4792" s="1">
        <v>4790</v>
      </c>
      <c r="B4792" t="str">
        <f>HYPERLINK("https://www.dasschnelle.at/niedermayer-herbert-mag-schärding-passauer-straße","Website")</f>
        <v>Website</v>
      </c>
      <c r="C4792" t="str">
        <f>HYPERLINK("http://www.niedermayer.co.at","Website")</f>
        <v>Website</v>
      </c>
      <c r="D4792" t="str">
        <f>HYPERLINK("http://www.google.com/maps/place/48.4603600,13.4325500","Location")</f>
        <v>Location</v>
      </c>
      <c r="E4792" t="s">
        <v>40925</v>
      </c>
      <c r="F4792" t="s">
        <v>40926</v>
      </c>
      <c r="G4792" t="s">
        <v>8850</v>
      </c>
      <c r="H4792" t="s">
        <v>8851</v>
      </c>
      <c r="I4792" t="s">
        <v>85</v>
      </c>
      <c r="J4792" t="s">
        <v>22</v>
      </c>
      <c r="K4792" t="s">
        <v>40927</v>
      </c>
      <c r="L4792" t="s">
        <v>40930</v>
      </c>
      <c r="M4792" t="s">
        <v>25</v>
      </c>
      <c r="N4792" t="s">
        <v>40931</v>
      </c>
      <c r="O4792" t="s">
        <v>25</v>
      </c>
      <c r="P4792" t="s">
        <v>40932</v>
      </c>
      <c r="Q4792" t="s">
        <v>29</v>
      </c>
      <c r="R4792" t="s">
        <v>40928</v>
      </c>
      <c r="S4792" t="s">
        <v>40929</v>
      </c>
    </row>
    <row r="4793" spans="1:19" x14ac:dyDescent="0.25">
      <c r="A4793" s="1">
        <v>4791</v>
      </c>
      <c r="B4793" t="str">
        <f>HYPERLINK("https://www.dasschnelle.at/maurer-anton-dr-kirchbichl-oberndorferstraße","Website")</f>
        <v>Website</v>
      </c>
      <c r="C4793" t="str">
        <f>HYPERLINK("http://www.doktor-maurer.at","Website")</f>
        <v>Website</v>
      </c>
      <c r="D4793" t="str">
        <f>HYPERLINK("http://www.google.com/maps/place/47.5067868,12.0850769","Location")</f>
        <v>Location</v>
      </c>
      <c r="E4793" t="s">
        <v>40933</v>
      </c>
      <c r="F4793" t="s">
        <v>40934</v>
      </c>
      <c r="G4793" t="s">
        <v>40936</v>
      </c>
      <c r="H4793" t="s">
        <v>40937</v>
      </c>
      <c r="I4793" t="s">
        <v>21</v>
      </c>
      <c r="J4793" t="s">
        <v>22</v>
      </c>
      <c r="K4793" t="s">
        <v>40935</v>
      </c>
      <c r="L4793" t="s">
        <v>40940</v>
      </c>
      <c r="M4793" t="s">
        <v>25</v>
      </c>
      <c r="N4793" t="s">
        <v>40941</v>
      </c>
      <c r="O4793" t="s">
        <v>25</v>
      </c>
      <c r="P4793" t="s">
        <v>40942</v>
      </c>
      <c r="Q4793" t="s">
        <v>29</v>
      </c>
      <c r="R4793" t="s">
        <v>40938</v>
      </c>
      <c r="S4793" t="s">
        <v>40939</v>
      </c>
    </row>
    <row r="4794" spans="1:19" x14ac:dyDescent="0.25">
      <c r="A4794" s="1">
        <v>4792</v>
      </c>
      <c r="B4794" t="str">
        <f>HYPERLINK("https://www.dasschnelle.at/mayr-markus-dr-med-perg-dirnbergerstraße","Website")</f>
        <v>Website</v>
      </c>
      <c r="C4794" t="str">
        <f>HYPERLINK("http://www.uropraxis-mayr.at","Website")</f>
        <v>Website</v>
      </c>
      <c r="D4794" t="str">
        <f>HYPERLINK("http://www.google.com/maps/place/48.24683,14.6347","Location")</f>
        <v>Location</v>
      </c>
      <c r="E4794" t="s">
        <v>40943</v>
      </c>
      <c r="F4794" t="s">
        <v>40944</v>
      </c>
      <c r="G4794" t="s">
        <v>6379</v>
      </c>
      <c r="H4794" t="s">
        <v>6380</v>
      </c>
      <c r="I4794" t="s">
        <v>85</v>
      </c>
      <c r="J4794" t="s">
        <v>22</v>
      </c>
      <c r="K4794" t="s">
        <v>40945</v>
      </c>
      <c r="L4794" t="s">
        <v>40948</v>
      </c>
      <c r="M4794" t="s">
        <v>25</v>
      </c>
      <c r="N4794" t="s">
        <v>40949</v>
      </c>
      <c r="O4794" t="s">
        <v>25</v>
      </c>
      <c r="P4794" t="s">
        <v>40950</v>
      </c>
      <c r="Q4794" t="s">
        <v>29</v>
      </c>
      <c r="R4794" t="s">
        <v>40946</v>
      </c>
      <c r="S4794" t="s">
        <v>40947</v>
      </c>
    </row>
    <row r="4795" spans="1:19" x14ac:dyDescent="0.25">
      <c r="A4795" s="1">
        <v>4793</v>
      </c>
      <c r="B4795" t="str">
        <f>HYPERLINK("https://www.dasschnelle.at/mayr-bustouristik-gmbh-enzenkirchen-jagern","Website")</f>
        <v>Website</v>
      </c>
      <c r="C4795" t="str">
        <f>HYPERLINK("http://www.bustouristik-mayr.at","Website")</f>
        <v>Website</v>
      </c>
      <c r="D4795" t="str">
        <f>HYPERLINK("http://www.google.com/maps/place/48.3781202,13.6378713","Location")</f>
        <v>Location</v>
      </c>
      <c r="E4795" t="s">
        <v>40951</v>
      </c>
      <c r="F4795" t="s">
        <v>40952</v>
      </c>
      <c r="G4795" t="s">
        <v>26651</v>
      </c>
      <c r="H4795" t="s">
        <v>26652</v>
      </c>
      <c r="I4795" t="s">
        <v>85</v>
      </c>
      <c r="J4795" t="s">
        <v>22</v>
      </c>
      <c r="K4795" t="s">
        <v>40953</v>
      </c>
      <c r="L4795" t="s">
        <v>40956</v>
      </c>
      <c r="M4795" t="s">
        <v>25</v>
      </c>
      <c r="N4795" t="s">
        <v>40957</v>
      </c>
      <c r="O4795" t="s">
        <v>25</v>
      </c>
      <c r="P4795" t="s">
        <v>40958</v>
      </c>
      <c r="Q4795" t="s">
        <v>29</v>
      </c>
      <c r="R4795" t="s">
        <v>40954</v>
      </c>
      <c r="S4795" t="s">
        <v>40955</v>
      </c>
    </row>
    <row r="4796" spans="1:19" x14ac:dyDescent="0.25">
      <c r="A4796" s="1">
        <v>4794</v>
      </c>
      <c r="B4796" t="str">
        <f>HYPERLINK("https://www.dasschnelle.at/mader-manuel-riedau-achleiten","Website")</f>
        <v>Website</v>
      </c>
      <c r="C4796" t="str">
        <f>HYPERLINK("https://www.dasschnelle.at/mader-manuel-riedau-achleiten","Website")</f>
        <v>Website</v>
      </c>
      <c r="D4796" t="str">
        <f>HYPERLINK("http://www.google.com/maps/place/48.3002817,13.6345562","Location")</f>
        <v>Location</v>
      </c>
      <c r="E4796" t="s">
        <v>40959</v>
      </c>
      <c r="F4796" t="s">
        <v>40960</v>
      </c>
      <c r="G4796" t="s">
        <v>8820</v>
      </c>
      <c r="H4796" t="s">
        <v>8821</v>
      </c>
      <c r="I4796" t="s">
        <v>85</v>
      </c>
      <c r="J4796" t="s">
        <v>22</v>
      </c>
      <c r="K4796" t="s">
        <v>40961</v>
      </c>
      <c r="L4796" t="s">
        <v>40964</v>
      </c>
      <c r="M4796" t="s">
        <v>25</v>
      </c>
      <c r="N4796" t="s">
        <v>40965</v>
      </c>
      <c r="O4796" t="s">
        <v>25</v>
      </c>
      <c r="P4796" t="s">
        <v>40966</v>
      </c>
      <c r="Q4796" t="s">
        <v>29</v>
      </c>
      <c r="R4796" t="s">
        <v>40962</v>
      </c>
      <c r="S4796" t="s">
        <v>40963</v>
      </c>
    </row>
    <row r="4797" spans="1:19" x14ac:dyDescent="0.25">
      <c r="A4797" s="1">
        <v>4795</v>
      </c>
      <c r="B4797" t="str">
        <f>HYPERLINK("https://www.dasschnelle.at/bottesch-martin-ing-klosterneuburg-albrechtstraße","Website")</f>
        <v>Website</v>
      </c>
      <c r="C4797" t="str">
        <f>HYPERLINK("http://www.bottesch.at","Website")</f>
        <v>Website</v>
      </c>
      <c r="D4797" t="str">
        <f>HYPERLINK("http://www.google.com/maps/place/48.3090400,16.3216000","Location")</f>
        <v>Location</v>
      </c>
      <c r="E4797" t="s">
        <v>40967</v>
      </c>
      <c r="F4797" t="s">
        <v>40968</v>
      </c>
      <c r="G4797" t="s">
        <v>10308</v>
      </c>
      <c r="H4797" t="s">
        <v>10317</v>
      </c>
      <c r="I4797" t="s">
        <v>177</v>
      </c>
      <c r="J4797" t="s">
        <v>22</v>
      </c>
      <c r="K4797" t="s">
        <v>40969</v>
      </c>
      <c r="L4797" t="s">
        <v>40972</v>
      </c>
      <c r="M4797" t="s">
        <v>40973</v>
      </c>
      <c r="N4797" t="s">
        <v>40974</v>
      </c>
      <c r="O4797" t="s">
        <v>25</v>
      </c>
      <c r="P4797" t="s">
        <v>40975</v>
      </c>
      <c r="Q4797" t="s">
        <v>29</v>
      </c>
      <c r="R4797" t="s">
        <v>40970</v>
      </c>
      <c r="S4797" t="s">
        <v>40971</v>
      </c>
    </row>
    <row r="4798" spans="1:19" x14ac:dyDescent="0.25">
      <c r="A4798" s="1">
        <v>4796</v>
      </c>
      <c r="B4798" t="str">
        <f>HYPERLINK("https://www.dasschnelle.at/brunnenbau-aichinger-günter-frankenmarkt-hauchhorn","Website")</f>
        <v>Website</v>
      </c>
      <c r="C4798" t="str">
        <f>HYPERLINK("http://www.aichinger-brunnenbau.at","Website")</f>
        <v>Website</v>
      </c>
      <c r="D4798" t="str">
        <f>HYPERLINK("http://www.google.com/maps/place/47.9817886,13.4238420","Location")</f>
        <v>Location</v>
      </c>
      <c r="E4798" t="s">
        <v>40976</v>
      </c>
      <c r="F4798" t="s">
        <v>40977</v>
      </c>
      <c r="G4798" t="s">
        <v>13301</v>
      </c>
      <c r="H4798" t="s">
        <v>13311</v>
      </c>
      <c r="I4798" t="s">
        <v>85</v>
      </c>
      <c r="J4798" t="s">
        <v>22</v>
      </c>
      <c r="K4798" t="s">
        <v>40978</v>
      </c>
      <c r="L4798" t="s">
        <v>40981</v>
      </c>
      <c r="M4798" t="s">
        <v>40982</v>
      </c>
      <c r="N4798" t="s">
        <v>40983</v>
      </c>
      <c r="O4798" t="s">
        <v>25</v>
      </c>
      <c r="P4798" t="s">
        <v>40984</v>
      </c>
      <c r="Q4798" t="s">
        <v>29</v>
      </c>
      <c r="R4798" t="s">
        <v>40979</v>
      </c>
      <c r="S4798" t="s">
        <v>40980</v>
      </c>
    </row>
    <row r="4799" spans="1:19" x14ac:dyDescent="0.25">
      <c r="A4799" s="1">
        <v>4797</v>
      </c>
      <c r="B4799" t="str">
        <f>HYPERLINK("https://www.dasschnelle.at/bad-zeller-bauunternehmen-gesmbh-bad-zell-linzer-straße","Website")</f>
        <v>Website</v>
      </c>
      <c r="C4799" t="str">
        <f>HYPERLINK("http://www.bbu.at","Website")</f>
        <v>Website</v>
      </c>
      <c r="D4799" t="str">
        <f>HYPERLINK("http://www.google.com/maps/place/48.3469,14.66728","Location")</f>
        <v>Location</v>
      </c>
      <c r="E4799" t="s">
        <v>40985</v>
      </c>
      <c r="F4799" t="s">
        <v>40986</v>
      </c>
      <c r="G4799" t="s">
        <v>6930</v>
      </c>
      <c r="H4799" t="s">
        <v>6931</v>
      </c>
      <c r="I4799" t="s">
        <v>85</v>
      </c>
      <c r="J4799" t="s">
        <v>22</v>
      </c>
      <c r="K4799" t="s">
        <v>40987</v>
      </c>
      <c r="L4799" t="s">
        <v>40990</v>
      </c>
      <c r="M4799" t="s">
        <v>25</v>
      </c>
      <c r="N4799" t="s">
        <v>40991</v>
      </c>
      <c r="O4799" t="s">
        <v>25</v>
      </c>
      <c r="P4799" t="s">
        <v>697</v>
      </c>
      <c r="Q4799" t="s">
        <v>29</v>
      </c>
      <c r="R4799" t="s">
        <v>40988</v>
      </c>
      <c r="S4799" t="s">
        <v>40989</v>
      </c>
    </row>
    <row r="4800" spans="1:19" x14ac:dyDescent="0.25">
      <c r="A4800" s="1">
        <v>4798</v>
      </c>
      <c r="B4800" t="str">
        <f>HYPERLINK("https://www.dasschnelle.at/steinhuber-thomas-mag-mondsee-meinrad-guggenbichler-straße","Website")</f>
        <v>Website</v>
      </c>
      <c r="C4800" t="str">
        <f>HYPERLINK("http://www.notar-steinhuber.at","Website")</f>
        <v>Website</v>
      </c>
      <c r="D4800" t="str">
        <f>HYPERLINK("http://www.google.com/maps/place/47.8547866,13.3491129","Location")</f>
        <v>Location</v>
      </c>
      <c r="E4800" t="s">
        <v>40992</v>
      </c>
      <c r="F4800" t="s">
        <v>40993</v>
      </c>
      <c r="G4800" t="s">
        <v>6543</v>
      </c>
      <c r="H4800" t="s">
        <v>6544</v>
      </c>
      <c r="I4800" t="s">
        <v>85</v>
      </c>
      <c r="J4800" t="s">
        <v>22</v>
      </c>
      <c r="K4800" t="s">
        <v>40994</v>
      </c>
      <c r="L4800" t="s">
        <v>40997</v>
      </c>
      <c r="M4800" t="s">
        <v>25</v>
      </c>
      <c r="N4800" t="s">
        <v>40998</v>
      </c>
      <c r="O4800" t="s">
        <v>40999</v>
      </c>
      <c r="P4800" t="s">
        <v>41000</v>
      </c>
      <c r="Q4800" t="s">
        <v>29</v>
      </c>
      <c r="R4800" t="s">
        <v>40995</v>
      </c>
      <c r="S4800" t="s">
        <v>40996</v>
      </c>
    </row>
    <row r="4801" spans="1:19" x14ac:dyDescent="0.25">
      <c r="A4801" s="1">
        <v>4799</v>
      </c>
      <c r="B4801" t="str">
        <f>HYPERLINK("https://www.dasschnelle.at/wucherer-energietechnik-gmbh-landeck-malserstraße","Website")</f>
        <v>Website</v>
      </c>
      <c r="C4801" t="str">
        <f>HYPERLINK("http://www.wucherer-energie.at","Website")</f>
        <v>Website</v>
      </c>
      <c r="D4801" t="str">
        <f>HYPERLINK("http://www.google.com/maps/place/47.14273,10.5681","Location")</f>
        <v>Location</v>
      </c>
      <c r="E4801" t="s">
        <v>41001</v>
      </c>
      <c r="F4801" t="s">
        <v>41002</v>
      </c>
      <c r="G4801" t="s">
        <v>1279</v>
      </c>
      <c r="H4801" t="s">
        <v>1280</v>
      </c>
      <c r="I4801" t="s">
        <v>21</v>
      </c>
      <c r="J4801" t="s">
        <v>22</v>
      </c>
      <c r="K4801" t="s">
        <v>41003</v>
      </c>
      <c r="L4801" t="s">
        <v>41006</v>
      </c>
      <c r="M4801" t="s">
        <v>25</v>
      </c>
      <c r="N4801" t="s">
        <v>41007</v>
      </c>
      <c r="O4801" t="s">
        <v>41008</v>
      </c>
      <c r="P4801" t="s">
        <v>41009</v>
      </c>
      <c r="Q4801" t="s">
        <v>29</v>
      </c>
      <c r="R4801" t="s">
        <v>41004</v>
      </c>
      <c r="S4801" t="s">
        <v>41005</v>
      </c>
    </row>
    <row r="4802" spans="1:19" x14ac:dyDescent="0.25">
      <c r="A4802" s="1">
        <v>4800</v>
      </c>
      <c r="B4802" t="str">
        <f>HYPERLINK("https://www.dasschnelle.at/speer-gesmbh-innerschwand-wangau","Website")</f>
        <v>Website</v>
      </c>
      <c r="C4802" t="str">
        <f>HYPERLINK("http://www.speer-dach.at","Website")</f>
        <v>Website</v>
      </c>
      <c r="D4802" t="str">
        <f>HYPERLINK("http://www.google.com/maps/place/47.83877,13.42642","Location")</f>
        <v>Location</v>
      </c>
      <c r="E4802" t="s">
        <v>41010</v>
      </c>
      <c r="F4802" t="s">
        <v>41011</v>
      </c>
      <c r="G4802" t="s">
        <v>26711</v>
      </c>
      <c r="H4802" t="s">
        <v>26712</v>
      </c>
      <c r="I4802" t="s">
        <v>85</v>
      </c>
      <c r="J4802" t="s">
        <v>22</v>
      </c>
      <c r="K4802" t="s">
        <v>41012</v>
      </c>
      <c r="L4802" t="s">
        <v>41015</v>
      </c>
      <c r="M4802" t="s">
        <v>25</v>
      </c>
      <c r="N4802" t="s">
        <v>41016</v>
      </c>
      <c r="O4802" t="s">
        <v>25</v>
      </c>
      <c r="P4802" t="s">
        <v>41017</v>
      </c>
      <c r="Q4802" t="s">
        <v>29</v>
      </c>
      <c r="R4802" t="s">
        <v>41013</v>
      </c>
      <c r="S4802" t="s">
        <v>41014</v>
      </c>
    </row>
    <row r="4803" spans="1:19" x14ac:dyDescent="0.25">
      <c r="A4803" s="1">
        <v>4801</v>
      </c>
      <c r="B4803" t="str">
        <f>HYPERLINK("https://www.dasschnelle.at/herger-weilguny-steuerberatung-wirtschaftsprüfung-gmbh-pregarten-tragweiner-straße","Website")</f>
        <v>Website</v>
      </c>
      <c r="C4803" t="str">
        <f>HYPERLINK("http://www.hw-sw.at","Website")</f>
        <v>Website</v>
      </c>
      <c r="D4803" t="str">
        <f>HYPERLINK("http://www.google.com/maps/place/48.35382,14.53396","Location")</f>
        <v>Location</v>
      </c>
      <c r="E4803" t="s">
        <v>41018</v>
      </c>
      <c r="F4803" t="s">
        <v>41019</v>
      </c>
      <c r="G4803" t="s">
        <v>25297</v>
      </c>
      <c r="H4803" t="s">
        <v>25298</v>
      </c>
      <c r="I4803" t="s">
        <v>85</v>
      </c>
      <c r="J4803" t="s">
        <v>22</v>
      </c>
      <c r="K4803" t="s">
        <v>33168</v>
      </c>
      <c r="L4803" t="s">
        <v>41020</v>
      </c>
      <c r="M4803" t="s">
        <v>25</v>
      </c>
      <c r="N4803" t="s">
        <v>34282</v>
      </c>
      <c r="O4803" t="s">
        <v>25</v>
      </c>
      <c r="P4803" t="s">
        <v>41021</v>
      </c>
      <c r="Q4803" t="s">
        <v>29</v>
      </c>
      <c r="R4803" t="s">
        <v>33169</v>
      </c>
      <c r="S4803" t="s">
        <v>33170</v>
      </c>
    </row>
    <row r="4804" spans="1:19" x14ac:dyDescent="0.25">
      <c r="A4804" s="1">
        <v>4802</v>
      </c>
      <c r="B4804" t="str">
        <f>HYPERLINK("https://www.dasschnelle.at/grabdesign-haberl-st-andrä-wördern-sankt-andrä-vor-dem-hagentale-kirchenplatz","Website")</f>
        <v>Website</v>
      </c>
      <c r="C4804" t="str">
        <f>HYPERLINK("http://www.grabdesign-haberl.at","Website")</f>
        <v>Website</v>
      </c>
      <c r="D4804" t="str">
        <f>HYPERLINK("http://www.google.com/maps/place/48.3213431,16.2067414","Location")</f>
        <v>Location</v>
      </c>
      <c r="E4804" t="s">
        <v>41022</v>
      </c>
      <c r="F4804" t="s">
        <v>41023</v>
      </c>
      <c r="G4804" t="s">
        <v>27899</v>
      </c>
      <c r="H4804" t="s">
        <v>27900</v>
      </c>
      <c r="I4804" t="s">
        <v>177</v>
      </c>
      <c r="J4804" t="s">
        <v>22</v>
      </c>
      <c r="K4804" t="s">
        <v>11151</v>
      </c>
      <c r="L4804" t="s">
        <v>41026</v>
      </c>
      <c r="M4804" t="s">
        <v>25</v>
      </c>
      <c r="N4804" t="s">
        <v>41027</v>
      </c>
      <c r="O4804" t="s">
        <v>41028</v>
      </c>
      <c r="P4804" t="s">
        <v>41029</v>
      </c>
      <c r="Q4804" t="s">
        <v>29</v>
      </c>
      <c r="R4804" t="s">
        <v>41024</v>
      </c>
      <c r="S4804" t="s">
        <v>41025</v>
      </c>
    </row>
    <row r="4805" spans="1:19" x14ac:dyDescent="0.25">
      <c r="A4805" s="1">
        <v>4803</v>
      </c>
      <c r="B4805" t="str">
        <f>HYPERLINK("https://www.dasschnelle.at/fahrschule-my-friends-ottensheim-hostauerstraße","Website")</f>
        <v>Website</v>
      </c>
      <c r="C4805" t="str">
        <f>HYPERLINK("http://www.fahrschule-myfriends.at","Website")</f>
        <v>Website</v>
      </c>
      <c r="D4805" t="str">
        <f>HYPERLINK("http://www.google.com/maps/place/48.3399,14.16701","Location")</f>
        <v>Location</v>
      </c>
      <c r="E4805" t="s">
        <v>41030</v>
      </c>
      <c r="F4805" t="s">
        <v>41031</v>
      </c>
      <c r="G4805" t="s">
        <v>28603</v>
      </c>
      <c r="H4805" t="s">
        <v>28604</v>
      </c>
      <c r="I4805" t="s">
        <v>85</v>
      </c>
      <c r="J4805" t="s">
        <v>22</v>
      </c>
      <c r="K4805" t="s">
        <v>41032</v>
      </c>
      <c r="L4805" t="s">
        <v>41035</v>
      </c>
      <c r="M4805" t="s">
        <v>25</v>
      </c>
      <c r="N4805" t="s">
        <v>3277</v>
      </c>
      <c r="O4805" t="s">
        <v>25</v>
      </c>
      <c r="P4805" t="s">
        <v>41036</v>
      </c>
      <c r="Q4805" t="s">
        <v>29</v>
      </c>
      <c r="R4805" t="s">
        <v>41033</v>
      </c>
      <c r="S4805" t="s">
        <v>41034</v>
      </c>
    </row>
    <row r="4806" spans="1:19" x14ac:dyDescent="0.25">
      <c r="A4806" s="1">
        <v>4804</v>
      </c>
      <c r="B4806" t="str">
        <f>HYPERLINK("https://www.dasschnelle.at/floristik-grossegger-semriach-kirchengasse","Website")</f>
        <v>Website</v>
      </c>
      <c r="C4806" t="str">
        <f>HYPERLINK("https://www.dasschnelle.at/floristik-grossegger-semriach-kirchengasse","Website")</f>
        <v>Website</v>
      </c>
      <c r="D4806" t="str">
        <f>HYPERLINK("http://www.google.com/maps/place/47.2169500,15.4021300","Location")</f>
        <v>Location</v>
      </c>
      <c r="E4806" t="s">
        <v>41037</v>
      </c>
      <c r="F4806" t="s">
        <v>41038</v>
      </c>
      <c r="G4806" t="s">
        <v>7920</v>
      </c>
      <c r="H4806" t="s">
        <v>32685</v>
      </c>
      <c r="I4806" t="s">
        <v>451</v>
      </c>
      <c r="J4806" t="s">
        <v>22</v>
      </c>
      <c r="K4806" t="s">
        <v>41039</v>
      </c>
      <c r="L4806" t="s">
        <v>41042</v>
      </c>
      <c r="M4806" t="s">
        <v>25</v>
      </c>
      <c r="N4806" t="s">
        <v>41043</v>
      </c>
      <c r="O4806" t="s">
        <v>25</v>
      </c>
      <c r="P4806" t="s">
        <v>41044</v>
      </c>
      <c r="Q4806" t="s">
        <v>29</v>
      </c>
      <c r="R4806" t="s">
        <v>41040</v>
      </c>
      <c r="S4806" t="s">
        <v>41041</v>
      </c>
    </row>
    <row r="4807" spans="1:19" x14ac:dyDescent="0.25">
      <c r="A4807" s="1">
        <v>4805</v>
      </c>
      <c r="B4807" t="str">
        <f>HYPERLINK("https://www.dasschnelle.at/doneus-ingrid-dr-med-univ-wartberg-ob-der-aist-hauptstraße","Website")</f>
        <v>Website</v>
      </c>
      <c r="C4807" t="str">
        <f>HYPERLINK("http://www.doneus.at","Website")</f>
        <v>Website</v>
      </c>
      <c r="D4807" t="str">
        <f>HYPERLINK("http://www.google.com/maps/place/48.3511466,14.5087108","Location")</f>
        <v>Location</v>
      </c>
      <c r="E4807" t="s">
        <v>41045</v>
      </c>
      <c r="F4807" t="s">
        <v>41046</v>
      </c>
      <c r="G4807" t="s">
        <v>11973</v>
      </c>
      <c r="H4807" t="s">
        <v>27171</v>
      </c>
      <c r="I4807" t="s">
        <v>85</v>
      </c>
      <c r="J4807" t="s">
        <v>22</v>
      </c>
      <c r="K4807" t="s">
        <v>16819</v>
      </c>
      <c r="L4807" t="s">
        <v>41049</v>
      </c>
      <c r="M4807" t="s">
        <v>25</v>
      </c>
      <c r="N4807" t="s">
        <v>41050</v>
      </c>
      <c r="O4807" t="s">
        <v>25</v>
      </c>
      <c r="P4807" t="s">
        <v>41051</v>
      </c>
      <c r="Q4807" t="s">
        <v>29</v>
      </c>
      <c r="R4807" t="s">
        <v>41047</v>
      </c>
      <c r="S4807" t="s">
        <v>41048</v>
      </c>
    </row>
    <row r="4808" spans="1:19" x14ac:dyDescent="0.25">
      <c r="A4808" s="1">
        <v>4806</v>
      </c>
      <c r="B4808" t="str">
        <f>HYPERLINK("https://www.dasschnelle.at/greindl-gmbh-wartberg-ob-der-aist-obervisnitz","Website")</f>
        <v>Website</v>
      </c>
      <c r="C4808" t="str">
        <f>HYPERLINK("http://www.fliesen-greindl.at","Website")</f>
        <v>Website</v>
      </c>
      <c r="D4808" t="str">
        <f>HYPERLINK("http://www.google.com/maps/place/48.3610300,14.4889100","Location")</f>
        <v>Location</v>
      </c>
      <c r="E4808" t="s">
        <v>41052</v>
      </c>
      <c r="F4808" t="s">
        <v>41053</v>
      </c>
      <c r="G4808" t="s">
        <v>11973</v>
      </c>
      <c r="H4808" t="s">
        <v>27171</v>
      </c>
      <c r="I4808" t="s">
        <v>85</v>
      </c>
      <c r="J4808" t="s">
        <v>22</v>
      </c>
      <c r="K4808" t="s">
        <v>41054</v>
      </c>
      <c r="L4808" t="s">
        <v>41057</v>
      </c>
      <c r="M4808" t="s">
        <v>25</v>
      </c>
      <c r="N4808" t="s">
        <v>41058</v>
      </c>
      <c r="O4808" t="s">
        <v>25</v>
      </c>
      <c r="P4808" t="s">
        <v>41059</v>
      </c>
      <c r="Q4808" t="s">
        <v>29</v>
      </c>
      <c r="R4808" t="s">
        <v>41055</v>
      </c>
      <c r="S4808" t="s">
        <v>41056</v>
      </c>
    </row>
    <row r="4809" spans="1:19" x14ac:dyDescent="0.25">
      <c r="A4809" s="1">
        <v>4807</v>
      </c>
      <c r="B4809" t="str">
        <f>HYPERLINK("https://www.dasschnelle.at/glas-deixler-gmbh-pichl-bei-wels-franzing","Website")</f>
        <v>Website</v>
      </c>
      <c r="C4809" t="str">
        <f>HYPERLINK("http://www.glas-deixler.at","Website")</f>
        <v>Website</v>
      </c>
      <c r="D4809" t="str">
        <f>HYPERLINK("http://www.google.com/maps/place/48.1878684,13.8768201","Location")</f>
        <v>Location</v>
      </c>
      <c r="E4809" t="s">
        <v>41060</v>
      </c>
      <c r="F4809" t="s">
        <v>41061</v>
      </c>
      <c r="G4809" t="s">
        <v>16053</v>
      </c>
      <c r="H4809" t="s">
        <v>16054</v>
      </c>
      <c r="I4809" t="s">
        <v>85</v>
      </c>
      <c r="J4809" t="s">
        <v>22</v>
      </c>
      <c r="K4809" t="s">
        <v>41062</v>
      </c>
      <c r="L4809" t="s">
        <v>41065</v>
      </c>
      <c r="M4809" t="s">
        <v>41066</v>
      </c>
      <c r="N4809" t="s">
        <v>41067</v>
      </c>
      <c r="O4809" t="s">
        <v>25</v>
      </c>
      <c r="P4809" t="s">
        <v>41068</v>
      </c>
      <c r="Q4809" t="s">
        <v>29</v>
      </c>
      <c r="R4809" t="s">
        <v>41063</v>
      </c>
      <c r="S4809" t="s">
        <v>41064</v>
      </c>
    </row>
    <row r="4810" spans="1:19" x14ac:dyDescent="0.25">
      <c r="A4810" s="1">
        <v>4808</v>
      </c>
      <c r="B4810" t="str">
        <f>HYPERLINK("https://www.dasschnelle.at/reindl-christian-perg-aisthofen","Website")</f>
        <v>Website</v>
      </c>
      <c r="C4810" t="str">
        <f>HYPERLINK("http://www.tischlerei-reindl.at","Website")</f>
        <v>Website</v>
      </c>
      <c r="D4810" t="str">
        <f>HYPERLINK("http://www.google.com/maps/place/48.2587900,14.5925900","Location")</f>
        <v>Location</v>
      </c>
      <c r="E4810" t="s">
        <v>41069</v>
      </c>
      <c r="F4810" t="s">
        <v>41070</v>
      </c>
      <c r="G4810" t="s">
        <v>6379</v>
      </c>
      <c r="H4810" t="s">
        <v>6380</v>
      </c>
      <c r="I4810" t="s">
        <v>85</v>
      </c>
      <c r="J4810" t="s">
        <v>22</v>
      </c>
      <c r="K4810" t="s">
        <v>41071</v>
      </c>
      <c r="L4810" t="s">
        <v>41074</v>
      </c>
      <c r="M4810" t="s">
        <v>41075</v>
      </c>
      <c r="N4810" t="s">
        <v>41076</v>
      </c>
      <c r="O4810" t="s">
        <v>25</v>
      </c>
      <c r="P4810" t="s">
        <v>41077</v>
      </c>
      <c r="Q4810" t="s">
        <v>29</v>
      </c>
      <c r="R4810" t="s">
        <v>41072</v>
      </c>
      <c r="S4810" t="s">
        <v>41073</v>
      </c>
    </row>
    <row r="4811" spans="1:19" x14ac:dyDescent="0.25">
      <c r="A4811" s="1">
        <v>4809</v>
      </c>
      <c r="B4811" t="str">
        <f>HYPERLINK("https://www.dasschnelle.at/rieder-landtechnik-u-handels-gmbh-andorf-radlern","Website")</f>
        <v>Website</v>
      </c>
      <c r="C4811" t="str">
        <f>HYPERLINK("http://www.riedermax.at","Website")</f>
        <v>Website</v>
      </c>
      <c r="D4811" t="str">
        <f>HYPERLINK("http://www.google.com/maps/place/48.3720199,13.5465910","Location")</f>
        <v>Location</v>
      </c>
      <c r="E4811" t="s">
        <v>41078</v>
      </c>
      <c r="F4811" t="s">
        <v>41079</v>
      </c>
      <c r="G4811" t="s">
        <v>26299</v>
      </c>
      <c r="H4811" t="s">
        <v>26300</v>
      </c>
      <c r="I4811" t="s">
        <v>85</v>
      </c>
      <c r="J4811" t="s">
        <v>22</v>
      </c>
      <c r="K4811" t="s">
        <v>41080</v>
      </c>
      <c r="L4811" t="s">
        <v>41083</v>
      </c>
      <c r="M4811" t="s">
        <v>25</v>
      </c>
      <c r="N4811" t="s">
        <v>41084</v>
      </c>
      <c r="O4811" t="s">
        <v>25</v>
      </c>
      <c r="P4811" t="s">
        <v>41085</v>
      </c>
      <c r="Q4811" t="s">
        <v>29</v>
      </c>
      <c r="R4811" t="s">
        <v>41081</v>
      </c>
      <c r="S4811" t="s">
        <v>41082</v>
      </c>
    </row>
    <row r="4812" spans="1:19" x14ac:dyDescent="0.25">
      <c r="A4812" s="1">
        <v>4810</v>
      </c>
      <c r="B4812" t="str">
        <f>HYPERLINK("https://www.dasschnelle.at/schnaitl-helmut-almdorf-almdorf","Website")</f>
        <v>Website</v>
      </c>
      <c r="C4812" t="str">
        <f>HYPERLINK("http://www.vws-schnaitl.at","Website")</f>
        <v>Website</v>
      </c>
      <c r="D4812" t="str">
        <f>HYPERLINK("http://www.google.com/maps/place/47.4093398,12.8722465","Location")</f>
        <v>Location</v>
      </c>
      <c r="E4812" t="s">
        <v>41086</v>
      </c>
      <c r="F4812" t="s">
        <v>41087</v>
      </c>
      <c r="G4812" t="s">
        <v>5573</v>
      </c>
      <c r="H4812" t="s">
        <v>41089</v>
      </c>
      <c r="I4812" t="s">
        <v>2239</v>
      </c>
      <c r="J4812" t="s">
        <v>22</v>
      </c>
      <c r="K4812" t="s">
        <v>41088</v>
      </c>
      <c r="L4812" t="s">
        <v>41092</v>
      </c>
      <c r="M4812" t="s">
        <v>25</v>
      </c>
      <c r="N4812" t="s">
        <v>41093</v>
      </c>
      <c r="O4812" t="s">
        <v>41094</v>
      </c>
      <c r="P4812" t="s">
        <v>41095</v>
      </c>
      <c r="Q4812" t="s">
        <v>29</v>
      </c>
      <c r="R4812" t="s">
        <v>41090</v>
      </c>
      <c r="S4812" t="s">
        <v>41091</v>
      </c>
    </row>
    <row r="4813" spans="1:19" x14ac:dyDescent="0.25">
      <c r="A4813" s="1">
        <v>4811</v>
      </c>
      <c r="B4813" t="str">
        <f>HYPERLINK("https://www.dasschnelle.at/oberschmidleithner-gmbh-und-co-kg-peuerbach-passauer-straße","Website")</f>
        <v>Website</v>
      </c>
      <c r="C4813" t="str">
        <f>HYPERLINK("https://www.dasschnelle.at/oberschmidleithner-gmbh-und-co-kg-peuerbach-passauer-stra%C3%9Fe","Website")</f>
        <v>Website</v>
      </c>
      <c r="D4813" t="str">
        <f>HYPERLINK("http://www.google.com/maps/place/48.3464,13.76927","Location")</f>
        <v>Location</v>
      </c>
      <c r="E4813" t="s">
        <v>41096</v>
      </c>
      <c r="F4813" t="s">
        <v>41097</v>
      </c>
      <c r="G4813" t="s">
        <v>7303</v>
      </c>
      <c r="H4813" t="s">
        <v>7304</v>
      </c>
      <c r="I4813" t="s">
        <v>85</v>
      </c>
      <c r="J4813" t="s">
        <v>22</v>
      </c>
      <c r="K4813" t="s">
        <v>41098</v>
      </c>
      <c r="L4813" t="s">
        <v>41101</v>
      </c>
      <c r="M4813" t="s">
        <v>25</v>
      </c>
      <c r="N4813" t="s">
        <v>41102</v>
      </c>
      <c r="O4813" t="s">
        <v>25</v>
      </c>
      <c r="P4813" t="s">
        <v>41103</v>
      </c>
      <c r="Q4813" t="s">
        <v>29</v>
      </c>
      <c r="R4813" t="s">
        <v>41099</v>
      </c>
      <c r="S4813" t="s">
        <v>41100</v>
      </c>
    </row>
    <row r="4814" spans="1:19" x14ac:dyDescent="0.25">
      <c r="A4814" s="1">
        <v>4812</v>
      </c>
      <c r="B4814" t="str">
        <f>HYPERLINK("https://www.dasschnelle.at/pirker-gmbh-feldkirchen-dr-a-lemischstraße","Website")</f>
        <v>Website</v>
      </c>
      <c r="C4814" t="str">
        <f>HYPERLINK("http://www.auto-pirker.at","Website")</f>
        <v>Website</v>
      </c>
      <c r="D4814" t="str">
        <f>HYPERLINK("http://www.google.com/maps/place/46.8508788,14.1684186","Location")</f>
        <v>Location</v>
      </c>
      <c r="E4814" t="s">
        <v>41104</v>
      </c>
      <c r="F4814" t="s">
        <v>41105</v>
      </c>
      <c r="G4814" t="s">
        <v>8498</v>
      </c>
      <c r="H4814" t="s">
        <v>8530</v>
      </c>
      <c r="I4814" t="s">
        <v>4130</v>
      </c>
      <c r="J4814" t="s">
        <v>22</v>
      </c>
      <c r="K4814" t="s">
        <v>41106</v>
      </c>
      <c r="L4814" t="s">
        <v>41109</v>
      </c>
      <c r="M4814" t="s">
        <v>25</v>
      </c>
      <c r="N4814" t="s">
        <v>41110</v>
      </c>
      <c r="O4814" t="s">
        <v>25</v>
      </c>
      <c r="P4814" t="s">
        <v>41111</v>
      </c>
      <c r="Q4814" t="s">
        <v>29</v>
      </c>
      <c r="R4814" t="s">
        <v>41107</v>
      </c>
      <c r="S4814" t="s">
        <v>41108</v>
      </c>
    </row>
    <row r="4815" spans="1:19" x14ac:dyDescent="0.25">
      <c r="A4815" s="1">
        <v>4813</v>
      </c>
      <c r="B4815" t="str">
        <f>HYPERLINK("https://www.dasschnelle.at/schrottenbaum-johannes-schwaz-husslstraße","Website")</f>
        <v>Website</v>
      </c>
      <c r="C4815" t="str">
        <f>HYPERLINK("http://www.derbestatter.at","Website")</f>
        <v>Website</v>
      </c>
      <c r="D4815" t="str">
        <f>HYPERLINK("http://www.google.com/maps/place/47.34822,11.71079","Location")</f>
        <v>Location</v>
      </c>
      <c r="E4815" t="s">
        <v>41112</v>
      </c>
      <c r="F4815" t="s">
        <v>41113</v>
      </c>
      <c r="G4815" t="s">
        <v>4200</v>
      </c>
      <c r="H4815" t="s">
        <v>4201</v>
      </c>
      <c r="I4815" t="s">
        <v>21</v>
      </c>
      <c r="J4815" t="s">
        <v>22</v>
      </c>
      <c r="K4815" t="s">
        <v>41114</v>
      </c>
      <c r="L4815" t="s">
        <v>41117</v>
      </c>
      <c r="M4815" t="s">
        <v>25</v>
      </c>
      <c r="N4815" t="s">
        <v>41118</v>
      </c>
      <c r="O4815" t="s">
        <v>25</v>
      </c>
      <c r="P4815" t="s">
        <v>41119</v>
      </c>
      <c r="Q4815" t="s">
        <v>29</v>
      </c>
      <c r="R4815" t="s">
        <v>41115</v>
      </c>
      <c r="S4815" t="s">
        <v>41116</v>
      </c>
    </row>
    <row r="4816" spans="1:19" x14ac:dyDescent="0.25">
      <c r="A4816" s="1">
        <v>4814</v>
      </c>
      <c r="B4816" t="str">
        <f>HYPERLINK("https://www.dasschnelle.at/rachbauer-autohaus-gmbh-ried-im-innkreis-grillparzerstraße","Website")</f>
        <v>Website</v>
      </c>
      <c r="C4816" t="str">
        <f>HYPERLINK("http://www.rachbauer.bmw.at","Website")</f>
        <v>Website</v>
      </c>
      <c r="D4816" t="str">
        <f>HYPERLINK("http://www.google.com/maps/place/48.21536,13.48347","Location")</f>
        <v>Location</v>
      </c>
      <c r="E4816" t="s">
        <v>41120</v>
      </c>
      <c r="F4816" t="s">
        <v>41121</v>
      </c>
      <c r="G4816" t="s">
        <v>6245</v>
      </c>
      <c r="H4816" t="s">
        <v>6267</v>
      </c>
      <c r="I4816" t="s">
        <v>85</v>
      </c>
      <c r="J4816" t="s">
        <v>22</v>
      </c>
      <c r="K4816" t="s">
        <v>41122</v>
      </c>
      <c r="L4816" t="s">
        <v>41125</v>
      </c>
      <c r="M4816" t="s">
        <v>41126</v>
      </c>
      <c r="N4816" t="s">
        <v>41127</v>
      </c>
      <c r="O4816" t="s">
        <v>25</v>
      </c>
      <c r="P4816" t="s">
        <v>41128</v>
      </c>
      <c r="Q4816" t="s">
        <v>29</v>
      </c>
      <c r="R4816" t="s">
        <v>41123</v>
      </c>
      <c r="S4816" t="s">
        <v>41124</v>
      </c>
    </row>
    <row r="4817" spans="1:19" x14ac:dyDescent="0.25">
      <c r="A4817" s="1">
        <v>4815</v>
      </c>
      <c r="B4817" t="str">
        <f>HYPERLINK("https://www.dasschnelle.at/1a-installateur-edler-voitsberg-grazer-vorstadt","Website")</f>
        <v>Website</v>
      </c>
      <c r="C4817" t="str">
        <f>HYPERLINK("http://www.edler-vo.at","Website")</f>
        <v>Website</v>
      </c>
      <c r="D4817" t="str">
        <f>HYPERLINK("http://www.google.com/maps/place/47.03648,15.17174","Location")</f>
        <v>Location</v>
      </c>
      <c r="E4817" t="s">
        <v>41129</v>
      </c>
      <c r="F4817" t="s">
        <v>41130</v>
      </c>
      <c r="G4817" t="s">
        <v>4572</v>
      </c>
      <c r="H4817" t="s">
        <v>4573</v>
      </c>
      <c r="I4817" t="s">
        <v>451</v>
      </c>
      <c r="J4817" t="s">
        <v>22</v>
      </c>
      <c r="K4817" t="s">
        <v>41131</v>
      </c>
      <c r="L4817" t="s">
        <v>41134</v>
      </c>
      <c r="M4817" t="s">
        <v>41135</v>
      </c>
      <c r="N4817" t="s">
        <v>41136</v>
      </c>
      <c r="O4817" t="s">
        <v>25</v>
      </c>
      <c r="P4817" t="s">
        <v>41137</v>
      </c>
      <c r="Q4817" t="s">
        <v>29</v>
      </c>
      <c r="R4817" t="s">
        <v>41132</v>
      </c>
      <c r="S4817" t="s">
        <v>41133</v>
      </c>
    </row>
    <row r="4818" spans="1:19" x14ac:dyDescent="0.25">
      <c r="A4818" s="1">
        <v>4816</v>
      </c>
      <c r="B4818" t="str">
        <f>HYPERLINK("https://www.dasschnelle.at/autohaus-mürzl-gmbh-bärnbach-hauptstraße","Website")</f>
        <v>Website</v>
      </c>
      <c r="C4818" t="str">
        <f>HYPERLINK("http://www.muerzl.at","Website")</f>
        <v>Website</v>
      </c>
      <c r="D4818" t="str">
        <f>HYPERLINK("http://www.google.com/maps/place/47.07157,15.12778","Location")</f>
        <v>Location</v>
      </c>
      <c r="E4818" t="s">
        <v>41138</v>
      </c>
      <c r="F4818" t="s">
        <v>41139</v>
      </c>
      <c r="G4818" t="s">
        <v>4592</v>
      </c>
      <c r="H4818" t="s">
        <v>4593</v>
      </c>
      <c r="I4818" t="s">
        <v>451</v>
      </c>
      <c r="J4818" t="s">
        <v>22</v>
      </c>
      <c r="K4818" t="s">
        <v>18414</v>
      </c>
      <c r="L4818" t="s">
        <v>41142</v>
      </c>
      <c r="M4818" t="s">
        <v>41143</v>
      </c>
      <c r="N4818" t="s">
        <v>41144</v>
      </c>
      <c r="O4818" t="s">
        <v>25</v>
      </c>
      <c r="P4818" t="s">
        <v>41145</v>
      </c>
      <c r="Q4818" t="s">
        <v>29</v>
      </c>
      <c r="R4818" t="s">
        <v>41140</v>
      </c>
      <c r="S4818" t="s">
        <v>41141</v>
      </c>
    </row>
    <row r="4819" spans="1:19" x14ac:dyDescent="0.25">
      <c r="A4819" s="1">
        <v>4817</v>
      </c>
      <c r="B4819" t="str">
        <f>HYPERLINK("https://www.dasschnelle.at/autohaus-pirsch-gratkorn-sportplatzgasse","Website")</f>
        <v>Website</v>
      </c>
      <c r="C4819" t="str">
        <f>HYPERLINK("http://www.pirsch.at","Website")</f>
        <v>Website</v>
      </c>
      <c r="D4819" t="str">
        <f>HYPERLINK("http://www.google.com/maps/place/47.13139,15.33895","Location")</f>
        <v>Location</v>
      </c>
      <c r="E4819" t="s">
        <v>41146</v>
      </c>
      <c r="F4819" t="s">
        <v>41147</v>
      </c>
      <c r="G4819" t="s">
        <v>7958</v>
      </c>
      <c r="H4819" t="s">
        <v>7959</v>
      </c>
      <c r="I4819" t="s">
        <v>25</v>
      </c>
      <c r="J4819" t="s">
        <v>22</v>
      </c>
      <c r="K4819" t="s">
        <v>41148</v>
      </c>
      <c r="L4819" t="s">
        <v>41151</v>
      </c>
      <c r="M4819" t="s">
        <v>25</v>
      </c>
      <c r="N4819" t="s">
        <v>41152</v>
      </c>
      <c r="O4819" t="s">
        <v>25</v>
      </c>
      <c r="P4819" t="s">
        <v>41153</v>
      </c>
      <c r="Q4819" t="s">
        <v>29</v>
      </c>
      <c r="R4819" t="s">
        <v>41149</v>
      </c>
      <c r="S4819" t="s">
        <v>41150</v>
      </c>
    </row>
    <row r="4820" spans="1:19" x14ac:dyDescent="0.25">
      <c r="A4820" s="1">
        <v>4818</v>
      </c>
      <c r="B4820" t="str">
        <f>HYPERLINK("https://www.dasschnelle.at/bodlos-josef-gesmbh-lieboch-dorfstraße","Website")</f>
        <v>Website</v>
      </c>
      <c r="C4820" t="str">
        <f>HYPERLINK("http://www.bodlos.at","Website")</f>
        <v>Website</v>
      </c>
      <c r="D4820" t="str">
        <f>HYPERLINK("http://www.google.com/maps/place/46.97512,15.33389","Location")</f>
        <v>Location</v>
      </c>
      <c r="E4820" t="s">
        <v>41154</v>
      </c>
      <c r="F4820" t="s">
        <v>41155</v>
      </c>
      <c r="G4820" t="s">
        <v>4655</v>
      </c>
      <c r="H4820" t="s">
        <v>4656</v>
      </c>
      <c r="I4820" t="s">
        <v>451</v>
      </c>
      <c r="J4820" t="s">
        <v>22</v>
      </c>
      <c r="K4820" t="s">
        <v>41156</v>
      </c>
      <c r="L4820" t="s">
        <v>41159</v>
      </c>
      <c r="M4820" t="s">
        <v>25</v>
      </c>
      <c r="N4820" t="s">
        <v>41160</v>
      </c>
      <c r="O4820" t="s">
        <v>25</v>
      </c>
      <c r="P4820" t="s">
        <v>41161</v>
      </c>
      <c r="Q4820" t="s">
        <v>29</v>
      </c>
      <c r="R4820" t="s">
        <v>41157</v>
      </c>
      <c r="S4820" t="s">
        <v>41158</v>
      </c>
    </row>
    <row r="4821" spans="1:19" x14ac:dyDescent="0.25">
      <c r="A4821" s="1">
        <v>4819</v>
      </c>
      <c r="B4821" t="str">
        <f>HYPERLINK("https://www.dasschnelle.at/damböck-martin-waldneukirchen-eggmairstraße","Website")</f>
        <v>Website</v>
      </c>
      <c r="C4821" t="str">
        <f>HYPERLINK("http://www.tischlerei-damboeck.at","Website")</f>
        <v>Website</v>
      </c>
      <c r="D4821" t="str">
        <f>HYPERLINK("http://www.google.com/maps/place/48.00031,14.24678","Location")</f>
        <v>Location</v>
      </c>
      <c r="E4821" t="s">
        <v>41162</v>
      </c>
      <c r="F4821" t="s">
        <v>41163</v>
      </c>
      <c r="G4821" t="s">
        <v>2268</v>
      </c>
      <c r="H4821" t="s">
        <v>2269</v>
      </c>
      <c r="I4821" t="s">
        <v>85</v>
      </c>
      <c r="J4821" t="s">
        <v>22</v>
      </c>
      <c r="K4821" t="s">
        <v>41164</v>
      </c>
      <c r="L4821" t="s">
        <v>41167</v>
      </c>
      <c r="M4821" t="s">
        <v>25</v>
      </c>
      <c r="N4821" t="s">
        <v>41168</v>
      </c>
      <c r="O4821" t="s">
        <v>25</v>
      </c>
      <c r="P4821" t="s">
        <v>41169</v>
      </c>
      <c r="Q4821" t="s">
        <v>29</v>
      </c>
      <c r="R4821" t="s">
        <v>41165</v>
      </c>
      <c r="S4821" t="s">
        <v>41166</v>
      </c>
    </row>
    <row r="4822" spans="1:19" x14ac:dyDescent="0.25">
      <c r="A4822" s="1">
        <v>4820</v>
      </c>
      <c r="B4822" t="str">
        <f>HYPERLINK("https://www.dasschnelle.at/falk-wolfgang-sankt-gallen-am-spitzenberg","Website")</f>
        <v>Website</v>
      </c>
      <c r="C4822" t="str">
        <f>HYPERLINK("https://www.dasschnelle.at/falk-wolfgang-sankt-gallen-am-spitzenberg","Website")</f>
        <v>Website</v>
      </c>
      <c r="D4822" t="str">
        <f>HYPERLINK("http://www.google.com/maps/place/47.6981620,14.6228393","Location")</f>
        <v>Location</v>
      </c>
      <c r="E4822" t="s">
        <v>41170</v>
      </c>
      <c r="F4822" t="s">
        <v>41171</v>
      </c>
      <c r="G4822" t="s">
        <v>1123</v>
      </c>
      <c r="H4822" t="s">
        <v>1124</v>
      </c>
      <c r="I4822" t="s">
        <v>451</v>
      </c>
      <c r="J4822" t="s">
        <v>22</v>
      </c>
      <c r="K4822" t="s">
        <v>41172</v>
      </c>
      <c r="L4822" t="s">
        <v>41175</v>
      </c>
      <c r="M4822" t="s">
        <v>25</v>
      </c>
      <c r="N4822" t="s">
        <v>41176</v>
      </c>
      <c r="O4822" t="s">
        <v>25</v>
      </c>
      <c r="P4822" t="s">
        <v>697</v>
      </c>
      <c r="Q4822" t="s">
        <v>29</v>
      </c>
      <c r="R4822" t="s">
        <v>41173</v>
      </c>
      <c r="S4822" t="s">
        <v>41174</v>
      </c>
    </row>
    <row r="4823" spans="1:19" x14ac:dyDescent="0.25">
      <c r="A4823" s="1">
        <v>4821</v>
      </c>
      <c r="B4823" t="str">
        <f>HYPERLINK("https://www.dasschnelle.at/rauscher-bau-gmbh-gars-am-kamp-villengasse","Website")</f>
        <v>Website</v>
      </c>
      <c r="C4823" t="str">
        <f>HYPERLINK("http://www.rr-rauscher.at","Website")</f>
        <v>Website</v>
      </c>
      <c r="D4823" t="str">
        <f>HYPERLINK("http://www.google.com/maps/place/48.59646,15.65504","Location")</f>
        <v>Location</v>
      </c>
      <c r="E4823" t="s">
        <v>41177</v>
      </c>
      <c r="F4823" t="s">
        <v>41178</v>
      </c>
      <c r="G4823" t="s">
        <v>301</v>
      </c>
      <c r="H4823" t="s">
        <v>302</v>
      </c>
      <c r="I4823" t="s">
        <v>177</v>
      </c>
      <c r="J4823" t="s">
        <v>22</v>
      </c>
      <c r="K4823" t="s">
        <v>41179</v>
      </c>
      <c r="L4823" t="s">
        <v>41182</v>
      </c>
      <c r="M4823" t="s">
        <v>25</v>
      </c>
      <c r="N4823" t="s">
        <v>41183</v>
      </c>
      <c r="O4823" t="s">
        <v>25</v>
      </c>
      <c r="P4823" t="s">
        <v>41184</v>
      </c>
      <c r="Q4823" t="s">
        <v>29</v>
      </c>
      <c r="R4823" t="s">
        <v>41180</v>
      </c>
      <c r="S4823" t="s">
        <v>41181</v>
      </c>
    </row>
    <row r="4824" spans="1:19" x14ac:dyDescent="0.25">
      <c r="A4824" s="1">
        <v>4822</v>
      </c>
      <c r="B4824" t="str">
        <f>HYPERLINK("https://www.dasschnelle.at/holzbau-schwarz-waldburg-freudenthal","Website")</f>
        <v>Website</v>
      </c>
      <c r="C4824" t="str">
        <f>HYPERLINK("http://www.holzbau-schwarz.at","Website")</f>
        <v>Website</v>
      </c>
      <c r="D4824" t="str">
        <f>HYPERLINK("http://www.google.com/maps/place/48.5334709,14.4364467","Location")</f>
        <v>Location</v>
      </c>
      <c r="E4824" t="s">
        <v>41185</v>
      </c>
      <c r="F4824" t="s">
        <v>41186</v>
      </c>
      <c r="G4824" t="s">
        <v>6891</v>
      </c>
      <c r="H4824" t="s">
        <v>9323</v>
      </c>
      <c r="I4824" t="s">
        <v>85</v>
      </c>
      <c r="J4824" t="s">
        <v>22</v>
      </c>
      <c r="K4824" t="s">
        <v>41187</v>
      </c>
      <c r="L4824" t="s">
        <v>41190</v>
      </c>
      <c r="M4824" t="s">
        <v>25</v>
      </c>
      <c r="N4824" t="s">
        <v>41191</v>
      </c>
      <c r="O4824" t="s">
        <v>41192</v>
      </c>
      <c r="P4824" t="s">
        <v>41193</v>
      </c>
      <c r="Q4824" t="s">
        <v>29</v>
      </c>
      <c r="R4824" t="s">
        <v>41188</v>
      </c>
      <c r="S4824" t="s">
        <v>41189</v>
      </c>
    </row>
    <row r="4825" spans="1:19" x14ac:dyDescent="0.25">
      <c r="A4825" s="1">
        <v>4823</v>
      </c>
      <c r="B4825" t="str">
        <f>HYPERLINK("https://www.dasschnelle.at/streicher-herbert-frankenburg-am-hausruck-frein","Website")</f>
        <v>Website</v>
      </c>
      <c r="C4825" t="str">
        <f>HYPERLINK("https://www.dasschnelle.at/streicher-herbert-frankenburg-am-hausruck-frein","Website")</f>
        <v>Website</v>
      </c>
      <c r="D4825" t="str">
        <f>HYPERLINK("http://www.google.com/maps/place/48.06873,13.48039","Location")</f>
        <v>Location</v>
      </c>
      <c r="E4825" t="s">
        <v>41194</v>
      </c>
      <c r="F4825" t="s">
        <v>41195</v>
      </c>
      <c r="G4825" t="s">
        <v>3795</v>
      </c>
      <c r="H4825" t="s">
        <v>3796</v>
      </c>
      <c r="I4825" t="s">
        <v>85</v>
      </c>
      <c r="J4825" t="s">
        <v>22</v>
      </c>
      <c r="K4825" t="s">
        <v>41196</v>
      </c>
      <c r="L4825" t="s">
        <v>41199</v>
      </c>
      <c r="M4825" t="s">
        <v>41200</v>
      </c>
      <c r="N4825" t="s">
        <v>41201</v>
      </c>
      <c r="O4825" t="s">
        <v>25</v>
      </c>
      <c r="P4825" t="s">
        <v>41202</v>
      </c>
      <c r="Q4825" t="s">
        <v>29</v>
      </c>
      <c r="R4825" t="s">
        <v>41197</v>
      </c>
      <c r="S4825" t="s">
        <v>41198</v>
      </c>
    </row>
    <row r="4826" spans="1:19" x14ac:dyDescent="0.25">
      <c r="A4826" s="1">
        <v>4824</v>
      </c>
      <c r="B4826" t="str">
        <f>HYPERLINK("https://www.dasschnelle.at/landgasthof-zum-betenmacher-unterdorf-brunnbachweg","Website")</f>
        <v>Website</v>
      </c>
      <c r="C4826" t="str">
        <f>HYPERLINK("http://www.betenmacher.at","Website")</f>
        <v>Website</v>
      </c>
      <c r="D4826" t="str">
        <f>HYPERLINK("http://www.google.com/maps/place/47.84186,13.24018","Location")</f>
        <v>Location</v>
      </c>
      <c r="E4826" t="s">
        <v>41203</v>
      </c>
      <c r="F4826" t="s">
        <v>41204</v>
      </c>
      <c r="G4826" t="s">
        <v>26904</v>
      </c>
      <c r="H4826" t="s">
        <v>29642</v>
      </c>
      <c r="I4826" t="s">
        <v>2239</v>
      </c>
      <c r="J4826" t="s">
        <v>22</v>
      </c>
      <c r="K4826" t="s">
        <v>41205</v>
      </c>
      <c r="L4826" t="s">
        <v>41208</v>
      </c>
      <c r="M4826" t="s">
        <v>25</v>
      </c>
      <c r="N4826" t="s">
        <v>41209</v>
      </c>
      <c r="O4826" t="s">
        <v>25</v>
      </c>
      <c r="P4826" t="s">
        <v>41210</v>
      </c>
      <c r="Q4826" t="s">
        <v>29</v>
      </c>
      <c r="R4826" t="s">
        <v>41206</v>
      </c>
      <c r="S4826" t="s">
        <v>41207</v>
      </c>
    </row>
    <row r="4827" spans="1:19" x14ac:dyDescent="0.25">
      <c r="A4827" s="1">
        <v>4825</v>
      </c>
      <c r="B4827" t="str">
        <f>HYPERLINK("https://www.dasschnelle.at/reichl-wolfgang-bohr-säge-wolf-thalgau-brandstattstraße","Website")</f>
        <v>Website</v>
      </c>
      <c r="C4827" t="str">
        <f>HYPERLINK("http://www.saegewolf.at","Website")</f>
        <v>Website</v>
      </c>
      <c r="D4827" t="str">
        <f>HYPERLINK("http://www.google.com/maps/place/47.84846,13.23593","Location")</f>
        <v>Location</v>
      </c>
      <c r="E4827" t="s">
        <v>41211</v>
      </c>
      <c r="F4827" t="s">
        <v>41212</v>
      </c>
      <c r="G4827" t="s">
        <v>26904</v>
      </c>
      <c r="H4827" t="s">
        <v>26905</v>
      </c>
      <c r="I4827" t="s">
        <v>2239</v>
      </c>
      <c r="J4827" t="s">
        <v>22</v>
      </c>
      <c r="K4827" t="s">
        <v>41213</v>
      </c>
      <c r="L4827" t="s">
        <v>41216</v>
      </c>
      <c r="M4827" t="s">
        <v>25</v>
      </c>
      <c r="N4827" t="s">
        <v>41217</v>
      </c>
      <c r="O4827" t="s">
        <v>25</v>
      </c>
      <c r="P4827" t="s">
        <v>41218</v>
      </c>
      <c r="Q4827" t="s">
        <v>29</v>
      </c>
      <c r="R4827" t="s">
        <v>41214</v>
      </c>
      <c r="S4827" t="s">
        <v>41215</v>
      </c>
    </row>
    <row r="4828" spans="1:19" x14ac:dyDescent="0.25">
      <c r="A4828" s="1">
        <v>4826</v>
      </c>
      <c r="B4828" t="str">
        <f>HYPERLINK("https://www.dasschnelle.at/graser-marina-marbach-am-walde-marbach-am-walde","Website")</f>
        <v>Website</v>
      </c>
      <c r="C4828" t="str">
        <f>HYPERLINK("https://www.dasschnelle.at/graser-marina-marbach-am-walde-marbach-am-walde","Website")</f>
        <v>Website</v>
      </c>
      <c r="D4828" t="str">
        <f>HYPERLINK("http://www.google.com/maps/place/48.5478518,15.0887899","Location")</f>
        <v>Location</v>
      </c>
      <c r="E4828" t="s">
        <v>41219</v>
      </c>
      <c r="F4828" t="s">
        <v>41220</v>
      </c>
      <c r="G4828" t="s">
        <v>10960</v>
      </c>
      <c r="H4828" t="s">
        <v>41222</v>
      </c>
      <c r="I4828" t="s">
        <v>177</v>
      </c>
      <c r="J4828" t="s">
        <v>22</v>
      </c>
      <c r="K4828" t="s">
        <v>41221</v>
      </c>
      <c r="L4828" t="s">
        <v>41225</v>
      </c>
      <c r="M4828" t="s">
        <v>25</v>
      </c>
      <c r="N4828" t="s">
        <v>41226</v>
      </c>
      <c r="O4828" t="s">
        <v>25</v>
      </c>
      <c r="P4828" t="s">
        <v>41227</v>
      </c>
      <c r="Q4828" t="s">
        <v>29</v>
      </c>
      <c r="R4828" t="s">
        <v>41223</v>
      </c>
      <c r="S4828" t="s">
        <v>41224</v>
      </c>
    </row>
    <row r="4829" spans="1:19" x14ac:dyDescent="0.25">
      <c r="A4829" s="1">
        <v>4827</v>
      </c>
      <c r="B4829" t="str">
        <f>HYPERLINK("https://www.dasschnelle.at/ortner-thomas-mmag-st-florian-am-inn-bubing","Website")</f>
        <v>Website</v>
      </c>
      <c r="C4829" t="str">
        <f>HYPERLINK("http://www.thomas-ortner.at","Website")</f>
        <v>Website</v>
      </c>
      <c r="D4829" t="str">
        <f>HYPERLINK("http://www.google.com/maps/place/48.45613,13.43125","Location")</f>
        <v>Location</v>
      </c>
      <c r="E4829" t="s">
        <v>41228</v>
      </c>
      <c r="F4829" t="s">
        <v>41229</v>
      </c>
      <c r="G4829" t="s">
        <v>24520</v>
      </c>
      <c r="H4829" t="s">
        <v>24521</v>
      </c>
      <c r="I4829" t="s">
        <v>85</v>
      </c>
      <c r="J4829" t="s">
        <v>22</v>
      </c>
      <c r="K4829" t="s">
        <v>41230</v>
      </c>
      <c r="L4829" t="s">
        <v>41233</v>
      </c>
      <c r="M4829" t="s">
        <v>25</v>
      </c>
      <c r="N4829" t="s">
        <v>41234</v>
      </c>
      <c r="O4829" t="s">
        <v>41235</v>
      </c>
      <c r="P4829" t="s">
        <v>41236</v>
      </c>
      <c r="Q4829" t="s">
        <v>29</v>
      </c>
      <c r="R4829" t="s">
        <v>41231</v>
      </c>
      <c r="S4829" t="s">
        <v>41232</v>
      </c>
    </row>
    <row r="4830" spans="1:19" x14ac:dyDescent="0.25">
      <c r="A4830" s="1">
        <v>4828</v>
      </c>
      <c r="B4830" t="str">
        <f>HYPERLINK("https://www.dasschnelle.at/pointecker-michael-altendorf-altendorf","Website")</f>
        <v>Website</v>
      </c>
      <c r="C4830" t="str">
        <f>HYPERLINK("http://www.pointecker.at","Website")</f>
        <v>Website</v>
      </c>
      <c r="D4830" t="str">
        <f>HYPERLINK("http://www.google.com/maps/place/48.4826420,13.6086888","Location")</f>
        <v>Location</v>
      </c>
      <c r="E4830" t="s">
        <v>41237</v>
      </c>
      <c r="F4830" t="s">
        <v>41238</v>
      </c>
      <c r="G4830" t="s">
        <v>27109</v>
      </c>
      <c r="H4830" t="s">
        <v>41240</v>
      </c>
      <c r="I4830" t="s">
        <v>85</v>
      </c>
      <c r="J4830" t="s">
        <v>22</v>
      </c>
      <c r="K4830" t="s">
        <v>41239</v>
      </c>
      <c r="L4830" t="s">
        <v>41243</v>
      </c>
      <c r="M4830" t="s">
        <v>25</v>
      </c>
      <c r="N4830" t="s">
        <v>41244</v>
      </c>
      <c r="O4830" t="s">
        <v>25</v>
      </c>
      <c r="P4830" t="s">
        <v>41245</v>
      </c>
      <c r="Q4830" t="s">
        <v>29</v>
      </c>
      <c r="R4830" t="s">
        <v>41241</v>
      </c>
      <c r="S4830" t="s">
        <v>41242</v>
      </c>
    </row>
    <row r="4831" spans="1:19" x14ac:dyDescent="0.25">
      <c r="A4831" s="1">
        <v>4829</v>
      </c>
      <c r="B4831" t="str">
        <f>HYPERLINK("https://www.dasschnelle.at/pro-boot-gmbh-steinbach-am-attersee-seefeld","Website")</f>
        <v>Website</v>
      </c>
      <c r="C4831" t="str">
        <f>HYPERLINK("http://www.pro-boot.at","Website")</f>
        <v>Website</v>
      </c>
      <c r="D4831" t="str">
        <f>HYPERLINK("http://www.google.com/maps/place/47.8387235,13.5472962","Location")</f>
        <v>Location</v>
      </c>
      <c r="E4831" t="s">
        <v>41246</v>
      </c>
      <c r="F4831" t="s">
        <v>41247</v>
      </c>
      <c r="G4831" t="s">
        <v>41249</v>
      </c>
      <c r="H4831" t="s">
        <v>41250</v>
      </c>
      <c r="I4831" t="s">
        <v>85</v>
      </c>
      <c r="J4831" t="s">
        <v>22</v>
      </c>
      <c r="K4831" t="s">
        <v>41248</v>
      </c>
      <c r="L4831" t="s">
        <v>41253</v>
      </c>
      <c r="M4831" t="s">
        <v>25</v>
      </c>
      <c r="N4831" t="s">
        <v>41254</v>
      </c>
      <c r="O4831" t="s">
        <v>25</v>
      </c>
      <c r="P4831" t="s">
        <v>41255</v>
      </c>
      <c r="Q4831" t="s">
        <v>29</v>
      </c>
      <c r="R4831" t="s">
        <v>41251</v>
      </c>
      <c r="S4831" t="s">
        <v>41252</v>
      </c>
    </row>
    <row r="4832" spans="1:19" x14ac:dyDescent="0.25">
      <c r="A4832" s="1">
        <v>4830</v>
      </c>
      <c r="B4832" t="str">
        <f>HYPERLINK("https://www.dasschnelle.at/mühlbacher-wärmepumpentechnik-gmbh-weyregg-am-attersee-weyregger-straße","Website")</f>
        <v>Website</v>
      </c>
      <c r="C4832" t="str">
        <f>HYPERLINK("http://www.muehlbacher-waerme.at","Website")</f>
        <v>Website</v>
      </c>
      <c r="D4832" t="str">
        <f>HYPERLINK("http://www.google.com/maps/place/47.90226,13.57086","Location")</f>
        <v>Location</v>
      </c>
      <c r="E4832" t="s">
        <v>41256</v>
      </c>
      <c r="F4832" t="s">
        <v>41257</v>
      </c>
      <c r="G4832" t="s">
        <v>41259</v>
      </c>
      <c r="H4832" t="s">
        <v>41260</v>
      </c>
      <c r="I4832" t="s">
        <v>85</v>
      </c>
      <c r="J4832" t="s">
        <v>22</v>
      </c>
      <c r="K4832" t="s">
        <v>41258</v>
      </c>
      <c r="L4832" t="s">
        <v>41263</v>
      </c>
      <c r="M4832" t="s">
        <v>25</v>
      </c>
      <c r="N4832" t="s">
        <v>41264</v>
      </c>
      <c r="O4832" t="s">
        <v>25</v>
      </c>
      <c r="P4832" t="s">
        <v>41265</v>
      </c>
      <c r="Q4832" t="s">
        <v>29</v>
      </c>
      <c r="R4832" t="s">
        <v>41261</v>
      </c>
      <c r="S4832" t="s">
        <v>41262</v>
      </c>
    </row>
    <row r="4833" spans="1:19" x14ac:dyDescent="0.25">
      <c r="A4833" s="1">
        <v>4831</v>
      </c>
      <c r="B4833" t="str">
        <f>HYPERLINK("https://www.dasschnelle.at/wasinger-erwin-kematen-33-straße","Website")</f>
        <v>Website</v>
      </c>
      <c r="C4833" t="str">
        <f>HYPERLINK("http://www.wasinger.at","Website")</f>
        <v>Website</v>
      </c>
      <c r="D4833" t="str">
        <f>HYPERLINK("http://www.google.com/maps/place/48.0359300,14.7760300","Location")</f>
        <v>Location</v>
      </c>
      <c r="E4833" t="s">
        <v>41266</v>
      </c>
      <c r="F4833" t="s">
        <v>41267</v>
      </c>
      <c r="G4833" t="s">
        <v>41269</v>
      </c>
      <c r="H4833" t="s">
        <v>41270</v>
      </c>
      <c r="I4833" t="s">
        <v>177</v>
      </c>
      <c r="J4833" t="s">
        <v>22</v>
      </c>
      <c r="K4833" t="s">
        <v>41268</v>
      </c>
      <c r="L4833" t="s">
        <v>41273</v>
      </c>
      <c r="M4833" t="s">
        <v>25</v>
      </c>
      <c r="N4833" t="s">
        <v>41274</v>
      </c>
      <c r="O4833" t="s">
        <v>25</v>
      </c>
      <c r="P4833" t="s">
        <v>41275</v>
      </c>
      <c r="Q4833" t="s">
        <v>29</v>
      </c>
      <c r="R4833" t="s">
        <v>41271</v>
      </c>
      <c r="S4833" t="s">
        <v>41272</v>
      </c>
    </row>
    <row r="4834" spans="1:19" x14ac:dyDescent="0.25">
      <c r="A4834" s="1">
        <v>4832</v>
      </c>
      <c r="B4834" t="str">
        <f>HYPERLINK("https://www.dasschnelle.at/smetanig-claudia-kühnsdorf-seebach","Website")</f>
        <v>Website</v>
      </c>
      <c r="C4834" t="str">
        <f>HYPERLINK("https://www.dasschnelle.at/smetanig-claudia-k%C3%BChnsdorf-seebach","Website")</f>
        <v>Website</v>
      </c>
      <c r="D4834" t="str">
        <f>HYPERLINK("http://www.google.com/maps/place/46.6273078,14.6072381","Location")</f>
        <v>Location</v>
      </c>
      <c r="E4834" t="s">
        <v>41276</v>
      </c>
      <c r="F4834" t="s">
        <v>41277</v>
      </c>
      <c r="G4834" t="s">
        <v>5206</v>
      </c>
      <c r="H4834" t="s">
        <v>5207</v>
      </c>
      <c r="I4834" t="s">
        <v>4130</v>
      </c>
      <c r="J4834" t="s">
        <v>22</v>
      </c>
      <c r="K4834" t="s">
        <v>41278</v>
      </c>
      <c r="L4834" t="s">
        <v>41281</v>
      </c>
      <c r="M4834" t="s">
        <v>25</v>
      </c>
      <c r="N4834" t="s">
        <v>41282</v>
      </c>
      <c r="O4834" t="s">
        <v>25</v>
      </c>
      <c r="P4834" t="s">
        <v>41283</v>
      </c>
      <c r="Q4834" t="s">
        <v>29</v>
      </c>
      <c r="R4834" t="s">
        <v>41279</v>
      </c>
      <c r="S4834" t="s">
        <v>41280</v>
      </c>
    </row>
    <row r="4835" spans="1:19" x14ac:dyDescent="0.25">
      <c r="A4835" s="1">
        <v>4833</v>
      </c>
      <c r="B4835" t="str">
        <f>HYPERLINK("https://www.dasschnelle.at/giezinger-georgel-braunau-am-inn-mattigstraße","Website")</f>
        <v>Website</v>
      </c>
      <c r="C4835" t="str">
        <f>HYPERLINK("http://www.geosholzwerk.at","Website")</f>
        <v>Website</v>
      </c>
      <c r="D4835" t="str">
        <f>HYPERLINK("http://www.google.com/maps/place/48.2548687,13.0669982","Location")</f>
        <v>Location</v>
      </c>
      <c r="E4835" t="s">
        <v>41284</v>
      </c>
      <c r="F4835" t="s">
        <v>41285</v>
      </c>
      <c r="G4835" t="s">
        <v>1289</v>
      </c>
      <c r="H4835" t="s">
        <v>1310</v>
      </c>
      <c r="I4835" t="s">
        <v>85</v>
      </c>
      <c r="J4835" t="s">
        <v>22</v>
      </c>
      <c r="K4835" t="s">
        <v>41286</v>
      </c>
      <c r="L4835" t="s">
        <v>41289</v>
      </c>
      <c r="M4835" t="s">
        <v>25</v>
      </c>
      <c r="N4835" t="s">
        <v>41290</v>
      </c>
      <c r="O4835" t="s">
        <v>25</v>
      </c>
      <c r="P4835" t="s">
        <v>697</v>
      </c>
      <c r="Q4835" t="s">
        <v>29</v>
      </c>
      <c r="R4835" t="s">
        <v>41287</v>
      </c>
      <c r="S4835" t="s">
        <v>41288</v>
      </c>
    </row>
    <row r="4836" spans="1:19" x14ac:dyDescent="0.25">
      <c r="A4836" s="1">
        <v>4834</v>
      </c>
      <c r="B4836" t="str">
        <f>HYPERLINK("https://www.dasschnelle.at/brandtner-erich-semriach-kirchengasse","Website")</f>
        <v>Website</v>
      </c>
      <c r="C4836" t="str">
        <f>HYPERLINK("http://www.autohausbrandtner.at","Website")</f>
        <v>Website</v>
      </c>
      <c r="D4836" t="str">
        <f>HYPERLINK("http://www.google.com/maps/place/47.2176246,15.398211","Location")</f>
        <v>Location</v>
      </c>
      <c r="E4836" t="s">
        <v>41291</v>
      </c>
      <c r="F4836" t="s">
        <v>41292</v>
      </c>
      <c r="G4836" t="s">
        <v>7920</v>
      </c>
      <c r="H4836" t="s">
        <v>32685</v>
      </c>
      <c r="I4836" t="s">
        <v>451</v>
      </c>
      <c r="J4836" t="s">
        <v>22</v>
      </c>
      <c r="K4836" t="s">
        <v>41293</v>
      </c>
      <c r="L4836" t="s">
        <v>41296</v>
      </c>
      <c r="M4836" t="s">
        <v>25</v>
      </c>
      <c r="N4836" t="s">
        <v>41297</v>
      </c>
      <c r="O4836" t="s">
        <v>25</v>
      </c>
      <c r="P4836" t="s">
        <v>41298</v>
      </c>
      <c r="Q4836" t="s">
        <v>29</v>
      </c>
      <c r="R4836" t="s">
        <v>41294</v>
      </c>
      <c r="S4836" t="s">
        <v>41295</v>
      </c>
    </row>
    <row r="4837" spans="1:19" x14ac:dyDescent="0.25">
      <c r="A4837" s="1">
        <v>4835</v>
      </c>
      <c r="B4837" t="str">
        <f>HYPERLINK("https://www.dasschnelle.at/hainzl-johann-obertiefenbach","Website")</f>
        <v>Website</v>
      </c>
      <c r="C4837" t="str">
        <f>HYPERLINK("https://www.dasschnelle.at/hainzl-johann-obertiefenbach","Website")</f>
        <v>Website</v>
      </c>
      <c r="D4837" t="str">
        <f>HYPERLINK("http://www.google.com/maps/place/47.2234720,15.8488080","Location")</f>
        <v>Location</v>
      </c>
      <c r="E4837" t="s">
        <v>41299</v>
      </c>
      <c r="F4837" t="s">
        <v>41300</v>
      </c>
      <c r="G4837" t="s">
        <v>41301</v>
      </c>
      <c r="H4837" t="s">
        <v>41302</v>
      </c>
      <c r="I4837" t="s">
        <v>451</v>
      </c>
      <c r="J4837" t="s">
        <v>22</v>
      </c>
      <c r="K4837" t="s">
        <v>25</v>
      </c>
      <c r="L4837" t="s">
        <v>41305</v>
      </c>
      <c r="M4837" t="s">
        <v>25</v>
      </c>
      <c r="N4837" t="s">
        <v>41306</v>
      </c>
      <c r="O4837" t="s">
        <v>25</v>
      </c>
      <c r="P4837" t="s">
        <v>41307</v>
      </c>
      <c r="Q4837" t="s">
        <v>29</v>
      </c>
      <c r="R4837" t="s">
        <v>41303</v>
      </c>
      <c r="S4837" t="s">
        <v>41304</v>
      </c>
    </row>
    <row r="4838" spans="1:19" x14ac:dyDescent="0.25">
      <c r="A4838" s="1">
        <v>4836</v>
      </c>
      <c r="B4838" t="str">
        <f>HYPERLINK("https://www.dasschnelle.at/antik-stadl-bad-leonfelden-unterlaimbach","Website")</f>
        <v>Website</v>
      </c>
      <c r="C4838" t="str">
        <f>HYPERLINK("http://www.antikstadl.at","Website")</f>
        <v>Website</v>
      </c>
      <c r="D4838" t="str">
        <f>HYPERLINK("http://www.google.com/maps/place/48.5338379,14.2957512","Location")</f>
        <v>Location</v>
      </c>
      <c r="E4838" t="s">
        <v>41308</v>
      </c>
      <c r="F4838" t="s">
        <v>41309</v>
      </c>
      <c r="G4838" t="s">
        <v>4093</v>
      </c>
      <c r="H4838" t="s">
        <v>4094</v>
      </c>
      <c r="I4838" t="s">
        <v>85</v>
      </c>
      <c r="J4838" t="s">
        <v>22</v>
      </c>
      <c r="K4838" t="s">
        <v>41310</v>
      </c>
      <c r="L4838" t="s">
        <v>41313</v>
      </c>
      <c r="M4838" t="s">
        <v>25</v>
      </c>
      <c r="N4838" t="s">
        <v>41314</v>
      </c>
      <c r="O4838" t="s">
        <v>41315</v>
      </c>
      <c r="P4838" t="s">
        <v>41316</v>
      </c>
      <c r="Q4838" t="s">
        <v>29</v>
      </c>
      <c r="R4838" t="s">
        <v>41311</v>
      </c>
      <c r="S4838" t="s">
        <v>41312</v>
      </c>
    </row>
    <row r="4839" spans="1:19" x14ac:dyDescent="0.25">
      <c r="A4839" s="1">
        <v>4837</v>
      </c>
      <c r="B4839" t="str">
        <f>HYPERLINK("https://www.dasschnelle.at/eder-wolfgang-gundersheim-griminitzen","Website")</f>
        <v>Website</v>
      </c>
      <c r="C4839" t="str">
        <f>HYPERLINK("http://www.moebel-eder.at","Website")</f>
        <v>Website</v>
      </c>
      <c r="D4839" t="str">
        <f>HYPERLINK("http://www.google.com/maps/place/46.6430720,13.1200073","Location")</f>
        <v>Location</v>
      </c>
      <c r="E4839" t="s">
        <v>41317</v>
      </c>
      <c r="F4839" t="s">
        <v>41318</v>
      </c>
      <c r="G4839" t="s">
        <v>9143</v>
      </c>
      <c r="H4839" t="s">
        <v>41320</v>
      </c>
      <c r="I4839" t="s">
        <v>4130</v>
      </c>
      <c r="J4839" t="s">
        <v>22</v>
      </c>
      <c r="K4839" t="s">
        <v>41319</v>
      </c>
      <c r="L4839" t="s">
        <v>41323</v>
      </c>
      <c r="M4839" t="s">
        <v>25</v>
      </c>
      <c r="N4839" t="s">
        <v>41324</v>
      </c>
      <c r="O4839" t="s">
        <v>25</v>
      </c>
      <c r="P4839" t="s">
        <v>41325</v>
      </c>
      <c r="Q4839" t="s">
        <v>29</v>
      </c>
      <c r="R4839" t="s">
        <v>41321</v>
      </c>
      <c r="S4839" t="s">
        <v>41322</v>
      </c>
    </row>
    <row r="4840" spans="1:19" x14ac:dyDescent="0.25">
      <c r="A4840" s="1">
        <v>4838</v>
      </c>
      <c r="B4840" t="str">
        <f>HYPERLINK("https://www.dasschnelle.at/rath-willi-gersdorf-an-der-feistritz","Website")</f>
        <v>Website</v>
      </c>
      <c r="C4840" t="str">
        <f>HYPERLINK("http://www.rath-installationen.at","Website")</f>
        <v>Website</v>
      </c>
      <c r="D4840" t="str">
        <f>HYPERLINK("http://www.google.com/maps/place/47.1552241,15.8454074","Location")</f>
        <v>Location</v>
      </c>
      <c r="E4840" t="s">
        <v>41326</v>
      </c>
      <c r="F4840" t="s">
        <v>41327</v>
      </c>
      <c r="G4840" t="s">
        <v>3543</v>
      </c>
      <c r="H4840" t="s">
        <v>41328</v>
      </c>
      <c r="I4840" t="s">
        <v>25</v>
      </c>
      <c r="J4840" t="s">
        <v>22</v>
      </c>
      <c r="K4840" t="s">
        <v>25</v>
      </c>
      <c r="L4840" t="s">
        <v>41331</v>
      </c>
      <c r="M4840" t="s">
        <v>25</v>
      </c>
      <c r="N4840" t="s">
        <v>41332</v>
      </c>
      <c r="O4840" t="s">
        <v>41333</v>
      </c>
      <c r="P4840" t="s">
        <v>41334</v>
      </c>
      <c r="Q4840" t="s">
        <v>29</v>
      </c>
      <c r="R4840" t="s">
        <v>41329</v>
      </c>
      <c r="S4840" t="s">
        <v>41330</v>
      </c>
    </row>
    <row r="4841" spans="1:19" x14ac:dyDescent="0.25">
      <c r="A4841" s="1">
        <v>4839</v>
      </c>
      <c r="B4841" t="str">
        <f>HYPERLINK("https://www.dasschnelle.at/bischel-philipp-gesmbh-traiskirchen-dr-karl-renner-platz","Website")</f>
        <v>Website</v>
      </c>
      <c r="C4841" t="str">
        <f>HYPERLINK("http://www.optikbischel17.at","Website")</f>
        <v>Website</v>
      </c>
      <c r="D4841" t="str">
        <f>HYPERLINK("http://www.google.com/maps/place/48.01446,16.29382","Location")</f>
        <v>Location</v>
      </c>
      <c r="E4841" t="s">
        <v>41335</v>
      </c>
      <c r="F4841" t="s">
        <v>41336</v>
      </c>
      <c r="G4841" t="s">
        <v>2081</v>
      </c>
      <c r="H4841" t="s">
        <v>2082</v>
      </c>
      <c r="I4841" t="s">
        <v>177</v>
      </c>
      <c r="J4841" t="s">
        <v>22</v>
      </c>
      <c r="K4841" t="s">
        <v>41337</v>
      </c>
      <c r="L4841" t="s">
        <v>41340</v>
      </c>
      <c r="M4841" t="s">
        <v>25</v>
      </c>
      <c r="N4841" t="s">
        <v>41341</v>
      </c>
      <c r="O4841" t="s">
        <v>25</v>
      </c>
      <c r="P4841" t="s">
        <v>41342</v>
      </c>
      <c r="Q4841" t="s">
        <v>29</v>
      </c>
      <c r="R4841" t="s">
        <v>41338</v>
      </c>
      <c r="S4841" t="s">
        <v>41339</v>
      </c>
    </row>
    <row r="4842" spans="1:19" x14ac:dyDescent="0.25">
      <c r="A4842" s="1">
        <v>4840</v>
      </c>
      <c r="B4842" t="str">
        <f>HYPERLINK("https://www.dasschnelle.at/seidl-heike-althofen-10-oktober-straße","Website")</f>
        <v>Website</v>
      </c>
      <c r="C4842" t="str">
        <f>HYPERLINK("http://www.heikeseidl.at","Website")</f>
        <v>Website</v>
      </c>
      <c r="D4842" t="str">
        <f>HYPERLINK("http://www.google.com/maps/place/46.87204,14.46715","Location")</f>
        <v>Location</v>
      </c>
      <c r="E4842" t="s">
        <v>41343</v>
      </c>
      <c r="F4842" t="s">
        <v>41344</v>
      </c>
      <c r="G4842" t="s">
        <v>9679</v>
      </c>
      <c r="H4842" t="s">
        <v>24971</v>
      </c>
      <c r="I4842" t="s">
        <v>4130</v>
      </c>
      <c r="J4842" t="s">
        <v>22</v>
      </c>
      <c r="K4842" t="s">
        <v>41345</v>
      </c>
      <c r="L4842" t="s">
        <v>41348</v>
      </c>
      <c r="M4842" t="s">
        <v>25</v>
      </c>
      <c r="N4842" t="s">
        <v>41349</v>
      </c>
      <c r="O4842" t="s">
        <v>25</v>
      </c>
      <c r="P4842" t="s">
        <v>41350</v>
      </c>
      <c r="Q4842" t="s">
        <v>29</v>
      </c>
      <c r="R4842" t="s">
        <v>41346</v>
      </c>
      <c r="S4842" t="s">
        <v>41347</v>
      </c>
    </row>
    <row r="4843" spans="1:19" x14ac:dyDescent="0.25">
      <c r="A4843" s="1">
        <v>4841</v>
      </c>
      <c r="B4843" t="str">
        <f>HYPERLINK("https://www.dasschnelle.at/gstöttner-kg-timelkam-stiftergasse","Website")</f>
        <v>Website</v>
      </c>
      <c r="C4843" t="str">
        <f>HYPERLINK("http://www.malerei-gstoettner.at","Website")</f>
        <v>Website</v>
      </c>
      <c r="D4843" t="str">
        <f>HYPERLINK("http://www.google.com/maps/place/47.9988517,13.6118891","Location")</f>
        <v>Location</v>
      </c>
      <c r="E4843" t="s">
        <v>41351</v>
      </c>
      <c r="F4843" t="s">
        <v>41352</v>
      </c>
      <c r="G4843" t="s">
        <v>3739</v>
      </c>
      <c r="H4843" t="s">
        <v>3740</v>
      </c>
      <c r="I4843" t="s">
        <v>85</v>
      </c>
      <c r="J4843" t="s">
        <v>22</v>
      </c>
      <c r="K4843" t="s">
        <v>34743</v>
      </c>
      <c r="L4843" t="s">
        <v>34746</v>
      </c>
      <c r="M4843" t="s">
        <v>25</v>
      </c>
      <c r="N4843" t="s">
        <v>34747</v>
      </c>
      <c r="O4843" t="s">
        <v>25</v>
      </c>
      <c r="P4843" t="s">
        <v>41353</v>
      </c>
      <c r="Q4843" t="s">
        <v>29</v>
      </c>
      <c r="R4843" t="s">
        <v>34744</v>
      </c>
      <c r="S4843" t="s">
        <v>34745</v>
      </c>
    </row>
    <row r="4844" spans="1:19" x14ac:dyDescent="0.25">
      <c r="A4844" s="1">
        <v>4842</v>
      </c>
      <c r="B4844" t="str">
        <f>HYPERLINK("https://www.dasschnelle.at/blumenecke-patricia-matrei-am-brenner-matrei-am-brenner","Website")</f>
        <v>Website</v>
      </c>
      <c r="C4844" t="str">
        <f>HYPERLINK("https://www.dasschnelle.at/blumenecke-patricia-matrei-am-brenner-matrei-am-brenner","Website")</f>
        <v>Website</v>
      </c>
      <c r="D4844" t="str">
        <f>HYPERLINK("http://www.google.com/maps/place/47.1293007,11.4526838","Location")</f>
        <v>Location</v>
      </c>
      <c r="E4844" t="s">
        <v>41354</v>
      </c>
      <c r="F4844" t="s">
        <v>41355</v>
      </c>
      <c r="G4844" t="s">
        <v>5300</v>
      </c>
      <c r="H4844" t="s">
        <v>5301</v>
      </c>
      <c r="I4844" t="s">
        <v>21</v>
      </c>
      <c r="J4844" t="s">
        <v>22</v>
      </c>
      <c r="K4844" t="s">
        <v>41356</v>
      </c>
      <c r="L4844" t="s">
        <v>41359</v>
      </c>
      <c r="M4844" t="s">
        <v>25</v>
      </c>
      <c r="N4844" t="s">
        <v>41360</v>
      </c>
      <c r="O4844" t="s">
        <v>25</v>
      </c>
      <c r="P4844" t="s">
        <v>41361</v>
      </c>
      <c r="Q4844" t="s">
        <v>29</v>
      </c>
      <c r="R4844" t="s">
        <v>41357</v>
      </c>
      <c r="S4844" t="s">
        <v>41358</v>
      </c>
    </row>
    <row r="4845" spans="1:19" x14ac:dyDescent="0.25">
      <c r="A4845" s="1">
        <v>4843</v>
      </c>
      <c r="B4845" t="str">
        <f>HYPERLINK("https://www.dasschnelle.at/faltheiner-gerhard-kötschach-mauthen-kötschach","Website")</f>
        <v>Website</v>
      </c>
      <c r="C4845" t="str">
        <f>HYPERLINK("http://www.holzbau-faltheiner.at","Website")</f>
        <v>Website</v>
      </c>
      <c r="D4845" t="str">
        <f>HYPERLINK("http://www.google.com/maps/place/46.6738689,12.9948454","Location")</f>
        <v>Location</v>
      </c>
      <c r="E4845" t="s">
        <v>41362</v>
      </c>
      <c r="F4845" t="s">
        <v>41363</v>
      </c>
      <c r="G4845" t="s">
        <v>9163</v>
      </c>
      <c r="H4845" t="s">
        <v>9164</v>
      </c>
      <c r="I4845" t="s">
        <v>4130</v>
      </c>
      <c r="J4845" t="s">
        <v>22</v>
      </c>
      <c r="K4845" t="s">
        <v>41364</v>
      </c>
      <c r="L4845" t="s">
        <v>41367</v>
      </c>
      <c r="M4845" t="s">
        <v>25</v>
      </c>
      <c r="N4845" t="s">
        <v>41368</v>
      </c>
      <c r="O4845" t="s">
        <v>25</v>
      </c>
      <c r="P4845" t="s">
        <v>41369</v>
      </c>
      <c r="Q4845" t="s">
        <v>29</v>
      </c>
      <c r="R4845" t="s">
        <v>41365</v>
      </c>
      <c r="S4845" t="s">
        <v>41366</v>
      </c>
    </row>
    <row r="4846" spans="1:19" x14ac:dyDescent="0.25">
      <c r="A4846" s="1">
        <v>4844</v>
      </c>
      <c r="B4846" t="str">
        <f>HYPERLINK("https://www.dasschnelle.at/zipf-reisen-gmbh-zipf-zeiling","Website")</f>
        <v>Website</v>
      </c>
      <c r="C4846" t="str">
        <f>HYPERLINK("http://www.zipf-reisen.at","Website")</f>
        <v>Website</v>
      </c>
      <c r="D4846" t="str">
        <f>HYPERLINK("http://www.google.com/maps/place/48.0243043,13.5216117","Location")</f>
        <v>Location</v>
      </c>
      <c r="E4846" t="s">
        <v>41370</v>
      </c>
      <c r="F4846" t="s">
        <v>41371</v>
      </c>
      <c r="G4846" t="s">
        <v>41373</v>
      </c>
      <c r="H4846" t="s">
        <v>41374</v>
      </c>
      <c r="I4846" t="s">
        <v>85</v>
      </c>
      <c r="J4846" t="s">
        <v>22</v>
      </c>
      <c r="K4846" t="s">
        <v>41372</v>
      </c>
      <c r="L4846" t="s">
        <v>41377</v>
      </c>
      <c r="M4846" t="s">
        <v>25</v>
      </c>
      <c r="N4846" t="s">
        <v>41378</v>
      </c>
      <c r="O4846" t="s">
        <v>25</v>
      </c>
      <c r="P4846" t="s">
        <v>41379</v>
      </c>
      <c r="Q4846" t="s">
        <v>29</v>
      </c>
      <c r="R4846" t="s">
        <v>41375</v>
      </c>
      <c r="S4846" t="s">
        <v>41376</v>
      </c>
    </row>
    <row r="4847" spans="1:19" x14ac:dyDescent="0.25">
      <c r="A4847" s="1">
        <v>4845</v>
      </c>
      <c r="B4847" t="str">
        <f>HYPERLINK("https://www.dasschnelle.at/kollroß-robert-attersee-attergaustraße","Website")</f>
        <v>Website</v>
      </c>
      <c r="C4847" t="str">
        <f>HYPERLINK("http://www.atterseewerkstaetten.at","Website")</f>
        <v>Website</v>
      </c>
      <c r="D4847" t="str">
        <f>HYPERLINK("http://www.google.com/maps/place/47.91541,13.53492","Location")</f>
        <v>Location</v>
      </c>
      <c r="E4847" t="s">
        <v>41380</v>
      </c>
      <c r="F4847" t="s">
        <v>41381</v>
      </c>
      <c r="G4847" t="s">
        <v>3869</v>
      </c>
      <c r="H4847" t="s">
        <v>25942</v>
      </c>
      <c r="I4847" t="s">
        <v>85</v>
      </c>
      <c r="J4847" t="s">
        <v>22</v>
      </c>
      <c r="K4847" t="s">
        <v>41382</v>
      </c>
      <c r="L4847" t="s">
        <v>41385</v>
      </c>
      <c r="M4847" t="s">
        <v>41386</v>
      </c>
      <c r="N4847" t="s">
        <v>41387</v>
      </c>
      <c r="O4847" t="s">
        <v>25</v>
      </c>
      <c r="P4847" t="s">
        <v>41388</v>
      </c>
      <c r="Q4847" t="s">
        <v>29</v>
      </c>
      <c r="R4847" t="s">
        <v>41383</v>
      </c>
      <c r="S4847" t="s">
        <v>41384</v>
      </c>
    </row>
    <row r="4848" spans="1:19" x14ac:dyDescent="0.25">
      <c r="A4848" s="1">
        <v>4846</v>
      </c>
      <c r="B4848" t="str">
        <f>HYPERLINK("https://www.dasschnelle.at/hbt-holzbau-team-gmbh-kötschach-kötschach","Website")</f>
        <v>Website</v>
      </c>
      <c r="C4848" t="str">
        <f>HYPERLINK("http://www.holzbauteam.at","Website")</f>
        <v>Website</v>
      </c>
      <c r="D4848" t="str">
        <f>HYPERLINK("http://www.google.com/maps/place/46.6704867,13.0092550","Location")</f>
        <v>Location</v>
      </c>
      <c r="E4848" t="s">
        <v>41389</v>
      </c>
      <c r="F4848" t="s">
        <v>41390</v>
      </c>
      <c r="G4848" t="s">
        <v>9163</v>
      </c>
      <c r="H4848" t="s">
        <v>12894</v>
      </c>
      <c r="I4848" t="s">
        <v>4130</v>
      </c>
      <c r="J4848" t="s">
        <v>22</v>
      </c>
      <c r="K4848" t="s">
        <v>41391</v>
      </c>
      <c r="L4848" t="s">
        <v>41394</v>
      </c>
      <c r="M4848" t="s">
        <v>25</v>
      </c>
      <c r="N4848" t="s">
        <v>41395</v>
      </c>
      <c r="O4848" t="s">
        <v>25</v>
      </c>
      <c r="P4848" t="s">
        <v>41396</v>
      </c>
      <c r="Q4848" t="s">
        <v>29</v>
      </c>
      <c r="R4848" t="s">
        <v>41392</v>
      </c>
      <c r="S4848" t="s">
        <v>41393</v>
      </c>
    </row>
    <row r="4849" spans="1:19" x14ac:dyDescent="0.25">
      <c r="A4849" s="1">
        <v>4847</v>
      </c>
      <c r="B4849" t="str">
        <f>HYPERLINK("https://www.dasschnelle.at/moser-roman-tröpolach-tröpolach","Website")</f>
        <v>Website</v>
      </c>
      <c r="C4849" t="str">
        <f>HYPERLINK("http://www.moserdach.at","Website")</f>
        <v>Website</v>
      </c>
      <c r="D4849" t="str">
        <f>HYPERLINK("http://www.google.com/maps/place/46.6138923,13.2762337","Location")</f>
        <v>Location</v>
      </c>
      <c r="E4849" t="s">
        <v>41397</v>
      </c>
      <c r="F4849" t="s">
        <v>41398</v>
      </c>
      <c r="G4849" t="s">
        <v>41400</v>
      </c>
      <c r="H4849" t="s">
        <v>41401</v>
      </c>
      <c r="I4849" t="s">
        <v>4130</v>
      </c>
      <c r="J4849" t="s">
        <v>22</v>
      </c>
      <c r="K4849" t="s">
        <v>41399</v>
      </c>
      <c r="L4849" t="s">
        <v>41404</v>
      </c>
      <c r="M4849" t="s">
        <v>25</v>
      </c>
      <c r="N4849" t="s">
        <v>41405</v>
      </c>
      <c r="O4849" t="s">
        <v>25</v>
      </c>
      <c r="P4849" t="s">
        <v>41406</v>
      </c>
      <c r="Q4849" t="s">
        <v>29</v>
      </c>
      <c r="R4849" t="s">
        <v>41402</v>
      </c>
      <c r="S4849" t="s">
        <v>41403</v>
      </c>
    </row>
    <row r="4850" spans="1:19" x14ac:dyDescent="0.25">
      <c r="A4850" s="1">
        <v>4848</v>
      </c>
      <c r="B4850" t="str">
        <f>HYPERLINK("https://www.dasschnelle.at/preundler-andreas-neukirchen-an-der-vöckla-lichtenegg","Website")</f>
        <v>Website</v>
      </c>
      <c r="C4850" t="str">
        <f>HYPERLINK("http://www.kranarbeiten-preundler.at","Website")</f>
        <v>Website</v>
      </c>
      <c r="D4850" t="str">
        <f>HYPERLINK("http://www.google.com/maps/place/48.0429946,13.5346839","Location")</f>
        <v>Location</v>
      </c>
      <c r="E4850" t="s">
        <v>41407</v>
      </c>
      <c r="F4850" t="s">
        <v>41408</v>
      </c>
      <c r="G4850" t="s">
        <v>26046</v>
      </c>
      <c r="H4850" t="s">
        <v>26047</v>
      </c>
      <c r="I4850" t="s">
        <v>85</v>
      </c>
      <c r="J4850" t="s">
        <v>22</v>
      </c>
      <c r="K4850" t="s">
        <v>41409</v>
      </c>
      <c r="L4850" t="s">
        <v>41412</v>
      </c>
      <c r="M4850" t="s">
        <v>25</v>
      </c>
      <c r="N4850" t="s">
        <v>41413</v>
      </c>
      <c r="O4850" t="s">
        <v>41414</v>
      </c>
      <c r="P4850" t="s">
        <v>41415</v>
      </c>
      <c r="Q4850" t="s">
        <v>29</v>
      </c>
      <c r="R4850" t="s">
        <v>41410</v>
      </c>
      <c r="S4850" t="s">
        <v>41411</v>
      </c>
    </row>
    <row r="4851" spans="1:19" x14ac:dyDescent="0.25">
      <c r="A4851" s="1">
        <v>4849</v>
      </c>
      <c r="B4851" t="str">
        <f>HYPERLINK("https://www.dasschnelle.at/hierzmann-christine-gratwein-hauptplatz","Website")</f>
        <v>Website</v>
      </c>
      <c r="C4851" t="str">
        <f>HYPERLINK("https://www.dasschnelle.at/hierzmann-christine-gratwein-hauptplatz","Website")</f>
        <v>Website</v>
      </c>
      <c r="D4851" t="str">
        <f>HYPERLINK("http://www.google.com/maps/place/47.12922,15.31873","Location")</f>
        <v>Location</v>
      </c>
      <c r="E4851" t="s">
        <v>41416</v>
      </c>
      <c r="F4851" t="s">
        <v>41417</v>
      </c>
      <c r="G4851" t="s">
        <v>7864</v>
      </c>
      <c r="H4851" t="s">
        <v>7865</v>
      </c>
      <c r="I4851" t="s">
        <v>451</v>
      </c>
      <c r="J4851" t="s">
        <v>22</v>
      </c>
      <c r="K4851" t="s">
        <v>11223</v>
      </c>
      <c r="L4851" t="s">
        <v>41420</v>
      </c>
      <c r="M4851" t="s">
        <v>25</v>
      </c>
      <c r="N4851" t="s">
        <v>41421</v>
      </c>
      <c r="O4851" t="s">
        <v>25</v>
      </c>
      <c r="P4851" t="s">
        <v>41422</v>
      </c>
      <c r="Q4851" t="s">
        <v>29</v>
      </c>
      <c r="R4851" t="s">
        <v>41418</v>
      </c>
      <c r="S4851" t="s">
        <v>41419</v>
      </c>
    </row>
    <row r="4852" spans="1:19" x14ac:dyDescent="0.25">
      <c r="A4852" s="1">
        <v>4850</v>
      </c>
      <c r="B4852" t="str">
        <f>HYPERLINK("https://www.dasschnelle.at/home-und-garden-handelsgesmbh-schwanenstadt-berggasse","Website")</f>
        <v>Website</v>
      </c>
      <c r="C4852" t="str">
        <f>HYPERLINK("http://www.andreaswoboda.at","Website")</f>
        <v>Website</v>
      </c>
      <c r="D4852" t="str">
        <f>HYPERLINK("http://www.google.com/maps/place/48.0559368,13.7747051","Location")</f>
        <v>Location</v>
      </c>
      <c r="E4852" t="s">
        <v>41423</v>
      </c>
      <c r="F4852" t="s">
        <v>41424</v>
      </c>
      <c r="G4852" t="s">
        <v>27331</v>
      </c>
      <c r="H4852" t="s">
        <v>27332</v>
      </c>
      <c r="I4852" t="s">
        <v>85</v>
      </c>
      <c r="J4852" t="s">
        <v>22</v>
      </c>
      <c r="K4852" t="s">
        <v>36856</v>
      </c>
      <c r="L4852" t="s">
        <v>41427</v>
      </c>
      <c r="M4852" t="s">
        <v>25</v>
      </c>
      <c r="N4852" t="s">
        <v>41428</v>
      </c>
      <c r="O4852" t="s">
        <v>25</v>
      </c>
      <c r="P4852" t="s">
        <v>41429</v>
      </c>
      <c r="Q4852" t="s">
        <v>29</v>
      </c>
      <c r="R4852" t="s">
        <v>41425</v>
      </c>
      <c r="S4852" t="s">
        <v>41426</v>
      </c>
    </row>
    <row r="4853" spans="1:19" x14ac:dyDescent="0.25">
      <c r="A4853" s="1">
        <v>4851</v>
      </c>
      <c r="B4853" t="str">
        <f>HYPERLINK("https://www.dasschnelle.at/k-und-e-gmbh-tulln-an-der-donau-wilhelmstraße","Website")</f>
        <v>Website</v>
      </c>
      <c r="C4853" t="str">
        <f>HYPERLINK("http://www.malerei-werbetechnik.at","Website")</f>
        <v>Website</v>
      </c>
      <c r="D4853" t="str">
        <f>HYPERLINK("http://www.google.com/maps/place/48.32973,16.05676","Location")</f>
        <v>Location</v>
      </c>
      <c r="E4853" t="s">
        <v>41430</v>
      </c>
      <c r="F4853" t="s">
        <v>41431</v>
      </c>
      <c r="G4853" t="s">
        <v>9499</v>
      </c>
      <c r="H4853" t="s">
        <v>9500</v>
      </c>
      <c r="I4853" t="s">
        <v>177</v>
      </c>
      <c r="J4853" t="s">
        <v>22</v>
      </c>
      <c r="K4853" t="s">
        <v>41432</v>
      </c>
      <c r="L4853" t="s">
        <v>41435</v>
      </c>
      <c r="M4853" t="s">
        <v>25</v>
      </c>
      <c r="N4853" t="s">
        <v>41436</v>
      </c>
      <c r="O4853" t="s">
        <v>25</v>
      </c>
      <c r="P4853" t="s">
        <v>41437</v>
      </c>
      <c r="Q4853" t="s">
        <v>29</v>
      </c>
      <c r="R4853" t="s">
        <v>41433</v>
      </c>
      <c r="S4853" t="s">
        <v>41434</v>
      </c>
    </row>
    <row r="4854" spans="1:19" x14ac:dyDescent="0.25">
      <c r="A4854" s="1">
        <v>4852</v>
      </c>
      <c r="B4854" t="str">
        <f>HYPERLINK("https://www.dasschnelle.at/zoubek-anna-tulln-an-der-donau-langenlebarner-straße","Website")</f>
        <v>Website</v>
      </c>
      <c r="C4854" t="str">
        <f>HYPERLINK("http://zoubek-blumen.at/","Website")</f>
        <v>Website</v>
      </c>
      <c r="D4854" t="str">
        <f>HYPERLINK("http://www.google.com/maps/place/48.32987,16.06715","Location")</f>
        <v>Location</v>
      </c>
      <c r="E4854" t="s">
        <v>41438</v>
      </c>
      <c r="F4854" t="s">
        <v>41439</v>
      </c>
      <c r="G4854" t="s">
        <v>9499</v>
      </c>
      <c r="H4854" t="s">
        <v>9500</v>
      </c>
      <c r="I4854" t="s">
        <v>177</v>
      </c>
      <c r="J4854" t="s">
        <v>22</v>
      </c>
      <c r="K4854" t="s">
        <v>41440</v>
      </c>
      <c r="L4854" t="s">
        <v>41443</v>
      </c>
      <c r="M4854" t="s">
        <v>25</v>
      </c>
      <c r="N4854" t="s">
        <v>41444</v>
      </c>
      <c r="O4854" t="s">
        <v>25</v>
      </c>
      <c r="P4854" t="s">
        <v>41445</v>
      </c>
      <c r="Q4854" t="s">
        <v>29</v>
      </c>
      <c r="R4854" t="s">
        <v>41441</v>
      </c>
      <c r="S4854" t="s">
        <v>41442</v>
      </c>
    </row>
    <row r="4855" spans="1:19" x14ac:dyDescent="0.25">
      <c r="A4855" s="1">
        <v>4853</v>
      </c>
      <c r="B4855" t="str">
        <f>HYPERLINK("https://www.dasschnelle.at/fritz-armin-althofen-marktsraße","Website")</f>
        <v>Website</v>
      </c>
      <c r="C4855" t="str">
        <f>HYPERLINK("http://www.armin-fritz.at","Website")</f>
        <v>Website</v>
      </c>
      <c r="D4855" t="str">
        <f>HYPERLINK("http://www.google.com/maps/place/46.8611,14.47143","Location")</f>
        <v>Location</v>
      </c>
      <c r="E4855" t="s">
        <v>41446</v>
      </c>
      <c r="F4855" t="s">
        <v>41447</v>
      </c>
      <c r="G4855" t="s">
        <v>9679</v>
      </c>
      <c r="H4855" t="s">
        <v>24971</v>
      </c>
      <c r="I4855" t="s">
        <v>4130</v>
      </c>
      <c r="J4855" t="s">
        <v>22</v>
      </c>
      <c r="K4855" t="s">
        <v>41448</v>
      </c>
      <c r="L4855" t="s">
        <v>41449</v>
      </c>
      <c r="M4855" t="s">
        <v>25</v>
      </c>
      <c r="N4855" t="s">
        <v>41450</v>
      </c>
      <c r="O4855" t="s">
        <v>25</v>
      </c>
      <c r="P4855" t="s">
        <v>41451</v>
      </c>
      <c r="Q4855" t="s">
        <v>29</v>
      </c>
      <c r="R4855" t="s">
        <v>24972</v>
      </c>
      <c r="S4855" t="s">
        <v>24973</v>
      </c>
    </row>
    <row r="4856" spans="1:19" x14ac:dyDescent="0.25">
      <c r="A4856" s="1">
        <v>4854</v>
      </c>
      <c r="B4856" t="str">
        <f>HYPERLINK("https://www.dasschnelle.at/eichhorn-roland-straß-im-attergau-erlat","Website")</f>
        <v>Website</v>
      </c>
      <c r="C4856" t="str">
        <f>HYPERLINK("https://www.dasschnelle.at/eichhorn-roland-stra%C3%9F-im-attergau-erlat","Website")</f>
        <v>Website</v>
      </c>
      <c r="D4856" t="str">
        <f>HYPERLINK("http://www.google.com/maps/place/47.9106167,13.4768609","Location")</f>
        <v>Location</v>
      </c>
      <c r="E4856" t="s">
        <v>41452</v>
      </c>
      <c r="F4856" t="s">
        <v>41453</v>
      </c>
      <c r="G4856" t="s">
        <v>3906</v>
      </c>
      <c r="H4856" t="s">
        <v>3907</v>
      </c>
      <c r="I4856" t="s">
        <v>85</v>
      </c>
      <c r="J4856" t="s">
        <v>22</v>
      </c>
      <c r="K4856" t="s">
        <v>41454</v>
      </c>
      <c r="L4856" t="s">
        <v>41457</v>
      </c>
      <c r="M4856" t="s">
        <v>25</v>
      </c>
      <c r="N4856" t="s">
        <v>41458</v>
      </c>
      <c r="O4856" t="s">
        <v>25</v>
      </c>
      <c r="P4856" t="s">
        <v>41459</v>
      </c>
      <c r="Q4856" t="s">
        <v>29</v>
      </c>
      <c r="R4856" t="s">
        <v>41455</v>
      </c>
      <c r="S4856" t="s">
        <v>41456</v>
      </c>
    </row>
    <row r="4857" spans="1:19" x14ac:dyDescent="0.25">
      <c r="A4857" s="1">
        <v>4855</v>
      </c>
      <c r="B4857" t="str">
        <f>HYPERLINK("https://www.dasschnelle.at/stadler-sonja-dr-med-univ-schörfling-hauptstraße","Website")</f>
        <v>Website</v>
      </c>
      <c r="C4857" t="str">
        <f>HYPERLINK("http://www.hno-stadler.at","Website")</f>
        <v>Website</v>
      </c>
      <c r="D4857" t="str">
        <f>HYPERLINK("http://www.google.com/maps/place/47.9459535,13.5947038","Location")</f>
        <v>Location</v>
      </c>
      <c r="E4857" t="s">
        <v>41460</v>
      </c>
      <c r="F4857" t="s">
        <v>41461</v>
      </c>
      <c r="G4857" t="s">
        <v>3851</v>
      </c>
      <c r="H4857" t="s">
        <v>3852</v>
      </c>
      <c r="I4857" t="s">
        <v>85</v>
      </c>
      <c r="J4857" t="s">
        <v>22</v>
      </c>
      <c r="K4857" t="s">
        <v>26357</v>
      </c>
      <c r="L4857" t="s">
        <v>41462</v>
      </c>
      <c r="M4857" t="s">
        <v>25</v>
      </c>
      <c r="N4857" t="s">
        <v>41463</v>
      </c>
      <c r="O4857" t="s">
        <v>25</v>
      </c>
      <c r="P4857" t="s">
        <v>41464</v>
      </c>
      <c r="Q4857" t="s">
        <v>29</v>
      </c>
      <c r="R4857" t="s">
        <v>3853</v>
      </c>
      <c r="S4857" t="s">
        <v>3854</v>
      </c>
    </row>
    <row r="4858" spans="1:19" x14ac:dyDescent="0.25">
      <c r="A4858" s="1">
        <v>4856</v>
      </c>
      <c r="B4858" t="str">
        <f>HYPERLINK("https://www.dasschnelle.at/mani-s-gastronomie-gmbh-kirchbach-kirchbach","Website")</f>
        <v>Website</v>
      </c>
      <c r="C4858" t="str">
        <f>HYPERLINK("http://www.manis-restaurant.at","Website")</f>
        <v>Website</v>
      </c>
      <c r="D4858" t="str">
        <f>HYPERLINK("http://www.google.com/maps/place/46.6412156,13.1857657","Location")</f>
        <v>Location</v>
      </c>
      <c r="E4858" t="s">
        <v>41465</v>
      </c>
      <c r="F4858" t="s">
        <v>41466</v>
      </c>
      <c r="G4858" t="s">
        <v>12903</v>
      </c>
      <c r="H4858" t="s">
        <v>12904</v>
      </c>
      <c r="I4858" t="s">
        <v>4130</v>
      </c>
      <c r="J4858" t="s">
        <v>22</v>
      </c>
      <c r="K4858" t="s">
        <v>41467</v>
      </c>
      <c r="L4858" t="s">
        <v>41470</v>
      </c>
      <c r="M4858" t="s">
        <v>25</v>
      </c>
      <c r="N4858" t="s">
        <v>41471</v>
      </c>
      <c r="O4858" t="s">
        <v>25</v>
      </c>
      <c r="P4858" t="s">
        <v>41472</v>
      </c>
      <c r="Q4858" t="s">
        <v>29</v>
      </c>
      <c r="R4858" t="s">
        <v>41468</v>
      </c>
      <c r="S4858" t="s">
        <v>41469</v>
      </c>
    </row>
    <row r="4859" spans="1:19" x14ac:dyDescent="0.25">
      <c r="A4859" s="1">
        <v>4857</v>
      </c>
      <c r="B4859" t="str">
        <f>HYPERLINK("https://www.dasschnelle.at/elektro-vogelsberg-gmbh-navis-außerweg","Website")</f>
        <v>Website</v>
      </c>
      <c r="C4859" t="str">
        <f>HYPERLINK("https://www.dasschnelle.at/elektro-vogelsberg-gmbh-navis-au%C3%9Ferweg","Website")</f>
        <v>Website</v>
      </c>
      <c r="D4859" t="str">
        <f>HYPERLINK("http://www.google.com/maps/place/47.0379818,11.4788802","Location")</f>
        <v>Location</v>
      </c>
      <c r="E4859" t="s">
        <v>41473</v>
      </c>
      <c r="F4859" t="s">
        <v>41474</v>
      </c>
      <c r="G4859" t="s">
        <v>5363</v>
      </c>
      <c r="H4859" t="s">
        <v>5227</v>
      </c>
      <c r="I4859" t="s">
        <v>21</v>
      </c>
      <c r="J4859" t="s">
        <v>22</v>
      </c>
      <c r="K4859" t="s">
        <v>41475</v>
      </c>
      <c r="L4859" t="s">
        <v>41478</v>
      </c>
      <c r="M4859" t="s">
        <v>41479</v>
      </c>
      <c r="N4859" t="s">
        <v>41480</v>
      </c>
      <c r="O4859" t="s">
        <v>25</v>
      </c>
      <c r="P4859" t="s">
        <v>41481</v>
      </c>
      <c r="Q4859" t="s">
        <v>29</v>
      </c>
      <c r="R4859" t="s">
        <v>41476</v>
      </c>
      <c r="S4859" t="s">
        <v>41477</v>
      </c>
    </row>
    <row r="4860" spans="1:19" x14ac:dyDescent="0.25">
      <c r="A4860" s="1">
        <v>4858</v>
      </c>
      <c r="B4860" t="str">
        <f>HYPERLINK("https://www.dasschnelle.at/gasthaus-olpererblick-schmirn-toldern","Website")</f>
        <v>Website</v>
      </c>
      <c r="C4860" t="str">
        <f>HYPERLINK("http://www.olpererblick.at","Website")</f>
        <v>Website</v>
      </c>
      <c r="D4860" t="str">
        <f>HYPERLINK("http://www.google.com/maps/place/47.08847,11.58037","Location")</f>
        <v>Location</v>
      </c>
      <c r="E4860" t="s">
        <v>41482</v>
      </c>
      <c r="F4860" t="s">
        <v>41483</v>
      </c>
      <c r="G4860" t="s">
        <v>5311</v>
      </c>
      <c r="H4860" t="s">
        <v>41485</v>
      </c>
      <c r="I4860" t="s">
        <v>21</v>
      </c>
      <c r="J4860" t="s">
        <v>22</v>
      </c>
      <c r="K4860" t="s">
        <v>41484</v>
      </c>
      <c r="L4860" t="s">
        <v>41488</v>
      </c>
      <c r="M4860" t="s">
        <v>25</v>
      </c>
      <c r="N4860" t="s">
        <v>41489</v>
      </c>
      <c r="O4860" t="s">
        <v>25</v>
      </c>
      <c r="P4860" t="s">
        <v>41490</v>
      </c>
      <c r="Q4860" t="s">
        <v>29</v>
      </c>
      <c r="R4860" t="s">
        <v>41486</v>
      </c>
      <c r="S4860" t="s">
        <v>41487</v>
      </c>
    </row>
    <row r="4861" spans="1:19" x14ac:dyDescent="0.25">
      <c r="A4861" s="1">
        <v>4859</v>
      </c>
      <c r="B4861" t="str">
        <f>HYPERLINK("https://www.dasschnelle.at/heiztechnik-holzmann-gmbh-navis-navis","Website")</f>
        <v>Website</v>
      </c>
      <c r="C4861" t="str">
        <f>HYPERLINK("http://www.heiztechnik-holzmann.at","Website")</f>
        <v>Website</v>
      </c>
      <c r="D4861" t="str">
        <f>HYPERLINK("http://www.google.com/maps/place/47.1156664,11.4595575","Location")</f>
        <v>Location</v>
      </c>
      <c r="E4861" t="s">
        <v>41491</v>
      </c>
      <c r="F4861" t="s">
        <v>41492</v>
      </c>
      <c r="G4861" t="s">
        <v>5226</v>
      </c>
      <c r="H4861" t="s">
        <v>5227</v>
      </c>
      <c r="I4861" t="s">
        <v>21</v>
      </c>
      <c r="J4861" t="s">
        <v>22</v>
      </c>
      <c r="K4861" t="s">
        <v>41493</v>
      </c>
      <c r="L4861" t="s">
        <v>41496</v>
      </c>
      <c r="M4861" t="s">
        <v>25</v>
      </c>
      <c r="N4861" t="s">
        <v>41497</v>
      </c>
      <c r="O4861" t="s">
        <v>25</v>
      </c>
      <c r="P4861" t="s">
        <v>41498</v>
      </c>
      <c r="Q4861" t="s">
        <v>29</v>
      </c>
      <c r="R4861" t="s">
        <v>41494</v>
      </c>
      <c r="S4861" t="s">
        <v>41495</v>
      </c>
    </row>
    <row r="4862" spans="1:19" x14ac:dyDescent="0.25">
      <c r="A4862" s="1">
        <v>4860</v>
      </c>
      <c r="B4862" t="str">
        <f>HYPERLINK("https://www.dasschnelle.at/kanalservice-knaus-stefan-navis-oberweg","Website")</f>
        <v>Website</v>
      </c>
      <c r="C4862" t="str">
        <f>HYPERLINK("http://www.kanalreinigung-knaus.at","Website")</f>
        <v>Website</v>
      </c>
      <c r="D4862" t="str">
        <f>HYPERLINK("http://www.google.com/maps/place/47.1226953,11.4903371","Location")</f>
        <v>Location</v>
      </c>
      <c r="E4862" t="s">
        <v>41499</v>
      </c>
      <c r="F4862" t="s">
        <v>41500</v>
      </c>
      <c r="G4862" t="s">
        <v>5226</v>
      </c>
      <c r="H4862" t="s">
        <v>5227</v>
      </c>
      <c r="I4862" t="s">
        <v>21</v>
      </c>
      <c r="J4862" t="s">
        <v>22</v>
      </c>
      <c r="K4862" t="s">
        <v>41501</v>
      </c>
      <c r="L4862" t="s">
        <v>41504</v>
      </c>
      <c r="M4862" t="s">
        <v>25</v>
      </c>
      <c r="N4862" t="s">
        <v>41505</v>
      </c>
      <c r="O4862" t="s">
        <v>25</v>
      </c>
      <c r="P4862" t="s">
        <v>41506</v>
      </c>
      <c r="Q4862" t="s">
        <v>29</v>
      </c>
      <c r="R4862" t="s">
        <v>41502</v>
      </c>
      <c r="S4862" t="s">
        <v>41503</v>
      </c>
    </row>
    <row r="4863" spans="1:19" x14ac:dyDescent="0.25">
      <c r="A4863" s="1">
        <v>4861</v>
      </c>
      <c r="B4863" t="str">
        <f>HYPERLINK("https://www.dasschnelle.at/kp-kfz-technik-og-matrei-am-brenner-waldfrieden","Website")</f>
        <v>Website</v>
      </c>
      <c r="C4863" t="str">
        <f>HYPERLINK("https://www.dasschnelle.at/kp-kfz-technik-og-matrei-am-brenner-waldfrieden","Website")</f>
        <v>Website</v>
      </c>
      <c r="D4863" t="str">
        <f>HYPERLINK("http://www.google.com/maps/place/47.13888,11.46021","Location")</f>
        <v>Location</v>
      </c>
      <c r="E4863" t="s">
        <v>41507</v>
      </c>
      <c r="F4863" t="s">
        <v>41508</v>
      </c>
      <c r="G4863" t="s">
        <v>5300</v>
      </c>
      <c r="H4863" t="s">
        <v>5301</v>
      </c>
      <c r="I4863" t="s">
        <v>21</v>
      </c>
      <c r="J4863" t="s">
        <v>22</v>
      </c>
      <c r="K4863" t="s">
        <v>41509</v>
      </c>
      <c r="L4863" t="s">
        <v>41512</v>
      </c>
      <c r="M4863" t="s">
        <v>25</v>
      </c>
      <c r="N4863" t="s">
        <v>41513</v>
      </c>
      <c r="O4863" t="s">
        <v>25</v>
      </c>
      <c r="P4863" t="s">
        <v>41514</v>
      </c>
      <c r="Q4863" t="s">
        <v>29</v>
      </c>
      <c r="R4863" t="s">
        <v>41510</v>
      </c>
      <c r="S4863" t="s">
        <v>41511</v>
      </c>
    </row>
    <row r="4864" spans="1:19" x14ac:dyDescent="0.25">
      <c r="A4864" s="1">
        <v>4862</v>
      </c>
      <c r="B4864" t="str">
        <f>HYPERLINK("https://www.dasschnelle.at/konditorei-wagner-kg-matrei-am-brenner-brennerstraße","Website")</f>
        <v>Website</v>
      </c>
      <c r="C4864" t="str">
        <f>HYPERLINK("https://www.dasschnelle.at/konditorei-wagner-kg-matrei-am-brenner-brennerstra%C3%9Fe","Website")</f>
        <v>Website</v>
      </c>
      <c r="D4864" t="str">
        <f>HYPERLINK("http://www.google.com/maps/place/47.1314174,11.4529602","Location")</f>
        <v>Location</v>
      </c>
      <c r="E4864" t="s">
        <v>41515</v>
      </c>
      <c r="F4864" t="s">
        <v>41516</v>
      </c>
      <c r="G4864" t="s">
        <v>5300</v>
      </c>
      <c r="H4864" t="s">
        <v>5301</v>
      </c>
      <c r="I4864" t="s">
        <v>21</v>
      </c>
      <c r="J4864" t="s">
        <v>22</v>
      </c>
      <c r="K4864" t="s">
        <v>41517</v>
      </c>
      <c r="L4864" t="s">
        <v>41520</v>
      </c>
      <c r="M4864" t="s">
        <v>25</v>
      </c>
      <c r="N4864" t="s">
        <v>41521</v>
      </c>
      <c r="O4864" t="s">
        <v>25</v>
      </c>
      <c r="P4864" t="s">
        <v>41522</v>
      </c>
      <c r="Q4864" t="s">
        <v>29</v>
      </c>
      <c r="R4864" t="s">
        <v>41518</v>
      </c>
      <c r="S4864" t="s">
        <v>41519</v>
      </c>
    </row>
    <row r="4865" spans="1:19" x14ac:dyDescent="0.25">
      <c r="A4865" s="1">
        <v>4863</v>
      </c>
      <c r="B4865" t="str">
        <f>HYPERLINK("https://www.dasschnelle.at/auer-alois-navis","Website")</f>
        <v>Website</v>
      </c>
      <c r="C4865" t="str">
        <f>HYPERLINK("https://www.dasschnelle.at/auer-alois-navis","Website")</f>
        <v>Website</v>
      </c>
      <c r="D4865" t="str">
        <f>HYPERLINK("http://www.google.com/maps/place/47.1305528,11.5364018","Location")</f>
        <v>Location</v>
      </c>
      <c r="E4865" t="s">
        <v>41523</v>
      </c>
      <c r="F4865" t="s">
        <v>41524</v>
      </c>
      <c r="G4865" t="s">
        <v>5226</v>
      </c>
      <c r="H4865" t="s">
        <v>5227</v>
      </c>
      <c r="I4865" t="s">
        <v>21</v>
      </c>
      <c r="J4865" t="s">
        <v>22</v>
      </c>
      <c r="K4865" t="s">
        <v>25</v>
      </c>
      <c r="L4865" t="s">
        <v>41527</v>
      </c>
      <c r="M4865" t="s">
        <v>25</v>
      </c>
      <c r="N4865" t="s">
        <v>41528</v>
      </c>
      <c r="O4865" t="s">
        <v>25</v>
      </c>
      <c r="P4865" t="s">
        <v>41529</v>
      </c>
      <c r="Q4865" t="s">
        <v>29</v>
      </c>
      <c r="R4865" t="s">
        <v>41525</v>
      </c>
      <c r="S4865" t="s">
        <v>41526</v>
      </c>
    </row>
    <row r="4866" spans="1:19" x14ac:dyDescent="0.25">
      <c r="A4866" s="1">
        <v>4864</v>
      </c>
      <c r="B4866" t="str">
        <f>HYPERLINK("https://www.dasschnelle.at/mair-robert-steinach-siegreith","Website")</f>
        <v>Website</v>
      </c>
      <c r="C4866" t="str">
        <f>HYPERLINK("http://www.die-tischlerei.at","Website")</f>
        <v>Website</v>
      </c>
      <c r="D4866" t="str">
        <f>HYPERLINK("http://www.google.com/maps/place/47.0611912,11.486059","Location")</f>
        <v>Location</v>
      </c>
      <c r="E4866" t="s">
        <v>41530</v>
      </c>
      <c r="F4866" t="s">
        <v>41531</v>
      </c>
      <c r="G4866" t="s">
        <v>5363</v>
      </c>
      <c r="H4866" t="s">
        <v>5255</v>
      </c>
      <c r="I4866" t="s">
        <v>21</v>
      </c>
      <c r="J4866" t="s">
        <v>22</v>
      </c>
      <c r="K4866" t="s">
        <v>41532</v>
      </c>
      <c r="L4866" t="s">
        <v>41535</v>
      </c>
      <c r="M4866" t="s">
        <v>25</v>
      </c>
      <c r="N4866" t="s">
        <v>41536</v>
      </c>
      <c r="O4866" t="s">
        <v>25</v>
      </c>
      <c r="P4866" t="s">
        <v>41537</v>
      </c>
      <c r="Q4866" t="s">
        <v>29</v>
      </c>
      <c r="R4866" t="s">
        <v>41533</v>
      </c>
      <c r="S4866" t="s">
        <v>41534</v>
      </c>
    </row>
    <row r="4867" spans="1:19" x14ac:dyDescent="0.25">
      <c r="A4867" s="1">
        <v>4865</v>
      </c>
      <c r="B4867" t="str">
        <f>HYPERLINK("https://www.dasschnelle.at/peer-hubert-hubert-steinach-am-brenner-padasterweg","Website")</f>
        <v>Website</v>
      </c>
      <c r="C4867" t="str">
        <f>HYPERLINK("http://www.spenglerei-peer.at","Website")</f>
        <v>Website</v>
      </c>
      <c r="D4867" t="str">
        <f>HYPERLINK("http://www.google.com/maps/place/47.08442,11.47345","Location")</f>
        <v>Location</v>
      </c>
      <c r="E4867" t="s">
        <v>41538</v>
      </c>
      <c r="F4867" t="s">
        <v>41539</v>
      </c>
      <c r="G4867" t="s">
        <v>5245</v>
      </c>
      <c r="H4867" t="s">
        <v>5494</v>
      </c>
      <c r="I4867" t="s">
        <v>21</v>
      </c>
      <c r="J4867" t="s">
        <v>22</v>
      </c>
      <c r="K4867" t="s">
        <v>41540</v>
      </c>
      <c r="L4867" t="s">
        <v>41543</v>
      </c>
      <c r="M4867" t="s">
        <v>25</v>
      </c>
      <c r="N4867" t="s">
        <v>41544</v>
      </c>
      <c r="O4867" t="s">
        <v>25</v>
      </c>
      <c r="P4867" t="s">
        <v>41545</v>
      </c>
      <c r="Q4867" t="s">
        <v>29</v>
      </c>
      <c r="R4867" t="s">
        <v>41541</v>
      </c>
      <c r="S4867" t="s">
        <v>41542</v>
      </c>
    </row>
    <row r="4868" spans="1:19" x14ac:dyDescent="0.25">
      <c r="A4868" s="1">
        <v>4866</v>
      </c>
      <c r="B4868" t="str">
        <f>HYPERLINK("https://www.dasschnelle.at/kunstschmiede-hofer-gmbh-fulpmes-industriegebiet","Website")</f>
        <v>Website</v>
      </c>
      <c r="C4868" t="str">
        <f>HYPERLINK("http://www.kunstschmiede-hofer.at","Website")</f>
        <v>Website</v>
      </c>
      <c r="D4868" t="str">
        <f>HYPERLINK("http://www.google.com/maps/place/47.1338547,11.3450538","Location")</f>
        <v>Location</v>
      </c>
      <c r="E4868" t="s">
        <v>41546</v>
      </c>
      <c r="F4868" t="s">
        <v>41547</v>
      </c>
      <c r="G4868" t="s">
        <v>5273</v>
      </c>
      <c r="H4868" t="s">
        <v>5274</v>
      </c>
      <c r="I4868" t="s">
        <v>21</v>
      </c>
      <c r="J4868" t="s">
        <v>22</v>
      </c>
      <c r="K4868" t="s">
        <v>41548</v>
      </c>
      <c r="L4868" t="s">
        <v>41551</v>
      </c>
      <c r="M4868" t="s">
        <v>25</v>
      </c>
      <c r="N4868" t="s">
        <v>41552</v>
      </c>
      <c r="O4868" t="s">
        <v>25</v>
      </c>
      <c r="P4868" t="s">
        <v>41553</v>
      </c>
      <c r="Q4868" t="s">
        <v>29</v>
      </c>
      <c r="R4868" t="s">
        <v>41549</v>
      </c>
      <c r="S4868" t="s">
        <v>41550</v>
      </c>
    </row>
    <row r="4869" spans="1:19" x14ac:dyDescent="0.25">
      <c r="A4869" s="1">
        <v>4867</v>
      </c>
      <c r="B4869" t="str">
        <f>HYPERLINK("https://www.dasschnelle.at/wagner-martha-munderfing-achtal","Website")</f>
        <v>Website</v>
      </c>
      <c r="C4869" t="str">
        <f>HYPERLINK("https://www.dasschnelle.at/wagner-martha-munderfing-achtal","Website")</f>
        <v>Website</v>
      </c>
      <c r="D4869" t="str">
        <f>HYPERLINK("http://www.google.com/maps/place/48.0531879,13.2024092","Location")</f>
        <v>Location</v>
      </c>
      <c r="E4869" t="s">
        <v>41554</v>
      </c>
      <c r="F4869" t="s">
        <v>41555</v>
      </c>
      <c r="G4869" t="s">
        <v>22271</v>
      </c>
      <c r="H4869" t="s">
        <v>22272</v>
      </c>
      <c r="I4869" t="s">
        <v>85</v>
      </c>
      <c r="J4869" t="s">
        <v>22</v>
      </c>
      <c r="K4869" t="s">
        <v>41556</v>
      </c>
      <c r="L4869" t="s">
        <v>41559</v>
      </c>
      <c r="M4869" t="s">
        <v>25</v>
      </c>
      <c r="N4869" t="s">
        <v>41560</v>
      </c>
      <c r="O4869" t="s">
        <v>25</v>
      </c>
      <c r="P4869" t="s">
        <v>41561</v>
      </c>
      <c r="Q4869" t="s">
        <v>29</v>
      </c>
      <c r="R4869" t="s">
        <v>41557</v>
      </c>
      <c r="S4869" t="s">
        <v>41558</v>
      </c>
    </row>
    <row r="4870" spans="1:19" x14ac:dyDescent="0.25">
      <c r="A4870" s="1">
        <v>4868</v>
      </c>
      <c r="B4870" t="str">
        <f>HYPERLINK("https://www.dasschnelle.at/steuerberater-dr-mag-peter-zirps-braunau-stadtplatz","Website")</f>
        <v>Website</v>
      </c>
      <c r="C4870" t="str">
        <f>HYPERLINK("http://www.zirps.at","Website")</f>
        <v>Website</v>
      </c>
      <c r="D4870" t="str">
        <f>HYPERLINK("http://www.google.com/maps/place/48.2576563,13.0355847","Location")</f>
        <v>Location</v>
      </c>
      <c r="E4870" t="s">
        <v>41562</v>
      </c>
      <c r="F4870" t="s">
        <v>41563</v>
      </c>
      <c r="G4870" t="s">
        <v>1289</v>
      </c>
      <c r="H4870" t="s">
        <v>1290</v>
      </c>
      <c r="I4870" t="s">
        <v>85</v>
      </c>
      <c r="J4870" t="s">
        <v>22</v>
      </c>
      <c r="K4870" t="s">
        <v>26036</v>
      </c>
      <c r="L4870" t="s">
        <v>41566</v>
      </c>
      <c r="M4870" t="s">
        <v>25</v>
      </c>
      <c r="N4870" t="s">
        <v>41567</v>
      </c>
      <c r="O4870" t="s">
        <v>41568</v>
      </c>
      <c r="P4870" t="s">
        <v>697</v>
      </c>
      <c r="Q4870" t="s">
        <v>29</v>
      </c>
      <c r="R4870" t="s">
        <v>41564</v>
      </c>
      <c r="S4870" t="s">
        <v>41565</v>
      </c>
    </row>
    <row r="4871" spans="1:19" x14ac:dyDescent="0.25">
      <c r="A4871" s="1">
        <v>4869</v>
      </c>
      <c r="B4871" t="str">
        <f>HYPERLINK("https://www.dasschnelle.at/greimel-franz-loipersdorf-bei-fürstenfeld-oberbergstraße","Website")</f>
        <v>Website</v>
      </c>
      <c r="C4871" t="str">
        <f>HYPERLINK("http://www.greimel-kfz.com","Website")</f>
        <v>Website</v>
      </c>
      <c r="D4871" t="str">
        <f>HYPERLINK("http://www.google.com/maps/place/47.0102,16.09132","Location")</f>
        <v>Location</v>
      </c>
      <c r="E4871" t="s">
        <v>41569</v>
      </c>
      <c r="F4871" t="s">
        <v>41570</v>
      </c>
      <c r="G4871" t="s">
        <v>25111</v>
      </c>
      <c r="H4871" t="s">
        <v>25112</v>
      </c>
      <c r="I4871" t="s">
        <v>451</v>
      </c>
      <c r="J4871" t="s">
        <v>22</v>
      </c>
      <c r="K4871" t="s">
        <v>41571</v>
      </c>
      <c r="L4871" t="s">
        <v>41574</v>
      </c>
      <c r="M4871" t="s">
        <v>25</v>
      </c>
      <c r="N4871" t="s">
        <v>41575</v>
      </c>
      <c r="O4871" t="s">
        <v>25</v>
      </c>
      <c r="P4871" t="s">
        <v>41576</v>
      </c>
      <c r="Q4871" t="s">
        <v>29</v>
      </c>
      <c r="R4871" t="s">
        <v>41572</v>
      </c>
      <c r="S4871" t="s">
        <v>41573</v>
      </c>
    </row>
    <row r="4872" spans="1:19" x14ac:dyDescent="0.25">
      <c r="A4872" s="1">
        <v>4870</v>
      </c>
      <c r="B4872" t="str">
        <f>HYPERLINK("https://www.dasschnelle.at/pflasterei-gül-kg-freistadt-baumannstraße","Website")</f>
        <v>Website</v>
      </c>
      <c r="C4872" t="str">
        <f>HYPERLINK("http://www.pflasterei-gul.at","Website")</f>
        <v>Website</v>
      </c>
      <c r="D4872" t="str">
        <f>HYPERLINK("http://www.google.com/maps/place/48.4999800,14.4953369","Location")</f>
        <v>Location</v>
      </c>
      <c r="E4872" t="s">
        <v>41577</v>
      </c>
      <c r="F4872" t="s">
        <v>41578</v>
      </c>
      <c r="G4872" t="s">
        <v>6891</v>
      </c>
      <c r="H4872" t="s">
        <v>6892</v>
      </c>
      <c r="I4872" t="s">
        <v>85</v>
      </c>
      <c r="J4872" t="s">
        <v>22</v>
      </c>
      <c r="K4872" t="s">
        <v>41579</v>
      </c>
      <c r="L4872" t="s">
        <v>41582</v>
      </c>
      <c r="M4872" t="s">
        <v>25</v>
      </c>
      <c r="N4872" t="s">
        <v>41583</v>
      </c>
      <c r="O4872" t="s">
        <v>25</v>
      </c>
      <c r="P4872" t="s">
        <v>41584</v>
      </c>
      <c r="Q4872" t="s">
        <v>29</v>
      </c>
      <c r="R4872" t="s">
        <v>41580</v>
      </c>
      <c r="S4872" t="s">
        <v>41581</v>
      </c>
    </row>
    <row r="4873" spans="1:19" x14ac:dyDescent="0.25">
      <c r="A4873" s="1">
        <v>4871</v>
      </c>
      <c r="B4873" t="str">
        <f>HYPERLINK("https://www.dasschnelle.at/stöffler-hannes-hermagor-kraß","Website")</f>
        <v>Website</v>
      </c>
      <c r="C4873" t="str">
        <f>HYPERLINK("http://www.stoeffler.at","Website")</f>
        <v>Website</v>
      </c>
      <c r="D4873" t="str">
        <f>HYPERLINK("http://www.google.com/maps/place/46.6347334,13.3659008","Location")</f>
        <v>Location</v>
      </c>
      <c r="E4873" t="s">
        <v>41585</v>
      </c>
      <c r="F4873" t="s">
        <v>41586</v>
      </c>
      <c r="G4873" t="s">
        <v>9153</v>
      </c>
      <c r="H4873" t="s">
        <v>9154</v>
      </c>
      <c r="I4873" t="s">
        <v>4130</v>
      </c>
      <c r="J4873" t="s">
        <v>22</v>
      </c>
      <c r="K4873" t="s">
        <v>41587</v>
      </c>
      <c r="L4873" t="s">
        <v>41590</v>
      </c>
      <c r="M4873" t="s">
        <v>25</v>
      </c>
      <c r="N4873" t="s">
        <v>41591</v>
      </c>
      <c r="O4873" t="s">
        <v>25</v>
      </c>
      <c r="P4873" t="s">
        <v>41592</v>
      </c>
      <c r="Q4873" t="s">
        <v>29</v>
      </c>
      <c r="R4873" t="s">
        <v>41588</v>
      </c>
      <c r="S4873" t="s">
        <v>41589</v>
      </c>
    </row>
    <row r="4874" spans="1:19" x14ac:dyDescent="0.25">
      <c r="A4874" s="1">
        <v>4872</v>
      </c>
      <c r="B4874" t="str">
        <f>HYPERLINK("https://www.dasschnelle.at/johanna-s-geschenks-oase-kötschach-mauthen-kötschach","Website")</f>
        <v>Website</v>
      </c>
      <c r="C4874" t="str">
        <f>HYPERLINK("http://www.geschenksoase.at","Website")</f>
        <v>Website</v>
      </c>
      <c r="D4874" t="str">
        <f>HYPERLINK("http://www.google.com/maps/place/46.6769102,13.0035145","Location")</f>
        <v>Location</v>
      </c>
      <c r="E4874" t="s">
        <v>41593</v>
      </c>
      <c r="F4874" t="s">
        <v>41594</v>
      </c>
      <c r="G4874" t="s">
        <v>9163</v>
      </c>
      <c r="H4874" t="s">
        <v>9164</v>
      </c>
      <c r="I4874" t="s">
        <v>4130</v>
      </c>
      <c r="J4874" t="s">
        <v>22</v>
      </c>
      <c r="K4874" t="s">
        <v>41595</v>
      </c>
      <c r="L4874" t="s">
        <v>41598</v>
      </c>
      <c r="M4874" t="s">
        <v>25</v>
      </c>
      <c r="N4874" t="s">
        <v>41599</v>
      </c>
      <c r="O4874" t="s">
        <v>25</v>
      </c>
      <c r="P4874" t="s">
        <v>41600</v>
      </c>
      <c r="Q4874" t="s">
        <v>29</v>
      </c>
      <c r="R4874" t="s">
        <v>41596</v>
      </c>
      <c r="S4874" t="s">
        <v>41597</v>
      </c>
    </row>
    <row r="4875" spans="1:19" x14ac:dyDescent="0.25">
      <c r="A4875" s="1">
        <v>4873</v>
      </c>
      <c r="B4875" t="str">
        <f>HYPERLINK("https://www.dasschnelle.at/holzbau-winkler-gmbh-wieselburg-breiteneicher-straße","Website")</f>
        <v>Website</v>
      </c>
      <c r="C4875" t="str">
        <f>HYPERLINK("http://www.holzbau-winkler.at","Website")</f>
        <v>Website</v>
      </c>
      <c r="D4875" t="str">
        <f>HYPERLINK("http://www.google.com/maps/place/48.12926,15.14622","Location")</f>
        <v>Location</v>
      </c>
      <c r="E4875" t="s">
        <v>41601</v>
      </c>
      <c r="F4875" t="s">
        <v>41602</v>
      </c>
      <c r="G4875" t="s">
        <v>9881</v>
      </c>
      <c r="H4875" t="s">
        <v>10007</v>
      </c>
      <c r="I4875" t="s">
        <v>177</v>
      </c>
      <c r="J4875" t="s">
        <v>22</v>
      </c>
      <c r="K4875" t="s">
        <v>41603</v>
      </c>
      <c r="L4875" t="s">
        <v>41606</v>
      </c>
      <c r="M4875" t="s">
        <v>25</v>
      </c>
      <c r="N4875" t="s">
        <v>41607</v>
      </c>
      <c r="O4875" t="s">
        <v>25</v>
      </c>
      <c r="P4875" t="s">
        <v>41608</v>
      </c>
      <c r="Q4875" t="s">
        <v>29</v>
      </c>
      <c r="R4875" t="s">
        <v>41604</v>
      </c>
      <c r="S4875" t="s">
        <v>41605</v>
      </c>
    </row>
    <row r="4876" spans="1:19" x14ac:dyDescent="0.25">
      <c r="A4876" s="1">
        <v>4874</v>
      </c>
      <c r="B4876" t="str">
        <f>HYPERLINK("https://www.dasschnelle.at/zoidl-thomas-vorchdorf-schloßplatz","Website")</f>
        <v>Website</v>
      </c>
      <c r="C4876" t="str">
        <f>HYPERLINK("http://www.crw-sports.net","Website")</f>
        <v>Website</v>
      </c>
      <c r="D4876" t="str">
        <f>HYPERLINK("http://www.google.com/maps/place/48.0026800,13.9226600","Location")</f>
        <v>Location</v>
      </c>
      <c r="E4876" t="s">
        <v>41609</v>
      </c>
      <c r="F4876" t="s">
        <v>41610</v>
      </c>
      <c r="G4876" t="s">
        <v>6960</v>
      </c>
      <c r="H4876" t="s">
        <v>6961</v>
      </c>
      <c r="I4876" t="s">
        <v>85</v>
      </c>
      <c r="J4876" t="s">
        <v>22</v>
      </c>
      <c r="K4876" t="s">
        <v>41611</v>
      </c>
      <c r="L4876" t="s">
        <v>41614</v>
      </c>
      <c r="M4876" t="s">
        <v>25</v>
      </c>
      <c r="N4876" t="s">
        <v>41615</v>
      </c>
      <c r="O4876" t="s">
        <v>25</v>
      </c>
      <c r="P4876" t="s">
        <v>41616</v>
      </c>
      <c r="Q4876" t="s">
        <v>29</v>
      </c>
      <c r="R4876" t="s">
        <v>41612</v>
      </c>
      <c r="S4876" t="s">
        <v>41613</v>
      </c>
    </row>
    <row r="4877" spans="1:19" x14ac:dyDescent="0.25">
      <c r="A4877" s="1">
        <v>4875</v>
      </c>
      <c r="B4877" t="str">
        <f>HYPERLINK("https://www.dasschnelle.at/schrattenecker-alexander-gaspoltshofen-hauptstraße","Website")</f>
        <v>Website</v>
      </c>
      <c r="C4877" t="str">
        <f>HYPERLINK("http://www.schratti.at","Website")</f>
        <v>Website</v>
      </c>
      <c r="D4877" t="str">
        <f>HYPERLINK("http://www.google.com/maps/place/48.14083,13.73677","Location")</f>
        <v>Location</v>
      </c>
      <c r="E4877" t="s">
        <v>41617</v>
      </c>
      <c r="F4877" t="s">
        <v>41618</v>
      </c>
      <c r="G4877" t="s">
        <v>7471</v>
      </c>
      <c r="H4877" t="s">
        <v>7472</v>
      </c>
      <c r="I4877" t="s">
        <v>85</v>
      </c>
      <c r="J4877" t="s">
        <v>22</v>
      </c>
      <c r="K4877" t="s">
        <v>2191</v>
      </c>
      <c r="L4877" t="s">
        <v>41621</v>
      </c>
      <c r="M4877" t="s">
        <v>25</v>
      </c>
      <c r="N4877" t="s">
        <v>41622</v>
      </c>
      <c r="O4877" t="s">
        <v>25</v>
      </c>
      <c r="P4877" t="s">
        <v>41623</v>
      </c>
      <c r="Q4877" t="s">
        <v>29</v>
      </c>
      <c r="R4877" t="s">
        <v>41619</v>
      </c>
      <c r="S4877" t="s">
        <v>41620</v>
      </c>
    </row>
    <row r="4878" spans="1:19" x14ac:dyDescent="0.25">
      <c r="A4878" s="1">
        <v>4876</v>
      </c>
      <c r="B4878" t="str">
        <f>HYPERLINK("https://www.dasschnelle.at/oberhuber-clemens-mag-kremsmünster-hauptstraße","Website")</f>
        <v>Website</v>
      </c>
      <c r="C4878" t="str">
        <f>HYPERLINK("https://www.dasschnelle.at/oberhuber-clemens-mag-kremsm%C3%BCnster-hauptstra%C3%9Fe","Website")</f>
        <v>Website</v>
      </c>
      <c r="D4878" t="str">
        <f>HYPERLINK("http://www.google.com/maps/place/48.05317,14.1294","Location")</f>
        <v>Location</v>
      </c>
      <c r="E4878" t="s">
        <v>41624</v>
      </c>
      <c r="F4878" t="s">
        <v>41625</v>
      </c>
      <c r="G4878" t="s">
        <v>9173</v>
      </c>
      <c r="H4878" t="s">
        <v>9174</v>
      </c>
      <c r="I4878" t="s">
        <v>85</v>
      </c>
      <c r="J4878" t="s">
        <v>22</v>
      </c>
      <c r="K4878" t="s">
        <v>23146</v>
      </c>
      <c r="L4878" t="s">
        <v>41628</v>
      </c>
      <c r="M4878" t="s">
        <v>25</v>
      </c>
      <c r="N4878" t="s">
        <v>41629</v>
      </c>
      <c r="O4878" t="s">
        <v>25</v>
      </c>
      <c r="P4878" t="s">
        <v>41630</v>
      </c>
      <c r="Q4878" t="s">
        <v>29</v>
      </c>
      <c r="R4878" t="s">
        <v>41626</v>
      </c>
      <c r="S4878" t="s">
        <v>41627</v>
      </c>
    </row>
    <row r="4879" spans="1:19" x14ac:dyDescent="0.25">
      <c r="A4879" s="1">
        <v>4877</v>
      </c>
      <c r="B4879" t="str">
        <f>HYPERLINK("https://www.dasschnelle.at/korak-gmbh-langenwang-grazer-straße","Website")</f>
        <v>Website</v>
      </c>
      <c r="C4879" t="str">
        <f>HYPERLINK("http://www.korak-installateur.at","Website")</f>
        <v>Website</v>
      </c>
      <c r="D4879" t="str">
        <f>HYPERLINK("http://www.google.com/maps/place/47.5655263,15.6143224","Location")</f>
        <v>Location</v>
      </c>
      <c r="E4879" t="s">
        <v>41631</v>
      </c>
      <c r="F4879" t="s">
        <v>41632</v>
      </c>
      <c r="G4879" t="s">
        <v>6732</v>
      </c>
      <c r="H4879" t="s">
        <v>6733</v>
      </c>
      <c r="I4879" t="s">
        <v>451</v>
      </c>
      <c r="J4879" t="s">
        <v>22</v>
      </c>
      <c r="K4879" t="s">
        <v>41633</v>
      </c>
      <c r="L4879" t="s">
        <v>41636</v>
      </c>
      <c r="M4879" t="s">
        <v>25</v>
      </c>
      <c r="N4879" t="s">
        <v>41637</v>
      </c>
      <c r="O4879" t="s">
        <v>41638</v>
      </c>
      <c r="P4879" t="s">
        <v>41639</v>
      </c>
      <c r="Q4879" t="s">
        <v>29</v>
      </c>
      <c r="R4879" t="s">
        <v>41634</v>
      </c>
      <c r="S4879" t="s">
        <v>41635</v>
      </c>
    </row>
    <row r="4880" spans="1:19" x14ac:dyDescent="0.25">
      <c r="A4880" s="1">
        <v>4878</v>
      </c>
      <c r="B4880" t="str">
        <f>HYPERLINK("https://www.dasschnelle.at/hindinger-verena-maria-micheldorf-pyhrnstraße","Website")</f>
        <v>Website</v>
      </c>
      <c r="C4880" t="str">
        <f>HYPERLINK("https://www.dasschnelle.at/hindinger-verena-maria-micheldorf-pyhrnstra%C3%9Fe","Website")</f>
        <v>Website</v>
      </c>
      <c r="D4880" t="str">
        <f>HYPERLINK("http://www.google.com/maps/place/48.1389298,14.2295964","Location")</f>
        <v>Location</v>
      </c>
      <c r="E4880" t="s">
        <v>41640</v>
      </c>
      <c r="F4880" t="s">
        <v>41641</v>
      </c>
      <c r="G4880" t="s">
        <v>12399</v>
      </c>
      <c r="H4880" t="s">
        <v>12400</v>
      </c>
      <c r="I4880" t="s">
        <v>85</v>
      </c>
      <c r="J4880" t="s">
        <v>22</v>
      </c>
      <c r="K4880" t="s">
        <v>41642</v>
      </c>
      <c r="L4880" t="s">
        <v>41645</v>
      </c>
      <c r="M4880" t="s">
        <v>25</v>
      </c>
      <c r="N4880" t="s">
        <v>41646</v>
      </c>
      <c r="O4880" t="s">
        <v>25</v>
      </c>
      <c r="P4880" t="s">
        <v>41647</v>
      </c>
      <c r="Q4880" t="s">
        <v>29</v>
      </c>
      <c r="R4880" t="s">
        <v>41643</v>
      </c>
      <c r="S4880" t="s">
        <v>41644</v>
      </c>
    </row>
    <row r="4881" spans="1:19" x14ac:dyDescent="0.25">
      <c r="A4881" s="1">
        <v>4879</v>
      </c>
      <c r="B4881" t="str">
        <f>HYPERLINK("https://www.dasschnelle.at/gruber-textilreinigung-eferding-ledererstraße","Website")</f>
        <v>Website</v>
      </c>
      <c r="C4881" t="str">
        <f>HYPERLINK("http://www.textilreinigung-eferding.at","Website")</f>
        <v>Website</v>
      </c>
      <c r="D4881" t="str">
        <f>HYPERLINK("http://www.google.com/maps/place/48.30914,14.01849","Location")</f>
        <v>Location</v>
      </c>
      <c r="E4881" t="s">
        <v>41648</v>
      </c>
      <c r="F4881" t="s">
        <v>41649</v>
      </c>
      <c r="G4881" t="s">
        <v>3101</v>
      </c>
      <c r="H4881" t="s">
        <v>3102</v>
      </c>
      <c r="I4881" t="s">
        <v>85</v>
      </c>
      <c r="J4881" t="s">
        <v>22</v>
      </c>
      <c r="K4881" t="s">
        <v>41650</v>
      </c>
      <c r="L4881" t="s">
        <v>41651</v>
      </c>
      <c r="M4881" t="s">
        <v>25</v>
      </c>
      <c r="N4881" t="s">
        <v>21045</v>
      </c>
      <c r="O4881" t="s">
        <v>41652</v>
      </c>
      <c r="P4881" t="s">
        <v>41653</v>
      </c>
      <c r="Q4881" t="s">
        <v>29</v>
      </c>
      <c r="R4881" t="s">
        <v>21042</v>
      </c>
      <c r="S4881" t="s">
        <v>21043</v>
      </c>
    </row>
    <row r="4882" spans="1:19" x14ac:dyDescent="0.25">
      <c r="A4882" s="1">
        <v>4880</v>
      </c>
      <c r="B4882" t="str">
        <f>HYPERLINK("https://www.dasschnelle.at/dr-med-omid-sabbaghian-mining-stifterstraße","Website")</f>
        <v>Website</v>
      </c>
      <c r="C4882" t="str">
        <f>HYPERLINK("http://www.arzt-braunau.at","Website")</f>
        <v>Website</v>
      </c>
      <c r="D4882" t="str">
        <f>HYPERLINK("http://www.google.com/maps/place/48.2592629,13.0345698","Location")</f>
        <v>Location</v>
      </c>
      <c r="E4882" t="s">
        <v>41654</v>
      </c>
      <c r="F4882" t="s">
        <v>41655</v>
      </c>
      <c r="G4882" t="s">
        <v>20509</v>
      </c>
      <c r="H4882" t="s">
        <v>20510</v>
      </c>
      <c r="I4882" t="s">
        <v>85</v>
      </c>
      <c r="J4882" t="s">
        <v>22</v>
      </c>
      <c r="K4882" t="s">
        <v>37417</v>
      </c>
      <c r="L4882" t="s">
        <v>41656</v>
      </c>
      <c r="M4882" t="s">
        <v>25</v>
      </c>
      <c r="N4882" t="s">
        <v>41657</v>
      </c>
      <c r="O4882" t="s">
        <v>25</v>
      </c>
      <c r="P4882" t="s">
        <v>41658</v>
      </c>
      <c r="Q4882" t="s">
        <v>29</v>
      </c>
      <c r="R4882" t="s">
        <v>16651</v>
      </c>
      <c r="S4882" t="s">
        <v>16652</v>
      </c>
    </row>
    <row r="4883" spans="1:19" x14ac:dyDescent="0.25">
      <c r="A4883" s="1">
        <v>4881</v>
      </c>
      <c r="B4883" t="str">
        <f>HYPERLINK("https://www.dasschnelle.at/tischlerei-ehebruster-gmbh-allhartsberg-wachtberg","Website")</f>
        <v>Website</v>
      </c>
      <c r="C4883" t="str">
        <f>HYPERLINK("http://www.ehebruster.com","Website")</f>
        <v>Website</v>
      </c>
      <c r="D4883" t="str">
        <f>HYPERLINK("http://www.google.com/maps/place/48.02935,14.79565","Location")</f>
        <v>Location</v>
      </c>
      <c r="E4883" t="s">
        <v>41659</v>
      </c>
      <c r="F4883" t="s">
        <v>41660</v>
      </c>
      <c r="G4883" t="s">
        <v>25234</v>
      </c>
      <c r="H4883" t="s">
        <v>25235</v>
      </c>
      <c r="I4883" t="s">
        <v>177</v>
      </c>
      <c r="J4883" t="s">
        <v>22</v>
      </c>
      <c r="K4883" t="s">
        <v>41661</v>
      </c>
      <c r="L4883" t="s">
        <v>41664</v>
      </c>
      <c r="M4883" t="s">
        <v>25</v>
      </c>
      <c r="N4883" t="s">
        <v>41665</v>
      </c>
      <c r="O4883" t="s">
        <v>25</v>
      </c>
      <c r="P4883" t="s">
        <v>41666</v>
      </c>
      <c r="Q4883" t="s">
        <v>29</v>
      </c>
      <c r="R4883" t="s">
        <v>41662</v>
      </c>
      <c r="S4883" t="s">
        <v>41663</v>
      </c>
    </row>
    <row r="4884" spans="1:19" x14ac:dyDescent="0.25">
      <c r="A4884" s="1">
        <v>4882</v>
      </c>
      <c r="B4884" t="str">
        <f>HYPERLINK("https://www.dasschnelle.at/kosan-pharma-gmbh-seewalchen-am-attersee-anton-bruckner-straße","Website")</f>
        <v>Website</v>
      </c>
      <c r="C4884" t="str">
        <f>HYPERLINK("http://www.rosenwind-apotheke.at","Website")</f>
        <v>Website</v>
      </c>
      <c r="D4884" t="str">
        <f>HYPERLINK("http://www.google.com/maps/place/47.95578,13.58461","Location")</f>
        <v>Location</v>
      </c>
      <c r="E4884" t="s">
        <v>41667</v>
      </c>
      <c r="F4884" t="s">
        <v>41668</v>
      </c>
      <c r="G4884" t="s">
        <v>3785</v>
      </c>
      <c r="H4884" t="s">
        <v>3786</v>
      </c>
      <c r="I4884" t="s">
        <v>85</v>
      </c>
      <c r="J4884" t="s">
        <v>22</v>
      </c>
      <c r="K4884" t="s">
        <v>41669</v>
      </c>
      <c r="L4884" t="s">
        <v>41670</v>
      </c>
      <c r="M4884" t="s">
        <v>25</v>
      </c>
      <c r="N4884" t="s">
        <v>41671</v>
      </c>
      <c r="O4884" t="s">
        <v>25</v>
      </c>
      <c r="P4884" t="s">
        <v>41672</v>
      </c>
      <c r="Q4884" t="s">
        <v>29</v>
      </c>
      <c r="R4884" t="s">
        <v>3787</v>
      </c>
      <c r="S4884" t="s">
        <v>3788</v>
      </c>
    </row>
    <row r="4885" spans="1:19" x14ac:dyDescent="0.25">
      <c r="A4885" s="1">
        <v>4883</v>
      </c>
      <c r="B4885" t="str">
        <f>HYPERLINK("https://www.dasschnelle.at/mario-pachler-vöcklamarkt-blumenstrasse","Website")</f>
        <v>Website</v>
      </c>
      <c r="C4885" t="str">
        <f>HYPERLINK("http://www.fliesi.at","Website")</f>
        <v>Website</v>
      </c>
      <c r="D4885" t="str">
        <f>HYPERLINK("http://www.google.com/maps/place/48.00358,13.48866","Location")</f>
        <v>Location</v>
      </c>
      <c r="E4885" t="s">
        <v>41673</v>
      </c>
      <c r="F4885" t="s">
        <v>41674</v>
      </c>
      <c r="G4885" t="s">
        <v>3823</v>
      </c>
      <c r="H4885" t="s">
        <v>3824</v>
      </c>
      <c r="I4885" t="s">
        <v>85</v>
      </c>
      <c r="J4885" t="s">
        <v>22</v>
      </c>
      <c r="K4885" t="s">
        <v>41675</v>
      </c>
      <c r="L4885" t="s">
        <v>41678</v>
      </c>
      <c r="M4885" t="s">
        <v>25</v>
      </c>
      <c r="N4885" t="s">
        <v>41679</v>
      </c>
      <c r="O4885" t="s">
        <v>25</v>
      </c>
      <c r="P4885" t="s">
        <v>41680</v>
      </c>
      <c r="Q4885" t="s">
        <v>29</v>
      </c>
      <c r="R4885" t="s">
        <v>41676</v>
      </c>
      <c r="S4885" t="s">
        <v>41677</v>
      </c>
    </row>
    <row r="4886" spans="1:19" x14ac:dyDescent="0.25">
      <c r="A4886" s="1">
        <v>4884</v>
      </c>
      <c r="B4886" t="str">
        <f>HYPERLINK("https://www.dasschnelle.at/hauptsache-markus-steiner-markus-steiner-bischofshofen-salzburger-straße","Website")</f>
        <v>Website</v>
      </c>
      <c r="C4886" t="str">
        <f>HYPERLINK("http://www.hauptsache-steiner.at","Website")</f>
        <v>Website</v>
      </c>
      <c r="D4886" t="str">
        <f>HYPERLINK("http://www.google.com/maps/place/47.4214400,13.2179100","Location")</f>
        <v>Location</v>
      </c>
      <c r="E4886" t="s">
        <v>41681</v>
      </c>
      <c r="F4886" t="s">
        <v>41682</v>
      </c>
      <c r="G4886" t="s">
        <v>24827</v>
      </c>
      <c r="H4886" t="s">
        <v>24828</v>
      </c>
      <c r="I4886" t="s">
        <v>2239</v>
      </c>
      <c r="J4886" t="s">
        <v>22</v>
      </c>
      <c r="K4886" t="s">
        <v>41683</v>
      </c>
      <c r="L4886" t="s">
        <v>41686</v>
      </c>
      <c r="M4886" t="s">
        <v>25</v>
      </c>
      <c r="N4886" t="s">
        <v>41687</v>
      </c>
      <c r="O4886" t="s">
        <v>25</v>
      </c>
      <c r="P4886" t="s">
        <v>41688</v>
      </c>
      <c r="Q4886" t="s">
        <v>29</v>
      </c>
      <c r="R4886" t="s">
        <v>41684</v>
      </c>
      <c r="S4886" t="s">
        <v>41685</v>
      </c>
    </row>
    <row r="4887" spans="1:19" x14ac:dyDescent="0.25">
      <c r="A4887" s="1">
        <v>4885</v>
      </c>
      <c r="B4887" t="str">
        <f>HYPERLINK("https://www.dasschnelle.at/eisl-und-söhne-gmbh-st-wolfgang-im-salzkammergut-au","Website")</f>
        <v>Website</v>
      </c>
      <c r="C4887" t="str">
        <f>HYPERLINK("http://www.eisl-soehne.at","Website")</f>
        <v>Website</v>
      </c>
      <c r="D4887" t="str">
        <f>HYPERLINK("http://www.google.com/maps/place/47.7347486,13.4577654","Location")</f>
        <v>Location</v>
      </c>
      <c r="E4887" t="s">
        <v>41689</v>
      </c>
      <c r="F4887" t="s">
        <v>41690</v>
      </c>
      <c r="G4887" t="s">
        <v>2290</v>
      </c>
      <c r="H4887" t="s">
        <v>2291</v>
      </c>
      <c r="I4887" t="s">
        <v>85</v>
      </c>
      <c r="J4887" t="s">
        <v>22</v>
      </c>
      <c r="K4887" t="s">
        <v>41691</v>
      </c>
      <c r="L4887" t="s">
        <v>41694</v>
      </c>
      <c r="M4887" t="s">
        <v>25</v>
      </c>
      <c r="N4887" t="s">
        <v>41695</v>
      </c>
      <c r="O4887" t="s">
        <v>41696</v>
      </c>
      <c r="P4887" t="s">
        <v>41697</v>
      </c>
      <c r="Q4887" t="s">
        <v>29</v>
      </c>
      <c r="R4887" t="s">
        <v>41692</v>
      </c>
      <c r="S4887" t="s">
        <v>41693</v>
      </c>
    </row>
    <row r="4888" spans="1:19" x14ac:dyDescent="0.25">
      <c r="A4888" s="1">
        <v>4886</v>
      </c>
      <c r="B4888" t="str">
        <f>HYPERLINK("https://www.dasschnelle.at/siller-günter-hallein-struberweg","Website")</f>
        <v>Website</v>
      </c>
      <c r="C4888" t="str">
        <f>HYPERLINK("https://www.dasschnelle.at/siller-g%C3%BCnter-hallein-struberweg","Website")</f>
        <v>Website</v>
      </c>
      <c r="D4888" t="str">
        <f>HYPERLINK("http://www.google.com/maps/place/47.69384,13.08609","Location")</f>
        <v>Location</v>
      </c>
      <c r="E4888" t="s">
        <v>41698</v>
      </c>
      <c r="F4888" t="s">
        <v>41699</v>
      </c>
      <c r="G4888" t="s">
        <v>7584</v>
      </c>
      <c r="H4888" t="s">
        <v>7585</v>
      </c>
      <c r="I4888" t="s">
        <v>2239</v>
      </c>
      <c r="J4888" t="s">
        <v>22</v>
      </c>
      <c r="K4888" t="s">
        <v>41700</v>
      </c>
      <c r="L4888" t="s">
        <v>41703</v>
      </c>
      <c r="M4888" t="s">
        <v>25</v>
      </c>
      <c r="N4888" t="s">
        <v>41704</v>
      </c>
      <c r="O4888" t="s">
        <v>25</v>
      </c>
      <c r="P4888" t="s">
        <v>41705</v>
      </c>
      <c r="Q4888" t="s">
        <v>29</v>
      </c>
      <c r="R4888" t="s">
        <v>41701</v>
      </c>
      <c r="S4888" t="s">
        <v>41702</v>
      </c>
    </row>
    <row r="4889" spans="1:19" x14ac:dyDescent="0.25">
      <c r="A4889" s="1">
        <v>4887</v>
      </c>
      <c r="B4889" t="str">
        <f>HYPERLINK("https://www.dasschnelle.at/jacksch-möbel-e-u-pichl-bei-wels-etzelsdorf","Website")</f>
        <v>Website</v>
      </c>
      <c r="C4889" t="str">
        <f>HYPERLINK("http://www.jacksch-moebel.at","Website")</f>
        <v>Website</v>
      </c>
      <c r="D4889" t="str">
        <f>HYPERLINK("http://www.google.com/maps/place/48.1809264,13.8926702","Location")</f>
        <v>Location</v>
      </c>
      <c r="E4889" t="s">
        <v>41706</v>
      </c>
      <c r="F4889" t="s">
        <v>41707</v>
      </c>
      <c r="G4889" t="s">
        <v>16053</v>
      </c>
      <c r="H4889" t="s">
        <v>16054</v>
      </c>
      <c r="I4889" t="s">
        <v>85</v>
      </c>
      <c r="J4889" t="s">
        <v>22</v>
      </c>
      <c r="K4889" t="s">
        <v>41708</v>
      </c>
      <c r="L4889" t="s">
        <v>41711</v>
      </c>
      <c r="M4889" t="s">
        <v>25</v>
      </c>
      <c r="N4889" t="s">
        <v>41712</v>
      </c>
      <c r="O4889" t="s">
        <v>41713</v>
      </c>
      <c r="P4889" t="s">
        <v>41714</v>
      </c>
      <c r="Q4889" t="s">
        <v>29</v>
      </c>
      <c r="R4889" t="s">
        <v>41709</v>
      </c>
      <c r="S4889" t="s">
        <v>41710</v>
      </c>
    </row>
    <row r="4890" spans="1:19" x14ac:dyDescent="0.25">
      <c r="A4890" s="1">
        <v>4888</v>
      </c>
      <c r="B4890" t="str">
        <f>HYPERLINK("https://www.dasschnelle.at/marchel-transport-gmbh-gratwein-austraße","Website")</f>
        <v>Website</v>
      </c>
      <c r="C4890" t="str">
        <f>HYPERLINK("http://www.marchel-transporte.stadtausstellung.at","Website")</f>
        <v>Website</v>
      </c>
      <c r="D4890" t="str">
        <f>HYPERLINK("http://www.google.com/maps/place/47.1371,15.31805","Location")</f>
        <v>Location</v>
      </c>
      <c r="E4890" t="s">
        <v>41715</v>
      </c>
      <c r="F4890" t="s">
        <v>41716</v>
      </c>
      <c r="G4890" t="s">
        <v>7864</v>
      </c>
      <c r="H4890" t="s">
        <v>7865</v>
      </c>
      <c r="I4890" t="s">
        <v>451</v>
      </c>
      <c r="J4890" t="s">
        <v>22</v>
      </c>
      <c r="K4890" t="s">
        <v>41717</v>
      </c>
      <c r="L4890" t="s">
        <v>41720</v>
      </c>
      <c r="M4890" t="s">
        <v>25</v>
      </c>
      <c r="N4890" t="s">
        <v>41721</v>
      </c>
      <c r="O4890" t="s">
        <v>25</v>
      </c>
      <c r="P4890" t="s">
        <v>41722</v>
      </c>
      <c r="Q4890" t="s">
        <v>29</v>
      </c>
      <c r="R4890" t="s">
        <v>41718</v>
      </c>
      <c r="S4890" t="s">
        <v>41719</v>
      </c>
    </row>
    <row r="4891" spans="1:19" x14ac:dyDescent="0.25">
      <c r="A4891" s="1">
        <v>4889</v>
      </c>
      <c r="B4891" t="str">
        <f>HYPERLINK("https://www.dasschnelle.at/engelhart-werner-groß-gerungs-zwettler-straße","Website")</f>
        <v>Website</v>
      </c>
      <c r="C4891" t="str">
        <f>HYPERLINK("https://www.dasschnelle.at/engelhart-werner-gro%C3%9F-gerungs-zwettler-stra%C3%9Fe","Website")</f>
        <v>Website</v>
      </c>
      <c r="D4891" t="str">
        <f>HYPERLINK("http://www.google.com/maps/place/48.5736600,14.9605500","Location")</f>
        <v>Location</v>
      </c>
      <c r="E4891" t="s">
        <v>41723</v>
      </c>
      <c r="F4891" t="s">
        <v>41724</v>
      </c>
      <c r="G4891" t="s">
        <v>11242</v>
      </c>
      <c r="H4891" t="s">
        <v>11252</v>
      </c>
      <c r="I4891" t="s">
        <v>177</v>
      </c>
      <c r="J4891" t="s">
        <v>22</v>
      </c>
      <c r="K4891" t="s">
        <v>41725</v>
      </c>
      <c r="L4891" t="s">
        <v>41728</v>
      </c>
      <c r="M4891" t="s">
        <v>25</v>
      </c>
      <c r="N4891" t="s">
        <v>41729</v>
      </c>
      <c r="O4891" t="s">
        <v>25</v>
      </c>
      <c r="P4891" t="s">
        <v>41730</v>
      </c>
      <c r="Q4891" t="s">
        <v>29</v>
      </c>
      <c r="R4891" t="s">
        <v>41726</v>
      </c>
      <c r="S4891" t="s">
        <v>41727</v>
      </c>
    </row>
    <row r="4892" spans="1:19" x14ac:dyDescent="0.25">
      <c r="A4892" s="1">
        <v>4890</v>
      </c>
      <c r="B4892" t="str">
        <f>HYPERLINK("https://www.dasschnelle.at/st-michael-apotheke-u-drogerie-isabel-mag-andorf-hauptstraße","Website")</f>
        <v>Website</v>
      </c>
      <c r="C4892" t="str">
        <f>HYPERLINK("http://www.apotheke-andorf.at","Website")</f>
        <v>Website</v>
      </c>
      <c r="D4892" t="str">
        <f>HYPERLINK("http://www.google.com/maps/place/48.37184,13.57677","Location")</f>
        <v>Location</v>
      </c>
      <c r="E4892" t="s">
        <v>41731</v>
      </c>
      <c r="F4892" t="s">
        <v>41732</v>
      </c>
      <c r="G4892" t="s">
        <v>26299</v>
      </c>
      <c r="H4892" t="s">
        <v>26300</v>
      </c>
      <c r="I4892" t="s">
        <v>85</v>
      </c>
      <c r="J4892" t="s">
        <v>22</v>
      </c>
      <c r="K4892" t="s">
        <v>26281</v>
      </c>
      <c r="L4892" t="s">
        <v>41735</v>
      </c>
      <c r="M4892" t="s">
        <v>25</v>
      </c>
      <c r="N4892" t="s">
        <v>41736</v>
      </c>
      <c r="O4892" t="s">
        <v>41737</v>
      </c>
      <c r="P4892" t="s">
        <v>41738</v>
      </c>
      <c r="Q4892" t="s">
        <v>29</v>
      </c>
      <c r="R4892" t="s">
        <v>41733</v>
      </c>
      <c r="S4892" t="s">
        <v>41734</v>
      </c>
    </row>
    <row r="4893" spans="1:19" x14ac:dyDescent="0.25">
      <c r="A4893" s="1">
        <v>4891</v>
      </c>
      <c r="B4893" t="str">
        <f>HYPERLINK("https://www.dasschnelle.at/stocker-ohg-betonwerk-georg-und-gabriele-stocker-neuhaus-redinger-straße","Website")</f>
        <v>Website</v>
      </c>
      <c r="C4893" t="str">
        <f>HYPERLINK("https://www.dasschnelle.at/stocker-ohg-betonwerk-georg-und-gabriele-stocker-neuhaus-redinger-stra%C3%9Fe","Website")</f>
        <v>Website</v>
      </c>
      <c r="D4893" t="str">
        <f>HYPERLINK("http://www.google.com/maps/place/48.4237400,13.3971000","Location")</f>
        <v>Location</v>
      </c>
      <c r="E4893" t="s">
        <v>41739</v>
      </c>
      <c r="F4893" t="s">
        <v>41740</v>
      </c>
      <c r="G4893" t="s">
        <v>24282</v>
      </c>
      <c r="H4893" t="s">
        <v>24283</v>
      </c>
      <c r="I4893" t="s">
        <v>25</v>
      </c>
      <c r="J4893" t="s">
        <v>22</v>
      </c>
      <c r="K4893" t="s">
        <v>41741</v>
      </c>
      <c r="L4893" t="s">
        <v>41744</v>
      </c>
      <c r="M4893" t="s">
        <v>25</v>
      </c>
      <c r="N4893" t="s">
        <v>41745</v>
      </c>
      <c r="O4893" t="s">
        <v>41746</v>
      </c>
      <c r="P4893" t="s">
        <v>41747</v>
      </c>
      <c r="Q4893" t="s">
        <v>29</v>
      </c>
      <c r="R4893" t="s">
        <v>41742</v>
      </c>
      <c r="S4893" t="s">
        <v>41743</v>
      </c>
    </row>
    <row r="4894" spans="1:19" x14ac:dyDescent="0.25">
      <c r="A4894" s="1">
        <v>4892</v>
      </c>
      <c r="B4894" t="str">
        <f>HYPERLINK("https://www.dasschnelle.at/auto-wechtitsch-gmbh-leibnitz-wasserwerkstraße","Website")</f>
        <v>Website</v>
      </c>
      <c r="C4894" t="str">
        <f>HYPERLINK("http://www.autohaus.wechtitsch.car4you.at","Website")</f>
        <v>Website</v>
      </c>
      <c r="D4894" t="str">
        <f>HYPERLINK("http://www.google.com/maps/place/46.79888,15.55949","Location")</f>
        <v>Location</v>
      </c>
      <c r="E4894" t="s">
        <v>41748</v>
      </c>
      <c r="F4894" t="s">
        <v>41749</v>
      </c>
      <c r="G4894" t="s">
        <v>1013</v>
      </c>
      <c r="H4894" t="s">
        <v>1023</v>
      </c>
      <c r="I4894" t="s">
        <v>451</v>
      </c>
      <c r="J4894" t="s">
        <v>22</v>
      </c>
      <c r="K4894" t="s">
        <v>41750</v>
      </c>
      <c r="L4894" t="s">
        <v>41753</v>
      </c>
      <c r="M4894" t="s">
        <v>41754</v>
      </c>
      <c r="N4894" t="s">
        <v>41755</v>
      </c>
      <c r="O4894" t="s">
        <v>25</v>
      </c>
      <c r="P4894" t="s">
        <v>41756</v>
      </c>
      <c r="Q4894" t="s">
        <v>29</v>
      </c>
      <c r="R4894" t="s">
        <v>41751</v>
      </c>
      <c r="S4894" t="s">
        <v>41752</v>
      </c>
    </row>
    <row r="4895" spans="1:19" x14ac:dyDescent="0.25">
      <c r="A4895" s="1">
        <v>4893</v>
      </c>
      <c r="B4895" t="str">
        <f>HYPERLINK("https://www.dasschnelle.at/glas-käferböck-gmbh-weitersfelden-weitersfelden","Website")</f>
        <v>Website</v>
      </c>
      <c r="C4895" t="str">
        <f>HYPERLINK("http://www.glas-kaeferboeck.at","Website")</f>
        <v>Website</v>
      </c>
      <c r="D4895" t="str">
        <f>HYPERLINK("http://www.google.com/maps/place/48.4778651,14.7227111","Location")</f>
        <v>Location</v>
      </c>
      <c r="E4895" t="s">
        <v>41757</v>
      </c>
      <c r="F4895" t="s">
        <v>41758</v>
      </c>
      <c r="G4895" t="s">
        <v>33391</v>
      </c>
      <c r="H4895" t="s">
        <v>33392</v>
      </c>
      <c r="I4895" t="s">
        <v>85</v>
      </c>
      <c r="J4895" t="s">
        <v>22</v>
      </c>
      <c r="K4895" t="s">
        <v>41759</v>
      </c>
      <c r="L4895" t="s">
        <v>41762</v>
      </c>
      <c r="M4895" t="s">
        <v>25</v>
      </c>
      <c r="N4895" t="s">
        <v>41763</v>
      </c>
      <c r="O4895" t="s">
        <v>41764</v>
      </c>
      <c r="P4895" t="s">
        <v>41765</v>
      </c>
      <c r="Q4895" t="s">
        <v>29</v>
      </c>
      <c r="R4895" t="s">
        <v>41760</v>
      </c>
      <c r="S4895" t="s">
        <v>41761</v>
      </c>
    </row>
    <row r="4896" spans="1:19" x14ac:dyDescent="0.25">
      <c r="A4896" s="1">
        <v>4894</v>
      </c>
      <c r="B4896" t="str">
        <f>HYPERLINK("https://www.dasschnelle.at/brodschneider-zaubergärten-hasendorf-an-der-mur-elfenweg","Website")</f>
        <v>Website</v>
      </c>
      <c r="C4896" t="str">
        <f>HYPERLINK("http://www.brodschneider.at","Website")</f>
        <v>Website</v>
      </c>
      <c r="D4896" t="str">
        <f>HYPERLINK("http://www.google.com/maps/place/46.7954204,15.5710272","Location")</f>
        <v>Location</v>
      </c>
      <c r="E4896" t="s">
        <v>41766</v>
      </c>
      <c r="F4896" t="s">
        <v>41767</v>
      </c>
      <c r="G4896" t="s">
        <v>41769</v>
      </c>
      <c r="H4896" t="s">
        <v>41770</v>
      </c>
      <c r="I4896" t="s">
        <v>451</v>
      </c>
      <c r="J4896" t="s">
        <v>22</v>
      </c>
      <c r="K4896" t="s">
        <v>41768</v>
      </c>
      <c r="L4896" t="s">
        <v>41773</v>
      </c>
      <c r="M4896" t="s">
        <v>25</v>
      </c>
      <c r="N4896" t="s">
        <v>41774</v>
      </c>
      <c r="O4896" t="s">
        <v>41775</v>
      </c>
      <c r="P4896" t="s">
        <v>41776</v>
      </c>
      <c r="Q4896" t="s">
        <v>29</v>
      </c>
      <c r="R4896" t="s">
        <v>41771</v>
      </c>
      <c r="S4896" t="s">
        <v>41772</v>
      </c>
    </row>
    <row r="4897" spans="1:19" x14ac:dyDescent="0.25">
      <c r="A4897" s="1">
        <v>4895</v>
      </c>
      <c r="B4897" t="str">
        <f>HYPERLINK("https://www.dasschnelle.at/mulder-frans-gratkorn-harter-straße","Website")</f>
        <v>Website</v>
      </c>
      <c r="C4897" t="str">
        <f>HYPERLINK("http://www.fransmulder-physiotherapie.at","Website")</f>
        <v>Website</v>
      </c>
      <c r="D4897" t="str">
        <f>HYPERLINK("http://www.google.com/maps/place/47.1224300,15.3610300","Location")</f>
        <v>Location</v>
      </c>
      <c r="E4897" t="s">
        <v>41777</v>
      </c>
      <c r="F4897" t="s">
        <v>41778</v>
      </c>
      <c r="G4897" t="s">
        <v>7958</v>
      </c>
      <c r="H4897" t="s">
        <v>7959</v>
      </c>
      <c r="I4897" t="s">
        <v>451</v>
      </c>
      <c r="J4897" t="s">
        <v>22</v>
      </c>
      <c r="K4897" t="s">
        <v>41779</v>
      </c>
      <c r="L4897" t="s">
        <v>41782</v>
      </c>
      <c r="M4897" t="s">
        <v>25</v>
      </c>
      <c r="N4897" t="s">
        <v>41783</v>
      </c>
      <c r="O4897" t="s">
        <v>25</v>
      </c>
      <c r="P4897" t="s">
        <v>697</v>
      </c>
      <c r="Q4897" t="s">
        <v>29</v>
      </c>
      <c r="R4897" t="s">
        <v>41780</v>
      </c>
      <c r="S4897" t="s">
        <v>41781</v>
      </c>
    </row>
    <row r="4898" spans="1:19" x14ac:dyDescent="0.25">
      <c r="A4898" s="1">
        <v>4896</v>
      </c>
      <c r="B4898" t="str">
        <f>HYPERLINK("https://www.dasschnelle.at/mayerhofer-reinhard-lengenfeld-gewerbepark","Website")</f>
        <v>Website</v>
      </c>
      <c r="C4898" t="str">
        <f>HYPERLINK("http://www.maler-mayerhofer.eu","Website")</f>
        <v>Website</v>
      </c>
      <c r="D4898" t="str">
        <f>HYPERLINK("http://www.google.com/maps/place/48.4769600,15.5875300","Location")</f>
        <v>Location</v>
      </c>
      <c r="E4898" t="s">
        <v>41784</v>
      </c>
      <c r="F4898" t="s">
        <v>41785</v>
      </c>
      <c r="G4898" t="s">
        <v>359</v>
      </c>
      <c r="H4898" t="s">
        <v>360</v>
      </c>
      <c r="I4898" t="s">
        <v>177</v>
      </c>
      <c r="J4898" t="s">
        <v>22</v>
      </c>
      <c r="K4898" t="s">
        <v>41786</v>
      </c>
      <c r="L4898" t="s">
        <v>41789</v>
      </c>
      <c r="M4898" t="s">
        <v>25</v>
      </c>
      <c r="N4898" t="s">
        <v>41790</v>
      </c>
      <c r="O4898" t="s">
        <v>25</v>
      </c>
      <c r="P4898" t="s">
        <v>41791</v>
      </c>
      <c r="Q4898" t="s">
        <v>29</v>
      </c>
      <c r="R4898" t="s">
        <v>41787</v>
      </c>
      <c r="S4898" t="s">
        <v>41788</v>
      </c>
    </row>
    <row r="4899" spans="1:19" x14ac:dyDescent="0.25">
      <c r="A4899" s="1">
        <v>4897</v>
      </c>
      <c r="B4899" t="str">
        <f>HYPERLINK("https://www.dasschnelle.at/mayer-walter-sigharting-hauptstraße","Website")</f>
        <v>Website</v>
      </c>
      <c r="C4899" t="str">
        <f>HYPERLINK("http://www.bestattung-mayer.at","Website")</f>
        <v>Website</v>
      </c>
      <c r="D4899" t="str">
        <f>HYPERLINK("http://www.google.com/maps/place/48.3957,13.59788","Location")</f>
        <v>Location</v>
      </c>
      <c r="E4899" t="s">
        <v>41792</v>
      </c>
      <c r="F4899" t="s">
        <v>41793</v>
      </c>
      <c r="G4899" t="s">
        <v>11921</v>
      </c>
      <c r="H4899" t="s">
        <v>11922</v>
      </c>
      <c r="I4899" t="s">
        <v>85</v>
      </c>
      <c r="J4899" t="s">
        <v>22</v>
      </c>
      <c r="K4899" t="s">
        <v>6211</v>
      </c>
      <c r="L4899" t="s">
        <v>41794</v>
      </c>
      <c r="M4899" t="s">
        <v>25</v>
      </c>
      <c r="N4899" t="s">
        <v>41795</v>
      </c>
      <c r="O4899" t="s">
        <v>25</v>
      </c>
      <c r="P4899" t="s">
        <v>41796</v>
      </c>
      <c r="Q4899" t="s">
        <v>29</v>
      </c>
      <c r="R4899" t="s">
        <v>26828</v>
      </c>
      <c r="S4899" t="s">
        <v>26829</v>
      </c>
    </row>
    <row r="4900" spans="1:19" x14ac:dyDescent="0.25">
      <c r="A4900" s="1">
        <v>4898</v>
      </c>
      <c r="B4900" t="str">
        <f>HYPERLINK("https://www.dasschnelle.at/muhammed-celepci-schlüßlberg-rosenau","Website")</f>
        <v>Website</v>
      </c>
      <c r="C4900" t="str">
        <f>HYPERLINK("http://www.celepci-estrich.at","Website")</f>
        <v>Website</v>
      </c>
      <c r="D4900" t="str">
        <f>HYPERLINK("http://www.google.com/maps/place/47.55344,13.64239","Location")</f>
        <v>Location</v>
      </c>
      <c r="E4900" t="s">
        <v>41797</v>
      </c>
      <c r="F4900" t="s">
        <v>41798</v>
      </c>
      <c r="G4900" t="s">
        <v>7450</v>
      </c>
      <c r="H4900" t="s">
        <v>7451</v>
      </c>
      <c r="I4900" t="s">
        <v>85</v>
      </c>
      <c r="J4900" t="s">
        <v>22</v>
      </c>
      <c r="K4900" t="s">
        <v>41799</v>
      </c>
      <c r="L4900" t="s">
        <v>41802</v>
      </c>
      <c r="M4900" t="s">
        <v>25</v>
      </c>
      <c r="N4900" t="s">
        <v>41803</v>
      </c>
      <c r="O4900" t="s">
        <v>41804</v>
      </c>
      <c r="P4900" t="s">
        <v>41805</v>
      </c>
      <c r="Q4900" t="s">
        <v>29</v>
      </c>
      <c r="R4900" t="s">
        <v>41800</v>
      </c>
      <c r="S4900" t="s">
        <v>41801</v>
      </c>
    </row>
    <row r="4901" spans="1:19" x14ac:dyDescent="0.25">
      <c r="A4901" s="1">
        <v>4899</v>
      </c>
      <c r="B4901" t="str">
        <f>HYPERLINK("https://www.dasschnelle.at/neulinger-und-leidinger-transporte-gesmbh-raab-gewerbestraße","Website")</f>
        <v>Website</v>
      </c>
      <c r="C4901" t="str">
        <f>HYPERLINK("http://www.neulinger-leidinger.at","Website")</f>
        <v>Website</v>
      </c>
      <c r="D4901" t="str">
        <f>HYPERLINK("http://www.google.com/maps/place/48.3569500,13.6357600","Location")</f>
        <v>Location</v>
      </c>
      <c r="E4901" t="s">
        <v>41806</v>
      </c>
      <c r="F4901" t="s">
        <v>41807</v>
      </c>
      <c r="G4901" t="s">
        <v>8869</v>
      </c>
      <c r="H4901" t="s">
        <v>8870</v>
      </c>
      <c r="I4901" t="s">
        <v>85</v>
      </c>
      <c r="J4901" t="s">
        <v>22</v>
      </c>
      <c r="K4901" t="s">
        <v>41808</v>
      </c>
      <c r="L4901" t="s">
        <v>41811</v>
      </c>
      <c r="M4901" t="s">
        <v>25</v>
      </c>
      <c r="N4901" t="s">
        <v>41812</v>
      </c>
      <c r="O4901" t="s">
        <v>25</v>
      </c>
      <c r="P4901" t="s">
        <v>41813</v>
      </c>
      <c r="Q4901" t="s">
        <v>29</v>
      </c>
      <c r="R4901" t="s">
        <v>41809</v>
      </c>
      <c r="S4901" t="s">
        <v>41810</v>
      </c>
    </row>
    <row r="4902" spans="1:19" x14ac:dyDescent="0.25">
      <c r="A4902" s="1">
        <v>4900</v>
      </c>
      <c r="B4902" t="str">
        <f>HYPERLINK("https://www.dasschnelle.at/prommer-siegfried-m-sc-lieboch-weidengasse","Website")</f>
        <v>Website</v>
      </c>
      <c r="C4902" t="str">
        <f>HYPERLINK("http://www.bazuba.at","Website")</f>
        <v>Website</v>
      </c>
      <c r="D4902" t="str">
        <f>HYPERLINK("http://www.google.com/maps/place/46.98182,15.32279","Location")</f>
        <v>Location</v>
      </c>
      <c r="E4902" t="s">
        <v>41814</v>
      </c>
      <c r="F4902" t="s">
        <v>41815</v>
      </c>
      <c r="G4902" t="s">
        <v>4655</v>
      </c>
      <c r="H4902" t="s">
        <v>4656</v>
      </c>
      <c r="I4902" t="s">
        <v>451</v>
      </c>
      <c r="J4902" t="s">
        <v>22</v>
      </c>
      <c r="K4902" t="s">
        <v>41816</v>
      </c>
      <c r="L4902" t="s">
        <v>41819</v>
      </c>
      <c r="M4902" t="s">
        <v>25</v>
      </c>
      <c r="N4902" t="s">
        <v>41820</v>
      </c>
      <c r="O4902" t="s">
        <v>25</v>
      </c>
      <c r="P4902" t="s">
        <v>41821</v>
      </c>
      <c r="Q4902" t="s">
        <v>29</v>
      </c>
      <c r="R4902" t="s">
        <v>41817</v>
      </c>
      <c r="S4902" t="s">
        <v>41818</v>
      </c>
    </row>
    <row r="4903" spans="1:19" x14ac:dyDescent="0.25">
      <c r="A4903" s="1">
        <v>4901</v>
      </c>
      <c r="B4903" t="str">
        <f>HYPERLINK("https://www.dasschnelle.at/reiter-anna-st-peter-am-wimberg-teufelsberg","Website")</f>
        <v>Website</v>
      </c>
      <c r="C4903" t="str">
        <f>HYPERLINK("http://www.meisterfriseurin.at","Website")</f>
        <v>Website</v>
      </c>
      <c r="D4903" t="str">
        <f>HYPERLINK("http://www.google.com/maps/place/48.5026146,14.0891848","Location")</f>
        <v>Location</v>
      </c>
      <c r="E4903" t="s">
        <v>41822</v>
      </c>
      <c r="F4903" t="s">
        <v>41823</v>
      </c>
      <c r="G4903" t="s">
        <v>8591</v>
      </c>
      <c r="H4903" t="s">
        <v>38167</v>
      </c>
      <c r="I4903" t="s">
        <v>85</v>
      </c>
      <c r="J4903" t="s">
        <v>22</v>
      </c>
      <c r="K4903" t="s">
        <v>41824</v>
      </c>
      <c r="L4903" t="s">
        <v>41825</v>
      </c>
      <c r="M4903" t="s">
        <v>25</v>
      </c>
      <c r="N4903" t="s">
        <v>41826</v>
      </c>
      <c r="O4903" t="s">
        <v>25</v>
      </c>
      <c r="P4903" t="s">
        <v>41827</v>
      </c>
      <c r="Q4903" t="s">
        <v>29</v>
      </c>
      <c r="R4903" t="s">
        <v>37964</v>
      </c>
      <c r="S4903" t="s">
        <v>37965</v>
      </c>
    </row>
    <row r="4904" spans="1:19" x14ac:dyDescent="0.25">
      <c r="A4904" s="1">
        <v>4902</v>
      </c>
      <c r="B4904" t="str">
        <f>HYPERLINK("https://www.dasschnelle.at/schneeberger-karl-kg-haus-höhenfeld","Website")</f>
        <v>Website</v>
      </c>
      <c r="C4904" t="str">
        <f>HYPERLINK("http://www.triumph-fenster.at","Website")</f>
        <v>Website</v>
      </c>
      <c r="D4904" t="str">
        <f>HYPERLINK("http://www.google.com/maps/place/47.4169100,13.8020600","Location")</f>
        <v>Location</v>
      </c>
      <c r="E4904" t="s">
        <v>41828</v>
      </c>
      <c r="F4904" t="s">
        <v>41829</v>
      </c>
      <c r="G4904" t="s">
        <v>8922</v>
      </c>
      <c r="H4904" t="s">
        <v>8923</v>
      </c>
      <c r="I4904" t="s">
        <v>451</v>
      </c>
      <c r="J4904" t="s">
        <v>22</v>
      </c>
      <c r="K4904" t="s">
        <v>41830</v>
      </c>
      <c r="L4904" t="s">
        <v>41833</v>
      </c>
      <c r="M4904" t="s">
        <v>25</v>
      </c>
      <c r="N4904" t="s">
        <v>41834</v>
      </c>
      <c r="O4904" t="s">
        <v>41835</v>
      </c>
      <c r="P4904" t="s">
        <v>41836</v>
      </c>
      <c r="Q4904" t="s">
        <v>29</v>
      </c>
      <c r="R4904" t="s">
        <v>41831</v>
      </c>
      <c r="S4904" t="s">
        <v>41832</v>
      </c>
    </row>
    <row r="4905" spans="1:19" x14ac:dyDescent="0.25">
      <c r="A4905" s="1">
        <v>4903</v>
      </c>
      <c r="B4905" t="str">
        <f>HYPERLINK("https://www.dasschnelle.at/shk-schönegger-gmbh-aschach-an-der-steyr-august-bachmayr-straße","Website")</f>
        <v>Website</v>
      </c>
      <c r="C4905" t="str">
        <f>HYPERLINK("http://www.shk-schoenegger.at","Website")</f>
        <v>Website</v>
      </c>
      <c r="D4905" t="str">
        <f>HYPERLINK("http://www.google.com/maps/place/48.00787,14.32808","Location")</f>
        <v>Location</v>
      </c>
      <c r="E4905" t="s">
        <v>41837</v>
      </c>
      <c r="F4905" t="s">
        <v>41838</v>
      </c>
      <c r="G4905" t="s">
        <v>23635</v>
      </c>
      <c r="H4905" t="s">
        <v>23636</v>
      </c>
      <c r="I4905" t="s">
        <v>85</v>
      </c>
      <c r="J4905" t="s">
        <v>22</v>
      </c>
      <c r="K4905" t="s">
        <v>41839</v>
      </c>
      <c r="L4905" t="s">
        <v>41842</v>
      </c>
      <c r="M4905" t="s">
        <v>25</v>
      </c>
      <c r="N4905" t="s">
        <v>41843</v>
      </c>
      <c r="O4905" t="s">
        <v>25</v>
      </c>
      <c r="P4905" t="s">
        <v>41844</v>
      </c>
      <c r="Q4905" t="s">
        <v>29</v>
      </c>
      <c r="R4905" t="s">
        <v>41840</v>
      </c>
      <c r="S4905" t="s">
        <v>41841</v>
      </c>
    </row>
    <row r="4906" spans="1:19" x14ac:dyDescent="0.25">
      <c r="A4906" s="1">
        <v>4904</v>
      </c>
      <c r="B4906" t="str">
        <f>HYPERLINK("https://www.dasschnelle.at/rössl-holzbau-gmbh-büro-krottendorf-gaisfeld-gaisfeld","Website")</f>
        <v>Website</v>
      </c>
      <c r="C4906" t="str">
        <f>HYPERLINK("http://www.roessl-holzbau.at","Website")</f>
        <v>Website</v>
      </c>
      <c r="D4906" t="str">
        <f>HYPERLINK("http://www.google.com/maps/place/47.0191211,15.2004726","Location")</f>
        <v>Location</v>
      </c>
      <c r="E4906" t="s">
        <v>41845</v>
      </c>
      <c r="F4906" t="s">
        <v>41846</v>
      </c>
      <c r="G4906" t="s">
        <v>4610</v>
      </c>
      <c r="H4906" t="s">
        <v>41848</v>
      </c>
      <c r="I4906" t="s">
        <v>451</v>
      </c>
      <c r="J4906" t="s">
        <v>22</v>
      </c>
      <c r="K4906" t="s">
        <v>41847</v>
      </c>
      <c r="L4906" t="s">
        <v>41851</v>
      </c>
      <c r="M4906" t="s">
        <v>25</v>
      </c>
      <c r="N4906" t="s">
        <v>41852</v>
      </c>
      <c r="O4906" t="s">
        <v>25</v>
      </c>
      <c r="P4906" t="s">
        <v>41853</v>
      </c>
      <c r="Q4906" t="s">
        <v>29</v>
      </c>
      <c r="R4906" t="s">
        <v>41849</v>
      </c>
      <c r="S4906" t="s">
        <v>41850</v>
      </c>
    </row>
    <row r="4907" spans="1:19" x14ac:dyDescent="0.25">
      <c r="A4907" s="1">
        <v>4905</v>
      </c>
      <c r="B4907" t="str">
        <f>HYPERLINK("https://www.dasschnelle.at/tvm-versicherungsmakler-gmbh-vorchdorf-talbachweg","Website")</f>
        <v>Website</v>
      </c>
      <c r="C4907" t="str">
        <f>HYPERLINK("http://www.tvm.at","Website")</f>
        <v>Website</v>
      </c>
      <c r="D4907" t="str">
        <f>HYPERLINK("http://www.google.com/maps/place/47.97053,13.97651","Location")</f>
        <v>Location</v>
      </c>
      <c r="E4907" t="s">
        <v>41854</v>
      </c>
      <c r="F4907" t="s">
        <v>41855</v>
      </c>
      <c r="G4907" t="s">
        <v>6960</v>
      </c>
      <c r="H4907" t="s">
        <v>6961</v>
      </c>
      <c r="I4907" t="s">
        <v>85</v>
      </c>
      <c r="J4907" t="s">
        <v>22</v>
      </c>
      <c r="K4907" t="s">
        <v>41856</v>
      </c>
      <c r="L4907" t="s">
        <v>41859</v>
      </c>
      <c r="M4907" t="s">
        <v>25</v>
      </c>
      <c r="N4907" t="s">
        <v>25</v>
      </c>
      <c r="O4907" t="s">
        <v>25</v>
      </c>
      <c r="P4907" t="s">
        <v>41860</v>
      </c>
      <c r="Q4907" t="s">
        <v>29</v>
      </c>
      <c r="R4907" t="s">
        <v>41857</v>
      </c>
      <c r="S4907" t="s">
        <v>41858</v>
      </c>
    </row>
    <row r="4908" spans="1:19" x14ac:dyDescent="0.25">
      <c r="A4908" s="1">
        <v>4906</v>
      </c>
      <c r="B4908" t="str">
        <f>HYPERLINK("https://www.dasschnelle.at/strompuls-gmbh-geboltskirchen-scheiben","Website")</f>
        <v>Website</v>
      </c>
      <c r="C4908" t="str">
        <f>HYPERLINK("http://www.strompuls.at","Website")</f>
        <v>Website</v>
      </c>
      <c r="D4908" t="str">
        <f>HYPERLINK("http://www.google.com/maps/place/48.1410500,13.6265500","Location")</f>
        <v>Location</v>
      </c>
      <c r="E4908" t="s">
        <v>41861</v>
      </c>
      <c r="F4908" t="s">
        <v>41862</v>
      </c>
      <c r="G4908" t="s">
        <v>41864</v>
      </c>
      <c r="H4908" t="s">
        <v>41865</v>
      </c>
      <c r="I4908" t="s">
        <v>85</v>
      </c>
      <c r="J4908" t="s">
        <v>22</v>
      </c>
      <c r="K4908" t="s">
        <v>41863</v>
      </c>
      <c r="L4908" t="s">
        <v>41868</v>
      </c>
      <c r="M4908" t="s">
        <v>25</v>
      </c>
      <c r="N4908" t="s">
        <v>41869</v>
      </c>
      <c r="O4908" t="s">
        <v>25</v>
      </c>
      <c r="P4908" t="s">
        <v>41870</v>
      </c>
      <c r="Q4908" t="s">
        <v>29</v>
      </c>
      <c r="R4908" t="s">
        <v>41866</v>
      </c>
      <c r="S4908" t="s">
        <v>41867</v>
      </c>
    </row>
    <row r="4909" spans="1:19" x14ac:dyDescent="0.25">
      <c r="A4909" s="1">
        <v>4907</v>
      </c>
      <c r="B4909" t="str">
        <f>HYPERLINK("https://www.dasschnelle.at/wibner-peter-semriach-dreihöfenstraße","Website")</f>
        <v>Website</v>
      </c>
      <c r="C4909" t="str">
        <f>HYPERLINK("http://www.wibner.at","Website")</f>
        <v>Website</v>
      </c>
      <c r="D4909" t="str">
        <f>HYPERLINK("http://www.google.com/maps/place/47.24516,15.4087","Location")</f>
        <v>Location</v>
      </c>
      <c r="E4909" t="s">
        <v>41871</v>
      </c>
      <c r="F4909" t="s">
        <v>41872</v>
      </c>
      <c r="G4909" t="s">
        <v>7920</v>
      </c>
      <c r="H4909" t="s">
        <v>32685</v>
      </c>
      <c r="I4909" t="s">
        <v>451</v>
      </c>
      <c r="J4909" t="s">
        <v>22</v>
      </c>
      <c r="K4909" t="s">
        <v>41873</v>
      </c>
      <c r="L4909" t="s">
        <v>41876</v>
      </c>
      <c r="M4909" t="s">
        <v>25</v>
      </c>
      <c r="N4909" t="s">
        <v>41877</v>
      </c>
      <c r="O4909" t="s">
        <v>41878</v>
      </c>
      <c r="P4909" t="s">
        <v>697</v>
      </c>
      <c r="Q4909" t="s">
        <v>29</v>
      </c>
      <c r="R4909" t="s">
        <v>41874</v>
      </c>
      <c r="S4909" t="s">
        <v>41875</v>
      </c>
    </row>
    <row r="4910" spans="1:19" x14ac:dyDescent="0.25">
      <c r="A4910" s="1">
        <v>4908</v>
      </c>
      <c r="B4910" t="str">
        <f>HYPERLINK("https://www.dasschnelle.at/zum-schwarzen-elefanten-scheibbs-schulgasse","Website")</f>
        <v>Website</v>
      </c>
      <c r="C4910" t="str">
        <f>HYPERLINK("http://www.zumschwarzenelefanten.at","Website")</f>
        <v>Website</v>
      </c>
      <c r="D4910" t="str">
        <f>HYPERLINK("http://www.google.com/maps/place/48.00563,15.16788","Location")</f>
        <v>Location</v>
      </c>
      <c r="E4910" t="s">
        <v>41879</v>
      </c>
      <c r="F4910" t="s">
        <v>41880</v>
      </c>
      <c r="G4910" t="s">
        <v>9836</v>
      </c>
      <c r="H4910" t="s">
        <v>9837</v>
      </c>
      <c r="I4910" t="s">
        <v>177</v>
      </c>
      <c r="J4910" t="s">
        <v>22</v>
      </c>
      <c r="K4910" t="s">
        <v>41881</v>
      </c>
      <c r="L4910" t="s">
        <v>41884</v>
      </c>
      <c r="M4910" t="s">
        <v>41885</v>
      </c>
      <c r="N4910" t="s">
        <v>41886</v>
      </c>
      <c r="O4910" t="s">
        <v>25</v>
      </c>
      <c r="P4910" t="s">
        <v>41887</v>
      </c>
      <c r="Q4910" t="s">
        <v>29</v>
      </c>
      <c r="R4910" t="s">
        <v>41882</v>
      </c>
      <c r="S4910" t="s">
        <v>41883</v>
      </c>
    </row>
    <row r="4911" spans="1:19" x14ac:dyDescent="0.25">
      <c r="A4911" s="1">
        <v>4909</v>
      </c>
      <c r="B4911" t="str">
        <f>HYPERLINK("https://www.dasschnelle.at/vogtmann-und-co-ges-m-b-h-schlosserei-tresore-wien-heiligenstädter-straße","Website")</f>
        <v>Website</v>
      </c>
      <c r="C4911" t="str">
        <f>HYPERLINK("http://www.vogtmann.at","Website")</f>
        <v>Website</v>
      </c>
      <c r="D4911" t="str">
        <f>HYPERLINK("http://www.google.com/maps/place/48.24674,16.36253","Location")</f>
        <v>Location</v>
      </c>
      <c r="E4911" t="s">
        <v>41888</v>
      </c>
      <c r="F4911" t="s">
        <v>41889</v>
      </c>
      <c r="G4911" t="s">
        <v>24238</v>
      </c>
      <c r="H4911" t="s">
        <v>6488</v>
      </c>
      <c r="I4911" t="s">
        <v>25</v>
      </c>
      <c r="J4911" t="s">
        <v>22</v>
      </c>
      <c r="K4911" t="s">
        <v>41890</v>
      </c>
      <c r="L4911" t="s">
        <v>41893</v>
      </c>
      <c r="M4911" t="s">
        <v>25</v>
      </c>
      <c r="N4911" t="s">
        <v>41894</v>
      </c>
      <c r="O4911" t="s">
        <v>25</v>
      </c>
      <c r="P4911" t="s">
        <v>41895</v>
      </c>
      <c r="Q4911" t="s">
        <v>29</v>
      </c>
      <c r="R4911" t="s">
        <v>41891</v>
      </c>
      <c r="S4911" t="s">
        <v>41892</v>
      </c>
    </row>
    <row r="4912" spans="1:19" x14ac:dyDescent="0.25">
      <c r="A4912" s="1">
        <v>4910</v>
      </c>
      <c r="B4912" t="str">
        <f>HYPERLINK("https://www.dasschnelle.at/bruderhofer-thomas-vorchdorf-lambacherstraße","Website")</f>
        <v>Website</v>
      </c>
      <c r="C4912" t="str">
        <f>HYPERLINK("http://www.sps-bruderhofer.at","Website")</f>
        <v>Website</v>
      </c>
      <c r="D4912" t="str">
        <f>HYPERLINK("http://www.google.com/maps/place/48.0089500,13.9168100","Location")</f>
        <v>Location</v>
      </c>
      <c r="E4912" t="s">
        <v>41896</v>
      </c>
      <c r="F4912" t="s">
        <v>41897</v>
      </c>
      <c r="G4912" t="s">
        <v>6960</v>
      </c>
      <c r="H4912" t="s">
        <v>6961</v>
      </c>
      <c r="I4912" t="s">
        <v>85</v>
      </c>
      <c r="J4912" t="s">
        <v>22</v>
      </c>
      <c r="K4912" t="s">
        <v>41898</v>
      </c>
      <c r="L4912" t="s">
        <v>41900</v>
      </c>
      <c r="M4912" t="s">
        <v>25</v>
      </c>
      <c r="N4912" t="s">
        <v>41901</v>
      </c>
      <c r="O4912" t="s">
        <v>41902</v>
      </c>
      <c r="P4912" t="s">
        <v>41903</v>
      </c>
      <c r="Q4912" t="s">
        <v>29</v>
      </c>
      <c r="R4912" t="s">
        <v>12491</v>
      </c>
      <c r="S4912" t="s">
        <v>41899</v>
      </c>
    </row>
    <row r="4913" spans="1:19" x14ac:dyDescent="0.25">
      <c r="A4913" s="1">
        <v>4911</v>
      </c>
      <c r="B4913" t="str">
        <f>HYPERLINK("https://www.dasschnelle.at/ecusol-gmbh-windischgarsten-angerhofweg","Website")</f>
        <v>Website</v>
      </c>
      <c r="C4913" t="str">
        <f>HYPERLINK("http://www.ecusol.at","Website")</f>
        <v>Website</v>
      </c>
      <c r="D4913" t="str">
        <f>HYPERLINK("http://www.google.com/maps/place/47.72238,14.32942","Location")</f>
        <v>Location</v>
      </c>
      <c r="E4913" t="s">
        <v>41904</v>
      </c>
      <c r="F4913" t="s">
        <v>41905</v>
      </c>
      <c r="G4913" t="s">
        <v>10646</v>
      </c>
      <c r="H4913" t="s">
        <v>10647</v>
      </c>
      <c r="I4913" t="s">
        <v>85</v>
      </c>
      <c r="J4913" t="s">
        <v>22</v>
      </c>
      <c r="K4913" t="s">
        <v>41906</v>
      </c>
      <c r="L4913" t="s">
        <v>41909</v>
      </c>
      <c r="M4913" t="s">
        <v>25</v>
      </c>
      <c r="N4913" t="s">
        <v>41910</v>
      </c>
      <c r="O4913" t="s">
        <v>41911</v>
      </c>
      <c r="P4913" t="s">
        <v>697</v>
      </c>
      <c r="Q4913" t="s">
        <v>29</v>
      </c>
      <c r="R4913" t="s">
        <v>41907</v>
      </c>
      <c r="S4913" t="s">
        <v>41908</v>
      </c>
    </row>
    <row r="4914" spans="1:19" x14ac:dyDescent="0.25">
      <c r="A4914" s="1">
        <v>4912</v>
      </c>
      <c r="B4914" t="str">
        <f>HYPERLINK("https://www.dasschnelle.at/dr-gerhard-miksch-stadtschlaining-hauptplatz","Website")</f>
        <v>Website</v>
      </c>
      <c r="C4914" t="str">
        <f>HYPERLINK("http://www.miksch.tz-stadtschlaining.at","Website")</f>
        <v>Website</v>
      </c>
      <c r="D4914" t="str">
        <f>HYPERLINK("http://www.google.com/maps/place/47.3238700,16.2793900","Location")</f>
        <v>Location</v>
      </c>
      <c r="E4914" t="s">
        <v>41912</v>
      </c>
      <c r="F4914" t="s">
        <v>41913</v>
      </c>
      <c r="G4914" t="s">
        <v>41914</v>
      </c>
      <c r="H4914" t="s">
        <v>41915</v>
      </c>
      <c r="I4914" t="s">
        <v>1834</v>
      </c>
      <c r="J4914" t="s">
        <v>22</v>
      </c>
      <c r="K4914" t="s">
        <v>6118</v>
      </c>
      <c r="L4914" t="s">
        <v>41918</v>
      </c>
      <c r="M4914" t="s">
        <v>25</v>
      </c>
      <c r="N4914" t="s">
        <v>41919</v>
      </c>
      <c r="O4914" t="s">
        <v>41920</v>
      </c>
      <c r="P4914" t="s">
        <v>41921</v>
      </c>
      <c r="Q4914" t="s">
        <v>29</v>
      </c>
      <c r="R4914" t="s">
        <v>41916</v>
      </c>
      <c r="S4914" t="s">
        <v>41917</v>
      </c>
    </row>
    <row r="4915" spans="1:19" x14ac:dyDescent="0.25">
      <c r="A4915" s="1">
        <v>4913</v>
      </c>
      <c r="B4915" t="str">
        <f>HYPERLINK("https://www.dasschnelle.at/damm-heinrich-und-johanna-frohnleiten-weingartenweg","Website")</f>
        <v>Website</v>
      </c>
      <c r="C4915" t="str">
        <f>HYPERLINK("http://www.tierarzt-damm.at","Website")</f>
        <v>Website</v>
      </c>
      <c r="D4915" t="str">
        <f>HYPERLINK("http://www.google.com/maps/place/47.2713215,15.3162273","Location")</f>
        <v>Location</v>
      </c>
      <c r="E4915" t="s">
        <v>41922</v>
      </c>
      <c r="F4915" t="s">
        <v>41923</v>
      </c>
      <c r="G4915" t="s">
        <v>7874</v>
      </c>
      <c r="H4915" t="s">
        <v>7875</v>
      </c>
      <c r="I4915" t="s">
        <v>451</v>
      </c>
      <c r="J4915" t="s">
        <v>22</v>
      </c>
      <c r="K4915" t="s">
        <v>41924</v>
      </c>
      <c r="L4915" t="s">
        <v>41927</v>
      </c>
      <c r="M4915" t="s">
        <v>25</v>
      </c>
      <c r="N4915" t="s">
        <v>41928</v>
      </c>
      <c r="O4915" t="s">
        <v>25</v>
      </c>
      <c r="P4915" t="s">
        <v>41929</v>
      </c>
      <c r="Q4915" t="s">
        <v>29</v>
      </c>
      <c r="R4915" t="s">
        <v>41925</v>
      </c>
      <c r="S4915" t="s">
        <v>41926</v>
      </c>
    </row>
    <row r="4916" spans="1:19" x14ac:dyDescent="0.25">
      <c r="A4916" s="1">
        <v>4914</v>
      </c>
      <c r="B4916" t="str">
        <f>HYPERLINK("https://www.dasschnelle.at/eisernes-tor-baden-hoher-lindkogel","Website")</f>
        <v>Website</v>
      </c>
      <c r="C4916" t="str">
        <f>HYPERLINK("http://www.eisernes-tor.at","Website")</f>
        <v>Website</v>
      </c>
      <c r="D4916" t="str">
        <f>HYPERLINK("http://www.google.com/maps/place/48.0000000,16.1500000","Location")</f>
        <v>Location</v>
      </c>
      <c r="E4916" t="s">
        <v>41930</v>
      </c>
      <c r="F4916" t="s">
        <v>41931</v>
      </c>
      <c r="G4916" t="s">
        <v>1979</v>
      </c>
      <c r="H4916" t="s">
        <v>1980</v>
      </c>
      <c r="I4916" t="s">
        <v>177</v>
      </c>
      <c r="J4916" t="s">
        <v>22</v>
      </c>
      <c r="K4916" t="s">
        <v>41932</v>
      </c>
      <c r="L4916" t="s">
        <v>41935</v>
      </c>
      <c r="M4916" t="s">
        <v>25</v>
      </c>
      <c r="N4916" t="s">
        <v>25</v>
      </c>
      <c r="O4916" t="s">
        <v>25</v>
      </c>
      <c r="P4916" t="s">
        <v>41936</v>
      </c>
      <c r="Q4916" t="s">
        <v>29</v>
      </c>
      <c r="R4916" t="s">
        <v>41933</v>
      </c>
      <c r="S4916" t="s">
        <v>41934</v>
      </c>
    </row>
    <row r="4917" spans="1:19" x14ac:dyDescent="0.25">
      <c r="A4917" s="1">
        <v>4915</v>
      </c>
      <c r="B4917" t="str">
        <f>HYPERLINK("https://www.dasschnelle.at/drack-elektrotechnik-grünau-im-almtal-redlmühle","Website")</f>
        <v>Website</v>
      </c>
      <c r="C4917" t="str">
        <f>HYPERLINK("http://www.drackstrom.at","Website")</f>
        <v>Website</v>
      </c>
      <c r="D4917" t="str">
        <f>HYPERLINK("http://www.google.com/maps/place/47.86689,13.94326","Location")</f>
        <v>Location</v>
      </c>
      <c r="E4917" t="s">
        <v>41937</v>
      </c>
      <c r="F4917" t="s">
        <v>41938</v>
      </c>
      <c r="G4917" t="s">
        <v>7035</v>
      </c>
      <c r="H4917" t="s">
        <v>7036</v>
      </c>
      <c r="I4917" t="s">
        <v>85</v>
      </c>
      <c r="J4917" t="s">
        <v>22</v>
      </c>
      <c r="K4917" t="s">
        <v>41939</v>
      </c>
      <c r="L4917" t="s">
        <v>41942</v>
      </c>
      <c r="M4917" t="s">
        <v>25</v>
      </c>
      <c r="N4917" t="s">
        <v>41943</v>
      </c>
      <c r="O4917" t="s">
        <v>25</v>
      </c>
      <c r="P4917" t="s">
        <v>41944</v>
      </c>
      <c r="Q4917" t="s">
        <v>29</v>
      </c>
      <c r="R4917" t="s">
        <v>41940</v>
      </c>
      <c r="S4917" t="s">
        <v>41941</v>
      </c>
    </row>
    <row r="4918" spans="1:19" x14ac:dyDescent="0.25">
      <c r="A4918" s="1">
        <v>4916</v>
      </c>
      <c r="B4918" t="str">
        <f>HYPERLINK("https://www.dasschnelle.at/klinger-lehner-barbara-dr-med-petzenkirchen-kornfeldstraße","Website")</f>
        <v>Website</v>
      </c>
      <c r="C4918" t="str">
        <f>HYPERLINK("http://www.drklinger-lehner.com","Website")</f>
        <v>Website</v>
      </c>
      <c r="D4918" t="str">
        <f>HYPERLINK("http://www.google.com/maps/place/48.1411,15.14943","Location")</f>
        <v>Location</v>
      </c>
      <c r="E4918" t="s">
        <v>41945</v>
      </c>
      <c r="F4918" t="s">
        <v>41946</v>
      </c>
      <c r="G4918" t="s">
        <v>9978</v>
      </c>
      <c r="H4918" t="s">
        <v>9979</v>
      </c>
      <c r="I4918" t="s">
        <v>177</v>
      </c>
      <c r="J4918" t="s">
        <v>22</v>
      </c>
      <c r="K4918" t="s">
        <v>41947</v>
      </c>
      <c r="L4918" t="s">
        <v>41949</v>
      </c>
      <c r="M4918" t="s">
        <v>25</v>
      </c>
      <c r="N4918" t="s">
        <v>41950</v>
      </c>
      <c r="O4918" t="s">
        <v>25</v>
      </c>
      <c r="P4918" t="s">
        <v>41951</v>
      </c>
      <c r="Q4918" t="s">
        <v>29</v>
      </c>
      <c r="R4918" t="s">
        <v>41948</v>
      </c>
      <c r="S4918" t="s">
        <v>40634</v>
      </c>
    </row>
    <row r="4919" spans="1:19" x14ac:dyDescent="0.25">
      <c r="A4919" s="1">
        <v>4917</v>
      </c>
      <c r="B4919" t="str">
        <f>HYPERLINK("https://www.dasschnelle.at/malchus-apotheke-mag-pharm-uta-fink-e-u-spittal-villacher-straße","Website")</f>
        <v>Website</v>
      </c>
      <c r="C4919" t="str">
        <f>HYPERLINK("http://www.malchus-apotheke.at","Website")</f>
        <v>Website</v>
      </c>
      <c r="D4919" t="str">
        <f>HYPERLINK("http://www.google.com/maps/place/46.7950629,13.5035318","Location")</f>
        <v>Location</v>
      </c>
      <c r="E4919" t="s">
        <v>41952</v>
      </c>
      <c r="F4919" t="s">
        <v>41953</v>
      </c>
      <c r="G4919" t="s">
        <v>4160</v>
      </c>
      <c r="H4919" t="s">
        <v>4161</v>
      </c>
      <c r="I4919" t="s">
        <v>4130</v>
      </c>
      <c r="J4919" t="s">
        <v>22</v>
      </c>
      <c r="K4919" t="s">
        <v>41954</v>
      </c>
      <c r="L4919" t="s">
        <v>41957</v>
      </c>
      <c r="M4919" t="s">
        <v>41958</v>
      </c>
      <c r="N4919" t="s">
        <v>41959</v>
      </c>
      <c r="O4919" t="s">
        <v>25</v>
      </c>
      <c r="P4919" t="s">
        <v>41960</v>
      </c>
      <c r="Q4919" t="s">
        <v>29</v>
      </c>
      <c r="R4919" t="s">
        <v>41955</v>
      </c>
      <c r="S4919" t="s">
        <v>41956</v>
      </c>
    </row>
    <row r="4920" spans="1:19" x14ac:dyDescent="0.25">
      <c r="A4920" s="1">
        <v>4918</v>
      </c>
      <c r="B4920" t="str">
        <f>HYPERLINK("https://www.dasschnelle.at/malerbetrieb-zmugg-deutschlandsberg-dr-viktor-verdroß-straße","Website")</f>
        <v>Website</v>
      </c>
      <c r="C4920" t="str">
        <f>HYPERLINK("http://www.malerbetrieb-zmugg.at","Website")</f>
        <v>Website</v>
      </c>
      <c r="D4920" t="str">
        <f>HYPERLINK("http://www.google.com/maps/place/46.811,15.22969","Location")</f>
        <v>Location</v>
      </c>
      <c r="E4920" t="s">
        <v>41961</v>
      </c>
      <c r="F4920" t="s">
        <v>41962</v>
      </c>
      <c r="G4920" t="s">
        <v>2921</v>
      </c>
      <c r="H4920" t="s">
        <v>2922</v>
      </c>
      <c r="I4920" t="s">
        <v>451</v>
      </c>
      <c r="J4920" t="s">
        <v>22</v>
      </c>
      <c r="K4920" t="s">
        <v>41963</v>
      </c>
      <c r="L4920" t="s">
        <v>41966</v>
      </c>
      <c r="M4920" t="s">
        <v>25</v>
      </c>
      <c r="N4920" t="s">
        <v>41967</v>
      </c>
      <c r="O4920" t="s">
        <v>41968</v>
      </c>
      <c r="P4920" t="s">
        <v>41969</v>
      </c>
      <c r="Q4920" t="s">
        <v>29</v>
      </c>
      <c r="R4920" t="s">
        <v>41964</v>
      </c>
      <c r="S4920" t="s">
        <v>41965</v>
      </c>
    </row>
    <row r="4921" spans="1:19" x14ac:dyDescent="0.25">
      <c r="A4921" s="1">
        <v>4919</v>
      </c>
      <c r="B4921" t="str">
        <f>HYPERLINK("https://www.dasschnelle.at/miehl-gerhard-gmbh-pöchlarn-wienerstraße","Website")</f>
        <v>Website</v>
      </c>
      <c r="C4921" t="str">
        <f>HYPERLINK("http://www.miehl.at","Website")</f>
        <v>Website</v>
      </c>
      <c r="D4921" t="str">
        <f>HYPERLINK("http://www.google.com/maps/place/48.20953,15.22448","Location")</f>
        <v>Location</v>
      </c>
      <c r="E4921" t="s">
        <v>41970</v>
      </c>
      <c r="F4921" t="s">
        <v>41971</v>
      </c>
      <c r="G4921" t="s">
        <v>5982</v>
      </c>
      <c r="H4921" t="s">
        <v>5983</v>
      </c>
      <c r="I4921" t="s">
        <v>177</v>
      </c>
      <c r="J4921" t="s">
        <v>22</v>
      </c>
      <c r="K4921" t="s">
        <v>41972</v>
      </c>
      <c r="L4921" t="s">
        <v>41974</v>
      </c>
      <c r="M4921" t="s">
        <v>41975</v>
      </c>
      <c r="N4921" t="s">
        <v>41976</v>
      </c>
      <c r="O4921" t="s">
        <v>25</v>
      </c>
      <c r="P4921" t="s">
        <v>41977</v>
      </c>
      <c r="Q4921" t="s">
        <v>29</v>
      </c>
      <c r="R4921" t="s">
        <v>37680</v>
      </c>
      <c r="S4921" t="s">
        <v>41973</v>
      </c>
    </row>
    <row r="4922" spans="1:19" x14ac:dyDescent="0.25">
      <c r="A4922" s="1">
        <v>4920</v>
      </c>
      <c r="B4922" t="str">
        <f>HYPERLINK("https://www.dasschnelle.at/move-gmbh-und-co-kg-gmunden-druckereistraße","Website")</f>
        <v>Website</v>
      </c>
      <c r="C4922" t="str">
        <f>HYPERLINK("http://www.sep.at","Website")</f>
        <v>Website</v>
      </c>
      <c r="D4922" t="str">
        <f>HYPERLINK("http://www.google.com/maps/place/47.9258700,13.7887600","Location")</f>
        <v>Location</v>
      </c>
      <c r="E4922" t="s">
        <v>41978</v>
      </c>
      <c r="F4922" t="s">
        <v>41979</v>
      </c>
      <c r="G4922" t="s">
        <v>6951</v>
      </c>
      <c r="H4922" t="s">
        <v>6952</v>
      </c>
      <c r="I4922" t="s">
        <v>85</v>
      </c>
      <c r="J4922" t="s">
        <v>22</v>
      </c>
      <c r="K4922" t="s">
        <v>41980</v>
      </c>
      <c r="L4922" t="s">
        <v>41983</v>
      </c>
      <c r="M4922" t="s">
        <v>41984</v>
      </c>
      <c r="N4922" t="s">
        <v>41985</v>
      </c>
      <c r="O4922" t="s">
        <v>25</v>
      </c>
      <c r="P4922" t="s">
        <v>41986</v>
      </c>
      <c r="Q4922" t="s">
        <v>29</v>
      </c>
      <c r="R4922" t="s">
        <v>41981</v>
      </c>
      <c r="S4922" t="s">
        <v>41982</v>
      </c>
    </row>
    <row r="4923" spans="1:19" x14ac:dyDescent="0.25">
      <c r="A4923" s="1">
        <v>4921</v>
      </c>
      <c r="B4923" t="str">
        <f>HYPERLINK("https://www.dasschnelle.at/iveta-binderova-weißenbach-lechtal-gewerbepark","Website")</f>
        <v>Website</v>
      </c>
      <c r="C4923" t="str">
        <f>HYPERLINK("https://www.dasschnelle.at/iveta-binderova-wei%C3%9Fenbach-lechtal-gewerbepark","Website")</f>
        <v>Website</v>
      </c>
      <c r="D4923" t="str">
        <f>HYPERLINK("http://www.google.com/maps/place/47.4401912,10.6371344","Location")</f>
        <v>Location</v>
      </c>
      <c r="E4923" t="s">
        <v>41987</v>
      </c>
      <c r="F4923" t="s">
        <v>41988</v>
      </c>
      <c r="G4923" t="s">
        <v>14685</v>
      </c>
      <c r="H4923" t="s">
        <v>2784</v>
      </c>
      <c r="I4923" t="s">
        <v>21</v>
      </c>
      <c r="J4923" t="s">
        <v>22</v>
      </c>
      <c r="K4923" t="s">
        <v>41989</v>
      </c>
      <c r="L4923" t="s">
        <v>41992</v>
      </c>
      <c r="M4923" t="s">
        <v>25</v>
      </c>
      <c r="N4923" t="s">
        <v>41993</v>
      </c>
      <c r="O4923" t="s">
        <v>25</v>
      </c>
      <c r="P4923" t="s">
        <v>41994</v>
      </c>
      <c r="Q4923" t="s">
        <v>29</v>
      </c>
      <c r="R4923" t="s">
        <v>41990</v>
      </c>
      <c r="S4923" t="s">
        <v>41991</v>
      </c>
    </row>
    <row r="4924" spans="1:19" x14ac:dyDescent="0.25">
      <c r="A4924" s="1">
        <v>4922</v>
      </c>
      <c r="B4924" t="str">
        <f>HYPERLINK("https://www.dasschnelle.at/joachim-krammer-voitsberg-moosgasse","Website")</f>
        <v>Website</v>
      </c>
      <c r="C4924" t="str">
        <f>HYPERLINK("http://www.krammer-bts.at","Website")</f>
        <v>Website</v>
      </c>
      <c r="D4924" t="str">
        <f>HYPERLINK("http://www.google.com/maps/place/47.04022,15.16516","Location")</f>
        <v>Location</v>
      </c>
      <c r="E4924" t="s">
        <v>41995</v>
      </c>
      <c r="F4924" t="s">
        <v>41996</v>
      </c>
      <c r="G4924" t="s">
        <v>4572</v>
      </c>
      <c r="H4924" t="s">
        <v>4573</v>
      </c>
      <c r="I4924" t="s">
        <v>451</v>
      </c>
      <c r="J4924" t="s">
        <v>22</v>
      </c>
      <c r="K4924" t="s">
        <v>41997</v>
      </c>
      <c r="L4924" t="s">
        <v>42000</v>
      </c>
      <c r="M4924" t="s">
        <v>25</v>
      </c>
      <c r="N4924" t="s">
        <v>42001</v>
      </c>
      <c r="O4924" t="s">
        <v>25</v>
      </c>
      <c r="P4924" t="s">
        <v>42002</v>
      </c>
      <c r="Q4924" t="s">
        <v>29</v>
      </c>
      <c r="R4924" t="s">
        <v>41998</v>
      </c>
      <c r="S4924" t="s">
        <v>41999</v>
      </c>
    </row>
    <row r="4925" spans="1:19" x14ac:dyDescent="0.25">
      <c r="A4925" s="1">
        <v>4923</v>
      </c>
      <c r="B4925" t="str">
        <f>HYPERLINK("https://www.dasschnelle.at/hartweger-gesmbh-und-co-kg-haus-weißenbach","Website")</f>
        <v>Website</v>
      </c>
      <c r="C4925" t="str">
        <f>HYPERLINK("http://www.hartweger-schotter.at","Website")</f>
        <v>Website</v>
      </c>
      <c r="D4925" t="str">
        <f>HYPERLINK("http://www.google.com/maps/place/47.4220960,13.7817414","Location")</f>
        <v>Location</v>
      </c>
      <c r="E4925" t="s">
        <v>42003</v>
      </c>
      <c r="F4925" t="s">
        <v>42004</v>
      </c>
      <c r="G4925" t="s">
        <v>8922</v>
      </c>
      <c r="H4925" t="s">
        <v>8923</v>
      </c>
      <c r="I4925" t="s">
        <v>451</v>
      </c>
      <c r="J4925" t="s">
        <v>22</v>
      </c>
      <c r="K4925" t="s">
        <v>42005</v>
      </c>
      <c r="L4925" t="s">
        <v>42008</v>
      </c>
      <c r="M4925" t="s">
        <v>25</v>
      </c>
      <c r="N4925" t="s">
        <v>42009</v>
      </c>
      <c r="O4925" t="s">
        <v>25</v>
      </c>
      <c r="P4925" t="s">
        <v>42010</v>
      </c>
      <c r="Q4925" t="s">
        <v>29</v>
      </c>
      <c r="R4925" t="s">
        <v>42006</v>
      </c>
      <c r="S4925" t="s">
        <v>42007</v>
      </c>
    </row>
    <row r="4926" spans="1:19" x14ac:dyDescent="0.25">
      <c r="A4926" s="1">
        <v>4924</v>
      </c>
      <c r="B4926" t="str">
        <f>HYPERLINK("https://www.dasschnelle.at/kfz-bogner-gmbh-vorchdorf-lambacherstraße","Website")</f>
        <v>Website</v>
      </c>
      <c r="C4926" t="str">
        <f>HYPERLINK("http://www.kfz-bogner.at","Website")</f>
        <v>Website</v>
      </c>
      <c r="D4926" t="str">
        <f>HYPERLINK("http://www.google.com/maps/place/48.00895,13.91681","Location")</f>
        <v>Location</v>
      </c>
      <c r="E4926" t="s">
        <v>42011</v>
      </c>
      <c r="F4926" t="s">
        <v>42012</v>
      </c>
      <c r="G4926" t="s">
        <v>6960</v>
      </c>
      <c r="H4926" t="s">
        <v>6961</v>
      </c>
      <c r="I4926" t="s">
        <v>85</v>
      </c>
      <c r="J4926" t="s">
        <v>22</v>
      </c>
      <c r="K4926" t="s">
        <v>42013</v>
      </c>
      <c r="L4926" t="s">
        <v>42016</v>
      </c>
      <c r="M4926" t="s">
        <v>25</v>
      </c>
      <c r="N4926" t="s">
        <v>42017</v>
      </c>
      <c r="O4926" t="s">
        <v>25</v>
      </c>
      <c r="P4926" t="s">
        <v>697</v>
      </c>
      <c r="Q4926" t="s">
        <v>29</v>
      </c>
      <c r="R4926" t="s">
        <v>42014</v>
      </c>
      <c r="S4926" t="s">
        <v>42015</v>
      </c>
    </row>
    <row r="4927" spans="1:19" x14ac:dyDescent="0.25">
      <c r="A4927" s="1">
        <v>4925</v>
      </c>
      <c r="B4927" t="str">
        <f>HYPERLINK("https://www.dasschnelle.at/krammer-gerhard-bärnbach-dr-niederdorfer-straße","Website")</f>
        <v>Website</v>
      </c>
      <c r="C4927" t="str">
        <f>HYPERLINK("http://www.krammer-reifen.at","Website")</f>
        <v>Website</v>
      </c>
      <c r="D4927" t="str">
        <f>HYPERLINK("http://www.google.com/maps/place/47.06194,15.12703","Location")</f>
        <v>Location</v>
      </c>
      <c r="E4927" t="s">
        <v>42018</v>
      </c>
      <c r="F4927" t="s">
        <v>42019</v>
      </c>
      <c r="G4927" t="s">
        <v>4592</v>
      </c>
      <c r="H4927" t="s">
        <v>4593</v>
      </c>
      <c r="I4927" t="s">
        <v>451</v>
      </c>
      <c r="J4927" t="s">
        <v>22</v>
      </c>
      <c r="K4927" t="s">
        <v>42020</v>
      </c>
      <c r="L4927" t="s">
        <v>42023</v>
      </c>
      <c r="M4927" t="s">
        <v>25</v>
      </c>
      <c r="N4927" t="s">
        <v>42024</v>
      </c>
      <c r="O4927" t="s">
        <v>25</v>
      </c>
      <c r="P4927" t="s">
        <v>697</v>
      </c>
      <c r="Q4927" t="s">
        <v>29</v>
      </c>
      <c r="R4927" t="s">
        <v>42021</v>
      </c>
      <c r="S4927" t="s">
        <v>42022</v>
      </c>
    </row>
    <row r="4928" spans="1:19" x14ac:dyDescent="0.25">
      <c r="A4928" s="1">
        <v>4926</v>
      </c>
      <c r="B4928" t="str">
        <f>HYPERLINK("https://www.dasschnelle.at/maier-bruno-liezen-grimminggasse","Website")</f>
        <v>Website</v>
      </c>
      <c r="C4928" t="str">
        <f>HYPERLINK("http://www.maierdach.at","Website")</f>
        <v>Website</v>
      </c>
      <c r="D4928" t="str">
        <f>HYPERLINK("http://www.google.com/maps/place/47.56741,14.23889","Location")</f>
        <v>Location</v>
      </c>
      <c r="E4928" t="s">
        <v>42025</v>
      </c>
      <c r="F4928" t="s">
        <v>42026</v>
      </c>
      <c r="G4928" t="s">
        <v>1095</v>
      </c>
      <c r="H4928" t="s">
        <v>1096</v>
      </c>
      <c r="I4928" t="s">
        <v>451</v>
      </c>
      <c r="J4928" t="s">
        <v>22</v>
      </c>
      <c r="K4928" t="s">
        <v>42027</v>
      </c>
      <c r="L4928" t="s">
        <v>42030</v>
      </c>
      <c r="M4928" t="s">
        <v>25</v>
      </c>
      <c r="N4928" t="s">
        <v>42031</v>
      </c>
      <c r="O4928" t="s">
        <v>42032</v>
      </c>
      <c r="P4928" t="s">
        <v>42033</v>
      </c>
      <c r="Q4928" t="s">
        <v>29</v>
      </c>
      <c r="R4928" t="s">
        <v>42028</v>
      </c>
      <c r="S4928" t="s">
        <v>42029</v>
      </c>
    </row>
    <row r="4929" spans="1:19" x14ac:dyDescent="0.25">
      <c r="A4929" s="1">
        <v>4927</v>
      </c>
      <c r="B4929" t="str">
        <f>HYPERLINK("https://www.dasschnelle.at/letmaier-baumarkt-gesmbh-gröbming-stoderstraße","Website")</f>
        <v>Website</v>
      </c>
      <c r="C4929" t="str">
        <f>HYPERLINK("http://www.baumarkt-letmaier.at","Website")</f>
        <v>Website</v>
      </c>
      <c r="D4929" t="str">
        <f>HYPERLINK("http://www.google.com/maps/place/47.4464,13.89628","Location")</f>
        <v>Location</v>
      </c>
      <c r="E4929" t="s">
        <v>42034</v>
      </c>
      <c r="F4929" t="s">
        <v>42035</v>
      </c>
      <c r="G4929" t="s">
        <v>8894</v>
      </c>
      <c r="H4929" t="s">
        <v>8895</v>
      </c>
      <c r="I4929" t="s">
        <v>451</v>
      </c>
      <c r="J4929" t="s">
        <v>22</v>
      </c>
      <c r="K4929" t="s">
        <v>42036</v>
      </c>
      <c r="L4929" t="s">
        <v>42038</v>
      </c>
      <c r="M4929" t="s">
        <v>42039</v>
      </c>
      <c r="N4929" t="s">
        <v>42040</v>
      </c>
      <c r="O4929" t="s">
        <v>25</v>
      </c>
      <c r="P4929" t="s">
        <v>697</v>
      </c>
      <c r="Q4929" t="s">
        <v>29</v>
      </c>
      <c r="R4929" t="s">
        <v>869</v>
      </c>
      <c r="S4929" t="s">
        <v>42037</v>
      </c>
    </row>
    <row r="4930" spans="1:19" x14ac:dyDescent="0.25">
      <c r="A4930" s="1">
        <v>4928</v>
      </c>
      <c r="B4930" t="str">
        <f>HYPERLINK("https://www.dasschnelle.at/beck-natursteine-naturstein-beck-breitenaich-gewerbezeile-nord","Website")</f>
        <v>Website</v>
      </c>
      <c r="C4930" t="str">
        <f>HYPERLINK("http://www.beck-natursteine.at","Website")</f>
        <v>Website</v>
      </c>
      <c r="D4930" t="str">
        <f>HYPERLINK("http://www.google.com/maps/place/48.2717222,13.9898901","Location")</f>
        <v>Location</v>
      </c>
      <c r="E4930" t="s">
        <v>42041</v>
      </c>
      <c r="F4930" t="s">
        <v>42042</v>
      </c>
      <c r="G4930" t="s">
        <v>21265</v>
      </c>
      <c r="H4930" t="s">
        <v>42044</v>
      </c>
      <c r="I4930" t="s">
        <v>25</v>
      </c>
      <c r="J4930" t="s">
        <v>22</v>
      </c>
      <c r="K4930" t="s">
        <v>42043</v>
      </c>
      <c r="L4930" t="s">
        <v>42047</v>
      </c>
      <c r="M4930" t="s">
        <v>25</v>
      </c>
      <c r="N4930" t="s">
        <v>42048</v>
      </c>
      <c r="O4930" t="s">
        <v>42049</v>
      </c>
      <c r="P4930" t="s">
        <v>42050</v>
      </c>
      <c r="Q4930" t="s">
        <v>29</v>
      </c>
      <c r="R4930" t="s">
        <v>42045</v>
      </c>
      <c r="S4930" t="s">
        <v>42046</v>
      </c>
    </row>
    <row r="4931" spans="1:19" x14ac:dyDescent="0.25">
      <c r="A4931" s="1">
        <v>4929</v>
      </c>
      <c r="B4931" t="str">
        <f>HYPERLINK("https://www.dasschnelle.at/glaserei-wachtler-neusiedl-am-see-saliterhof","Website")</f>
        <v>Website</v>
      </c>
      <c r="C4931" t="str">
        <f>HYPERLINK("http://www.glas-wachtler.at","Website")</f>
        <v>Website</v>
      </c>
      <c r="D4931" t="str">
        <f>HYPERLINK("http://www.google.com/maps/place/47.9515187,16.8356193","Location")</f>
        <v>Location</v>
      </c>
      <c r="E4931" t="s">
        <v>42051</v>
      </c>
      <c r="F4931" t="s">
        <v>42052</v>
      </c>
      <c r="G4931" t="s">
        <v>1939</v>
      </c>
      <c r="H4931" t="s">
        <v>1940</v>
      </c>
      <c r="I4931" t="s">
        <v>1834</v>
      </c>
      <c r="J4931" t="s">
        <v>22</v>
      </c>
      <c r="K4931" t="s">
        <v>42053</v>
      </c>
      <c r="L4931" t="s">
        <v>42056</v>
      </c>
      <c r="M4931" t="s">
        <v>25</v>
      </c>
      <c r="N4931" t="s">
        <v>42057</v>
      </c>
      <c r="O4931" t="s">
        <v>42058</v>
      </c>
      <c r="P4931" t="s">
        <v>42059</v>
      </c>
      <c r="Q4931" t="s">
        <v>29</v>
      </c>
      <c r="R4931" t="s">
        <v>42054</v>
      </c>
      <c r="S4931" t="s">
        <v>42055</v>
      </c>
    </row>
    <row r="4932" spans="1:19" x14ac:dyDescent="0.25">
      <c r="A4932" s="1">
        <v>4930</v>
      </c>
      <c r="B4932" t="str">
        <f>HYPERLINK("https://www.dasschnelle.at/bauconstruct-planung-u-baumanagement-e-u-alland-parkgasse","Website")</f>
        <v>Website</v>
      </c>
      <c r="C4932" t="str">
        <f>HYPERLINK("http://www.bauconstruct.at/de/","Website")</f>
        <v>Website</v>
      </c>
      <c r="D4932" t="str">
        <f>HYPERLINK("http://www.google.com/maps/place/48.0585000,16.0750200","Location")</f>
        <v>Location</v>
      </c>
      <c r="E4932" t="s">
        <v>42060</v>
      </c>
      <c r="F4932" t="s">
        <v>42061</v>
      </c>
      <c r="G4932" t="s">
        <v>2071</v>
      </c>
      <c r="H4932" t="s">
        <v>2072</v>
      </c>
      <c r="I4932" t="s">
        <v>177</v>
      </c>
      <c r="J4932" t="s">
        <v>22</v>
      </c>
      <c r="K4932" t="s">
        <v>42062</v>
      </c>
      <c r="L4932" t="s">
        <v>25</v>
      </c>
      <c r="M4932" t="s">
        <v>42065</v>
      </c>
      <c r="N4932" t="s">
        <v>42066</v>
      </c>
      <c r="O4932" t="s">
        <v>25</v>
      </c>
      <c r="P4932" t="s">
        <v>42067</v>
      </c>
      <c r="Q4932" t="s">
        <v>29</v>
      </c>
      <c r="R4932" t="s">
        <v>42063</v>
      </c>
      <c r="S4932" t="s">
        <v>42064</v>
      </c>
    </row>
    <row r="4933" spans="1:19" x14ac:dyDescent="0.25">
      <c r="A4933" s="1">
        <v>4931</v>
      </c>
      <c r="B4933" t="str">
        <f>HYPERLINK("https://www.dasschnelle.at/oö-gesundheitsholding-gmbh-salzkammergut-klinikum-vb-vöcklabruck-dr-wilhelm-bock-straße","Website")</f>
        <v>Website</v>
      </c>
      <c r="C4933" t="str">
        <f>HYPERLINK("http://www.ooeg.at/sk","Website")</f>
        <v>Website</v>
      </c>
      <c r="D4933" t="str">
        <f>HYPERLINK("http://www.google.com/maps/place/47.7123805,13.6209459","Location")</f>
        <v>Location</v>
      </c>
      <c r="E4933" t="s">
        <v>42068</v>
      </c>
      <c r="F4933" t="s">
        <v>42069</v>
      </c>
      <c r="G4933" t="s">
        <v>3749</v>
      </c>
      <c r="H4933" t="s">
        <v>3750</v>
      </c>
      <c r="I4933" t="s">
        <v>85</v>
      </c>
      <c r="J4933" t="s">
        <v>22</v>
      </c>
      <c r="K4933" t="s">
        <v>42070</v>
      </c>
      <c r="L4933" t="s">
        <v>42073</v>
      </c>
      <c r="M4933" t="s">
        <v>25</v>
      </c>
      <c r="N4933" t="s">
        <v>42074</v>
      </c>
      <c r="O4933" t="s">
        <v>25</v>
      </c>
      <c r="P4933" t="s">
        <v>42075</v>
      </c>
      <c r="Q4933" t="s">
        <v>29</v>
      </c>
      <c r="R4933" t="s">
        <v>42071</v>
      </c>
      <c r="S4933" t="s">
        <v>42072</v>
      </c>
    </row>
    <row r="4934" spans="1:19" x14ac:dyDescent="0.25">
      <c r="A4934" s="1">
        <v>4932</v>
      </c>
      <c r="B4934" t="str">
        <f>HYPERLINK("https://www.dasschnelle.at/autohaus-eigenthaler-gmbh-pöchlarn-reichsstraße","Website")</f>
        <v>Website</v>
      </c>
      <c r="C4934" t="str">
        <f>HYPERLINK("http://www.eigenthaler.at","Website")</f>
        <v>Website</v>
      </c>
      <c r="D4934" t="str">
        <f>HYPERLINK("http://www.google.com/maps/place/48.19742,15.21951","Location")</f>
        <v>Location</v>
      </c>
      <c r="E4934" t="s">
        <v>42076</v>
      </c>
      <c r="F4934" t="s">
        <v>42077</v>
      </c>
      <c r="G4934" t="s">
        <v>5982</v>
      </c>
      <c r="H4934" t="s">
        <v>5983</v>
      </c>
      <c r="I4934" t="s">
        <v>177</v>
      </c>
      <c r="J4934" t="s">
        <v>22</v>
      </c>
      <c r="K4934" t="s">
        <v>42078</v>
      </c>
      <c r="L4934" t="s">
        <v>42081</v>
      </c>
      <c r="M4934" t="s">
        <v>25</v>
      </c>
      <c r="N4934" t="s">
        <v>42082</v>
      </c>
      <c r="O4934" t="s">
        <v>25</v>
      </c>
      <c r="P4934" t="s">
        <v>42083</v>
      </c>
      <c r="Q4934" t="s">
        <v>29</v>
      </c>
      <c r="R4934" t="s">
        <v>42079</v>
      </c>
      <c r="S4934" t="s">
        <v>42080</v>
      </c>
    </row>
    <row r="4935" spans="1:19" x14ac:dyDescent="0.25">
      <c r="A4935" s="1">
        <v>4933</v>
      </c>
      <c r="B4935" t="str">
        <f>HYPERLINK("https://www.dasschnelle.at/sailer-gmbh-mauerkirchen-obermarkt","Website")</f>
        <v>Website</v>
      </c>
      <c r="C4935" t="str">
        <f>HYPERLINK("http://www.baeckerei-sailer.at","Website")</f>
        <v>Website</v>
      </c>
      <c r="D4935" t="str">
        <f>HYPERLINK("http://www.google.com/maps/place/48.1905521,13.1356085","Location")</f>
        <v>Location</v>
      </c>
      <c r="E4935" t="s">
        <v>42084</v>
      </c>
      <c r="F4935" t="s">
        <v>42085</v>
      </c>
      <c r="G4935" t="s">
        <v>1422</v>
      </c>
      <c r="H4935" t="s">
        <v>1423</v>
      </c>
      <c r="I4935" t="s">
        <v>85</v>
      </c>
      <c r="J4935" t="s">
        <v>22</v>
      </c>
      <c r="K4935" t="s">
        <v>42086</v>
      </c>
      <c r="L4935" t="s">
        <v>42089</v>
      </c>
      <c r="M4935" t="s">
        <v>25</v>
      </c>
      <c r="N4935" t="s">
        <v>42090</v>
      </c>
      <c r="O4935" t="s">
        <v>25</v>
      </c>
      <c r="P4935" t="s">
        <v>42091</v>
      </c>
      <c r="Q4935" t="s">
        <v>29</v>
      </c>
      <c r="R4935" t="s">
        <v>42087</v>
      </c>
      <c r="S4935" t="s">
        <v>42088</v>
      </c>
    </row>
    <row r="4936" spans="1:19" x14ac:dyDescent="0.25">
      <c r="A4936" s="1">
        <v>4934</v>
      </c>
      <c r="B4936" t="str">
        <f>HYPERLINK("https://www.dasschnelle.at/hiermann-lambert-zurndorf-obere-hauptstraße","Website")</f>
        <v>Website</v>
      </c>
      <c r="C4936" t="str">
        <f>HYPERLINK("http://www.hl-gwhk.at","Website")</f>
        <v>Website</v>
      </c>
      <c r="D4936" t="str">
        <f>HYPERLINK("http://www.google.com/maps/place/47.9832646,17.0026830","Location")</f>
        <v>Location</v>
      </c>
      <c r="E4936" t="s">
        <v>42092</v>
      </c>
      <c r="F4936" t="s">
        <v>42093</v>
      </c>
      <c r="G4936" t="s">
        <v>1900</v>
      </c>
      <c r="H4936" t="s">
        <v>1901</v>
      </c>
      <c r="I4936" t="s">
        <v>1834</v>
      </c>
      <c r="J4936" t="s">
        <v>22</v>
      </c>
      <c r="K4936" t="s">
        <v>42094</v>
      </c>
      <c r="L4936" t="s">
        <v>42097</v>
      </c>
      <c r="M4936" t="s">
        <v>25</v>
      </c>
      <c r="N4936" t="s">
        <v>42098</v>
      </c>
      <c r="O4936" t="s">
        <v>42099</v>
      </c>
      <c r="P4936" t="s">
        <v>42100</v>
      </c>
      <c r="Q4936" t="s">
        <v>29</v>
      </c>
      <c r="R4936" t="s">
        <v>42095</v>
      </c>
      <c r="S4936" t="s">
        <v>42096</v>
      </c>
    </row>
    <row r="4937" spans="1:19" x14ac:dyDescent="0.25">
      <c r="A4937" s="1">
        <v>4935</v>
      </c>
      <c r="B4937" t="str">
        <f>HYPERLINK("https://www.dasschnelle.at/hackl-werner-bruck-an-der-leitha-wiener-gasse","Website")</f>
        <v>Website</v>
      </c>
      <c r="C4937" t="str">
        <f>HYPERLINK("https://www.dasschnelle.at/hackl-werner-bruck-an-der-leitha-wiener-gasse","Website")</f>
        <v>Website</v>
      </c>
      <c r="D4937" t="str">
        <f>HYPERLINK("http://www.google.com/maps/place/48.0249820,16.7769640","Location")</f>
        <v>Location</v>
      </c>
      <c r="E4937" t="s">
        <v>42101</v>
      </c>
      <c r="F4937" t="s">
        <v>42102</v>
      </c>
      <c r="G4937" t="s">
        <v>1769</v>
      </c>
      <c r="H4937" t="s">
        <v>14565</v>
      </c>
      <c r="I4937" t="s">
        <v>177</v>
      </c>
      <c r="J4937" t="s">
        <v>22</v>
      </c>
      <c r="K4937" t="s">
        <v>42103</v>
      </c>
      <c r="L4937" t="s">
        <v>42106</v>
      </c>
      <c r="M4937" t="s">
        <v>25</v>
      </c>
      <c r="N4937" t="s">
        <v>42107</v>
      </c>
      <c r="O4937" t="s">
        <v>42108</v>
      </c>
      <c r="P4937" t="s">
        <v>42109</v>
      </c>
      <c r="Q4937" t="s">
        <v>29</v>
      </c>
      <c r="R4937" t="s">
        <v>42104</v>
      </c>
      <c r="S4937" t="s">
        <v>42105</v>
      </c>
    </row>
    <row r="4938" spans="1:19" x14ac:dyDescent="0.25">
      <c r="A4938" s="1">
        <v>4936</v>
      </c>
      <c r="B4938" t="str">
        <f>HYPERLINK("https://www.dasschnelle.at/funeral-service-gmbh-schwechat-brauhausstraße","Website")</f>
        <v>Website</v>
      </c>
      <c r="C4938" t="str">
        <f>HYPERLINK("http://www.bestattung-hanser.at","Website")</f>
        <v>Website</v>
      </c>
      <c r="D4938" t="str">
        <f>HYPERLINK("http://www.google.com/maps/place/48.1424200,16.4734700","Location")</f>
        <v>Location</v>
      </c>
      <c r="E4938" t="s">
        <v>42110</v>
      </c>
      <c r="F4938" t="s">
        <v>42111</v>
      </c>
      <c r="G4938" t="s">
        <v>9769</v>
      </c>
      <c r="H4938" t="s">
        <v>9770</v>
      </c>
      <c r="I4938" t="s">
        <v>177</v>
      </c>
      <c r="J4938" t="s">
        <v>22</v>
      </c>
      <c r="K4938" t="s">
        <v>42112</v>
      </c>
      <c r="L4938" t="s">
        <v>15360</v>
      </c>
      <c r="M4938" t="s">
        <v>25</v>
      </c>
      <c r="N4938" t="s">
        <v>15361</v>
      </c>
      <c r="O4938" t="s">
        <v>42115</v>
      </c>
      <c r="P4938" t="s">
        <v>42116</v>
      </c>
      <c r="Q4938" t="s">
        <v>29</v>
      </c>
      <c r="R4938" t="s">
        <v>42113</v>
      </c>
      <c r="S4938" t="s">
        <v>42114</v>
      </c>
    </row>
    <row r="4939" spans="1:19" x14ac:dyDescent="0.25">
      <c r="A4939" s="1">
        <v>4937</v>
      </c>
      <c r="B4939" t="str">
        <f>HYPERLINK("https://www.dasschnelle.at/innendorfer-josef-gesmbh-neumarkt-im-mühlkreis-lamm","Website")</f>
        <v>Website</v>
      </c>
      <c r="C4939" t="str">
        <f>HYPERLINK("http://www.innendorfer.co.at","Website")</f>
        <v>Website</v>
      </c>
      <c r="D4939" t="str">
        <f>HYPERLINK("http://www.google.com/maps/place/48.4429100,14.4328600","Location")</f>
        <v>Location</v>
      </c>
      <c r="E4939" t="s">
        <v>42117</v>
      </c>
      <c r="F4939" t="s">
        <v>42118</v>
      </c>
      <c r="G4939" t="s">
        <v>6910</v>
      </c>
      <c r="H4939" t="s">
        <v>6911</v>
      </c>
      <c r="I4939" t="s">
        <v>85</v>
      </c>
      <c r="J4939" t="s">
        <v>22</v>
      </c>
      <c r="K4939" t="s">
        <v>42119</v>
      </c>
      <c r="L4939" t="s">
        <v>42122</v>
      </c>
      <c r="M4939" t="s">
        <v>25</v>
      </c>
      <c r="N4939" t="s">
        <v>42123</v>
      </c>
      <c r="O4939" t="s">
        <v>25</v>
      </c>
      <c r="P4939" t="s">
        <v>42124</v>
      </c>
      <c r="Q4939" t="s">
        <v>29</v>
      </c>
      <c r="R4939" t="s">
        <v>42120</v>
      </c>
      <c r="S4939" t="s">
        <v>42121</v>
      </c>
    </row>
    <row r="4940" spans="1:19" x14ac:dyDescent="0.25">
      <c r="A4940" s="1">
        <v>4938</v>
      </c>
      <c r="B4940" t="str">
        <f>HYPERLINK("https://www.dasschnelle.at/haslauer-karl-heinz-hallein-gamperstraße","Website")</f>
        <v>Website</v>
      </c>
      <c r="C4940" t="str">
        <f>HYPERLINK("http://www.elektriker-hallein.at","Website")</f>
        <v>Website</v>
      </c>
      <c r="D4940" t="str">
        <f>HYPERLINK("http://www.google.com/maps/place/47.67895,13.0938","Location")</f>
        <v>Location</v>
      </c>
      <c r="E4940" t="s">
        <v>42125</v>
      </c>
      <c r="F4940" t="s">
        <v>42126</v>
      </c>
      <c r="G4940" t="s">
        <v>7584</v>
      </c>
      <c r="H4940" t="s">
        <v>7585</v>
      </c>
      <c r="I4940" t="s">
        <v>2239</v>
      </c>
      <c r="J4940" t="s">
        <v>22</v>
      </c>
      <c r="K4940" t="s">
        <v>42127</v>
      </c>
      <c r="L4940" t="s">
        <v>42130</v>
      </c>
      <c r="M4940" t="s">
        <v>25</v>
      </c>
      <c r="N4940" t="s">
        <v>42131</v>
      </c>
      <c r="O4940" t="s">
        <v>42132</v>
      </c>
      <c r="P4940" t="s">
        <v>42133</v>
      </c>
      <c r="Q4940" t="s">
        <v>29</v>
      </c>
      <c r="R4940" t="s">
        <v>42128</v>
      </c>
      <c r="S4940" t="s">
        <v>42129</v>
      </c>
    </row>
    <row r="4941" spans="1:19" x14ac:dyDescent="0.25">
      <c r="A4941" s="1">
        <v>4939</v>
      </c>
      <c r="B4941" t="str">
        <f>HYPERLINK("https://www.dasschnelle.at/farben-u-malerei-vieselthaler-straßwalchen-neumarkterstraße","Website")</f>
        <v>Website</v>
      </c>
      <c r="C4941" t="str">
        <f>HYPERLINK("http://www.farben-vieselthaler.at","Website")</f>
        <v>Website</v>
      </c>
      <c r="D4941" t="str">
        <f>HYPERLINK("http://www.google.com/maps/place/47.95817,13.23581","Location")</f>
        <v>Location</v>
      </c>
      <c r="E4941" t="s">
        <v>42134</v>
      </c>
      <c r="F4941" t="s">
        <v>42135</v>
      </c>
      <c r="G4941" t="s">
        <v>10545</v>
      </c>
      <c r="H4941" t="s">
        <v>10546</v>
      </c>
      <c r="I4941" t="s">
        <v>2239</v>
      </c>
      <c r="J4941" t="s">
        <v>22</v>
      </c>
      <c r="K4941" t="s">
        <v>42136</v>
      </c>
      <c r="L4941" t="s">
        <v>42139</v>
      </c>
      <c r="M4941" t="s">
        <v>25</v>
      </c>
      <c r="N4941" t="s">
        <v>42140</v>
      </c>
      <c r="O4941" t="s">
        <v>25</v>
      </c>
      <c r="P4941" t="s">
        <v>42141</v>
      </c>
      <c r="Q4941" t="s">
        <v>29</v>
      </c>
      <c r="R4941" t="s">
        <v>42137</v>
      </c>
      <c r="S4941" t="s">
        <v>42138</v>
      </c>
    </row>
    <row r="4942" spans="1:19" x14ac:dyDescent="0.25">
      <c r="A4942" s="1">
        <v>4940</v>
      </c>
      <c r="B4942" t="str">
        <f>HYPERLINK("https://www.dasschnelle.at/radstädter-kebap-radstadt-schernbergstraße","Website")</f>
        <v>Website</v>
      </c>
      <c r="C4942" t="str">
        <f>HYPERLINK("https://www.dasschnelle.at/radst%C3%A4dter-kebap-radstadt-schernbergstra%C3%9Fe","Website")</f>
        <v>Website</v>
      </c>
      <c r="D4942" t="str">
        <f>HYPERLINK("http://www.google.com/maps/place/47.3847,13.46376","Location")</f>
        <v>Location</v>
      </c>
      <c r="E4942" t="s">
        <v>42142</v>
      </c>
      <c r="F4942" t="s">
        <v>42143</v>
      </c>
      <c r="G4942" t="s">
        <v>13182</v>
      </c>
      <c r="H4942" t="s">
        <v>13183</v>
      </c>
      <c r="I4942" t="s">
        <v>2239</v>
      </c>
      <c r="J4942" t="s">
        <v>22</v>
      </c>
      <c r="K4942" t="s">
        <v>42144</v>
      </c>
      <c r="L4942" t="s">
        <v>42147</v>
      </c>
      <c r="M4942" t="s">
        <v>25</v>
      </c>
      <c r="N4942" t="s">
        <v>42148</v>
      </c>
      <c r="O4942" t="s">
        <v>25</v>
      </c>
      <c r="P4942" t="s">
        <v>42149</v>
      </c>
      <c r="Q4942" t="s">
        <v>29</v>
      </c>
      <c r="R4942" t="s">
        <v>42145</v>
      </c>
      <c r="S4942" t="s">
        <v>42146</v>
      </c>
    </row>
    <row r="4943" spans="1:19" x14ac:dyDescent="0.25">
      <c r="A4943" s="1">
        <v>4941</v>
      </c>
      <c r="B4943" t="str">
        <f>HYPERLINK("https://www.dasschnelle.at/pirstner-jürgen-frohnleiten-römerstraße","Website")</f>
        <v>Website</v>
      </c>
      <c r="C4943" t="str">
        <f>HYPERLINK("http://www.pirstner.at","Website")</f>
        <v>Website</v>
      </c>
      <c r="D4943" t="str">
        <f>HYPERLINK("http://www.google.com/maps/place/47.26562,15.31647","Location")</f>
        <v>Location</v>
      </c>
      <c r="E4943" t="s">
        <v>42150</v>
      </c>
      <c r="F4943" t="s">
        <v>42151</v>
      </c>
      <c r="G4943" t="s">
        <v>7874</v>
      </c>
      <c r="H4943" t="s">
        <v>7875</v>
      </c>
      <c r="I4943" t="s">
        <v>451</v>
      </c>
      <c r="J4943" t="s">
        <v>22</v>
      </c>
      <c r="K4943" t="s">
        <v>42152</v>
      </c>
      <c r="L4943" t="s">
        <v>42155</v>
      </c>
      <c r="M4943" t="s">
        <v>42156</v>
      </c>
      <c r="N4943" t="s">
        <v>42157</v>
      </c>
      <c r="O4943" t="s">
        <v>42158</v>
      </c>
      <c r="P4943" t="s">
        <v>42159</v>
      </c>
      <c r="Q4943" t="s">
        <v>29</v>
      </c>
      <c r="R4943" t="s">
        <v>42153</v>
      </c>
      <c r="S4943" t="s">
        <v>42154</v>
      </c>
    </row>
    <row r="4944" spans="1:19" x14ac:dyDescent="0.25">
      <c r="A4944" s="1">
        <v>4942</v>
      </c>
      <c r="B4944" t="str">
        <f>HYPERLINK("https://www.dasschnelle.at/kasberger-peter-baustoff-gmbh-st-florian-am-inn-haid","Website")</f>
        <v>Website</v>
      </c>
      <c r="C4944" t="str">
        <f>HYPERLINK("http://www.kasberger.de","Website")</f>
        <v>Website</v>
      </c>
      <c r="D4944" t="str">
        <f>HYPERLINK("http://www.google.com/maps/place/48.4267700,13.4450000","Location")</f>
        <v>Location</v>
      </c>
      <c r="E4944" t="s">
        <v>42160</v>
      </c>
      <c r="F4944" t="s">
        <v>42161</v>
      </c>
      <c r="G4944" t="s">
        <v>24520</v>
      </c>
      <c r="H4944" t="s">
        <v>24521</v>
      </c>
      <c r="I4944" t="s">
        <v>85</v>
      </c>
      <c r="J4944" t="s">
        <v>22</v>
      </c>
      <c r="K4944" t="s">
        <v>42162</v>
      </c>
      <c r="L4944" t="s">
        <v>42165</v>
      </c>
      <c r="M4944" t="s">
        <v>42166</v>
      </c>
      <c r="N4944" t="s">
        <v>42167</v>
      </c>
      <c r="O4944" t="s">
        <v>25</v>
      </c>
      <c r="P4944" t="s">
        <v>42168</v>
      </c>
      <c r="Q4944" t="s">
        <v>29</v>
      </c>
      <c r="R4944" t="s">
        <v>42163</v>
      </c>
      <c r="S4944" t="s">
        <v>42164</v>
      </c>
    </row>
    <row r="4945" spans="1:19" x14ac:dyDescent="0.25">
      <c r="A4945" s="1">
        <v>4943</v>
      </c>
      <c r="B4945" t="str">
        <f>HYPERLINK("https://www.dasschnelle.at/mahringer-wolfgang-weitra-schützenberger-straße","Website")</f>
        <v>Website</v>
      </c>
      <c r="C4945" t="str">
        <f>HYPERLINK("http://www.Steinmetzmahringer.at","Website")</f>
        <v>Website</v>
      </c>
      <c r="D4945" t="str">
        <f>HYPERLINK("http://www.google.com/maps/place/48.69697,14.8794","Location")</f>
        <v>Location</v>
      </c>
      <c r="E4945" t="s">
        <v>42169</v>
      </c>
      <c r="F4945" t="s">
        <v>42170</v>
      </c>
      <c r="G4945" t="s">
        <v>11931</v>
      </c>
      <c r="H4945" t="s">
        <v>11932</v>
      </c>
      <c r="I4945" t="s">
        <v>177</v>
      </c>
      <c r="J4945" t="s">
        <v>22</v>
      </c>
      <c r="K4945" t="s">
        <v>42171</v>
      </c>
      <c r="L4945" t="s">
        <v>42174</v>
      </c>
      <c r="M4945" t="s">
        <v>25</v>
      </c>
      <c r="N4945" t="s">
        <v>42175</v>
      </c>
      <c r="O4945" t="s">
        <v>25</v>
      </c>
      <c r="P4945" t="s">
        <v>42176</v>
      </c>
      <c r="Q4945" t="s">
        <v>29</v>
      </c>
      <c r="R4945" t="s">
        <v>42172</v>
      </c>
      <c r="S4945" t="s">
        <v>42173</v>
      </c>
    </row>
    <row r="4946" spans="1:19" x14ac:dyDescent="0.25">
      <c r="A4946" s="1">
        <v>4944</v>
      </c>
      <c r="B4946" t="str">
        <f>HYPERLINK("https://www.dasschnelle.at/immo-zelzer-gmbh-wagna-marburger-straße","Website")</f>
        <v>Website</v>
      </c>
      <c r="C4946" t="str">
        <f>HYPERLINK("http://www.remax.at","Website")</f>
        <v>Website</v>
      </c>
      <c r="D4946" t="str">
        <f>HYPERLINK("http://www.google.com/maps/place/46.77311,15.55328","Location")</f>
        <v>Location</v>
      </c>
      <c r="E4946" t="s">
        <v>42177</v>
      </c>
      <c r="F4946" t="s">
        <v>42178</v>
      </c>
      <c r="G4946" t="s">
        <v>41769</v>
      </c>
      <c r="H4946" t="s">
        <v>42179</v>
      </c>
      <c r="I4946" t="s">
        <v>451</v>
      </c>
      <c r="J4946" t="s">
        <v>22</v>
      </c>
      <c r="K4946" t="s">
        <v>24150</v>
      </c>
      <c r="L4946" t="s">
        <v>24153</v>
      </c>
      <c r="M4946" t="s">
        <v>42180</v>
      </c>
      <c r="N4946" t="s">
        <v>42181</v>
      </c>
      <c r="O4946" t="s">
        <v>25</v>
      </c>
      <c r="P4946" t="s">
        <v>42182</v>
      </c>
      <c r="Q4946" t="s">
        <v>29</v>
      </c>
      <c r="R4946" t="s">
        <v>24151</v>
      </c>
      <c r="S4946" t="s">
        <v>24152</v>
      </c>
    </row>
    <row r="4947" spans="1:19" x14ac:dyDescent="0.25">
      <c r="A4947" s="1">
        <v>4945</v>
      </c>
      <c r="B4947" t="str">
        <f>HYPERLINK("https://www.dasschnelle.at/bestattung-reiterer-gernot-pölfing-brunn-urfahr-hauptstraße","Website")</f>
        <v>Website</v>
      </c>
      <c r="C4947" t="str">
        <f>HYPERLINK("http://www.reiterer-kg.at","Website")</f>
        <v>Website</v>
      </c>
      <c r="D4947" t="str">
        <f>HYPERLINK("http://www.google.com/maps/place/48.3153108,14.2803169","Location")</f>
        <v>Location</v>
      </c>
      <c r="E4947" t="s">
        <v>42183</v>
      </c>
      <c r="F4947" t="s">
        <v>19502</v>
      </c>
      <c r="G4947" t="s">
        <v>19504</v>
      </c>
      <c r="H4947" t="s">
        <v>19505</v>
      </c>
      <c r="I4947" t="s">
        <v>451</v>
      </c>
      <c r="J4947" t="s">
        <v>22</v>
      </c>
      <c r="K4947" t="s">
        <v>19503</v>
      </c>
      <c r="L4947" t="s">
        <v>19508</v>
      </c>
      <c r="M4947" t="s">
        <v>25</v>
      </c>
      <c r="N4947" t="s">
        <v>19509</v>
      </c>
      <c r="O4947" t="s">
        <v>25</v>
      </c>
      <c r="P4947" t="s">
        <v>42186</v>
      </c>
      <c r="Q4947" t="s">
        <v>29</v>
      </c>
      <c r="R4947" t="s">
        <v>42184</v>
      </c>
      <c r="S4947" t="s">
        <v>42185</v>
      </c>
    </row>
    <row r="4948" spans="1:19" x14ac:dyDescent="0.25">
      <c r="A4948" s="1">
        <v>4946</v>
      </c>
      <c r="B4948" t="str">
        <f>HYPERLINK("https://www.dasschnelle.at/auto-schmid-gesmbh-freinberg-haibach","Website")</f>
        <v>Website</v>
      </c>
      <c r="C4948" t="str">
        <f>HYPERLINK("https://www.dasschnelle.at/auto-schmid-gesmbh-freinberg-haibach","Website")</f>
        <v>Website</v>
      </c>
      <c r="D4948" t="str">
        <f>HYPERLINK("http://www.google.com/maps/place/48.5571487,13.4966650","Location")</f>
        <v>Location</v>
      </c>
      <c r="E4948" t="s">
        <v>42187</v>
      </c>
      <c r="F4948" t="s">
        <v>42188</v>
      </c>
      <c r="G4948" t="s">
        <v>24346</v>
      </c>
      <c r="H4948" t="s">
        <v>24347</v>
      </c>
      <c r="I4948" t="s">
        <v>85</v>
      </c>
      <c r="J4948" t="s">
        <v>22</v>
      </c>
      <c r="K4948" t="s">
        <v>42189</v>
      </c>
      <c r="L4948" t="s">
        <v>42192</v>
      </c>
      <c r="M4948" t="s">
        <v>25</v>
      </c>
      <c r="N4948" t="s">
        <v>42193</v>
      </c>
      <c r="O4948" t="s">
        <v>25</v>
      </c>
      <c r="P4948" t="s">
        <v>42194</v>
      </c>
      <c r="Q4948" t="s">
        <v>29</v>
      </c>
      <c r="R4948" t="s">
        <v>42190</v>
      </c>
      <c r="S4948" t="s">
        <v>42191</v>
      </c>
    </row>
    <row r="4949" spans="1:19" x14ac:dyDescent="0.25">
      <c r="A4949" s="1">
        <v>4947</v>
      </c>
      <c r="B4949" t="str">
        <f>HYPERLINK("https://www.dasschnelle.at/blaas-passaublick-gmbh-freinberg-hinding","Website")</f>
        <v>Website</v>
      </c>
      <c r="C4949" t="str">
        <f>HYPERLINK("http://www.restaurant-blaas.at","Website")</f>
        <v>Website</v>
      </c>
      <c r="D4949" t="str">
        <f>HYPERLINK("http://www.google.com/maps/place/48.5751450,13.5142248","Location")</f>
        <v>Location</v>
      </c>
      <c r="E4949" t="s">
        <v>42195</v>
      </c>
      <c r="F4949" t="s">
        <v>42196</v>
      </c>
      <c r="G4949" t="s">
        <v>24346</v>
      </c>
      <c r="H4949" t="s">
        <v>24347</v>
      </c>
      <c r="I4949" t="s">
        <v>85</v>
      </c>
      <c r="J4949" t="s">
        <v>22</v>
      </c>
      <c r="K4949" t="s">
        <v>42197</v>
      </c>
      <c r="L4949" t="s">
        <v>42200</v>
      </c>
      <c r="M4949" t="s">
        <v>25</v>
      </c>
      <c r="N4949" t="s">
        <v>42201</v>
      </c>
      <c r="O4949" t="s">
        <v>25</v>
      </c>
      <c r="P4949" t="s">
        <v>42202</v>
      </c>
      <c r="Q4949" t="s">
        <v>29</v>
      </c>
      <c r="R4949" t="s">
        <v>42198</v>
      </c>
      <c r="S4949" t="s">
        <v>42199</v>
      </c>
    </row>
    <row r="4950" spans="1:19" x14ac:dyDescent="0.25">
      <c r="A4950" s="1">
        <v>4948</v>
      </c>
      <c r="B4950" t="str">
        <f>HYPERLINK("https://www.dasschnelle.at/labmayer-suben-suben","Website")</f>
        <v>Website</v>
      </c>
      <c r="C4950" t="str">
        <f>HYPERLINK("http://www.gasthof-labmayer.at","Website")</f>
        <v>Website</v>
      </c>
      <c r="D4950" t="str">
        <f>HYPERLINK("http://www.google.com/maps/place/48.4116449,13.4307190","Location")</f>
        <v>Location</v>
      </c>
      <c r="E4950" t="s">
        <v>42203</v>
      </c>
      <c r="F4950" t="s">
        <v>42204</v>
      </c>
      <c r="G4950" t="s">
        <v>28484</v>
      </c>
      <c r="H4950" t="s">
        <v>28485</v>
      </c>
      <c r="I4950" t="s">
        <v>85</v>
      </c>
      <c r="J4950" t="s">
        <v>22</v>
      </c>
      <c r="K4950" t="s">
        <v>42205</v>
      </c>
      <c r="L4950" t="s">
        <v>42208</v>
      </c>
      <c r="M4950" t="s">
        <v>25</v>
      </c>
      <c r="N4950" t="s">
        <v>42209</v>
      </c>
      <c r="O4950" t="s">
        <v>25</v>
      </c>
      <c r="P4950" t="s">
        <v>42210</v>
      </c>
      <c r="Q4950" t="s">
        <v>29</v>
      </c>
      <c r="R4950" t="s">
        <v>42206</v>
      </c>
      <c r="S4950" t="s">
        <v>42207</v>
      </c>
    </row>
    <row r="4951" spans="1:19" x14ac:dyDescent="0.25">
      <c r="A4951" s="1">
        <v>4949</v>
      </c>
      <c r="B4951" t="str">
        <f>HYPERLINK("https://www.dasschnelle.at/aundk-installationen-gmbh-andorf-hörzberg","Website")</f>
        <v>Website</v>
      </c>
      <c r="C4951" t="str">
        <f>HYPERLINK("http://www.auk-installationen.at","Website")</f>
        <v>Website</v>
      </c>
      <c r="D4951" t="str">
        <f>HYPERLINK("http://www.google.com/maps/place/48.3607242,13.5738309","Location")</f>
        <v>Location</v>
      </c>
      <c r="E4951" t="s">
        <v>42211</v>
      </c>
      <c r="F4951" t="s">
        <v>42212</v>
      </c>
      <c r="G4951" t="s">
        <v>26299</v>
      </c>
      <c r="H4951" t="s">
        <v>26300</v>
      </c>
      <c r="I4951" t="s">
        <v>85</v>
      </c>
      <c r="J4951" t="s">
        <v>22</v>
      </c>
      <c r="K4951" t="s">
        <v>42213</v>
      </c>
      <c r="L4951" t="s">
        <v>42216</v>
      </c>
      <c r="M4951" t="s">
        <v>25</v>
      </c>
      <c r="N4951" t="s">
        <v>42217</v>
      </c>
      <c r="O4951" t="s">
        <v>25</v>
      </c>
      <c r="P4951" t="s">
        <v>42218</v>
      </c>
      <c r="Q4951" t="s">
        <v>29</v>
      </c>
      <c r="R4951" t="s">
        <v>42214</v>
      </c>
      <c r="S4951" t="s">
        <v>42215</v>
      </c>
    </row>
    <row r="4952" spans="1:19" x14ac:dyDescent="0.25">
      <c r="A4952" s="1">
        <v>4950</v>
      </c>
      <c r="B4952" t="str">
        <f>HYPERLINK("https://www.dasschnelle.at/atteneder-schuhhaus-e-u-unterweißenbach-obermühl","Website")</f>
        <v>Website</v>
      </c>
      <c r="C4952" t="str">
        <f>HYPERLINK("http://www.schuhe-atteneder.at","Website")</f>
        <v>Website</v>
      </c>
      <c r="D4952" t="str">
        <f>HYPERLINK("http://www.google.com/maps/place/48.4464439,14.7826043","Location")</f>
        <v>Location</v>
      </c>
      <c r="E4952" t="s">
        <v>42219</v>
      </c>
      <c r="F4952" t="s">
        <v>42220</v>
      </c>
      <c r="G4952" t="s">
        <v>26623</v>
      </c>
      <c r="H4952" t="s">
        <v>26735</v>
      </c>
      <c r="I4952" t="s">
        <v>85</v>
      </c>
      <c r="J4952" t="s">
        <v>22</v>
      </c>
      <c r="K4952" t="s">
        <v>26734</v>
      </c>
      <c r="L4952" t="s">
        <v>42221</v>
      </c>
      <c r="M4952" t="s">
        <v>25</v>
      </c>
      <c r="N4952" t="s">
        <v>42222</v>
      </c>
      <c r="O4952" t="s">
        <v>25</v>
      </c>
      <c r="P4952" t="s">
        <v>42223</v>
      </c>
      <c r="Q4952" t="s">
        <v>29</v>
      </c>
      <c r="R4952" t="s">
        <v>26736</v>
      </c>
      <c r="S4952" t="s">
        <v>26737</v>
      </c>
    </row>
    <row r="4953" spans="1:19" x14ac:dyDescent="0.25">
      <c r="A4953" s="1">
        <v>4951</v>
      </c>
      <c r="B4953" t="str">
        <f>HYPERLINK("https://www.dasschnelle.at/goldmann-gnas-gnas","Website")</f>
        <v>Website</v>
      </c>
      <c r="C4953" t="str">
        <f>HYPERLINK("http://www.goldmann-mode.at","Website")</f>
        <v>Website</v>
      </c>
      <c r="D4953" t="str">
        <f>HYPERLINK("http://www.google.com/maps/place/46.8754469,15.8255437","Location")</f>
        <v>Location</v>
      </c>
      <c r="E4953" t="s">
        <v>42224</v>
      </c>
      <c r="F4953" t="s">
        <v>42225</v>
      </c>
      <c r="G4953" t="s">
        <v>480</v>
      </c>
      <c r="H4953" t="s">
        <v>674</v>
      </c>
      <c r="I4953" t="s">
        <v>451</v>
      </c>
      <c r="J4953" t="s">
        <v>22</v>
      </c>
      <c r="K4953" t="s">
        <v>25755</v>
      </c>
      <c r="L4953" t="s">
        <v>42226</v>
      </c>
      <c r="M4953" t="s">
        <v>25</v>
      </c>
      <c r="N4953" t="s">
        <v>25759</v>
      </c>
      <c r="O4953" t="s">
        <v>25</v>
      </c>
      <c r="P4953" t="s">
        <v>42227</v>
      </c>
      <c r="Q4953" t="s">
        <v>29</v>
      </c>
      <c r="R4953" t="s">
        <v>25756</v>
      </c>
      <c r="S4953" t="s">
        <v>25757</v>
      </c>
    </row>
    <row r="4954" spans="1:19" x14ac:dyDescent="0.25">
      <c r="A4954" s="1">
        <v>4952</v>
      </c>
      <c r="B4954" t="str">
        <f>HYPERLINK("https://www.dasschnelle.at/deutsch-reinhard-jennersdorf-körblereck","Website")</f>
        <v>Website</v>
      </c>
      <c r="C4954" t="str">
        <f>HYPERLINK("https://www.dasschnelle.at/deutsch-reinhard-jennersdorf-k%C3%B6rblereck","Website")</f>
        <v>Website</v>
      </c>
      <c r="D4954" t="str">
        <f>HYPERLINK("http://www.google.com/maps/place/46.9568900,16.1506200","Location")</f>
        <v>Location</v>
      </c>
      <c r="E4954" t="s">
        <v>42228</v>
      </c>
      <c r="F4954" t="s">
        <v>42229</v>
      </c>
      <c r="G4954" t="s">
        <v>6602</v>
      </c>
      <c r="H4954" t="s">
        <v>6603</v>
      </c>
      <c r="I4954" t="s">
        <v>1834</v>
      </c>
      <c r="J4954" t="s">
        <v>22</v>
      </c>
      <c r="K4954" t="s">
        <v>42230</v>
      </c>
      <c r="L4954" t="s">
        <v>42233</v>
      </c>
      <c r="M4954" t="s">
        <v>25</v>
      </c>
      <c r="N4954" t="s">
        <v>42234</v>
      </c>
      <c r="O4954" t="s">
        <v>25</v>
      </c>
      <c r="P4954" t="s">
        <v>42235</v>
      </c>
      <c r="Q4954" t="s">
        <v>29</v>
      </c>
      <c r="R4954" t="s">
        <v>42231</v>
      </c>
      <c r="S4954" t="s">
        <v>42232</v>
      </c>
    </row>
    <row r="4955" spans="1:19" x14ac:dyDescent="0.25">
      <c r="A4955" s="1">
        <v>4953</v>
      </c>
      <c r="B4955" t="str">
        <f>HYPERLINK("https://www.dasschnelle.at/gasthaus-bauer-gmbh-und-co-kg-schardenberg-steinbrunn","Website")</f>
        <v>Website</v>
      </c>
      <c r="C4955" t="str">
        <f>HYPERLINK("http://www.wirt-in-steinbrunn.at","Website")</f>
        <v>Website</v>
      </c>
      <c r="D4955" t="str">
        <f>HYPERLINK("http://www.google.com/maps/place/48.52595,13.50386","Location")</f>
        <v>Location</v>
      </c>
      <c r="E4955" t="s">
        <v>42236</v>
      </c>
      <c r="F4955" t="s">
        <v>42237</v>
      </c>
      <c r="G4955" t="s">
        <v>10951</v>
      </c>
      <c r="H4955" t="s">
        <v>10952</v>
      </c>
      <c r="I4955" t="s">
        <v>85</v>
      </c>
      <c r="J4955" t="s">
        <v>22</v>
      </c>
      <c r="K4955" t="s">
        <v>42238</v>
      </c>
      <c r="L4955" t="s">
        <v>42241</v>
      </c>
      <c r="M4955" t="s">
        <v>25</v>
      </c>
      <c r="N4955" t="s">
        <v>42242</v>
      </c>
      <c r="O4955" t="s">
        <v>25</v>
      </c>
      <c r="P4955" t="s">
        <v>42243</v>
      </c>
      <c r="Q4955" t="s">
        <v>29</v>
      </c>
      <c r="R4955" t="s">
        <v>42239</v>
      </c>
      <c r="S4955" t="s">
        <v>42240</v>
      </c>
    </row>
    <row r="4956" spans="1:19" x14ac:dyDescent="0.25">
      <c r="A4956" s="1">
        <v>4954</v>
      </c>
      <c r="B4956" t="str">
        <f>HYPERLINK("https://www.dasschnelle.at/glatz-gmbh-andorf-großschörgern","Website")</f>
        <v>Website</v>
      </c>
      <c r="C4956" t="str">
        <f>HYPERLINK("http://www.andorfer-agrarhandel.co.at","Website")</f>
        <v>Website</v>
      </c>
      <c r="D4956" t="str">
        <f>HYPERLINK("http://www.google.com/maps/place/48.3557713,13.5794320","Location")</f>
        <v>Location</v>
      </c>
      <c r="E4956" t="s">
        <v>42244</v>
      </c>
      <c r="F4956" t="s">
        <v>42245</v>
      </c>
      <c r="G4956" t="s">
        <v>26299</v>
      </c>
      <c r="H4956" t="s">
        <v>26300</v>
      </c>
      <c r="I4956" t="s">
        <v>85</v>
      </c>
      <c r="J4956" t="s">
        <v>22</v>
      </c>
      <c r="K4956" t="s">
        <v>42246</v>
      </c>
      <c r="L4956" t="s">
        <v>42249</v>
      </c>
      <c r="M4956" t="s">
        <v>25</v>
      </c>
      <c r="N4956" t="s">
        <v>42250</v>
      </c>
      <c r="O4956" t="s">
        <v>25</v>
      </c>
      <c r="P4956" t="s">
        <v>42251</v>
      </c>
      <c r="Q4956" t="s">
        <v>29</v>
      </c>
      <c r="R4956" t="s">
        <v>42247</v>
      </c>
      <c r="S4956" t="s">
        <v>42248</v>
      </c>
    </row>
    <row r="4957" spans="1:19" x14ac:dyDescent="0.25">
      <c r="A4957" s="1">
        <v>4955</v>
      </c>
      <c r="B4957" t="str">
        <f>HYPERLINK("https://www.dasschnelle.at/installationstechnik-wirth-schardenberg-luck","Website")</f>
        <v>Website</v>
      </c>
      <c r="C4957" t="str">
        <f>HYPERLINK("http://www.installationstechnik-wirth.at","Website")</f>
        <v>Website</v>
      </c>
      <c r="D4957" t="str">
        <f>HYPERLINK("http://www.google.com/maps/place/48.5206734,13.4957225","Location")</f>
        <v>Location</v>
      </c>
      <c r="E4957" t="s">
        <v>42252</v>
      </c>
      <c r="F4957" t="s">
        <v>42253</v>
      </c>
      <c r="G4957" t="s">
        <v>10951</v>
      </c>
      <c r="H4957" t="s">
        <v>10952</v>
      </c>
      <c r="I4957" t="s">
        <v>85</v>
      </c>
      <c r="J4957" t="s">
        <v>22</v>
      </c>
      <c r="K4957" t="s">
        <v>42254</v>
      </c>
      <c r="L4957" t="s">
        <v>42257</v>
      </c>
      <c r="M4957" t="s">
        <v>25</v>
      </c>
      <c r="N4957" t="s">
        <v>42258</v>
      </c>
      <c r="O4957" t="s">
        <v>25</v>
      </c>
      <c r="P4957" t="s">
        <v>42259</v>
      </c>
      <c r="Q4957" t="s">
        <v>29</v>
      </c>
      <c r="R4957" t="s">
        <v>42255</v>
      </c>
      <c r="S4957" t="s">
        <v>42256</v>
      </c>
    </row>
    <row r="4958" spans="1:19" x14ac:dyDescent="0.25">
      <c r="A4958" s="1">
        <v>4956</v>
      </c>
      <c r="B4958" t="str">
        <f>HYPERLINK("https://www.dasschnelle.at/umwelttechnik-m-wurzer-bad-hall-adlwangerstraße","Website")</f>
        <v>Website</v>
      </c>
      <c r="C4958" t="str">
        <f>HYPERLINK("http://www.umwelttechnik-wurzer.at","Website")</f>
        <v>Website</v>
      </c>
      <c r="D4958" t="str">
        <f>HYPERLINK("http://www.google.com/maps/place/48.02372,14.22018","Location")</f>
        <v>Location</v>
      </c>
      <c r="E4958" t="s">
        <v>42260</v>
      </c>
      <c r="F4958" t="s">
        <v>42261</v>
      </c>
      <c r="G4958" t="s">
        <v>2280</v>
      </c>
      <c r="H4958" t="s">
        <v>2281</v>
      </c>
      <c r="I4958" t="s">
        <v>85</v>
      </c>
      <c r="J4958" t="s">
        <v>22</v>
      </c>
      <c r="K4958" t="s">
        <v>42262</v>
      </c>
      <c r="L4958" t="s">
        <v>42265</v>
      </c>
      <c r="M4958" t="s">
        <v>25</v>
      </c>
      <c r="N4958" t="s">
        <v>42266</v>
      </c>
      <c r="O4958" t="s">
        <v>25</v>
      </c>
      <c r="P4958" t="s">
        <v>42267</v>
      </c>
      <c r="Q4958" t="s">
        <v>29</v>
      </c>
      <c r="R4958" t="s">
        <v>42263</v>
      </c>
      <c r="S4958" t="s">
        <v>42264</v>
      </c>
    </row>
    <row r="4959" spans="1:19" x14ac:dyDescent="0.25">
      <c r="A4959" s="1">
        <v>4957</v>
      </c>
      <c r="B4959" t="str">
        <f>HYPERLINK("https://www.dasschnelle.at/taxi-kleiner-gmbh-neumarkt-am-wallersee-wallbachstraße","Website")</f>
        <v>Website</v>
      </c>
      <c r="C4959" t="str">
        <f>HYPERLINK("http://www.taxi-kleiner.at","Website")</f>
        <v>Website</v>
      </c>
      <c r="D4959" t="str">
        <f>HYPERLINK("http://www.google.com/maps/place/47.94738,13.22122","Location")</f>
        <v>Location</v>
      </c>
      <c r="E4959" t="s">
        <v>42268</v>
      </c>
      <c r="F4959" t="s">
        <v>42269</v>
      </c>
      <c r="G4959" t="s">
        <v>10564</v>
      </c>
      <c r="H4959" t="s">
        <v>10565</v>
      </c>
      <c r="I4959" t="s">
        <v>2239</v>
      </c>
      <c r="J4959" t="s">
        <v>22</v>
      </c>
      <c r="K4959" t="s">
        <v>25244</v>
      </c>
      <c r="L4959" t="s">
        <v>19195</v>
      </c>
      <c r="M4959" t="s">
        <v>25</v>
      </c>
      <c r="N4959" t="s">
        <v>19196</v>
      </c>
      <c r="O4959" t="s">
        <v>25</v>
      </c>
      <c r="P4959" t="s">
        <v>42270</v>
      </c>
      <c r="Q4959" t="s">
        <v>29</v>
      </c>
      <c r="R4959" t="s">
        <v>19193</v>
      </c>
      <c r="S4959" t="s">
        <v>19194</v>
      </c>
    </row>
    <row r="4960" spans="1:19" x14ac:dyDescent="0.25">
      <c r="A4960" s="1">
        <v>4958</v>
      </c>
      <c r="B4960" t="str">
        <f>HYPERLINK("https://www.dasschnelle.at/steinmetzmeisterbetrieb-fantoni-bleiburg-bahnhofstraße","Website")</f>
        <v>Website</v>
      </c>
      <c r="C4960" t="str">
        <f>HYPERLINK("http://www.fantoni.cc","Website")</f>
        <v>Website</v>
      </c>
      <c r="D4960" t="str">
        <f>HYPERLINK("http://www.google.com/maps/place/46.58464,14.79647","Location")</f>
        <v>Location</v>
      </c>
      <c r="E4960" t="s">
        <v>42271</v>
      </c>
      <c r="F4960" t="s">
        <v>42272</v>
      </c>
      <c r="G4960" t="s">
        <v>5113</v>
      </c>
      <c r="H4960" t="s">
        <v>5114</v>
      </c>
      <c r="I4960" t="s">
        <v>4130</v>
      </c>
      <c r="J4960" t="s">
        <v>22</v>
      </c>
      <c r="K4960" t="s">
        <v>42273</v>
      </c>
      <c r="L4960" t="s">
        <v>42276</v>
      </c>
      <c r="M4960" t="s">
        <v>42277</v>
      </c>
      <c r="N4960" t="s">
        <v>42278</v>
      </c>
      <c r="O4960" t="s">
        <v>25</v>
      </c>
      <c r="P4960" t="s">
        <v>42279</v>
      </c>
      <c r="Q4960" t="s">
        <v>29</v>
      </c>
      <c r="R4960" t="s">
        <v>42274</v>
      </c>
      <c r="S4960" t="s">
        <v>42275</v>
      </c>
    </row>
    <row r="4961" spans="1:19" x14ac:dyDescent="0.25">
      <c r="A4961" s="1">
        <v>4959</v>
      </c>
      <c r="B4961" t="str">
        <f>HYPERLINK("https://www.dasschnelle.at/zadruga-market-gmbh-bleiburg-völkermarkter-straße","Website")</f>
        <v>Website</v>
      </c>
      <c r="C4961" t="str">
        <f>HYPERLINK("http://www.zadruga.at","Website")</f>
        <v>Website</v>
      </c>
      <c r="D4961" t="str">
        <f>HYPERLINK("http://www.google.com/maps/place/46.5913800,14.7946300","Location")</f>
        <v>Location</v>
      </c>
      <c r="E4961" t="s">
        <v>42280</v>
      </c>
      <c r="F4961" t="s">
        <v>42281</v>
      </c>
      <c r="G4961" t="s">
        <v>5113</v>
      </c>
      <c r="H4961" t="s">
        <v>5114</v>
      </c>
      <c r="I4961" t="s">
        <v>4130</v>
      </c>
      <c r="J4961" t="s">
        <v>22</v>
      </c>
      <c r="K4961" t="s">
        <v>42282</v>
      </c>
      <c r="L4961" t="s">
        <v>42285</v>
      </c>
      <c r="M4961" t="s">
        <v>25</v>
      </c>
      <c r="N4961" t="s">
        <v>42286</v>
      </c>
      <c r="O4961" t="s">
        <v>25</v>
      </c>
      <c r="P4961" t="s">
        <v>42287</v>
      </c>
      <c r="Q4961" t="s">
        <v>29</v>
      </c>
      <c r="R4961" t="s">
        <v>42283</v>
      </c>
      <c r="S4961" t="s">
        <v>42284</v>
      </c>
    </row>
    <row r="4962" spans="1:19" x14ac:dyDescent="0.25">
      <c r="A4962" s="1">
        <v>4960</v>
      </c>
      <c r="B4962" t="str">
        <f>HYPERLINK("https://www.dasschnelle.at/röntgen-diagnoseteam-gmünd-og-gmünd-conrathstraße","Website")</f>
        <v>Website</v>
      </c>
      <c r="C4962" t="str">
        <f>HYPERLINK("https://www.dasschnelle.at/r%C3%B6ntgen-diagnoseteam-gm%C3%BCnd-og-gm%C3%BCnd-conrathstra%C3%9Fe","Website")</f>
        <v>Website</v>
      </c>
      <c r="D4962" t="str">
        <f>HYPERLINK("http://www.google.com/maps/place/48.76206,14.97573","Location")</f>
        <v>Location</v>
      </c>
      <c r="E4962" t="s">
        <v>42288</v>
      </c>
      <c r="F4962" t="s">
        <v>42289</v>
      </c>
      <c r="G4962" t="s">
        <v>13116</v>
      </c>
      <c r="H4962" t="s">
        <v>13117</v>
      </c>
      <c r="I4962" t="s">
        <v>177</v>
      </c>
      <c r="J4962" t="s">
        <v>22</v>
      </c>
      <c r="K4962" t="s">
        <v>42290</v>
      </c>
      <c r="L4962" t="s">
        <v>42293</v>
      </c>
      <c r="M4962" t="s">
        <v>25</v>
      </c>
      <c r="N4962" t="s">
        <v>42294</v>
      </c>
      <c r="O4962" t="s">
        <v>25</v>
      </c>
      <c r="P4962" t="s">
        <v>42295</v>
      </c>
      <c r="Q4962" t="s">
        <v>29</v>
      </c>
      <c r="R4962" t="s">
        <v>42291</v>
      </c>
      <c r="S4962" t="s">
        <v>42292</v>
      </c>
    </row>
    <row r="4963" spans="1:19" x14ac:dyDescent="0.25">
      <c r="A4963" s="1">
        <v>4961</v>
      </c>
      <c r="B4963" t="str">
        <f>HYPERLINK("https://www.dasschnelle.at/neuber-benedikt-dr-vöcklabruck-salzburger-straße","Website")</f>
        <v>Website</v>
      </c>
      <c r="C4963" t="str">
        <f>HYPERLINK("https://www.dasschnelle.at/neuber-benedikt-dr-v%C3%B6cklabruck-salzburger-stra%C3%9Fe","Website")</f>
        <v>Website</v>
      </c>
      <c r="D4963" t="str">
        <f>HYPERLINK("http://www.google.com/maps/place/48.00688,13.65298","Location")</f>
        <v>Location</v>
      </c>
      <c r="E4963" t="s">
        <v>42296</v>
      </c>
      <c r="F4963" t="s">
        <v>42297</v>
      </c>
      <c r="G4963" t="s">
        <v>3749</v>
      </c>
      <c r="H4963" t="s">
        <v>3750</v>
      </c>
      <c r="I4963" t="s">
        <v>85</v>
      </c>
      <c r="J4963" t="s">
        <v>22</v>
      </c>
      <c r="K4963" t="s">
        <v>42298</v>
      </c>
      <c r="L4963" t="s">
        <v>42301</v>
      </c>
      <c r="M4963" t="s">
        <v>25</v>
      </c>
      <c r="N4963" t="s">
        <v>42302</v>
      </c>
      <c r="O4963" t="s">
        <v>25</v>
      </c>
      <c r="P4963" t="s">
        <v>42303</v>
      </c>
      <c r="Q4963" t="s">
        <v>29</v>
      </c>
      <c r="R4963" t="s">
        <v>42299</v>
      </c>
      <c r="S4963" t="s">
        <v>42300</v>
      </c>
    </row>
    <row r="4964" spans="1:19" x14ac:dyDescent="0.25">
      <c r="A4964" s="1">
        <v>4962</v>
      </c>
      <c r="B4964" t="str">
        <f>HYPERLINK("https://www.dasschnelle.at/simon-s-gerüste-verleih-gmbh-waidring-unterwasser","Website")</f>
        <v>Website</v>
      </c>
      <c r="C4964" t="str">
        <f>HYPERLINK("http://www.sgv.at","Website")</f>
        <v>Website</v>
      </c>
      <c r="D4964" t="str">
        <f>HYPERLINK("http://www.google.com/maps/place/47.58464,12.59115","Location")</f>
        <v>Location</v>
      </c>
      <c r="E4964" t="s">
        <v>42304</v>
      </c>
      <c r="F4964" t="s">
        <v>42305</v>
      </c>
      <c r="G4964" t="s">
        <v>955</v>
      </c>
      <c r="H4964" t="s">
        <v>956</v>
      </c>
      <c r="I4964" t="s">
        <v>21</v>
      </c>
      <c r="J4964" t="s">
        <v>22</v>
      </c>
      <c r="K4964" t="s">
        <v>42306</v>
      </c>
      <c r="L4964" t="s">
        <v>42309</v>
      </c>
      <c r="M4964" t="s">
        <v>25</v>
      </c>
      <c r="N4964" t="s">
        <v>42310</v>
      </c>
      <c r="O4964" t="s">
        <v>42311</v>
      </c>
      <c r="P4964" t="s">
        <v>42312</v>
      </c>
      <c r="Q4964" t="s">
        <v>29</v>
      </c>
      <c r="R4964" t="s">
        <v>42307</v>
      </c>
      <c r="S4964" t="s">
        <v>42308</v>
      </c>
    </row>
    <row r="4965" spans="1:19" x14ac:dyDescent="0.25">
      <c r="A4965" s="1">
        <v>4963</v>
      </c>
      <c r="B4965" t="str">
        <f>HYPERLINK("https://www.dasschnelle.at/mostviertler-bauernladen-christa-dorner-aschbach-markt-mittlerer-markt-1","Website")</f>
        <v>Website</v>
      </c>
      <c r="C4965" t="str">
        <f>HYPERLINK("http://www.bauernladen-dorner.com","Website")</f>
        <v>Website</v>
      </c>
      <c r="D4965" t="str">
        <f>HYPERLINK("http://www.google.com/maps/place/48.07274,14.75041","Location")</f>
        <v>Location</v>
      </c>
      <c r="E4965" t="s">
        <v>42313</v>
      </c>
      <c r="F4965" t="s">
        <v>42314</v>
      </c>
      <c r="G4965" t="s">
        <v>42316</v>
      </c>
      <c r="H4965" t="s">
        <v>42317</v>
      </c>
      <c r="I4965" t="s">
        <v>177</v>
      </c>
      <c r="J4965" t="s">
        <v>22</v>
      </c>
      <c r="K4965" t="s">
        <v>42315</v>
      </c>
      <c r="L4965" t="s">
        <v>4926</v>
      </c>
      <c r="M4965" t="s">
        <v>25</v>
      </c>
      <c r="N4965" t="s">
        <v>42320</v>
      </c>
      <c r="O4965" t="s">
        <v>25</v>
      </c>
      <c r="P4965" t="s">
        <v>42321</v>
      </c>
      <c r="Q4965" t="s">
        <v>29</v>
      </c>
      <c r="R4965" t="s">
        <v>42318</v>
      </c>
      <c r="S4965" t="s">
        <v>42319</v>
      </c>
    </row>
    <row r="4966" spans="1:19" x14ac:dyDescent="0.25">
      <c r="A4966" s="1">
        <v>4964</v>
      </c>
      <c r="B4966" t="str">
        <f>HYPERLINK("https://www.dasschnelle.at/fleidl-helmut-gesmbh-ramsau-im-zillertal-bichl","Website")</f>
        <v>Website</v>
      </c>
      <c r="C4966" t="str">
        <f>HYPERLINK("http://www.fleidldach.at","Website")</f>
        <v>Website</v>
      </c>
      <c r="D4966" t="str">
        <f>HYPERLINK("http://www.google.com/maps/place/47.19663,11.87148","Location")</f>
        <v>Location</v>
      </c>
      <c r="E4966" t="s">
        <v>42322</v>
      </c>
      <c r="F4966" t="s">
        <v>42323</v>
      </c>
      <c r="G4966" t="s">
        <v>4190</v>
      </c>
      <c r="H4966" t="s">
        <v>4191</v>
      </c>
      <c r="I4966" t="s">
        <v>21</v>
      </c>
      <c r="J4966" t="s">
        <v>22</v>
      </c>
      <c r="K4966" t="s">
        <v>42324</v>
      </c>
      <c r="L4966" t="s">
        <v>42327</v>
      </c>
      <c r="M4966" t="s">
        <v>42328</v>
      </c>
      <c r="N4966" t="s">
        <v>42329</v>
      </c>
      <c r="O4966" t="s">
        <v>25</v>
      </c>
      <c r="P4966" t="s">
        <v>42330</v>
      </c>
      <c r="Q4966" t="s">
        <v>29</v>
      </c>
      <c r="R4966" t="s">
        <v>42325</v>
      </c>
      <c r="S4966" t="s">
        <v>42326</v>
      </c>
    </row>
    <row r="4967" spans="1:19" x14ac:dyDescent="0.25">
      <c r="A4967" s="1">
        <v>4965</v>
      </c>
      <c r="B4967" t="str">
        <f>HYPERLINK("https://www.dasschnelle.at/ortbauer-gerhard-peuerbach-mühlbrenning","Website")</f>
        <v>Website</v>
      </c>
      <c r="C4967" t="str">
        <f>HYPERLINK("https://www.dasschnelle.at/ortbauer-gerhard-peuerbach-m%C3%BChlbrenning","Website")</f>
        <v>Website</v>
      </c>
      <c r="D4967" t="str">
        <f>HYPERLINK("http://www.google.com/maps/place/48.3174700,13.7487400","Location")</f>
        <v>Location</v>
      </c>
      <c r="E4967" t="s">
        <v>42331</v>
      </c>
      <c r="F4967" t="s">
        <v>42332</v>
      </c>
      <c r="G4967" t="s">
        <v>7303</v>
      </c>
      <c r="H4967" t="s">
        <v>7304</v>
      </c>
      <c r="I4967" t="s">
        <v>85</v>
      </c>
      <c r="J4967" t="s">
        <v>22</v>
      </c>
      <c r="K4967" t="s">
        <v>42333</v>
      </c>
      <c r="L4967" t="s">
        <v>42336</v>
      </c>
      <c r="M4967" t="s">
        <v>25</v>
      </c>
      <c r="N4967" t="s">
        <v>42337</v>
      </c>
      <c r="O4967" t="s">
        <v>25</v>
      </c>
      <c r="P4967" t="s">
        <v>42338</v>
      </c>
      <c r="Q4967" t="s">
        <v>29</v>
      </c>
      <c r="R4967" t="s">
        <v>42334</v>
      </c>
      <c r="S4967" t="s">
        <v>42335</v>
      </c>
    </row>
    <row r="4968" spans="1:19" x14ac:dyDescent="0.25">
      <c r="A4968" s="1">
        <v>4966</v>
      </c>
      <c r="B4968" t="str">
        <f>HYPERLINK("https://www.dasschnelle.at/terroir-handelsgesmbh-mank-loosdorferstraße","Website")</f>
        <v>Website</v>
      </c>
      <c r="C4968" t="str">
        <f>HYPERLINK("http://www.bouton.at","Website")</f>
        <v>Website</v>
      </c>
      <c r="D4968" t="str">
        <f>HYPERLINK("http://www.google.com/maps/place/48.11544,15.34118","Location")</f>
        <v>Location</v>
      </c>
      <c r="E4968" t="s">
        <v>42339</v>
      </c>
      <c r="F4968" t="s">
        <v>42340</v>
      </c>
      <c r="G4968" t="s">
        <v>6136</v>
      </c>
      <c r="H4968" t="s">
        <v>6137</v>
      </c>
      <c r="I4968" t="s">
        <v>177</v>
      </c>
      <c r="J4968" t="s">
        <v>22</v>
      </c>
      <c r="K4968" t="s">
        <v>42341</v>
      </c>
      <c r="L4968" t="s">
        <v>42344</v>
      </c>
      <c r="M4968" t="s">
        <v>25</v>
      </c>
      <c r="N4968" t="s">
        <v>42345</v>
      </c>
      <c r="O4968" t="s">
        <v>25</v>
      </c>
      <c r="P4968" t="s">
        <v>42346</v>
      </c>
      <c r="Q4968" t="s">
        <v>29</v>
      </c>
      <c r="R4968" t="s">
        <v>42342</v>
      </c>
      <c r="S4968" t="s">
        <v>42343</v>
      </c>
    </row>
    <row r="4969" spans="1:19" x14ac:dyDescent="0.25">
      <c r="A4969" s="1">
        <v>4967</v>
      </c>
      <c r="B4969" t="str">
        <f>HYPERLINK("https://www.dasschnelle.at/weingut-hainzl-jauk-kg-frauental-grazer-straße","Website")</f>
        <v>Website</v>
      </c>
      <c r="C4969" t="str">
        <f>HYPERLINK("http://www.hainzl-jauk.at","Website")</f>
        <v>Website</v>
      </c>
      <c r="D4969" t="str">
        <f>HYPERLINK("http://www.google.com/maps/place/46.8224370,15.2544099","Location")</f>
        <v>Location</v>
      </c>
      <c r="E4969" t="s">
        <v>42347</v>
      </c>
      <c r="F4969" t="s">
        <v>42348</v>
      </c>
      <c r="G4969" t="s">
        <v>2873</v>
      </c>
      <c r="H4969" t="s">
        <v>2874</v>
      </c>
      <c r="I4969" t="s">
        <v>451</v>
      </c>
      <c r="J4969" t="s">
        <v>22</v>
      </c>
      <c r="K4969" t="s">
        <v>42349</v>
      </c>
      <c r="L4969" t="s">
        <v>42352</v>
      </c>
      <c r="M4969" t="s">
        <v>25</v>
      </c>
      <c r="N4969" t="s">
        <v>42353</v>
      </c>
      <c r="O4969" t="s">
        <v>25</v>
      </c>
      <c r="P4969" t="s">
        <v>42354</v>
      </c>
      <c r="Q4969" t="s">
        <v>29</v>
      </c>
      <c r="R4969" t="s">
        <v>42350</v>
      </c>
      <c r="S4969" t="s">
        <v>42351</v>
      </c>
    </row>
    <row r="4970" spans="1:19" x14ac:dyDescent="0.25">
      <c r="A4970" s="1">
        <v>4968</v>
      </c>
      <c r="B4970" t="str">
        <f>HYPERLINK("https://www.dasschnelle.at/bayrhammer-sonja-seekirchen-weinbergstiege","Website")</f>
        <v>Website</v>
      </c>
      <c r="C4970" t="str">
        <f>HYPERLINK("https://www.dasschnelle.at/bayrhammer-sonja-seekirchen-weinbergstiege","Website")</f>
        <v>Website</v>
      </c>
      <c r="D4970" t="str">
        <f>HYPERLINK("http://www.google.com/maps/place/47.8953188,13.1385149","Location")</f>
        <v>Location</v>
      </c>
      <c r="E4970" t="s">
        <v>42355</v>
      </c>
      <c r="F4970" t="s">
        <v>42356</v>
      </c>
      <c r="G4970" t="s">
        <v>1412</v>
      </c>
      <c r="H4970" t="s">
        <v>16372</v>
      </c>
      <c r="I4970" t="s">
        <v>2239</v>
      </c>
      <c r="J4970" t="s">
        <v>22</v>
      </c>
      <c r="K4970" t="s">
        <v>42357</v>
      </c>
      <c r="L4970" t="s">
        <v>42360</v>
      </c>
      <c r="M4970" t="s">
        <v>25</v>
      </c>
      <c r="N4970" t="s">
        <v>42361</v>
      </c>
      <c r="O4970" t="s">
        <v>42362</v>
      </c>
      <c r="P4970" t="s">
        <v>42363</v>
      </c>
      <c r="Q4970" t="s">
        <v>29</v>
      </c>
      <c r="R4970" t="s">
        <v>42358</v>
      </c>
      <c r="S4970" t="s">
        <v>42359</v>
      </c>
    </row>
    <row r="4971" spans="1:19" x14ac:dyDescent="0.25">
      <c r="A4971" s="1">
        <v>4969</v>
      </c>
      <c r="B4971" t="str">
        <f>HYPERLINK("https://www.dasschnelle.at/andreas-janisch-gmbh-weigelsdorf-boschanstraße","Website")</f>
        <v>Website</v>
      </c>
      <c r="C4971" t="str">
        <f>HYPERLINK("http://www.gas-wasser-waerme.at","Website")</f>
        <v>Website</v>
      </c>
      <c r="D4971" t="str">
        <f>HYPERLINK("http://www.google.com/maps/place/47.94387,16.39403","Location")</f>
        <v>Location</v>
      </c>
      <c r="E4971" t="s">
        <v>42364</v>
      </c>
      <c r="F4971" t="s">
        <v>42365</v>
      </c>
      <c r="G4971" t="s">
        <v>2128</v>
      </c>
      <c r="H4971" t="s">
        <v>42367</v>
      </c>
      <c r="I4971" t="s">
        <v>177</v>
      </c>
      <c r="J4971" t="s">
        <v>22</v>
      </c>
      <c r="K4971" t="s">
        <v>42366</v>
      </c>
      <c r="L4971" t="s">
        <v>42370</v>
      </c>
      <c r="M4971" t="s">
        <v>25</v>
      </c>
      <c r="N4971" t="s">
        <v>42371</v>
      </c>
      <c r="O4971" t="s">
        <v>25</v>
      </c>
      <c r="P4971" t="s">
        <v>42372</v>
      </c>
      <c r="Q4971" t="s">
        <v>29</v>
      </c>
      <c r="R4971" t="s">
        <v>42368</v>
      </c>
      <c r="S4971" t="s">
        <v>42369</v>
      </c>
    </row>
    <row r="4972" spans="1:19" x14ac:dyDescent="0.25">
      <c r="A4972" s="1">
        <v>4970</v>
      </c>
      <c r="B4972" t="str">
        <f>HYPERLINK("https://www.dasschnelle.at/tischlerei-jaidl-gmbh-bürmoos-werner-bader-straße","Website")</f>
        <v>Website</v>
      </c>
      <c r="C4972" t="str">
        <f>HYPERLINK("https://www.dasschnelle.at/tischlerei-jaidl-gmbh-b%C3%BCrmoos-werner-bader-stra%C3%9Fe","Website")</f>
        <v>Website</v>
      </c>
      <c r="D4972" t="str">
        <f>HYPERLINK("http://www.google.com/maps/place/47.98975,12.93158","Location")</f>
        <v>Location</v>
      </c>
      <c r="E4972" t="s">
        <v>42373</v>
      </c>
      <c r="F4972" t="s">
        <v>42374</v>
      </c>
      <c r="G4972" t="s">
        <v>22723</v>
      </c>
      <c r="H4972" t="s">
        <v>22724</v>
      </c>
      <c r="I4972" t="s">
        <v>2239</v>
      </c>
      <c r="J4972" t="s">
        <v>22</v>
      </c>
      <c r="K4972" t="s">
        <v>42375</v>
      </c>
      <c r="L4972" t="s">
        <v>42378</v>
      </c>
      <c r="M4972" t="s">
        <v>25</v>
      </c>
      <c r="N4972" t="s">
        <v>42379</v>
      </c>
      <c r="O4972" t="s">
        <v>25</v>
      </c>
      <c r="P4972" t="s">
        <v>42380</v>
      </c>
      <c r="Q4972" t="s">
        <v>29</v>
      </c>
      <c r="R4972" t="s">
        <v>42376</v>
      </c>
      <c r="S4972" t="s">
        <v>42377</v>
      </c>
    </row>
    <row r="4973" spans="1:19" x14ac:dyDescent="0.25">
      <c r="A4973" s="1">
        <v>4971</v>
      </c>
      <c r="B4973" t="str">
        <f>HYPERLINK("https://www.dasschnelle.at/hundesalon-fellwechsel-gratwein-straßengel-murfeldstraße","Website")</f>
        <v>Website</v>
      </c>
      <c r="C4973" t="str">
        <f>HYPERLINK("http://www.hundesalon-fellwechsel.at","Website")</f>
        <v>Website</v>
      </c>
      <c r="D4973" t="str">
        <f>HYPERLINK("http://www.google.com/maps/place/47.1334800,15.3218800","Location")</f>
        <v>Location</v>
      </c>
      <c r="E4973" t="s">
        <v>42381</v>
      </c>
      <c r="F4973" t="s">
        <v>42382</v>
      </c>
      <c r="G4973" t="s">
        <v>7864</v>
      </c>
      <c r="H4973" t="s">
        <v>9287</v>
      </c>
      <c r="I4973" t="s">
        <v>451</v>
      </c>
      <c r="J4973" t="s">
        <v>22</v>
      </c>
      <c r="K4973" t="s">
        <v>42383</v>
      </c>
      <c r="L4973" t="s">
        <v>42386</v>
      </c>
      <c r="M4973" t="s">
        <v>25</v>
      </c>
      <c r="N4973" t="s">
        <v>42387</v>
      </c>
      <c r="O4973" t="s">
        <v>25</v>
      </c>
      <c r="P4973" t="s">
        <v>42388</v>
      </c>
      <c r="Q4973" t="s">
        <v>29</v>
      </c>
      <c r="R4973" t="s">
        <v>42384</v>
      </c>
      <c r="S4973" t="s">
        <v>42385</v>
      </c>
    </row>
    <row r="4974" spans="1:19" x14ac:dyDescent="0.25">
      <c r="A4974" s="1">
        <v>4972</v>
      </c>
      <c r="B4974" t="str">
        <f>HYPERLINK("https://www.dasschnelle.at/jaritz-birgit-dr-liezen-hauptstraße","Website")</f>
        <v>Website</v>
      </c>
      <c r="C4974" t="str">
        <f>HYPERLINK("https://www.dasschnelle.at/jaritz-birgit-dr-liezen-hauptstra%C3%9Fe","Website")</f>
        <v>Website</v>
      </c>
      <c r="D4974" t="str">
        <f>HYPERLINK("http://www.google.com/maps/place/47.5680406,14.2055347","Location")</f>
        <v>Location</v>
      </c>
      <c r="E4974" t="s">
        <v>42389</v>
      </c>
      <c r="F4974" t="s">
        <v>42390</v>
      </c>
      <c r="G4974" t="s">
        <v>1095</v>
      </c>
      <c r="H4974" t="s">
        <v>1096</v>
      </c>
      <c r="I4974" t="s">
        <v>451</v>
      </c>
      <c r="J4974" t="s">
        <v>22</v>
      </c>
      <c r="K4974" t="s">
        <v>27055</v>
      </c>
      <c r="L4974" t="s">
        <v>42393</v>
      </c>
      <c r="M4974" t="s">
        <v>25</v>
      </c>
      <c r="N4974" t="s">
        <v>42394</v>
      </c>
      <c r="O4974" t="s">
        <v>25</v>
      </c>
      <c r="P4974" t="s">
        <v>42395</v>
      </c>
      <c r="Q4974" t="s">
        <v>29</v>
      </c>
      <c r="R4974" t="s">
        <v>42391</v>
      </c>
      <c r="S4974" t="s">
        <v>42392</v>
      </c>
    </row>
    <row r="4975" spans="1:19" x14ac:dyDescent="0.25">
      <c r="A4975" s="1">
        <v>4973</v>
      </c>
      <c r="B4975" t="str">
        <f>HYPERLINK("https://www.dasschnelle.at/mitterberger-peter-matrei-am-brenner-am-brenner","Website")</f>
        <v>Website</v>
      </c>
      <c r="C4975" t="str">
        <f>HYPERLINK("http://www.maler-team.at","Website")</f>
        <v>Website</v>
      </c>
      <c r="D4975" t="str">
        <f>HYPERLINK("http://www.google.com/maps/place/47.1333248,11.4541108","Location")</f>
        <v>Location</v>
      </c>
      <c r="E4975" t="s">
        <v>42396</v>
      </c>
      <c r="F4975" t="s">
        <v>42397</v>
      </c>
      <c r="G4975" t="s">
        <v>5300</v>
      </c>
      <c r="H4975" t="s">
        <v>5301</v>
      </c>
      <c r="I4975" t="s">
        <v>21</v>
      </c>
      <c r="J4975" t="s">
        <v>22</v>
      </c>
      <c r="K4975" t="s">
        <v>42398</v>
      </c>
      <c r="L4975" t="s">
        <v>42399</v>
      </c>
      <c r="M4975" t="s">
        <v>25</v>
      </c>
      <c r="N4975" t="s">
        <v>42400</v>
      </c>
      <c r="O4975" t="s">
        <v>25</v>
      </c>
      <c r="P4975" t="s">
        <v>42401</v>
      </c>
      <c r="Q4975" t="s">
        <v>29</v>
      </c>
      <c r="R4975" t="s">
        <v>5379</v>
      </c>
      <c r="S4975" t="s">
        <v>5380</v>
      </c>
    </row>
    <row r="4976" spans="1:19" x14ac:dyDescent="0.25">
      <c r="A4976" s="1">
        <v>4974</v>
      </c>
      <c r="B4976" t="str">
        <f>HYPERLINK("https://www.dasschnelle.at/zamberger-mario-glanegg-glanegg","Website")</f>
        <v>Website</v>
      </c>
      <c r="C4976" t="str">
        <f>HYPERLINK("http://www.kaminsanierung-zamberger.at","Website")</f>
        <v>Website</v>
      </c>
      <c r="D4976" t="str">
        <f>HYPERLINK("http://www.google.com/maps/place/46.7173646,14.2152008","Location")</f>
        <v>Location</v>
      </c>
      <c r="E4976" t="s">
        <v>42402</v>
      </c>
      <c r="F4976" t="s">
        <v>42403</v>
      </c>
      <c r="G4976" t="s">
        <v>27180</v>
      </c>
      <c r="H4976" t="s">
        <v>27181</v>
      </c>
      <c r="I4976" t="s">
        <v>4130</v>
      </c>
      <c r="J4976" t="s">
        <v>22</v>
      </c>
      <c r="K4976" t="s">
        <v>42404</v>
      </c>
      <c r="L4976" t="s">
        <v>42407</v>
      </c>
      <c r="M4976" t="s">
        <v>25</v>
      </c>
      <c r="N4976" t="s">
        <v>42408</v>
      </c>
      <c r="O4976" t="s">
        <v>42409</v>
      </c>
      <c r="P4976" t="s">
        <v>42410</v>
      </c>
      <c r="Q4976" t="s">
        <v>29</v>
      </c>
      <c r="R4976" t="s">
        <v>42405</v>
      </c>
      <c r="S4976" t="s">
        <v>42406</v>
      </c>
    </row>
    <row r="4977" spans="1:19" x14ac:dyDescent="0.25">
      <c r="A4977" s="1">
        <v>4975</v>
      </c>
      <c r="B4977" t="str">
        <f>HYPERLINK("https://www.dasschnelle.at/werner-huter-installationen-navis-unterweg","Website")</f>
        <v>Website</v>
      </c>
      <c r="C4977" t="str">
        <f>HYPERLINK("https://www.dasschnelle.at/werner-huter-installationen-navis-unterweg","Website")</f>
        <v>Website</v>
      </c>
      <c r="D4977" t="str">
        <f>HYPERLINK("http://www.google.com/maps/place/47.1316664,11.5385319","Location")</f>
        <v>Location</v>
      </c>
      <c r="E4977" t="s">
        <v>42411</v>
      </c>
      <c r="F4977" t="s">
        <v>42412</v>
      </c>
      <c r="G4977" t="s">
        <v>5226</v>
      </c>
      <c r="H4977" t="s">
        <v>5227</v>
      </c>
      <c r="I4977" t="s">
        <v>21</v>
      </c>
      <c r="J4977" t="s">
        <v>22</v>
      </c>
      <c r="K4977" t="s">
        <v>42413</v>
      </c>
      <c r="L4977" t="s">
        <v>42414</v>
      </c>
      <c r="M4977" t="s">
        <v>25</v>
      </c>
      <c r="N4977" t="s">
        <v>42415</v>
      </c>
      <c r="O4977" t="s">
        <v>25</v>
      </c>
      <c r="P4977" t="s">
        <v>42416</v>
      </c>
      <c r="Q4977" t="s">
        <v>29</v>
      </c>
      <c r="R4977" t="s">
        <v>5321</v>
      </c>
      <c r="S4977" t="s">
        <v>5322</v>
      </c>
    </row>
    <row r="4978" spans="1:19" x14ac:dyDescent="0.25">
      <c r="A4978" s="1">
        <v>4976</v>
      </c>
      <c r="B4978" t="str">
        <f>HYPERLINK("https://www.dasschnelle.at/blumen-irmi-ernst-irmgard-mauterndorf-markt","Website")</f>
        <v>Website</v>
      </c>
      <c r="C4978" t="str">
        <f>HYPERLINK("https://www.facebook.com/pg/blumen-irmi-3349520239","Website")</f>
        <v>Website</v>
      </c>
      <c r="D4978" t="str">
        <f>HYPERLINK("http://www.google.com/maps/place/47.13226,13.68393","Location")</f>
        <v>Location</v>
      </c>
      <c r="E4978" t="s">
        <v>42417</v>
      </c>
      <c r="F4978" t="s">
        <v>42418</v>
      </c>
      <c r="G4978" t="s">
        <v>11544</v>
      </c>
      <c r="H4978" t="s">
        <v>11545</v>
      </c>
      <c r="I4978" t="s">
        <v>2239</v>
      </c>
      <c r="J4978" t="s">
        <v>22</v>
      </c>
      <c r="K4978" t="s">
        <v>42419</v>
      </c>
      <c r="L4978" t="s">
        <v>42422</v>
      </c>
      <c r="M4978" t="s">
        <v>25</v>
      </c>
      <c r="N4978" t="s">
        <v>42423</v>
      </c>
      <c r="O4978" t="s">
        <v>25</v>
      </c>
      <c r="P4978" t="s">
        <v>42424</v>
      </c>
      <c r="Q4978" t="s">
        <v>29</v>
      </c>
      <c r="R4978" t="s">
        <v>42420</v>
      </c>
      <c r="S4978" t="s">
        <v>42421</v>
      </c>
    </row>
    <row r="4979" spans="1:19" x14ac:dyDescent="0.25">
      <c r="A4979" s="1">
        <v>4977</v>
      </c>
      <c r="B4979" t="str">
        <f>HYPERLINK("https://www.dasschnelle.at/dirlinger-franz-waizenkirchen-bahnhofstraße","Website")</f>
        <v>Website</v>
      </c>
      <c r="C4979" t="str">
        <f>HYPERLINK("http://www.fliesen-dirlinger.at","Website")</f>
        <v>Website</v>
      </c>
      <c r="D4979" t="str">
        <f>HYPERLINK("http://www.google.com/maps/place/48.32948,13.8511","Location")</f>
        <v>Location</v>
      </c>
      <c r="E4979" t="s">
        <v>42425</v>
      </c>
      <c r="F4979" t="s">
        <v>42426</v>
      </c>
      <c r="G4979" t="s">
        <v>7239</v>
      </c>
      <c r="H4979" t="s">
        <v>7240</v>
      </c>
      <c r="I4979" t="s">
        <v>85</v>
      </c>
      <c r="J4979" t="s">
        <v>22</v>
      </c>
      <c r="K4979" t="s">
        <v>15748</v>
      </c>
      <c r="L4979" t="s">
        <v>42427</v>
      </c>
      <c r="M4979" t="s">
        <v>42428</v>
      </c>
      <c r="N4979" t="s">
        <v>42429</v>
      </c>
      <c r="O4979" t="s">
        <v>42430</v>
      </c>
      <c r="P4979" t="s">
        <v>42431</v>
      </c>
      <c r="Q4979" t="s">
        <v>29</v>
      </c>
      <c r="R4979" t="s">
        <v>9588</v>
      </c>
      <c r="S4979" t="s">
        <v>39945</v>
      </c>
    </row>
    <row r="4980" spans="1:19" x14ac:dyDescent="0.25">
      <c r="A4980" s="1">
        <v>4978</v>
      </c>
      <c r="B4980" t="str">
        <f>HYPERLINK("https://www.dasschnelle.at/yousef-elahi-soheila-dr-melk-josef-adlmanseder-straße","Website")</f>
        <v>Website</v>
      </c>
      <c r="C4980" t="str">
        <f>HYPERLINK("http://www.dr-elahi.at","Website")</f>
        <v>Website</v>
      </c>
      <c r="D4980" t="str">
        <f>HYPERLINK("http://www.google.com/maps/place/48.22624,15.34869","Location")</f>
        <v>Location</v>
      </c>
      <c r="E4980" t="s">
        <v>42432</v>
      </c>
      <c r="F4980" t="s">
        <v>42433</v>
      </c>
      <c r="G4980" t="s">
        <v>5926</v>
      </c>
      <c r="H4980" t="s">
        <v>5927</v>
      </c>
      <c r="I4980" t="s">
        <v>177</v>
      </c>
      <c r="J4980" t="s">
        <v>22</v>
      </c>
      <c r="K4980" t="s">
        <v>6047</v>
      </c>
      <c r="L4980" t="s">
        <v>42434</v>
      </c>
      <c r="M4980" t="s">
        <v>25</v>
      </c>
      <c r="N4980" t="s">
        <v>42435</v>
      </c>
      <c r="O4980" t="s">
        <v>25</v>
      </c>
      <c r="P4980" t="s">
        <v>42436</v>
      </c>
      <c r="Q4980" t="s">
        <v>29</v>
      </c>
      <c r="R4980" t="s">
        <v>6048</v>
      </c>
      <c r="S4980" t="s">
        <v>6049</v>
      </c>
    </row>
    <row r="4981" spans="1:19" x14ac:dyDescent="0.25">
      <c r="A4981" s="1">
        <v>4979</v>
      </c>
      <c r="B4981" t="str">
        <f>HYPERLINK("https://www.dasschnelle.at/mantona-isidor-sankt-michael-im-lungau-leitnergasse","Website")</f>
        <v>Website</v>
      </c>
      <c r="C4981" t="str">
        <f>HYPERLINK("http://www.mantona.at","Website")</f>
        <v>Website</v>
      </c>
      <c r="D4981" t="str">
        <f>HYPERLINK("http://www.google.com/maps/place/47.09981,13.63875","Location")</f>
        <v>Location</v>
      </c>
      <c r="E4981" t="s">
        <v>42437</v>
      </c>
      <c r="F4981" t="s">
        <v>42438</v>
      </c>
      <c r="G4981" t="s">
        <v>11533</v>
      </c>
      <c r="H4981" t="s">
        <v>11534</v>
      </c>
      <c r="I4981" t="s">
        <v>2239</v>
      </c>
      <c r="J4981" t="s">
        <v>22</v>
      </c>
      <c r="K4981" t="s">
        <v>42439</v>
      </c>
      <c r="L4981" t="s">
        <v>42442</v>
      </c>
      <c r="M4981" t="s">
        <v>25</v>
      </c>
      <c r="N4981" t="s">
        <v>42443</v>
      </c>
      <c r="O4981" t="s">
        <v>25</v>
      </c>
      <c r="P4981" t="s">
        <v>42444</v>
      </c>
      <c r="Q4981" t="s">
        <v>29</v>
      </c>
      <c r="R4981" t="s">
        <v>42440</v>
      </c>
      <c r="S4981" t="s">
        <v>42441</v>
      </c>
    </row>
    <row r="4982" spans="1:19" x14ac:dyDescent="0.25">
      <c r="A4982" s="1">
        <v>4980</v>
      </c>
      <c r="B4982" t="str">
        <f>HYPERLINK("https://www.dasschnelle.at/kathi-s-landhaus-mattsee-ochsenharing","Website")</f>
        <v>Website</v>
      </c>
      <c r="C4982" t="str">
        <f>HYPERLINK("https://www.dasschnelle.at/kathi-s-landhaus-mattsee-ochsenharing","Website")</f>
        <v>Website</v>
      </c>
      <c r="D4982" t="str">
        <f>HYPERLINK("http://www.google.com/maps/place/47.9652300,13.0995700","Location")</f>
        <v>Location</v>
      </c>
      <c r="E4982" t="s">
        <v>42445</v>
      </c>
      <c r="F4982" t="s">
        <v>42446</v>
      </c>
      <c r="G4982" t="s">
        <v>10394</v>
      </c>
      <c r="H4982" t="s">
        <v>10395</v>
      </c>
      <c r="I4982" t="s">
        <v>2239</v>
      </c>
      <c r="J4982" t="s">
        <v>22</v>
      </c>
      <c r="K4982" t="s">
        <v>42447</v>
      </c>
      <c r="L4982" t="s">
        <v>42450</v>
      </c>
      <c r="M4982" t="s">
        <v>25</v>
      </c>
      <c r="N4982" t="s">
        <v>42451</v>
      </c>
      <c r="O4982" t="s">
        <v>25</v>
      </c>
      <c r="P4982" t="s">
        <v>42452</v>
      </c>
      <c r="Q4982" t="s">
        <v>29</v>
      </c>
      <c r="R4982" t="s">
        <v>42448</v>
      </c>
      <c r="S4982" t="s">
        <v>42449</v>
      </c>
    </row>
    <row r="4983" spans="1:19" x14ac:dyDescent="0.25">
      <c r="A4983" s="1">
        <v>4981</v>
      </c>
      <c r="B4983" t="str">
        <f>HYPERLINK("https://www.dasschnelle.at/zöger-johann-neunkirchen-herrengasse","Website")</f>
        <v>Website</v>
      </c>
      <c r="C4983" t="str">
        <f>HYPERLINK("https://www.dasschnelle.at/z%C3%B6ger-johann-neunkirchen-herrengasse","Website")</f>
        <v>Website</v>
      </c>
      <c r="D4983" t="str">
        <f>HYPERLINK("http://www.google.com/maps/place/47.72117,16.0797","Location")</f>
        <v>Location</v>
      </c>
      <c r="E4983" t="s">
        <v>42453</v>
      </c>
      <c r="F4983" t="s">
        <v>42454</v>
      </c>
      <c r="G4983" t="s">
        <v>5676</v>
      </c>
      <c r="H4983" t="s">
        <v>5677</v>
      </c>
      <c r="I4983" t="s">
        <v>177</v>
      </c>
      <c r="J4983" t="s">
        <v>22</v>
      </c>
      <c r="K4983" t="s">
        <v>42455</v>
      </c>
      <c r="L4983" t="s">
        <v>42458</v>
      </c>
      <c r="M4983" t="s">
        <v>25</v>
      </c>
      <c r="N4983" t="s">
        <v>42459</v>
      </c>
      <c r="O4983" t="s">
        <v>25</v>
      </c>
      <c r="P4983" t="s">
        <v>42460</v>
      </c>
      <c r="Q4983" t="s">
        <v>29</v>
      </c>
      <c r="R4983" t="s">
        <v>42456</v>
      </c>
      <c r="S4983" t="s">
        <v>42457</v>
      </c>
    </row>
    <row r="4984" spans="1:19" x14ac:dyDescent="0.25">
      <c r="A4984" s="1">
        <v>4982</v>
      </c>
      <c r="B4984" t="str">
        <f>HYPERLINK("https://www.dasschnelle.at/bäder-fürs-leben-gmbh-liezen-hauptstraße","Website")</f>
        <v>Website</v>
      </c>
      <c r="C4984" t="str">
        <f>HYPERLINK("http://www.baeder-fuers-leben.at","Website")</f>
        <v>Website</v>
      </c>
      <c r="D4984" t="str">
        <f>HYPERLINK("http://www.google.com/maps/place/47.56704,14.24333","Location")</f>
        <v>Location</v>
      </c>
      <c r="E4984" t="s">
        <v>42461</v>
      </c>
      <c r="F4984" t="s">
        <v>42462</v>
      </c>
      <c r="G4984" t="s">
        <v>1095</v>
      </c>
      <c r="H4984" t="s">
        <v>1096</v>
      </c>
      <c r="I4984" t="s">
        <v>451</v>
      </c>
      <c r="J4984" t="s">
        <v>22</v>
      </c>
      <c r="K4984" t="s">
        <v>11371</v>
      </c>
      <c r="L4984" t="s">
        <v>42465</v>
      </c>
      <c r="M4984" t="s">
        <v>25</v>
      </c>
      <c r="N4984" t="s">
        <v>42466</v>
      </c>
      <c r="O4984" t="s">
        <v>42467</v>
      </c>
      <c r="P4984" t="s">
        <v>42468</v>
      </c>
      <c r="Q4984" t="s">
        <v>29</v>
      </c>
      <c r="R4984" t="s">
        <v>42463</v>
      </c>
      <c r="S4984" t="s">
        <v>42464</v>
      </c>
    </row>
    <row r="4985" spans="1:19" x14ac:dyDescent="0.25">
      <c r="A4985" s="1">
        <v>4983</v>
      </c>
      <c r="B4985" t="str">
        <f>HYPERLINK("https://www.dasschnelle.at/m-hirnschal-installationen-grp-team-felixdorf-hauptstrasse","Website")</f>
        <v>Website</v>
      </c>
      <c r="C4985" t="str">
        <f>HYPERLINK("https://hirnschal-installationen.at","Website")</f>
        <v>Website</v>
      </c>
      <c r="D4985" t="str">
        <f>HYPERLINK("http://www.google.com/maps/place/47.88268,16.24363","Location")</f>
        <v>Location</v>
      </c>
      <c r="E4985" t="s">
        <v>42469</v>
      </c>
      <c r="F4985" t="s">
        <v>42470</v>
      </c>
      <c r="G4985" t="s">
        <v>42472</v>
      </c>
      <c r="H4985" t="s">
        <v>42473</v>
      </c>
      <c r="I4985" t="s">
        <v>177</v>
      </c>
      <c r="J4985" t="s">
        <v>22</v>
      </c>
      <c r="K4985" t="s">
        <v>42471</v>
      </c>
      <c r="L4985" t="s">
        <v>42476</v>
      </c>
      <c r="M4985" t="s">
        <v>25</v>
      </c>
      <c r="N4985" t="s">
        <v>42477</v>
      </c>
      <c r="O4985" t="s">
        <v>25</v>
      </c>
      <c r="P4985" t="s">
        <v>42478</v>
      </c>
      <c r="Q4985" t="s">
        <v>29</v>
      </c>
      <c r="R4985" t="s">
        <v>42474</v>
      </c>
      <c r="S4985" t="s">
        <v>42475</v>
      </c>
    </row>
    <row r="4986" spans="1:19" x14ac:dyDescent="0.25">
      <c r="A4986" s="1">
        <v>4984</v>
      </c>
      <c r="B4986" t="str">
        <f>HYPERLINK("https://www.dasschnelle.at/malermeister-manfred-gigerl-eibiswald-aichberg","Website")</f>
        <v>Website</v>
      </c>
      <c r="C4986" t="str">
        <f>HYPERLINK("https://www.dasschnelle.at/malermeister-manfred-gigerl-eibiswald-aichberg","Website")</f>
        <v>Website</v>
      </c>
      <c r="D4986" t="str">
        <f>HYPERLINK("http://www.google.com/maps/place/46.6923300,15.2334600","Location")</f>
        <v>Location</v>
      </c>
      <c r="E4986" t="s">
        <v>42479</v>
      </c>
      <c r="F4986" t="s">
        <v>42480</v>
      </c>
      <c r="G4986" t="s">
        <v>2901</v>
      </c>
      <c r="H4986" t="s">
        <v>2902</v>
      </c>
      <c r="I4986" t="s">
        <v>451</v>
      </c>
      <c r="J4986" t="s">
        <v>22</v>
      </c>
      <c r="K4986" t="s">
        <v>42481</v>
      </c>
      <c r="L4986" t="s">
        <v>42484</v>
      </c>
      <c r="M4986" t="s">
        <v>25</v>
      </c>
      <c r="N4986" t="s">
        <v>42485</v>
      </c>
      <c r="O4986" t="s">
        <v>25</v>
      </c>
      <c r="P4986" t="s">
        <v>42486</v>
      </c>
      <c r="Q4986" t="s">
        <v>29</v>
      </c>
      <c r="R4986" t="s">
        <v>42482</v>
      </c>
      <c r="S4986" t="s">
        <v>42483</v>
      </c>
    </row>
    <row r="4987" spans="1:19" x14ac:dyDescent="0.25">
      <c r="A4987" s="1">
        <v>4985</v>
      </c>
      <c r="B4987" t="str">
        <f>HYPERLINK("https://www.dasschnelle.at/mösl-thomas-wimm","Website")</f>
        <v>Website</v>
      </c>
      <c r="C4987" t="str">
        <f>HYPERLINK("http://www.moesl.com","Website")</f>
        <v>Website</v>
      </c>
      <c r="D4987" t="str">
        <f>HYPERLINK("http://www.google.com/maps/place/47.9019135,13.0951692","Location")</f>
        <v>Location</v>
      </c>
      <c r="E4987" t="s">
        <v>42487</v>
      </c>
      <c r="F4987" t="s">
        <v>42488</v>
      </c>
      <c r="G4987" t="s">
        <v>1412</v>
      </c>
      <c r="H4987" t="s">
        <v>42489</v>
      </c>
      <c r="I4987" t="s">
        <v>2239</v>
      </c>
      <c r="J4987" t="s">
        <v>22</v>
      </c>
      <c r="K4987" t="s">
        <v>25</v>
      </c>
      <c r="L4987" t="s">
        <v>42492</v>
      </c>
      <c r="M4987" t="s">
        <v>25</v>
      </c>
      <c r="N4987" t="s">
        <v>42493</v>
      </c>
      <c r="O4987" t="s">
        <v>42494</v>
      </c>
      <c r="P4987" t="s">
        <v>42495</v>
      </c>
      <c r="Q4987" t="s">
        <v>29</v>
      </c>
      <c r="R4987" t="s">
        <v>42490</v>
      </c>
      <c r="S4987" t="s">
        <v>42491</v>
      </c>
    </row>
    <row r="4988" spans="1:19" x14ac:dyDescent="0.25">
      <c r="A4988" s="1">
        <v>4986</v>
      </c>
      <c r="B4988" t="str">
        <f>HYPERLINK("https://www.dasschnelle.at/fleischerei-franz-fritz-st-stefan-st-stefan","Website")</f>
        <v>Website</v>
      </c>
      <c r="C4988" t="str">
        <f>HYPERLINK("http://www.fritzwurst.at","Website")</f>
        <v>Website</v>
      </c>
      <c r="D4988" t="str">
        <f>HYPERLINK("http://www.google.com/maps/place/46.9294455,15.2545742","Location")</f>
        <v>Location</v>
      </c>
      <c r="E4988" t="s">
        <v>42496</v>
      </c>
      <c r="F4988" t="s">
        <v>42497</v>
      </c>
      <c r="G4988" t="s">
        <v>42499</v>
      </c>
      <c r="H4988" t="s">
        <v>11373</v>
      </c>
      <c r="I4988" t="s">
        <v>451</v>
      </c>
      <c r="J4988" t="s">
        <v>22</v>
      </c>
      <c r="K4988" t="s">
        <v>42498</v>
      </c>
      <c r="L4988" t="s">
        <v>42502</v>
      </c>
      <c r="M4988" t="s">
        <v>25</v>
      </c>
      <c r="N4988" t="s">
        <v>25</v>
      </c>
      <c r="O4988" t="s">
        <v>25</v>
      </c>
      <c r="P4988" t="s">
        <v>42503</v>
      </c>
      <c r="Q4988" t="s">
        <v>29</v>
      </c>
      <c r="R4988" t="s">
        <v>42500</v>
      </c>
      <c r="S4988" t="s">
        <v>42501</v>
      </c>
    </row>
    <row r="4989" spans="1:19" x14ac:dyDescent="0.25">
      <c r="A4989" s="1">
        <v>4987</v>
      </c>
      <c r="B4989" t="str">
        <f>HYPERLINK("https://www.dasschnelle.at/red-zac-pauli-theresienfeld-flugfeldstrasse","Website")</f>
        <v>Website</v>
      </c>
      <c r="C4989" t="str">
        <f>HYPERLINK("http://www.redzac.at/pauli","Website")</f>
        <v>Website</v>
      </c>
      <c r="D4989" t="str">
        <f>HYPERLINK("http://www.google.com/maps/place/47.84676,16.24283","Location")</f>
        <v>Location</v>
      </c>
      <c r="E4989" t="s">
        <v>42504</v>
      </c>
      <c r="F4989" t="s">
        <v>42505</v>
      </c>
      <c r="G4989" t="s">
        <v>42507</v>
      </c>
      <c r="H4989" t="s">
        <v>42508</v>
      </c>
      <c r="I4989" t="s">
        <v>177</v>
      </c>
      <c r="J4989" t="s">
        <v>22</v>
      </c>
      <c r="K4989" t="s">
        <v>42506</v>
      </c>
      <c r="L4989" t="s">
        <v>42511</v>
      </c>
      <c r="M4989" t="s">
        <v>25</v>
      </c>
      <c r="N4989" t="s">
        <v>42512</v>
      </c>
      <c r="O4989" t="s">
        <v>42513</v>
      </c>
      <c r="P4989" t="s">
        <v>42514</v>
      </c>
      <c r="Q4989" t="s">
        <v>29</v>
      </c>
      <c r="R4989" t="s">
        <v>42509</v>
      </c>
      <c r="S4989" t="s">
        <v>42510</v>
      </c>
    </row>
    <row r="4990" spans="1:19" x14ac:dyDescent="0.25">
      <c r="A4990" s="1">
        <v>4988</v>
      </c>
      <c r="B4990" t="str">
        <f>HYPERLINK("https://www.dasschnelle.at/keplinger-siegfried-steyr-aschacherstraße","Website")</f>
        <v>Website</v>
      </c>
      <c r="C4990" t="str">
        <f>HYPERLINK("https://www.dasschnelle.at/keplinger-siegfried-steyr-aschacherstra%C3%9Fe","Website")</f>
        <v>Website</v>
      </c>
      <c r="D4990" t="str">
        <f>HYPERLINK("http://www.google.com/maps/place/48.05648,14.45147","Location")</f>
        <v>Location</v>
      </c>
      <c r="E4990" t="s">
        <v>42515</v>
      </c>
      <c r="F4990" t="s">
        <v>42516</v>
      </c>
      <c r="G4990" t="s">
        <v>95</v>
      </c>
      <c r="H4990" t="s">
        <v>96</v>
      </c>
      <c r="I4990" t="s">
        <v>85</v>
      </c>
      <c r="J4990" t="s">
        <v>22</v>
      </c>
      <c r="K4990" t="s">
        <v>42517</v>
      </c>
      <c r="L4990" t="s">
        <v>42520</v>
      </c>
      <c r="M4990" t="s">
        <v>25</v>
      </c>
      <c r="N4990" t="s">
        <v>42521</v>
      </c>
      <c r="O4990" t="s">
        <v>25</v>
      </c>
      <c r="P4990" t="s">
        <v>42522</v>
      </c>
      <c r="Q4990" t="s">
        <v>29</v>
      </c>
      <c r="R4990" t="s">
        <v>42518</v>
      </c>
      <c r="S4990" t="s">
        <v>42519</v>
      </c>
    </row>
    <row r="4991" spans="1:19" x14ac:dyDescent="0.25">
      <c r="A4991" s="1">
        <v>4989</v>
      </c>
      <c r="B4991" t="str">
        <f>HYPERLINK("https://www.dasschnelle.at/uhrenschmuck-winkler-völkermarkt-hauptplatz","Website")</f>
        <v>Website</v>
      </c>
      <c r="C4991" t="str">
        <f>HYPERLINK("http://www.schmuck-winkler.at","Website")</f>
        <v>Website</v>
      </c>
      <c r="D4991" t="str">
        <f>HYPERLINK("http://www.google.com/maps/place/46.6599800,14.6335000","Location")</f>
        <v>Location</v>
      </c>
      <c r="E4991" t="s">
        <v>42523</v>
      </c>
      <c r="F4991" t="s">
        <v>42524</v>
      </c>
      <c r="G4991" t="s">
        <v>5079</v>
      </c>
      <c r="H4991" t="s">
        <v>5080</v>
      </c>
      <c r="I4991" t="s">
        <v>4130</v>
      </c>
      <c r="J4991" t="s">
        <v>22</v>
      </c>
      <c r="K4991" t="s">
        <v>42525</v>
      </c>
      <c r="L4991" t="s">
        <v>42528</v>
      </c>
      <c r="M4991" t="s">
        <v>25</v>
      </c>
      <c r="N4991" t="s">
        <v>42529</v>
      </c>
      <c r="O4991" t="s">
        <v>25</v>
      </c>
      <c r="P4991" t="s">
        <v>42530</v>
      </c>
      <c r="Q4991" t="s">
        <v>29</v>
      </c>
      <c r="R4991" t="s">
        <v>42526</v>
      </c>
      <c r="S4991" t="s">
        <v>42527</v>
      </c>
    </row>
    <row r="4992" spans="1:19" x14ac:dyDescent="0.25">
      <c r="A4992" s="1">
        <v>4990</v>
      </c>
      <c r="B4992" t="str">
        <f>HYPERLINK("https://www.dasschnelle.at/weikos-versicherungsagentur-martina-weinmüllner-aspang-markt-andreas-hofer-straße","Website")</f>
        <v>Website</v>
      </c>
      <c r="C4992" t="str">
        <f>HYPERLINK("http://www.weikos.at","Website")</f>
        <v>Website</v>
      </c>
      <c r="D4992" t="str">
        <f>HYPERLINK("http://www.google.com/maps/place/47.5682200,16.0993600","Location")</f>
        <v>Location</v>
      </c>
      <c r="E4992" t="s">
        <v>42531</v>
      </c>
      <c r="F4992" t="s">
        <v>42532</v>
      </c>
      <c r="G4992" t="s">
        <v>5747</v>
      </c>
      <c r="H4992" t="s">
        <v>42534</v>
      </c>
      <c r="I4992" t="s">
        <v>177</v>
      </c>
      <c r="J4992" t="s">
        <v>22</v>
      </c>
      <c r="K4992" t="s">
        <v>42533</v>
      </c>
      <c r="L4992" t="s">
        <v>42537</v>
      </c>
      <c r="M4992" t="s">
        <v>25</v>
      </c>
      <c r="N4992" t="s">
        <v>42538</v>
      </c>
      <c r="O4992" t="s">
        <v>25</v>
      </c>
      <c r="P4992" t="s">
        <v>42539</v>
      </c>
      <c r="Q4992" t="s">
        <v>29</v>
      </c>
      <c r="R4992" t="s">
        <v>42535</v>
      </c>
      <c r="S4992" t="s">
        <v>42536</v>
      </c>
    </row>
    <row r="4993" spans="1:19" x14ac:dyDescent="0.25">
      <c r="A4993" s="1">
        <v>4991</v>
      </c>
      <c r="B4993" t="str">
        <f>HYPERLINK("https://www.dasschnelle.at/augusti-susanna-kottingbrunn-weidengasse","Website")</f>
        <v>Website</v>
      </c>
      <c r="C4993" t="str">
        <f>HYPERLINK("https://www.dasschnelle.at/augusti-susanna-kottingbrunn-weidengasse","Website")</f>
        <v>Website</v>
      </c>
      <c r="D4993" t="str">
        <f>HYPERLINK("http://www.google.com/maps/place/47.9615,16.23606","Location")</f>
        <v>Location</v>
      </c>
      <c r="E4993" t="s">
        <v>42540</v>
      </c>
      <c r="F4993" t="s">
        <v>42541</v>
      </c>
      <c r="G4993" t="s">
        <v>2147</v>
      </c>
      <c r="H4993" t="s">
        <v>2148</v>
      </c>
      <c r="I4993" t="s">
        <v>177</v>
      </c>
      <c r="J4993" t="s">
        <v>22</v>
      </c>
      <c r="K4993" t="s">
        <v>42542</v>
      </c>
      <c r="L4993" t="s">
        <v>42545</v>
      </c>
      <c r="M4993" t="s">
        <v>25</v>
      </c>
      <c r="N4993" t="s">
        <v>42546</v>
      </c>
      <c r="O4993" t="s">
        <v>25</v>
      </c>
      <c r="P4993" t="s">
        <v>42547</v>
      </c>
      <c r="Q4993" t="s">
        <v>29</v>
      </c>
      <c r="R4993" t="s">
        <v>42543</v>
      </c>
      <c r="S4993" t="s">
        <v>42544</v>
      </c>
    </row>
    <row r="4994" spans="1:19" x14ac:dyDescent="0.25">
      <c r="A4994" s="1">
        <v>4992</v>
      </c>
      <c r="B4994" t="str">
        <f>HYPERLINK("https://www.dasschnelle.at/installationen-fossler-würnitz-friedhofstraße","Website")</f>
        <v>Website</v>
      </c>
      <c r="C4994" t="str">
        <f>HYPERLINK("http://www.installateur-fossler.at","Website")</f>
        <v>Website</v>
      </c>
      <c r="D4994" t="str">
        <f>HYPERLINK("http://www.google.com/maps/place/48.42755,16.42041","Location")</f>
        <v>Location</v>
      </c>
      <c r="E4994" t="s">
        <v>42548</v>
      </c>
      <c r="F4994" t="s">
        <v>42549</v>
      </c>
      <c r="G4994" t="s">
        <v>42551</v>
      </c>
      <c r="H4994" t="s">
        <v>42552</v>
      </c>
      <c r="I4994" t="s">
        <v>177</v>
      </c>
      <c r="J4994" t="s">
        <v>22</v>
      </c>
      <c r="K4994" t="s">
        <v>42550</v>
      </c>
      <c r="L4994" t="s">
        <v>42555</v>
      </c>
      <c r="M4994" t="s">
        <v>25</v>
      </c>
      <c r="N4994" t="s">
        <v>42556</v>
      </c>
      <c r="O4994" t="s">
        <v>42557</v>
      </c>
      <c r="P4994" t="s">
        <v>42558</v>
      </c>
      <c r="Q4994" t="s">
        <v>29</v>
      </c>
      <c r="R4994" t="s">
        <v>42553</v>
      </c>
      <c r="S4994" t="s">
        <v>42554</v>
      </c>
    </row>
    <row r="4995" spans="1:19" x14ac:dyDescent="0.25">
      <c r="A4995" s="1">
        <v>4993</v>
      </c>
      <c r="B4995" t="str">
        <f>HYPERLINK("https://www.dasschnelle.at/kofler-tanja-dellach-st-daniel","Website")</f>
        <v>Website</v>
      </c>
      <c r="C4995" t="str">
        <f>HYPERLINK("https://www.dasschnelle.at/kofler-tanja-dellach-st-daniel","Website")</f>
        <v>Website</v>
      </c>
      <c r="D4995" t="str">
        <f>HYPERLINK("http://www.google.com/maps/place/46.6625892,13.0570593","Location")</f>
        <v>Location</v>
      </c>
      <c r="E4995" t="s">
        <v>42559</v>
      </c>
      <c r="F4995" t="s">
        <v>42560</v>
      </c>
      <c r="G4995" t="s">
        <v>9134</v>
      </c>
      <c r="H4995" t="s">
        <v>9135</v>
      </c>
      <c r="I4995" t="s">
        <v>4130</v>
      </c>
      <c r="J4995" t="s">
        <v>22</v>
      </c>
      <c r="K4995" t="s">
        <v>42561</v>
      </c>
      <c r="L4995" t="s">
        <v>42564</v>
      </c>
      <c r="M4995" t="s">
        <v>25</v>
      </c>
      <c r="N4995" t="s">
        <v>42565</v>
      </c>
      <c r="O4995" t="s">
        <v>25</v>
      </c>
      <c r="P4995" t="s">
        <v>42566</v>
      </c>
      <c r="Q4995" t="s">
        <v>29</v>
      </c>
      <c r="R4995" t="s">
        <v>42562</v>
      </c>
      <c r="S4995" t="s">
        <v>42563</v>
      </c>
    </row>
    <row r="4996" spans="1:19" x14ac:dyDescent="0.25">
      <c r="A4996" s="1">
        <v>4994</v>
      </c>
      <c r="B4996" t="str">
        <f>HYPERLINK("https://www.dasschnelle.at/kaburek-mario-göpfritz-an-der-wild-scheideldorf","Website")</f>
        <v>Website</v>
      </c>
      <c r="C4996" t="str">
        <f>HYPERLINK("https://www.dasschnelle.at/kaburek-mario-g%C3%B6pfritz-an-der-wild-scheideldorf","Website")</f>
        <v>Website</v>
      </c>
      <c r="D4996" t="str">
        <f>HYPERLINK("http://www.google.com/maps/place/48.7380167,15.3389035","Location")</f>
        <v>Location</v>
      </c>
      <c r="E4996" t="s">
        <v>42567</v>
      </c>
      <c r="F4996" t="s">
        <v>42568</v>
      </c>
      <c r="G4996" t="s">
        <v>11261</v>
      </c>
      <c r="H4996" t="s">
        <v>11262</v>
      </c>
      <c r="I4996" t="s">
        <v>177</v>
      </c>
      <c r="J4996" t="s">
        <v>22</v>
      </c>
      <c r="K4996" t="s">
        <v>42569</v>
      </c>
      <c r="L4996" t="s">
        <v>42572</v>
      </c>
      <c r="M4996" t="s">
        <v>25</v>
      </c>
      <c r="N4996" t="s">
        <v>42573</v>
      </c>
      <c r="O4996" t="s">
        <v>25</v>
      </c>
      <c r="P4996" t="s">
        <v>42574</v>
      </c>
      <c r="Q4996" t="s">
        <v>29</v>
      </c>
      <c r="R4996" t="s">
        <v>42570</v>
      </c>
      <c r="S4996" t="s">
        <v>42571</v>
      </c>
    </row>
    <row r="4997" spans="1:19" x14ac:dyDescent="0.25">
      <c r="A4997" s="1">
        <v>4995</v>
      </c>
      <c r="B4997" t="str">
        <f>HYPERLINK("https://www.dasschnelle.at/guri-ferdinant-gmunden-cumberlandpark","Website")</f>
        <v>Website</v>
      </c>
      <c r="C4997" t="str">
        <f>HYPERLINK("https://www.dasschnelle.at/guri-ferdinant-gmunden-cumberlandpark","Website")</f>
        <v>Website</v>
      </c>
      <c r="D4997" t="str">
        <f>HYPERLINK("http://www.google.com/maps/place/47.9280600,13.8027400","Location")</f>
        <v>Location</v>
      </c>
      <c r="E4997" t="s">
        <v>42575</v>
      </c>
      <c r="F4997" t="s">
        <v>42576</v>
      </c>
      <c r="G4997" t="s">
        <v>6951</v>
      </c>
      <c r="H4997" t="s">
        <v>6952</v>
      </c>
      <c r="I4997" t="s">
        <v>85</v>
      </c>
      <c r="J4997" t="s">
        <v>22</v>
      </c>
      <c r="K4997" t="s">
        <v>42577</v>
      </c>
      <c r="L4997" t="s">
        <v>42580</v>
      </c>
      <c r="M4997" t="s">
        <v>42581</v>
      </c>
      <c r="N4997" t="s">
        <v>42582</v>
      </c>
      <c r="O4997" t="s">
        <v>25</v>
      </c>
      <c r="P4997" t="s">
        <v>42583</v>
      </c>
      <c r="Q4997" t="s">
        <v>29</v>
      </c>
      <c r="R4997" t="s">
        <v>42578</v>
      </c>
      <c r="S4997" t="s">
        <v>42579</v>
      </c>
    </row>
    <row r="4998" spans="1:19" x14ac:dyDescent="0.25">
      <c r="A4998" s="1">
        <v>4996</v>
      </c>
      <c r="B4998" t="str">
        <f>HYPERLINK("https://www.dasschnelle.at/gaston-giefing-e-u-klosterneuburg-aufeldgasse","Website")</f>
        <v>Website</v>
      </c>
      <c r="C4998" t="str">
        <f>HYPERLINK("http://www.schlosserei-giefing.at","Website")</f>
        <v>Website</v>
      </c>
      <c r="D4998" t="str">
        <f>HYPERLINK("http://www.google.com/maps/place/48.29055,16.3396","Location")</f>
        <v>Location</v>
      </c>
      <c r="E4998" t="s">
        <v>42584</v>
      </c>
      <c r="F4998" t="s">
        <v>42585</v>
      </c>
      <c r="G4998" t="s">
        <v>10308</v>
      </c>
      <c r="H4998" t="s">
        <v>10317</v>
      </c>
      <c r="I4998" t="s">
        <v>177</v>
      </c>
      <c r="J4998" t="s">
        <v>22</v>
      </c>
      <c r="K4998" t="s">
        <v>42586</v>
      </c>
      <c r="L4998" t="s">
        <v>42589</v>
      </c>
      <c r="M4998" t="s">
        <v>25</v>
      </c>
      <c r="N4998" t="s">
        <v>42590</v>
      </c>
      <c r="O4998" t="s">
        <v>42591</v>
      </c>
      <c r="P4998" t="s">
        <v>42592</v>
      </c>
      <c r="Q4998" t="s">
        <v>29</v>
      </c>
      <c r="R4998" t="s">
        <v>42587</v>
      </c>
      <c r="S4998" t="s">
        <v>42588</v>
      </c>
    </row>
    <row r="4999" spans="1:19" x14ac:dyDescent="0.25">
      <c r="A4999" s="1">
        <v>4997</v>
      </c>
      <c r="B4999" t="str">
        <f>HYPERLINK("https://www.dasschnelle.at/mohamed-salah-tlig-st-andrä-wördern-römerstraße","Website")</f>
        <v>Website</v>
      </c>
      <c r="C4999" t="str">
        <f>HYPERLINK("https://www.tlig.at/","Website")</f>
        <v>Website</v>
      </c>
      <c r="D4999" t="str">
        <f>HYPERLINK("http://www.google.com/maps/place/48.3308000,16.2219100","Location")</f>
        <v>Location</v>
      </c>
      <c r="E4999" t="s">
        <v>42593</v>
      </c>
      <c r="F4999" t="s">
        <v>42594</v>
      </c>
      <c r="G4999" t="s">
        <v>27899</v>
      </c>
      <c r="H4999" t="s">
        <v>27900</v>
      </c>
      <c r="I4999" t="s">
        <v>177</v>
      </c>
      <c r="J4999" t="s">
        <v>22</v>
      </c>
      <c r="K4999" t="s">
        <v>5542</v>
      </c>
      <c r="L4999" t="s">
        <v>42597</v>
      </c>
      <c r="M4999" t="s">
        <v>25</v>
      </c>
      <c r="N4999" t="s">
        <v>42598</v>
      </c>
      <c r="O4999" t="s">
        <v>25</v>
      </c>
      <c r="P4999" t="s">
        <v>42599</v>
      </c>
      <c r="Q4999" t="s">
        <v>29</v>
      </c>
      <c r="R4999" t="s">
        <v>42595</v>
      </c>
      <c r="S4999" t="s">
        <v>42596</v>
      </c>
    </row>
    <row r="5000" spans="1:19" x14ac:dyDescent="0.25">
      <c r="A5000" s="1">
        <v>4998</v>
      </c>
      <c r="B5000" t="str">
        <f>HYPERLINK("https://www.dasschnelle.at/riegler-richard-dr-med-pöllau-lamberggasse","Website")</f>
        <v>Website</v>
      </c>
      <c r="C5000" t="str">
        <f>HYPERLINK("http://www.marktgemeinde-poellau.at","Website")</f>
        <v>Website</v>
      </c>
      <c r="D5000" t="str">
        <f>HYPERLINK("http://www.google.com/maps/place/47.29976,15.83396","Location")</f>
        <v>Location</v>
      </c>
      <c r="E5000" t="s">
        <v>42600</v>
      </c>
      <c r="F5000" t="s">
        <v>42601</v>
      </c>
      <c r="G5000" t="s">
        <v>34859</v>
      </c>
      <c r="H5000" t="s">
        <v>34860</v>
      </c>
      <c r="I5000" t="s">
        <v>451</v>
      </c>
      <c r="J5000" t="s">
        <v>22</v>
      </c>
      <c r="K5000" t="s">
        <v>42602</v>
      </c>
      <c r="L5000" t="s">
        <v>42605</v>
      </c>
      <c r="M5000" t="s">
        <v>42606</v>
      </c>
      <c r="N5000" t="s">
        <v>42607</v>
      </c>
      <c r="O5000" t="s">
        <v>25</v>
      </c>
      <c r="P5000" t="s">
        <v>42608</v>
      </c>
      <c r="Q5000" t="s">
        <v>29</v>
      </c>
      <c r="R5000" t="s">
        <v>42603</v>
      </c>
      <c r="S5000" t="s">
        <v>42604</v>
      </c>
    </row>
    <row r="5001" spans="1:19" x14ac:dyDescent="0.25">
      <c r="A5001" s="1">
        <v>4999</v>
      </c>
      <c r="B5001" t="str">
        <f>HYPERLINK("https://www.dasschnelle.at/pickem-reinhard-mautern-austraße","Website")</f>
        <v>Website</v>
      </c>
      <c r="C5001" t="str">
        <f>HYPERLINK("http://www.pickemsonne.at","Website")</f>
        <v>Website</v>
      </c>
      <c r="D5001" t="str">
        <f>HYPERLINK("http://www.google.com/maps/place/48.37818,15.60949","Location")</f>
        <v>Location</v>
      </c>
      <c r="E5001" t="s">
        <v>42609</v>
      </c>
      <c r="F5001" t="s">
        <v>42610</v>
      </c>
      <c r="G5001" t="s">
        <v>349</v>
      </c>
      <c r="H5001" t="s">
        <v>15236</v>
      </c>
      <c r="I5001" t="s">
        <v>177</v>
      </c>
      <c r="J5001" t="s">
        <v>22</v>
      </c>
      <c r="K5001" t="s">
        <v>42611</v>
      </c>
      <c r="L5001" t="s">
        <v>42614</v>
      </c>
      <c r="M5001" t="s">
        <v>25</v>
      </c>
      <c r="N5001" t="s">
        <v>42615</v>
      </c>
      <c r="O5001" t="s">
        <v>25</v>
      </c>
      <c r="P5001" t="s">
        <v>42616</v>
      </c>
      <c r="Q5001" t="s">
        <v>29</v>
      </c>
      <c r="R5001" t="s">
        <v>42612</v>
      </c>
      <c r="S5001" t="s">
        <v>42613</v>
      </c>
    </row>
    <row r="5002" spans="1:19" x14ac:dyDescent="0.25">
      <c r="A5002" s="1">
        <v>5000</v>
      </c>
      <c r="B5002" t="str">
        <f>HYPERLINK("https://www.dasschnelle.at/monis-grillhendl-kirchham-kirchham","Website")</f>
        <v>Website</v>
      </c>
      <c r="C5002" t="str">
        <f>HYPERLINK("http://www.monis-grillhendl.at","Website")</f>
        <v>Website</v>
      </c>
      <c r="D5002" t="str">
        <f>HYPERLINK("http://www.google.com/maps/place/47.9709495,13.8979729","Location")</f>
        <v>Location</v>
      </c>
      <c r="E5002" t="s">
        <v>42617</v>
      </c>
      <c r="F5002" t="s">
        <v>42618</v>
      </c>
      <c r="G5002" t="s">
        <v>6970</v>
      </c>
      <c r="H5002" t="s">
        <v>6971</v>
      </c>
      <c r="I5002" t="s">
        <v>85</v>
      </c>
      <c r="J5002" t="s">
        <v>22</v>
      </c>
      <c r="K5002" t="s">
        <v>42619</v>
      </c>
      <c r="L5002" t="s">
        <v>42622</v>
      </c>
      <c r="M5002" t="s">
        <v>25</v>
      </c>
      <c r="N5002" t="s">
        <v>42623</v>
      </c>
      <c r="O5002" t="s">
        <v>42624</v>
      </c>
      <c r="P5002" t="s">
        <v>42625</v>
      </c>
      <c r="Q5002" t="s">
        <v>29</v>
      </c>
      <c r="R5002" t="s">
        <v>42620</v>
      </c>
      <c r="S5002" t="s">
        <v>42621</v>
      </c>
    </row>
    <row r="5003" spans="1:19" x14ac:dyDescent="0.25">
      <c r="A5003" s="1">
        <v>5001</v>
      </c>
      <c r="B5003" t="str">
        <f>HYPERLINK("https://www.dasschnelle.at/obermüller-rudolf-neufelden-gärtnerweg","Website")</f>
        <v>Website</v>
      </c>
      <c r="C5003" t="str">
        <f>HYPERLINK("http://www.malerei-obermueller.at","Website")</f>
        <v>Website</v>
      </c>
      <c r="D5003" t="str">
        <f>HYPERLINK("http://www.google.com/maps/place/48.4728278,13.8362732","Location")</f>
        <v>Location</v>
      </c>
      <c r="E5003" t="s">
        <v>42626</v>
      </c>
      <c r="F5003" t="s">
        <v>42627</v>
      </c>
      <c r="G5003" t="s">
        <v>35885</v>
      </c>
      <c r="H5003" t="s">
        <v>35886</v>
      </c>
      <c r="I5003" t="s">
        <v>85</v>
      </c>
      <c r="J5003" t="s">
        <v>22</v>
      </c>
      <c r="K5003" t="s">
        <v>42628</v>
      </c>
      <c r="L5003" t="s">
        <v>42631</v>
      </c>
      <c r="M5003" t="s">
        <v>25</v>
      </c>
      <c r="N5003" t="s">
        <v>42632</v>
      </c>
      <c r="O5003" t="s">
        <v>25</v>
      </c>
      <c r="P5003" t="s">
        <v>42633</v>
      </c>
      <c r="Q5003" t="s">
        <v>29</v>
      </c>
      <c r="R5003" t="s">
        <v>42629</v>
      </c>
      <c r="S5003" t="s">
        <v>42630</v>
      </c>
    </row>
    <row r="5004" spans="1:19" x14ac:dyDescent="0.25">
      <c r="A5004" s="1">
        <v>5002</v>
      </c>
      <c r="B5004" t="str">
        <f>HYPERLINK("https://www.dasschnelle.at/plischke-sandra-dr-med-kitzbühel-achenweg","Website")</f>
        <v>Website</v>
      </c>
      <c r="C5004" t="str">
        <f>HYPERLINK("http://www.dr-plischke.at","Website")</f>
        <v>Website</v>
      </c>
      <c r="D5004" t="str">
        <f>HYPERLINK("http://www.google.com/maps/place/47.45098,12.39125","Location")</f>
        <v>Location</v>
      </c>
      <c r="E5004" t="s">
        <v>42634</v>
      </c>
      <c r="F5004" t="s">
        <v>42635</v>
      </c>
      <c r="G5004" t="s">
        <v>833</v>
      </c>
      <c r="H5004" t="s">
        <v>834</v>
      </c>
      <c r="I5004" t="s">
        <v>21</v>
      </c>
      <c r="J5004" t="s">
        <v>22</v>
      </c>
      <c r="K5004" t="s">
        <v>42636</v>
      </c>
      <c r="L5004" t="s">
        <v>42639</v>
      </c>
      <c r="M5004" t="s">
        <v>25</v>
      </c>
      <c r="N5004" t="s">
        <v>42640</v>
      </c>
      <c r="O5004" t="s">
        <v>25</v>
      </c>
      <c r="P5004" t="s">
        <v>42641</v>
      </c>
      <c r="Q5004" t="s">
        <v>29</v>
      </c>
      <c r="R5004" t="s">
        <v>42637</v>
      </c>
      <c r="S5004" t="s">
        <v>42638</v>
      </c>
    </row>
    <row r="5005" spans="1:19" x14ac:dyDescent="0.25">
      <c r="A5005" s="1">
        <v>5003</v>
      </c>
      <c r="B5005" t="str">
        <f>HYPERLINK("https://www.dasschnelle.at/pizzeria-ossi-st-stefan-ob-stainz-st-stefan-ob-stainz","Website")</f>
        <v>Website</v>
      </c>
      <c r="C5005" t="str">
        <f>HYPERLINK("https://www.dasschnelle.at/pizzeria-ossi-st-stefan-ob-stainz-st-stefan-ob-stainz","Website")</f>
        <v>Website</v>
      </c>
      <c r="D5005" t="str">
        <f>HYPERLINK("http://www.google.com/maps/place/46.9305932,15.2500383","Location")</f>
        <v>Location</v>
      </c>
      <c r="E5005" t="s">
        <v>42642</v>
      </c>
      <c r="F5005" t="s">
        <v>42643</v>
      </c>
      <c r="G5005" t="s">
        <v>42499</v>
      </c>
      <c r="H5005" t="s">
        <v>42645</v>
      </c>
      <c r="I5005" t="s">
        <v>451</v>
      </c>
      <c r="J5005" t="s">
        <v>22</v>
      </c>
      <c r="K5005" t="s">
        <v>42644</v>
      </c>
      <c r="L5005" t="s">
        <v>42648</v>
      </c>
      <c r="M5005" t="s">
        <v>25</v>
      </c>
      <c r="N5005" t="s">
        <v>25</v>
      </c>
      <c r="O5005" t="s">
        <v>25</v>
      </c>
      <c r="P5005" t="s">
        <v>42649</v>
      </c>
      <c r="Q5005" t="s">
        <v>29</v>
      </c>
      <c r="R5005" t="s">
        <v>42646</v>
      </c>
      <c r="S5005" t="s">
        <v>42647</v>
      </c>
    </row>
    <row r="5006" spans="1:19" x14ac:dyDescent="0.25">
      <c r="A5006" s="1">
        <v>5004</v>
      </c>
      <c r="B5006" t="str">
        <f>HYPERLINK("https://www.dasschnelle.at/versfinanz-mag-lasch-und-partner-gesellschaft-mbh-eferding-polsenz","Website")</f>
        <v>Website</v>
      </c>
      <c r="C5006" t="str">
        <f>HYPERLINK("http://www.versfinanz.at","Website")</f>
        <v>Website</v>
      </c>
      <c r="D5006" t="str">
        <f>HYPERLINK("http://www.google.com/maps/place/48.2995415,14.0116367","Location")</f>
        <v>Location</v>
      </c>
      <c r="E5006" t="s">
        <v>42650</v>
      </c>
      <c r="F5006" t="s">
        <v>42651</v>
      </c>
      <c r="G5006" t="s">
        <v>3101</v>
      </c>
      <c r="H5006" t="s">
        <v>3102</v>
      </c>
      <c r="I5006" t="s">
        <v>85</v>
      </c>
      <c r="J5006" t="s">
        <v>22</v>
      </c>
      <c r="K5006" t="s">
        <v>42652</v>
      </c>
      <c r="L5006" t="s">
        <v>42655</v>
      </c>
      <c r="M5006" t="s">
        <v>25</v>
      </c>
      <c r="N5006" t="s">
        <v>42656</v>
      </c>
      <c r="O5006" t="s">
        <v>25</v>
      </c>
      <c r="P5006" t="s">
        <v>42657</v>
      </c>
      <c r="Q5006" t="s">
        <v>29</v>
      </c>
      <c r="R5006" t="s">
        <v>42653</v>
      </c>
      <c r="S5006" t="s">
        <v>42654</v>
      </c>
    </row>
    <row r="5007" spans="1:19" x14ac:dyDescent="0.25">
      <c r="A5007" s="1">
        <v>5005</v>
      </c>
      <c r="B5007" t="str">
        <f>HYPERLINK("https://www.dasschnelle.at/physiotherapie-meusburger-mieming-dr-siegfried-gapp-weg","Website")</f>
        <v>Website</v>
      </c>
      <c r="C5007" t="str">
        <f>HYPERLINK("http://www.dryneedling.at","Website")</f>
        <v>Website</v>
      </c>
      <c r="D5007" t="str">
        <f>HYPERLINK("http://www.google.com/maps/place/47.3063,10.96564","Location")</f>
        <v>Location</v>
      </c>
      <c r="E5007" t="s">
        <v>42658</v>
      </c>
      <c r="F5007" t="s">
        <v>42659</v>
      </c>
      <c r="G5007" t="s">
        <v>42661</v>
      </c>
      <c r="H5007" t="s">
        <v>42662</v>
      </c>
      <c r="I5007" t="s">
        <v>21</v>
      </c>
      <c r="J5007" t="s">
        <v>22</v>
      </c>
      <c r="K5007" t="s">
        <v>42660</v>
      </c>
      <c r="L5007" t="s">
        <v>42665</v>
      </c>
      <c r="M5007" t="s">
        <v>25</v>
      </c>
      <c r="N5007" t="s">
        <v>42666</v>
      </c>
      <c r="O5007" t="s">
        <v>25</v>
      </c>
      <c r="P5007" t="s">
        <v>42667</v>
      </c>
      <c r="Q5007" t="s">
        <v>29</v>
      </c>
      <c r="R5007" t="s">
        <v>42663</v>
      </c>
      <c r="S5007" t="s">
        <v>42664</v>
      </c>
    </row>
    <row r="5008" spans="1:19" x14ac:dyDescent="0.25">
      <c r="A5008" s="1">
        <v>5006</v>
      </c>
      <c r="B5008" t="str">
        <f>HYPERLINK("https://www.dasschnelle.at/mitterer-tamara-greifenburg-hauptstraße","Website")</f>
        <v>Website</v>
      </c>
      <c r="C5008" t="str">
        <f>HYPERLINK("http://www.stylingteam-tamara.at","Website")</f>
        <v>Website</v>
      </c>
      <c r="D5008" t="str">
        <f>HYPERLINK("http://www.google.com/maps/place/46.7507,13.18069","Location")</f>
        <v>Location</v>
      </c>
      <c r="E5008" t="s">
        <v>42668</v>
      </c>
      <c r="F5008" t="s">
        <v>42669</v>
      </c>
      <c r="G5008" t="s">
        <v>42670</v>
      </c>
      <c r="H5008" t="s">
        <v>42671</v>
      </c>
      <c r="I5008" t="s">
        <v>4130</v>
      </c>
      <c r="J5008" t="s">
        <v>22</v>
      </c>
      <c r="K5008" t="s">
        <v>8829</v>
      </c>
      <c r="L5008" t="s">
        <v>42674</v>
      </c>
      <c r="M5008" t="s">
        <v>25</v>
      </c>
      <c r="N5008" t="s">
        <v>42675</v>
      </c>
      <c r="O5008" t="s">
        <v>25</v>
      </c>
      <c r="P5008" t="s">
        <v>42676</v>
      </c>
      <c r="Q5008" t="s">
        <v>29</v>
      </c>
      <c r="R5008" t="s">
        <v>42672</v>
      </c>
      <c r="S5008" t="s">
        <v>42673</v>
      </c>
    </row>
    <row r="5009" spans="1:19" x14ac:dyDescent="0.25">
      <c r="A5009" s="1">
        <v>5007</v>
      </c>
      <c r="B5009" t="str">
        <f>HYPERLINK("https://www.dasschnelle.at/stepan-hannes-jennersdorf-hauptstraße","Website")</f>
        <v>Website</v>
      </c>
      <c r="C5009" t="str">
        <f>HYPERLINK("http://www.ehrenhofer.at","Website")</f>
        <v>Website</v>
      </c>
      <c r="D5009" t="str">
        <f>HYPERLINK("http://www.google.com/maps/place/46.93774,16.11042","Location")</f>
        <v>Location</v>
      </c>
      <c r="E5009" t="s">
        <v>42677</v>
      </c>
      <c r="F5009" t="s">
        <v>42678</v>
      </c>
      <c r="G5009" t="s">
        <v>6602</v>
      </c>
      <c r="H5009" t="s">
        <v>6603</v>
      </c>
      <c r="I5009" t="s">
        <v>1834</v>
      </c>
      <c r="J5009" t="s">
        <v>22</v>
      </c>
      <c r="K5009" t="s">
        <v>42679</v>
      </c>
      <c r="L5009" t="s">
        <v>42682</v>
      </c>
      <c r="M5009" t="s">
        <v>42683</v>
      </c>
      <c r="N5009" t="s">
        <v>42684</v>
      </c>
      <c r="O5009" t="s">
        <v>25</v>
      </c>
      <c r="P5009" t="s">
        <v>42685</v>
      </c>
      <c r="Q5009" t="s">
        <v>29</v>
      </c>
      <c r="R5009" t="s">
        <v>42680</v>
      </c>
      <c r="S5009" t="s">
        <v>42681</v>
      </c>
    </row>
    <row r="5010" spans="1:19" x14ac:dyDescent="0.25">
      <c r="A5010" s="1">
        <v>5008</v>
      </c>
      <c r="B5010" t="str">
        <f>HYPERLINK("https://www.dasschnelle.at/gartenbau-langer-fürstenfeld-stadtbergenweg","Website")</f>
        <v>Website</v>
      </c>
      <c r="C5010" t="str">
        <f>HYPERLINK("http://www.blumen-langer.at","Website")</f>
        <v>Website</v>
      </c>
      <c r="D5010" t="str">
        <f>HYPERLINK("http://www.google.com/maps/place/47.05149,16.06719","Location")</f>
        <v>Location</v>
      </c>
      <c r="E5010" t="s">
        <v>42686</v>
      </c>
      <c r="F5010" t="s">
        <v>42687</v>
      </c>
      <c r="G5010" t="s">
        <v>24441</v>
      </c>
      <c r="H5010" t="s">
        <v>24442</v>
      </c>
      <c r="I5010" t="s">
        <v>451</v>
      </c>
      <c r="J5010" t="s">
        <v>22</v>
      </c>
      <c r="K5010" t="s">
        <v>42688</v>
      </c>
      <c r="L5010" t="s">
        <v>42691</v>
      </c>
      <c r="M5010" t="s">
        <v>25</v>
      </c>
      <c r="N5010" t="s">
        <v>42692</v>
      </c>
      <c r="O5010" t="s">
        <v>25</v>
      </c>
      <c r="P5010" t="s">
        <v>42693</v>
      </c>
      <c r="Q5010" t="s">
        <v>29</v>
      </c>
      <c r="R5010" t="s">
        <v>42689</v>
      </c>
      <c r="S5010" t="s">
        <v>42690</v>
      </c>
    </row>
    <row r="5011" spans="1:19" x14ac:dyDescent="0.25">
      <c r="A5011" s="1">
        <v>5009</v>
      </c>
      <c r="B5011" t="str">
        <f>HYPERLINK("https://www.dasschnelle.at/spar-markt-reidling-leopold-figl-platz","Website")</f>
        <v>Website</v>
      </c>
      <c r="C5011" t="str">
        <f>HYPERLINK("https://www.dasschnelle.at/spar-markt-reidling-leopold-figl-platz","Website")</f>
        <v>Website</v>
      </c>
      <c r="D5011" t="str">
        <f>HYPERLINK("http://www.google.com/maps/place/48.31899,15.818","Location")</f>
        <v>Location</v>
      </c>
      <c r="E5011" t="s">
        <v>42694</v>
      </c>
      <c r="F5011" t="s">
        <v>42695</v>
      </c>
      <c r="G5011" t="s">
        <v>42697</v>
      </c>
      <c r="H5011" t="s">
        <v>42698</v>
      </c>
      <c r="I5011" t="s">
        <v>177</v>
      </c>
      <c r="J5011" t="s">
        <v>22</v>
      </c>
      <c r="K5011" t="s">
        <v>42696</v>
      </c>
      <c r="L5011" t="s">
        <v>42701</v>
      </c>
      <c r="M5011" t="s">
        <v>25</v>
      </c>
      <c r="N5011" t="s">
        <v>42702</v>
      </c>
      <c r="O5011" t="s">
        <v>25</v>
      </c>
      <c r="P5011" t="s">
        <v>42703</v>
      </c>
      <c r="Q5011" t="s">
        <v>29</v>
      </c>
      <c r="R5011" t="s">
        <v>42699</v>
      </c>
      <c r="S5011" t="s">
        <v>42700</v>
      </c>
    </row>
    <row r="5012" spans="1:19" x14ac:dyDescent="0.25">
      <c r="A5012" s="1">
        <v>5010</v>
      </c>
      <c r="B5012" t="str">
        <f>HYPERLINK("https://www.dasschnelle.at/schwaiger-schwanenstadt-sparkassenplatz","Website")</f>
        <v>Website</v>
      </c>
      <c r="C5012" t="str">
        <f>HYPERLINK("http://www.sehenundverstehen.at","Website")</f>
        <v>Website</v>
      </c>
      <c r="D5012" t="str">
        <f>HYPERLINK("http://www.google.com/maps/place/48.05502,13.77626","Location")</f>
        <v>Location</v>
      </c>
      <c r="E5012" t="s">
        <v>42704</v>
      </c>
      <c r="F5012" t="s">
        <v>42705</v>
      </c>
      <c r="G5012" t="s">
        <v>27331</v>
      </c>
      <c r="H5012" t="s">
        <v>27332</v>
      </c>
      <c r="I5012" t="s">
        <v>85</v>
      </c>
      <c r="J5012" t="s">
        <v>22</v>
      </c>
      <c r="K5012" t="s">
        <v>42706</v>
      </c>
      <c r="L5012" t="s">
        <v>42709</v>
      </c>
      <c r="M5012" t="s">
        <v>42710</v>
      </c>
      <c r="N5012" t="s">
        <v>42711</v>
      </c>
      <c r="O5012" t="s">
        <v>25</v>
      </c>
      <c r="P5012" t="s">
        <v>42712</v>
      </c>
      <c r="Q5012" t="s">
        <v>29</v>
      </c>
      <c r="R5012" t="s">
        <v>42707</v>
      </c>
      <c r="S5012" t="s">
        <v>42708</v>
      </c>
    </row>
    <row r="5013" spans="1:19" x14ac:dyDescent="0.25">
      <c r="A5013" s="1">
        <v>5011</v>
      </c>
      <c r="B5013" t="str">
        <f>HYPERLINK("https://www.dasschnelle.at/strasser-markt-handelsgmbh-perg-bahnhofstraße","Website")</f>
        <v>Website</v>
      </c>
      <c r="C5013" t="str">
        <f>HYPERLINK("http://www.strasser-markt.at","Website")</f>
        <v>Website</v>
      </c>
      <c r="D5013" t="str">
        <f>HYPERLINK("http://www.google.com/maps/place/48.24908,14.63038","Location")</f>
        <v>Location</v>
      </c>
      <c r="E5013" t="s">
        <v>42713</v>
      </c>
      <c r="F5013" t="s">
        <v>42714</v>
      </c>
      <c r="G5013" t="s">
        <v>6379</v>
      </c>
      <c r="H5013" t="s">
        <v>6380</v>
      </c>
      <c r="I5013" t="s">
        <v>85</v>
      </c>
      <c r="J5013" t="s">
        <v>22</v>
      </c>
      <c r="K5013" t="s">
        <v>11092</v>
      </c>
      <c r="L5013" t="s">
        <v>42717</v>
      </c>
      <c r="M5013" t="s">
        <v>42718</v>
      </c>
      <c r="N5013" t="s">
        <v>42719</v>
      </c>
      <c r="O5013" t="s">
        <v>25</v>
      </c>
      <c r="P5013" t="s">
        <v>42720</v>
      </c>
      <c r="Q5013" t="s">
        <v>29</v>
      </c>
      <c r="R5013" t="s">
        <v>42715</v>
      </c>
      <c r="S5013" t="s">
        <v>42716</v>
      </c>
    </row>
    <row r="5014" spans="1:19" x14ac:dyDescent="0.25">
      <c r="A5014" s="1">
        <v>5012</v>
      </c>
      <c r="B5014" t="str">
        <f>HYPERLINK("https://www.dasschnelle.at/stoll-matthias-dr-med-gmunden-am-graben","Website")</f>
        <v>Website</v>
      </c>
      <c r="C5014" t="str">
        <f>HYPERLINK("https://www.dasschnelle.at/stoll-matthias-dr-med-gmunden-am-graben","Website")</f>
        <v>Website</v>
      </c>
      <c r="D5014" t="str">
        <f>HYPERLINK("http://www.google.com/maps/place/47.91842,13.798","Location")</f>
        <v>Location</v>
      </c>
      <c r="E5014" t="s">
        <v>42721</v>
      </c>
      <c r="F5014" t="s">
        <v>42722</v>
      </c>
      <c r="G5014" t="s">
        <v>6951</v>
      </c>
      <c r="H5014" t="s">
        <v>6952</v>
      </c>
      <c r="I5014" t="s">
        <v>85</v>
      </c>
      <c r="J5014" t="s">
        <v>22</v>
      </c>
      <c r="K5014" t="s">
        <v>42723</v>
      </c>
      <c r="L5014" t="s">
        <v>42726</v>
      </c>
      <c r="M5014" t="s">
        <v>25</v>
      </c>
      <c r="N5014" t="s">
        <v>25</v>
      </c>
      <c r="O5014" t="s">
        <v>25</v>
      </c>
      <c r="P5014" t="s">
        <v>42727</v>
      </c>
      <c r="Q5014" t="s">
        <v>29</v>
      </c>
      <c r="R5014" t="s">
        <v>42724</v>
      </c>
      <c r="S5014" t="s">
        <v>42725</v>
      </c>
    </row>
    <row r="5015" spans="1:19" x14ac:dyDescent="0.25">
      <c r="A5015" s="1">
        <v>5013</v>
      </c>
      <c r="B5015" t="str">
        <f>HYPERLINK("https://www.dasschnelle.at/riegler-brüder-gmbh-enns-mainstraße","Website")</f>
        <v>Website</v>
      </c>
      <c r="C5015" t="str">
        <f>HYPERLINK("http://www.b-riegler.at","Website")</f>
        <v>Website</v>
      </c>
      <c r="D5015" t="str">
        <f>HYPERLINK("http://www.google.com/maps/place/48.2274400,14.4911800","Location")</f>
        <v>Location</v>
      </c>
      <c r="E5015" t="s">
        <v>42728</v>
      </c>
      <c r="F5015" t="s">
        <v>42729</v>
      </c>
      <c r="G5015" t="s">
        <v>3307</v>
      </c>
      <c r="H5015" t="s">
        <v>3308</v>
      </c>
      <c r="I5015" t="s">
        <v>85</v>
      </c>
      <c r="J5015" t="s">
        <v>22</v>
      </c>
      <c r="K5015" t="s">
        <v>42730</v>
      </c>
      <c r="L5015" t="s">
        <v>42733</v>
      </c>
      <c r="M5015" t="s">
        <v>25</v>
      </c>
      <c r="N5015" t="s">
        <v>42734</v>
      </c>
      <c r="O5015" t="s">
        <v>25</v>
      </c>
      <c r="P5015" t="s">
        <v>42735</v>
      </c>
      <c r="Q5015" t="s">
        <v>29</v>
      </c>
      <c r="R5015" t="s">
        <v>42731</v>
      </c>
      <c r="S5015" t="s">
        <v>42732</v>
      </c>
    </row>
    <row r="5016" spans="1:19" x14ac:dyDescent="0.25">
      <c r="A5016" s="1">
        <v>5014</v>
      </c>
      <c r="B5016" t="str">
        <f>HYPERLINK("https://www.dasschnelle.at/w-und-g-montageprofi-füssen-kemptenerstraße","Website")</f>
        <v>Website</v>
      </c>
      <c r="C5016" t="str">
        <f>HYPERLINK("http://wug-montageprofi.at","Website")</f>
        <v>Website</v>
      </c>
      <c r="D5016" t="str">
        <f>HYPERLINK("http://www.google.com/maps/place/47.5681048,10.6768565","Location")</f>
        <v>Location</v>
      </c>
      <c r="E5016" t="s">
        <v>42736</v>
      </c>
      <c r="F5016" t="s">
        <v>42737</v>
      </c>
      <c r="G5016" t="s">
        <v>42739</v>
      </c>
      <c r="H5016" t="s">
        <v>42740</v>
      </c>
      <c r="I5016" t="s">
        <v>25</v>
      </c>
      <c r="J5016" t="s">
        <v>22</v>
      </c>
      <c r="K5016" t="s">
        <v>42738</v>
      </c>
      <c r="L5016" t="s">
        <v>42743</v>
      </c>
      <c r="M5016" t="s">
        <v>25</v>
      </c>
      <c r="N5016" t="s">
        <v>42744</v>
      </c>
      <c r="O5016" t="s">
        <v>42745</v>
      </c>
      <c r="P5016" t="s">
        <v>42746</v>
      </c>
      <c r="Q5016" t="s">
        <v>29</v>
      </c>
      <c r="R5016" t="s">
        <v>42741</v>
      </c>
      <c r="S5016" t="s">
        <v>42742</v>
      </c>
    </row>
    <row r="5017" spans="1:19" x14ac:dyDescent="0.25">
      <c r="A5017" s="1">
        <v>5015</v>
      </c>
      <c r="B5017" t="str">
        <f>HYPERLINK("https://www.dasschnelle.at/kleissner-j-spengler-u-dachdecker-gmbh-tillmitsch-gewerbepark","Website")</f>
        <v>Website</v>
      </c>
      <c r="C5017" t="str">
        <f>HYPERLINK("http://www.kleissner-dach.at","Website")</f>
        <v>Website</v>
      </c>
      <c r="D5017" t="str">
        <f>HYPERLINK("http://www.google.com/maps/place/46.81453,15.53183","Location")</f>
        <v>Location</v>
      </c>
      <c r="E5017" t="s">
        <v>42747</v>
      </c>
      <c r="F5017" t="s">
        <v>42748</v>
      </c>
      <c r="G5017" t="s">
        <v>1003</v>
      </c>
      <c r="H5017" t="s">
        <v>1004</v>
      </c>
      <c r="I5017" t="s">
        <v>451</v>
      </c>
      <c r="J5017" t="s">
        <v>22</v>
      </c>
      <c r="K5017" t="s">
        <v>42749</v>
      </c>
      <c r="L5017" t="s">
        <v>42752</v>
      </c>
      <c r="M5017" t="s">
        <v>25</v>
      </c>
      <c r="N5017" t="s">
        <v>42753</v>
      </c>
      <c r="O5017" t="s">
        <v>25</v>
      </c>
      <c r="P5017" t="s">
        <v>42754</v>
      </c>
      <c r="Q5017" t="s">
        <v>29</v>
      </c>
      <c r="R5017" t="s">
        <v>42750</v>
      </c>
      <c r="S5017" t="s">
        <v>42751</v>
      </c>
    </row>
    <row r="5018" spans="1:19" x14ac:dyDescent="0.25">
      <c r="A5018" s="1">
        <v>5016</v>
      </c>
      <c r="B5018" t="str">
        <f>HYPERLINK("https://www.dasschnelle.at/bestattung-ploberger-vöcklabruck-vorstadt","Website")</f>
        <v>Website</v>
      </c>
      <c r="C5018" t="str">
        <f>HYPERLINK("http://www.bestattung-ploberger.com","Website")</f>
        <v>Website</v>
      </c>
      <c r="D5018" t="str">
        <f>HYPERLINK("http://www.google.com/maps/place/48.00949,13.65657","Location")</f>
        <v>Location</v>
      </c>
      <c r="E5018" t="s">
        <v>42755</v>
      </c>
      <c r="F5018" t="s">
        <v>42756</v>
      </c>
      <c r="G5018" t="s">
        <v>3749</v>
      </c>
      <c r="H5018" t="s">
        <v>3750</v>
      </c>
      <c r="I5018" t="s">
        <v>85</v>
      </c>
      <c r="J5018" t="s">
        <v>22</v>
      </c>
      <c r="K5018" t="s">
        <v>42757</v>
      </c>
      <c r="L5018" t="s">
        <v>42760</v>
      </c>
      <c r="M5018" t="s">
        <v>25</v>
      </c>
      <c r="N5018" t="s">
        <v>42761</v>
      </c>
      <c r="O5018" t="s">
        <v>42762</v>
      </c>
      <c r="P5018" t="s">
        <v>42763</v>
      </c>
      <c r="Q5018" t="s">
        <v>29</v>
      </c>
      <c r="R5018" t="s">
        <v>42758</v>
      </c>
      <c r="S5018" t="s">
        <v>42759</v>
      </c>
    </row>
    <row r="5019" spans="1:19" x14ac:dyDescent="0.25">
      <c r="A5019" s="1">
        <v>5017</v>
      </c>
      <c r="B5019" t="str">
        <f>HYPERLINK("https://www.dasschnelle.at/preinfalk-peter-dr-med-univ-freistadt-promenade","Website")</f>
        <v>Website</v>
      </c>
      <c r="C5019" t="str">
        <f>HYPERLINK("https://www.dasschnelle.at/preinfalk-peter-dr-med-univ-freistadt-promenade","Website")</f>
        <v>Website</v>
      </c>
      <c r="D5019" t="str">
        <f>HYPERLINK("http://www.google.com/maps/place/48.51074,14.50124","Location")</f>
        <v>Location</v>
      </c>
      <c r="E5019" t="s">
        <v>42764</v>
      </c>
      <c r="F5019" t="s">
        <v>42765</v>
      </c>
      <c r="G5019" t="s">
        <v>6891</v>
      </c>
      <c r="H5019" t="s">
        <v>6892</v>
      </c>
      <c r="I5019" t="s">
        <v>85</v>
      </c>
      <c r="J5019" t="s">
        <v>22</v>
      </c>
      <c r="K5019" t="s">
        <v>42766</v>
      </c>
      <c r="L5019" t="s">
        <v>42769</v>
      </c>
      <c r="M5019" t="s">
        <v>25</v>
      </c>
      <c r="N5019" t="s">
        <v>25</v>
      </c>
      <c r="O5019" t="s">
        <v>25</v>
      </c>
      <c r="P5019" t="s">
        <v>42770</v>
      </c>
      <c r="Q5019" t="s">
        <v>29</v>
      </c>
      <c r="R5019" t="s">
        <v>42767</v>
      </c>
      <c r="S5019" t="s">
        <v>42768</v>
      </c>
    </row>
    <row r="5020" spans="1:19" x14ac:dyDescent="0.25">
      <c r="A5020" s="1">
        <v>5018</v>
      </c>
      <c r="B5020" t="str">
        <f>HYPERLINK("https://www.dasschnelle.at/mayrhofer-lisa-kefermarkt-am-bahnhof","Website")</f>
        <v>Website</v>
      </c>
      <c r="C5020" t="str">
        <f>HYPERLINK("http://www.schnittpunktlisa.at","Website")</f>
        <v>Website</v>
      </c>
      <c r="D5020" t="str">
        <f>HYPERLINK("http://www.google.com/maps/place/48.43942,14.53802","Location")</f>
        <v>Location</v>
      </c>
      <c r="E5020" t="s">
        <v>42771</v>
      </c>
      <c r="F5020" t="s">
        <v>42772</v>
      </c>
      <c r="G5020" t="s">
        <v>42774</v>
      </c>
      <c r="H5020" t="s">
        <v>42775</v>
      </c>
      <c r="I5020" t="s">
        <v>85</v>
      </c>
      <c r="J5020" t="s">
        <v>22</v>
      </c>
      <c r="K5020" t="s">
        <v>42773</v>
      </c>
      <c r="L5020" t="s">
        <v>42778</v>
      </c>
      <c r="M5020" t="s">
        <v>25</v>
      </c>
      <c r="N5020" t="s">
        <v>42779</v>
      </c>
      <c r="O5020" t="s">
        <v>25</v>
      </c>
      <c r="P5020" t="s">
        <v>42780</v>
      </c>
      <c r="Q5020" t="s">
        <v>29</v>
      </c>
      <c r="R5020" t="s">
        <v>42776</v>
      </c>
      <c r="S5020" t="s">
        <v>42777</v>
      </c>
    </row>
    <row r="5021" spans="1:19" x14ac:dyDescent="0.25">
      <c r="A5021" s="1">
        <v>5019</v>
      </c>
      <c r="B5021" t="str">
        <f>HYPERLINK("https://www.dasschnelle.at/süß-transporte-gmbh-und-co-kg-haid-haid","Website")</f>
        <v>Website</v>
      </c>
      <c r="C5021" t="str">
        <f>HYPERLINK("http://www.transporte-suess.at","Website")</f>
        <v>Website</v>
      </c>
      <c r="D5021" t="str">
        <f>HYPERLINK("http://www.google.com/maps/place/48.5308430,14.2670178","Location")</f>
        <v>Location</v>
      </c>
      <c r="E5021" t="s">
        <v>42781</v>
      </c>
      <c r="F5021" t="s">
        <v>42782</v>
      </c>
      <c r="G5021" t="s">
        <v>4093</v>
      </c>
      <c r="H5021" t="s">
        <v>19275</v>
      </c>
      <c r="I5021" t="s">
        <v>85</v>
      </c>
      <c r="J5021" t="s">
        <v>22</v>
      </c>
      <c r="K5021" t="s">
        <v>42783</v>
      </c>
      <c r="L5021" t="s">
        <v>42786</v>
      </c>
      <c r="M5021" t="s">
        <v>42787</v>
      </c>
      <c r="N5021" t="s">
        <v>42788</v>
      </c>
      <c r="O5021" t="s">
        <v>25</v>
      </c>
      <c r="P5021" t="s">
        <v>42789</v>
      </c>
      <c r="Q5021" t="s">
        <v>29</v>
      </c>
      <c r="R5021" t="s">
        <v>42784</v>
      </c>
      <c r="S5021" t="s">
        <v>42785</v>
      </c>
    </row>
    <row r="5022" spans="1:19" x14ac:dyDescent="0.25">
      <c r="A5022" s="1">
        <v>5020</v>
      </c>
      <c r="B5022" t="str">
        <f>HYPERLINK("https://www.dasschnelle.at/mitterecker-bau-und-fachmarkt-gmbh-zell-an-der-pram-andorfer-straße","Website")</f>
        <v>Website</v>
      </c>
      <c r="C5022" t="str">
        <f>HYPERLINK("http://www.mitterecker.at","Website")</f>
        <v>Website</v>
      </c>
      <c r="D5022" t="str">
        <f>HYPERLINK("http://www.google.com/maps/place/48.31917,13.62668","Location")</f>
        <v>Location</v>
      </c>
      <c r="E5022" t="s">
        <v>42790</v>
      </c>
      <c r="F5022" t="s">
        <v>42791</v>
      </c>
      <c r="G5022" t="s">
        <v>24500</v>
      </c>
      <c r="H5022" t="s">
        <v>24501</v>
      </c>
      <c r="I5022" t="s">
        <v>85</v>
      </c>
      <c r="J5022" t="s">
        <v>22</v>
      </c>
      <c r="K5022" t="s">
        <v>42792</v>
      </c>
      <c r="L5022" t="s">
        <v>42795</v>
      </c>
      <c r="M5022" t="s">
        <v>42796</v>
      </c>
      <c r="N5022" t="s">
        <v>42797</v>
      </c>
      <c r="O5022" t="s">
        <v>25</v>
      </c>
      <c r="P5022" t="s">
        <v>42798</v>
      </c>
      <c r="Q5022" t="s">
        <v>29</v>
      </c>
      <c r="R5022" t="s">
        <v>42793</v>
      </c>
      <c r="S5022" t="s">
        <v>42794</v>
      </c>
    </row>
    <row r="5023" spans="1:19" x14ac:dyDescent="0.25">
      <c r="A5023" s="1">
        <v>5021</v>
      </c>
      <c r="B5023" t="str">
        <f>HYPERLINK("https://www.dasschnelle.at/brantsch-elektrotechnik-gmbh-peggau-hinterbergstraße","Website")</f>
        <v>Website</v>
      </c>
      <c r="C5023" t="str">
        <f>HYPERLINK("https://www.dasschnelle.at/brantsch-elektrotechnik-gmbh-peggau-hinterbergstra%C3%9Fe","Website")</f>
        <v>Website</v>
      </c>
      <c r="D5023" t="str">
        <f>HYPERLINK("http://www.google.com/maps/place/47.1988200,15.3494300","Location")</f>
        <v>Location</v>
      </c>
      <c r="E5023" t="s">
        <v>42799</v>
      </c>
      <c r="F5023" t="s">
        <v>42800</v>
      </c>
      <c r="G5023" t="s">
        <v>7930</v>
      </c>
      <c r="H5023" t="s">
        <v>7931</v>
      </c>
      <c r="I5023" t="s">
        <v>451</v>
      </c>
      <c r="J5023" t="s">
        <v>22</v>
      </c>
      <c r="K5023" t="s">
        <v>42801</v>
      </c>
      <c r="L5023" t="s">
        <v>42804</v>
      </c>
      <c r="M5023" t="s">
        <v>42805</v>
      </c>
      <c r="N5023" t="s">
        <v>42806</v>
      </c>
      <c r="O5023" t="s">
        <v>25</v>
      </c>
      <c r="P5023" t="s">
        <v>42807</v>
      </c>
      <c r="Q5023" t="s">
        <v>29</v>
      </c>
      <c r="R5023" t="s">
        <v>42802</v>
      </c>
      <c r="S5023" t="s">
        <v>42803</v>
      </c>
    </row>
    <row r="5024" spans="1:19" x14ac:dyDescent="0.25">
      <c r="A5024" s="1">
        <v>5022</v>
      </c>
      <c r="B5024" t="str">
        <f>HYPERLINK("https://www.dasschnelle.at/schönegger-gmbh-st-peter-in-der-au-mark-betriebsgebiet-west","Website")</f>
        <v>Website</v>
      </c>
      <c r="C5024" t="str">
        <f>HYPERLINK("http://www.bessergehen.at","Website")</f>
        <v>Website</v>
      </c>
      <c r="D5024" t="str">
        <f>HYPERLINK("http://www.google.com/maps/place/48.04216,14.60967","Location")</f>
        <v>Location</v>
      </c>
      <c r="E5024" t="s">
        <v>42808</v>
      </c>
      <c r="F5024" t="s">
        <v>42809</v>
      </c>
      <c r="G5024" t="s">
        <v>9341</v>
      </c>
      <c r="H5024" t="s">
        <v>9441</v>
      </c>
      <c r="I5024" t="s">
        <v>177</v>
      </c>
      <c r="J5024" t="s">
        <v>22</v>
      </c>
      <c r="K5024" t="s">
        <v>42810</v>
      </c>
      <c r="L5024" t="s">
        <v>42813</v>
      </c>
      <c r="M5024" t="s">
        <v>25</v>
      </c>
      <c r="N5024" t="s">
        <v>42814</v>
      </c>
      <c r="O5024" t="s">
        <v>25</v>
      </c>
      <c r="P5024" t="s">
        <v>42815</v>
      </c>
      <c r="Q5024" t="s">
        <v>29</v>
      </c>
      <c r="R5024" t="s">
        <v>42811</v>
      </c>
      <c r="S5024" t="s">
        <v>42812</v>
      </c>
    </row>
    <row r="5025" spans="1:19" x14ac:dyDescent="0.25">
      <c r="A5025" s="1">
        <v>5023</v>
      </c>
      <c r="B5025" t="str">
        <f>HYPERLINK("https://www.dasschnelle.at/hufnagl-agnes-mag-groß-siegharts-lange-gasse","Website")</f>
        <v>Website</v>
      </c>
      <c r="C5025" t="str">
        <f>HYPERLINK("https://www.dasschnelle.at/hufnagl-agnes-mag-gro%C3%9F-siegharts-lange-gasse","Website")</f>
        <v>Website</v>
      </c>
      <c r="D5025" t="str">
        <f>HYPERLINK("http://www.google.com/maps/place/48.7906229,15.4007088","Location")</f>
        <v>Location</v>
      </c>
      <c r="E5025" t="s">
        <v>42816</v>
      </c>
      <c r="F5025" t="s">
        <v>42817</v>
      </c>
      <c r="G5025" t="s">
        <v>24538</v>
      </c>
      <c r="H5025" t="s">
        <v>24539</v>
      </c>
      <c r="I5025" t="s">
        <v>177</v>
      </c>
      <c r="J5025" t="s">
        <v>22</v>
      </c>
      <c r="K5025" t="s">
        <v>42818</v>
      </c>
      <c r="L5025" t="s">
        <v>42821</v>
      </c>
      <c r="M5025" t="s">
        <v>25</v>
      </c>
      <c r="N5025" t="s">
        <v>42822</v>
      </c>
      <c r="O5025" t="s">
        <v>25</v>
      </c>
      <c r="P5025" t="s">
        <v>42823</v>
      </c>
      <c r="Q5025" t="s">
        <v>29</v>
      </c>
      <c r="R5025" t="s">
        <v>42819</v>
      </c>
      <c r="S5025" t="s">
        <v>42820</v>
      </c>
    </row>
    <row r="5026" spans="1:19" x14ac:dyDescent="0.25">
      <c r="A5026" s="1">
        <v>5024</v>
      </c>
      <c r="B5026" t="str">
        <f>HYPERLINK("https://www.dasschnelle.at/unimet-metallverarbeitung-gmbh-und-co-kg-ungenach-ungenach","Website")</f>
        <v>Website</v>
      </c>
      <c r="C5026" t="str">
        <f>HYPERLINK("http://www.unimet.at","Website")</f>
        <v>Website</v>
      </c>
      <c r="D5026" t="str">
        <f>HYPERLINK("http://www.google.com/maps/place/48.0423339,13.6107470","Location")</f>
        <v>Location</v>
      </c>
      <c r="E5026" t="s">
        <v>42824</v>
      </c>
      <c r="F5026" t="s">
        <v>42825</v>
      </c>
      <c r="G5026" t="s">
        <v>42827</v>
      </c>
      <c r="H5026" t="s">
        <v>42828</v>
      </c>
      <c r="I5026" t="s">
        <v>85</v>
      </c>
      <c r="J5026" t="s">
        <v>22</v>
      </c>
      <c r="K5026" t="s">
        <v>42826</v>
      </c>
      <c r="L5026" t="s">
        <v>42831</v>
      </c>
      <c r="M5026" t="s">
        <v>42832</v>
      </c>
      <c r="N5026" t="s">
        <v>42833</v>
      </c>
      <c r="O5026" t="s">
        <v>25</v>
      </c>
      <c r="P5026" t="s">
        <v>42834</v>
      </c>
      <c r="Q5026" t="s">
        <v>29</v>
      </c>
      <c r="R5026" t="s">
        <v>42829</v>
      </c>
      <c r="S5026" t="s">
        <v>42830</v>
      </c>
    </row>
    <row r="5027" spans="1:19" x14ac:dyDescent="0.25">
      <c r="A5027" s="1">
        <v>5025</v>
      </c>
      <c r="B5027" t="str">
        <f>HYPERLINK("https://www.dasschnelle.at/puretrans-language-services-e-u-zell-am-pettenfirst-bruck","Website")</f>
        <v>Website</v>
      </c>
      <c r="C5027" t="str">
        <f>HYPERLINK("http://www.puretrans.com","Website")</f>
        <v>Website</v>
      </c>
      <c r="D5027" t="str">
        <f>HYPERLINK("http://www.google.com/maps/place/48.0723589,13.5782756","Location")</f>
        <v>Location</v>
      </c>
      <c r="E5027" t="s">
        <v>42835</v>
      </c>
      <c r="F5027" t="s">
        <v>42836</v>
      </c>
      <c r="G5027" t="s">
        <v>27855</v>
      </c>
      <c r="H5027" t="s">
        <v>27856</v>
      </c>
      <c r="I5027" t="s">
        <v>85</v>
      </c>
      <c r="J5027" t="s">
        <v>22</v>
      </c>
      <c r="K5027" t="s">
        <v>42837</v>
      </c>
      <c r="L5027" t="s">
        <v>42840</v>
      </c>
      <c r="M5027" t="s">
        <v>25</v>
      </c>
      <c r="N5027" t="s">
        <v>42841</v>
      </c>
      <c r="O5027" t="s">
        <v>25</v>
      </c>
      <c r="P5027" t="s">
        <v>42842</v>
      </c>
      <c r="Q5027" t="s">
        <v>29</v>
      </c>
      <c r="R5027" t="s">
        <v>42838</v>
      </c>
      <c r="S5027" t="s">
        <v>42839</v>
      </c>
    </row>
    <row r="5028" spans="1:19" x14ac:dyDescent="0.25">
      <c r="A5028" s="1">
        <v>5026</v>
      </c>
      <c r="B5028" t="str">
        <f>HYPERLINK("https://www.dasschnelle.at/gsth-zur-post-schörfling-marktplatz","Website")</f>
        <v>Website</v>
      </c>
      <c r="C5028" t="str">
        <f>HYPERLINK("http://www.gasthof-zur-post-koderhold.at","Website")</f>
        <v>Website</v>
      </c>
      <c r="D5028" t="str">
        <f>HYPERLINK("http://www.google.com/maps/place/47.9464704,13.6043736","Location")</f>
        <v>Location</v>
      </c>
      <c r="E5028" t="s">
        <v>42843</v>
      </c>
      <c r="F5028" t="s">
        <v>42844</v>
      </c>
      <c r="G5028" t="s">
        <v>3851</v>
      </c>
      <c r="H5028" t="s">
        <v>3852</v>
      </c>
      <c r="I5028" t="s">
        <v>85</v>
      </c>
      <c r="J5028" t="s">
        <v>22</v>
      </c>
      <c r="K5028" t="s">
        <v>42845</v>
      </c>
      <c r="L5028" t="s">
        <v>42848</v>
      </c>
      <c r="M5028" t="s">
        <v>25</v>
      </c>
      <c r="N5028" t="s">
        <v>42849</v>
      </c>
      <c r="O5028" t="s">
        <v>25</v>
      </c>
      <c r="P5028" t="s">
        <v>42850</v>
      </c>
      <c r="Q5028" t="s">
        <v>29</v>
      </c>
      <c r="R5028" t="s">
        <v>42846</v>
      </c>
      <c r="S5028" t="s">
        <v>42847</v>
      </c>
    </row>
    <row r="5029" spans="1:19" x14ac:dyDescent="0.25">
      <c r="A5029" s="1">
        <v>5027</v>
      </c>
      <c r="B5029" t="str">
        <f>HYPERLINK("https://www.dasschnelle.at/kienast-johannes-mag-zwettl-hamerlingstraße","Website")</f>
        <v>Website</v>
      </c>
      <c r="C5029" t="str">
        <f>HYPERLINK("http://www.notariat.zwettl.at","Website")</f>
        <v>Website</v>
      </c>
      <c r="D5029" t="str">
        <f>HYPERLINK("http://www.google.com/maps/place/48.60554,15.16785","Location")</f>
        <v>Location</v>
      </c>
      <c r="E5029" t="s">
        <v>42851</v>
      </c>
      <c r="F5029" t="s">
        <v>42852</v>
      </c>
      <c r="G5029" t="s">
        <v>10518</v>
      </c>
      <c r="H5029" t="s">
        <v>10791</v>
      </c>
      <c r="I5029" t="s">
        <v>177</v>
      </c>
      <c r="J5029" t="s">
        <v>22</v>
      </c>
      <c r="K5029" t="s">
        <v>42853</v>
      </c>
      <c r="L5029" t="s">
        <v>42856</v>
      </c>
      <c r="M5029" t="s">
        <v>42857</v>
      </c>
      <c r="N5029" t="s">
        <v>42858</v>
      </c>
      <c r="O5029" t="s">
        <v>25</v>
      </c>
      <c r="P5029" t="s">
        <v>42859</v>
      </c>
      <c r="Q5029" t="s">
        <v>29</v>
      </c>
      <c r="R5029" t="s">
        <v>42854</v>
      </c>
      <c r="S5029" t="s">
        <v>42855</v>
      </c>
    </row>
    <row r="5030" spans="1:19" x14ac:dyDescent="0.25">
      <c r="A5030" s="1">
        <v>5028</v>
      </c>
      <c r="B5030" t="str">
        <f>HYPERLINK("https://www.dasschnelle.at/kury-georg-hermagor-hauptstraße","Website")</f>
        <v>Website</v>
      </c>
      <c r="C5030" t="str">
        <f>HYPERLINK("http://www.kury.eu","Website")</f>
        <v>Website</v>
      </c>
      <c r="D5030" t="str">
        <f>HYPERLINK("http://www.google.com/maps/place/46.62742,13.36997","Location")</f>
        <v>Location</v>
      </c>
      <c r="E5030" t="s">
        <v>42860</v>
      </c>
      <c r="F5030" t="s">
        <v>42861</v>
      </c>
      <c r="G5030" t="s">
        <v>9153</v>
      </c>
      <c r="H5030" t="s">
        <v>9154</v>
      </c>
      <c r="I5030" t="s">
        <v>4130</v>
      </c>
      <c r="J5030" t="s">
        <v>22</v>
      </c>
      <c r="K5030" t="s">
        <v>6211</v>
      </c>
      <c r="L5030" t="s">
        <v>42864</v>
      </c>
      <c r="M5030" t="s">
        <v>42865</v>
      </c>
      <c r="N5030" t="s">
        <v>42866</v>
      </c>
      <c r="O5030" t="s">
        <v>25</v>
      </c>
      <c r="P5030" t="s">
        <v>42867</v>
      </c>
      <c r="Q5030" t="s">
        <v>29</v>
      </c>
      <c r="R5030" t="s">
        <v>42862</v>
      </c>
      <c r="S5030" t="s">
        <v>42863</v>
      </c>
    </row>
    <row r="5031" spans="1:19" x14ac:dyDescent="0.25">
      <c r="A5031" s="1">
        <v>5029</v>
      </c>
      <c r="B5031" t="str">
        <f>HYPERLINK("https://www.dasschnelle.at/enzi-wolfgang-ebbs-kleinfeld","Website")</f>
        <v>Website</v>
      </c>
      <c r="C5031" t="str">
        <f>HYPERLINK("http://www.malerei-enzi.at","Website")</f>
        <v>Website</v>
      </c>
      <c r="D5031" t="str">
        <f>HYPERLINK("http://www.google.com/maps/place/47.62279,12.21028","Location")</f>
        <v>Location</v>
      </c>
      <c r="E5031" t="s">
        <v>42868</v>
      </c>
      <c r="F5031" t="s">
        <v>42869</v>
      </c>
      <c r="G5031" t="s">
        <v>62</v>
      </c>
      <c r="H5031" t="s">
        <v>9100</v>
      </c>
      <c r="I5031" t="s">
        <v>21</v>
      </c>
      <c r="J5031" t="s">
        <v>22</v>
      </c>
      <c r="K5031" t="s">
        <v>42870</v>
      </c>
      <c r="L5031" t="s">
        <v>42873</v>
      </c>
      <c r="M5031" t="s">
        <v>25</v>
      </c>
      <c r="N5031" t="s">
        <v>42874</v>
      </c>
      <c r="O5031" t="s">
        <v>25</v>
      </c>
      <c r="P5031" t="s">
        <v>42875</v>
      </c>
      <c r="Q5031" t="s">
        <v>29</v>
      </c>
      <c r="R5031" t="s">
        <v>42871</v>
      </c>
      <c r="S5031" t="s">
        <v>42872</v>
      </c>
    </row>
    <row r="5032" spans="1:19" x14ac:dyDescent="0.25">
      <c r="A5032" s="1">
        <v>5030</v>
      </c>
      <c r="B5032" t="str">
        <f>HYPERLINK("https://www.dasschnelle.at/schweighofer-franz-b-ac-mondsee-keuschen","Website")</f>
        <v>Website</v>
      </c>
      <c r="C5032" t="str">
        <f>HYPERLINK("http://www.haustechnik-schweighofer-mondsee.at","Website")</f>
        <v>Website</v>
      </c>
      <c r="D5032" t="str">
        <f>HYPERLINK("http://www.google.com/maps/place/47.8369454,13.2979940","Location")</f>
        <v>Location</v>
      </c>
      <c r="E5032" t="s">
        <v>42876</v>
      </c>
      <c r="F5032" t="s">
        <v>42877</v>
      </c>
      <c r="G5032" t="s">
        <v>6543</v>
      </c>
      <c r="H5032" t="s">
        <v>6544</v>
      </c>
      <c r="I5032" t="s">
        <v>85</v>
      </c>
      <c r="J5032" t="s">
        <v>22</v>
      </c>
      <c r="K5032" t="s">
        <v>42878</v>
      </c>
      <c r="L5032" t="s">
        <v>42879</v>
      </c>
      <c r="M5032" t="s">
        <v>25</v>
      </c>
      <c r="N5032" t="s">
        <v>42880</v>
      </c>
      <c r="O5032" t="s">
        <v>25</v>
      </c>
      <c r="P5032" t="s">
        <v>42881</v>
      </c>
      <c r="Q5032" t="s">
        <v>29</v>
      </c>
      <c r="R5032" t="s">
        <v>34215</v>
      </c>
      <c r="S5032" t="s">
        <v>34216</v>
      </c>
    </row>
    <row r="5033" spans="1:19" x14ac:dyDescent="0.25">
      <c r="A5033" s="1">
        <v>5031</v>
      </c>
      <c r="B5033" t="str">
        <f>HYPERLINK("https://www.dasschnelle.at/wastian-gitschtal-reisen-gmbh-weißbriach-weißbriach","Website")</f>
        <v>Website</v>
      </c>
      <c r="C5033" t="str">
        <f>HYPERLINK("http://www.gitschtalreisen-wastian.at","Website")</f>
        <v>Website</v>
      </c>
      <c r="D5033" t="str">
        <f>HYPERLINK("http://www.google.com/maps/place/46.6868257,13.2531933","Location")</f>
        <v>Location</v>
      </c>
      <c r="E5033" t="s">
        <v>42882</v>
      </c>
      <c r="F5033" t="s">
        <v>42883</v>
      </c>
      <c r="G5033" t="s">
        <v>42885</v>
      </c>
      <c r="H5033" t="s">
        <v>42886</v>
      </c>
      <c r="I5033" t="s">
        <v>4130</v>
      </c>
      <c r="J5033" t="s">
        <v>22</v>
      </c>
      <c r="K5033" t="s">
        <v>42884</v>
      </c>
      <c r="L5033" t="s">
        <v>42889</v>
      </c>
      <c r="M5033" t="s">
        <v>42890</v>
      </c>
      <c r="N5033" t="s">
        <v>42891</v>
      </c>
      <c r="O5033" t="s">
        <v>25</v>
      </c>
      <c r="P5033" t="s">
        <v>42892</v>
      </c>
      <c r="Q5033" t="s">
        <v>29</v>
      </c>
      <c r="R5033" t="s">
        <v>42887</v>
      </c>
      <c r="S5033" t="s">
        <v>42888</v>
      </c>
    </row>
    <row r="5034" spans="1:19" x14ac:dyDescent="0.25">
      <c r="A5034" s="1">
        <v>5032</v>
      </c>
      <c r="B5034" t="str">
        <f>HYPERLINK("https://www.dasschnelle.at/stiftstaverne-rein-rein-rein","Website")</f>
        <v>Website</v>
      </c>
      <c r="C5034" t="str">
        <f>HYPERLINK("http://www.stiftstaverne-rein.com","Website")</f>
        <v>Website</v>
      </c>
      <c r="D5034" t="str">
        <f>HYPERLINK("http://www.google.com/maps/place/47.1364873,15.2850030","Location")</f>
        <v>Location</v>
      </c>
      <c r="E5034" t="s">
        <v>42893</v>
      </c>
      <c r="F5034" t="s">
        <v>42894</v>
      </c>
      <c r="G5034" t="s">
        <v>33108</v>
      </c>
      <c r="H5034" t="s">
        <v>33109</v>
      </c>
      <c r="I5034" t="s">
        <v>451</v>
      </c>
      <c r="J5034" t="s">
        <v>22</v>
      </c>
      <c r="K5034" t="s">
        <v>42895</v>
      </c>
      <c r="L5034" t="s">
        <v>42898</v>
      </c>
      <c r="M5034" t="s">
        <v>25</v>
      </c>
      <c r="N5034" t="s">
        <v>42899</v>
      </c>
      <c r="O5034" t="s">
        <v>25</v>
      </c>
      <c r="P5034" t="s">
        <v>42900</v>
      </c>
      <c r="Q5034" t="s">
        <v>29</v>
      </c>
      <c r="R5034" t="s">
        <v>42896</v>
      </c>
      <c r="S5034" t="s">
        <v>42897</v>
      </c>
    </row>
    <row r="5035" spans="1:19" x14ac:dyDescent="0.25">
      <c r="A5035" s="1">
        <v>5033</v>
      </c>
      <c r="B5035" t="str">
        <f>HYPERLINK("https://www.dasschnelle.at/versicherungsbüro-premm-gmbh-korneuburg-hauptplatz","Website")</f>
        <v>Website</v>
      </c>
      <c r="C5035" t="str">
        <f>HYPERLINK("http://www.premm.at","Website")</f>
        <v>Website</v>
      </c>
      <c r="D5035" t="str">
        <f>HYPERLINK("http://www.google.com/maps/place/48.3449000,16.3335000","Location")</f>
        <v>Location</v>
      </c>
      <c r="E5035" t="s">
        <v>42901</v>
      </c>
      <c r="F5035" t="s">
        <v>42902</v>
      </c>
      <c r="G5035" t="s">
        <v>440</v>
      </c>
      <c r="H5035" t="s">
        <v>441</v>
      </c>
      <c r="I5035" t="s">
        <v>177</v>
      </c>
      <c r="J5035" t="s">
        <v>22</v>
      </c>
      <c r="K5035" t="s">
        <v>11964</v>
      </c>
      <c r="L5035" t="s">
        <v>42905</v>
      </c>
      <c r="M5035" t="s">
        <v>42906</v>
      </c>
      <c r="N5035" t="s">
        <v>42907</v>
      </c>
      <c r="O5035" t="s">
        <v>25</v>
      </c>
      <c r="P5035" t="s">
        <v>42908</v>
      </c>
      <c r="Q5035" t="s">
        <v>29</v>
      </c>
      <c r="R5035" t="s">
        <v>42903</v>
      </c>
      <c r="S5035" t="s">
        <v>42904</v>
      </c>
    </row>
    <row r="5036" spans="1:19" x14ac:dyDescent="0.25">
      <c r="A5036" s="1">
        <v>5034</v>
      </c>
      <c r="B5036" t="str">
        <f>HYPERLINK("https://www.dasschnelle.at/pehn-bootsbau-gmbh-st-georgen-im-attergau-attergaustraße","Website")</f>
        <v>Website</v>
      </c>
      <c r="C5036" t="str">
        <f>HYPERLINK("http://www.pehn-bootsbau.at","Website")</f>
        <v>Website</v>
      </c>
      <c r="D5036" t="str">
        <f>HYPERLINK("http://www.google.com/maps/place/47.9371566,13.4775087","Location")</f>
        <v>Location</v>
      </c>
      <c r="E5036" t="s">
        <v>42909</v>
      </c>
      <c r="F5036" t="s">
        <v>42910</v>
      </c>
      <c r="G5036" t="s">
        <v>3833</v>
      </c>
      <c r="H5036" t="s">
        <v>3834</v>
      </c>
      <c r="I5036" t="s">
        <v>85</v>
      </c>
      <c r="J5036" t="s">
        <v>22</v>
      </c>
      <c r="K5036" t="s">
        <v>42911</v>
      </c>
      <c r="L5036" t="s">
        <v>42914</v>
      </c>
      <c r="M5036" t="s">
        <v>25</v>
      </c>
      <c r="N5036" t="s">
        <v>42915</v>
      </c>
      <c r="O5036" t="s">
        <v>25</v>
      </c>
      <c r="P5036" t="s">
        <v>42916</v>
      </c>
      <c r="Q5036" t="s">
        <v>29</v>
      </c>
      <c r="R5036" t="s">
        <v>42912</v>
      </c>
      <c r="S5036" t="s">
        <v>42913</v>
      </c>
    </row>
    <row r="5037" spans="1:19" x14ac:dyDescent="0.25">
      <c r="A5037" s="1">
        <v>5035</v>
      </c>
      <c r="B5037" t="str">
        <f>HYPERLINK("https://www.dasschnelle.at/manfred-mayrhofer-e-u-timelkam-linzer-straße","Website")</f>
        <v>Website</v>
      </c>
      <c r="C5037" t="str">
        <f>HYPERLINK("http://www.mayrhofer-heizung.at","Website")</f>
        <v>Website</v>
      </c>
      <c r="D5037" t="str">
        <f>HYPERLINK("http://www.google.com/maps/place/48.00278,13.6144","Location")</f>
        <v>Location</v>
      </c>
      <c r="E5037" t="s">
        <v>42917</v>
      </c>
      <c r="F5037" t="s">
        <v>42918</v>
      </c>
      <c r="G5037" t="s">
        <v>3739</v>
      </c>
      <c r="H5037" t="s">
        <v>3740</v>
      </c>
      <c r="I5037" t="s">
        <v>85</v>
      </c>
      <c r="J5037" t="s">
        <v>22</v>
      </c>
      <c r="K5037" t="s">
        <v>42919</v>
      </c>
      <c r="L5037" t="s">
        <v>42922</v>
      </c>
      <c r="M5037" t="s">
        <v>25</v>
      </c>
      <c r="N5037" t="s">
        <v>42923</v>
      </c>
      <c r="O5037" t="s">
        <v>42924</v>
      </c>
      <c r="P5037" t="s">
        <v>697</v>
      </c>
      <c r="Q5037" t="s">
        <v>29</v>
      </c>
      <c r="R5037" t="s">
        <v>42920</v>
      </c>
      <c r="S5037" t="s">
        <v>42921</v>
      </c>
    </row>
    <row r="5038" spans="1:19" x14ac:dyDescent="0.25">
      <c r="A5038" s="1">
        <v>5036</v>
      </c>
      <c r="B5038" t="str">
        <f>HYPERLINK("https://www.dasschnelle.at/oberndorfer-johann-straß-im-attergau-sagerer","Website")</f>
        <v>Website</v>
      </c>
      <c r="C5038" t="str">
        <f>HYPERLINK("http://www.go-einrichten.at","Website")</f>
        <v>Website</v>
      </c>
      <c r="D5038" t="str">
        <f>HYPERLINK("http://www.google.com/maps/place/47.8999166,13.4652959","Location")</f>
        <v>Location</v>
      </c>
      <c r="E5038" t="s">
        <v>42925</v>
      </c>
      <c r="F5038" t="s">
        <v>42926</v>
      </c>
      <c r="G5038" t="s">
        <v>3906</v>
      </c>
      <c r="H5038" t="s">
        <v>3907</v>
      </c>
      <c r="I5038" t="s">
        <v>85</v>
      </c>
      <c r="J5038" t="s">
        <v>22</v>
      </c>
      <c r="K5038" t="s">
        <v>42927</v>
      </c>
      <c r="L5038" t="s">
        <v>42930</v>
      </c>
      <c r="M5038" t="s">
        <v>25</v>
      </c>
      <c r="N5038" t="s">
        <v>42931</v>
      </c>
      <c r="O5038" t="s">
        <v>25</v>
      </c>
      <c r="P5038" t="s">
        <v>42932</v>
      </c>
      <c r="Q5038" t="s">
        <v>29</v>
      </c>
      <c r="R5038" t="s">
        <v>42928</v>
      </c>
      <c r="S5038" t="s">
        <v>42929</v>
      </c>
    </row>
    <row r="5039" spans="1:19" x14ac:dyDescent="0.25">
      <c r="A5039" s="1">
        <v>5037</v>
      </c>
      <c r="B5039" t="str">
        <f>HYPERLINK("https://www.dasschnelle.at/mühlbauer-optiker-gesmbh-vöcklabruck-dr-anton-bruckner-straße","Website")</f>
        <v>Website</v>
      </c>
      <c r="C5039" t="str">
        <f>HYPERLINK("http://www.optiker-muehlbauer.at","Website")</f>
        <v>Website</v>
      </c>
      <c r="D5039" t="str">
        <f>HYPERLINK("http://www.google.com/maps/place/48.00664,13.65299","Location")</f>
        <v>Location</v>
      </c>
      <c r="E5039" t="s">
        <v>42933</v>
      </c>
      <c r="F5039" t="s">
        <v>42934</v>
      </c>
      <c r="G5039" t="s">
        <v>3749</v>
      </c>
      <c r="H5039" t="s">
        <v>3750</v>
      </c>
      <c r="I5039" t="s">
        <v>85</v>
      </c>
      <c r="J5039" t="s">
        <v>22</v>
      </c>
      <c r="K5039" t="s">
        <v>42935</v>
      </c>
      <c r="L5039" t="s">
        <v>42938</v>
      </c>
      <c r="M5039" t="s">
        <v>25</v>
      </c>
      <c r="N5039" t="s">
        <v>42939</v>
      </c>
      <c r="O5039" t="s">
        <v>25</v>
      </c>
      <c r="P5039" t="s">
        <v>42940</v>
      </c>
      <c r="Q5039" t="s">
        <v>29</v>
      </c>
      <c r="R5039" t="s">
        <v>42936</v>
      </c>
      <c r="S5039" t="s">
        <v>42937</v>
      </c>
    </row>
    <row r="5040" spans="1:19" x14ac:dyDescent="0.25">
      <c r="A5040" s="1">
        <v>5038</v>
      </c>
      <c r="B5040" t="str">
        <f>HYPERLINK("https://www.dasschnelle.at/heigl-holzbau-gmbh-lunz-pramelreith","Website")</f>
        <v>Website</v>
      </c>
      <c r="C5040" t="str">
        <f>HYPERLINK("http://www.heigl-holz.at","Website")</f>
        <v>Website</v>
      </c>
      <c r="D5040" t="str">
        <f>HYPERLINK("http://www.google.com/maps/place/47.8697600,15.0107000","Location")</f>
        <v>Location</v>
      </c>
      <c r="E5040" t="s">
        <v>42941</v>
      </c>
      <c r="F5040" t="s">
        <v>42942</v>
      </c>
      <c r="G5040" t="s">
        <v>42944</v>
      </c>
      <c r="H5040" t="s">
        <v>42945</v>
      </c>
      <c r="I5040" t="s">
        <v>177</v>
      </c>
      <c r="J5040" t="s">
        <v>22</v>
      </c>
      <c r="K5040" t="s">
        <v>42943</v>
      </c>
      <c r="L5040" t="s">
        <v>42948</v>
      </c>
      <c r="M5040" t="s">
        <v>42949</v>
      </c>
      <c r="N5040" t="s">
        <v>42950</v>
      </c>
      <c r="O5040" t="s">
        <v>25</v>
      </c>
      <c r="P5040" t="s">
        <v>42951</v>
      </c>
      <c r="Q5040" t="s">
        <v>29</v>
      </c>
      <c r="R5040" t="s">
        <v>42946</v>
      </c>
      <c r="S5040" t="s">
        <v>42947</v>
      </c>
    </row>
    <row r="5041" spans="1:19" x14ac:dyDescent="0.25">
      <c r="A5041" s="1">
        <v>5039</v>
      </c>
      <c r="B5041" t="str">
        <f>HYPERLINK("https://www.dasschnelle.at/kirchleitner-sonja-gresten-friedhofgasse","Website")</f>
        <v>Website</v>
      </c>
      <c r="C5041" t="str">
        <f>HYPERLINK("https://www.dasschnelle.at/kirchleitner-sonja-gresten-friedhofgasse","Website")</f>
        <v>Website</v>
      </c>
      <c r="D5041" t="str">
        <f>HYPERLINK("http://www.google.com/maps/place/47.98491,15.02457","Location")</f>
        <v>Location</v>
      </c>
      <c r="E5041" t="s">
        <v>42952</v>
      </c>
      <c r="F5041" t="s">
        <v>42953</v>
      </c>
      <c r="G5041" t="s">
        <v>9890</v>
      </c>
      <c r="H5041" t="s">
        <v>9930</v>
      </c>
      <c r="I5041" t="s">
        <v>177</v>
      </c>
      <c r="J5041" t="s">
        <v>22</v>
      </c>
      <c r="K5041" t="s">
        <v>42954</v>
      </c>
      <c r="L5041" t="s">
        <v>42957</v>
      </c>
      <c r="M5041" t="s">
        <v>25</v>
      </c>
      <c r="N5041" t="s">
        <v>42958</v>
      </c>
      <c r="O5041" t="s">
        <v>25</v>
      </c>
      <c r="P5041" t="s">
        <v>42959</v>
      </c>
      <c r="Q5041" t="s">
        <v>29</v>
      </c>
      <c r="R5041" t="s">
        <v>42955</v>
      </c>
      <c r="S5041" t="s">
        <v>42956</v>
      </c>
    </row>
    <row r="5042" spans="1:19" x14ac:dyDescent="0.25">
      <c r="A5042" s="1">
        <v>5040</v>
      </c>
      <c r="B5042" t="str">
        <f>HYPERLINK("https://www.dasschnelle.at/tischlerei-ecker-gesmbh-sierning-mühlberg","Website")</f>
        <v>Website</v>
      </c>
      <c r="C5042" t="str">
        <f>HYPERLINK("http://www.ecker-tischlerei.at","Website")</f>
        <v>Website</v>
      </c>
      <c r="D5042" t="str">
        <f>HYPERLINK("http://www.google.com/maps/place/48.0470600,14.3111300","Location")</f>
        <v>Location</v>
      </c>
      <c r="E5042" t="s">
        <v>42960</v>
      </c>
      <c r="F5042" t="s">
        <v>42961</v>
      </c>
      <c r="G5042" t="s">
        <v>11083</v>
      </c>
      <c r="H5042" t="s">
        <v>11084</v>
      </c>
      <c r="I5042" t="s">
        <v>85</v>
      </c>
      <c r="J5042" t="s">
        <v>22</v>
      </c>
      <c r="K5042" t="s">
        <v>42962</v>
      </c>
      <c r="L5042" t="s">
        <v>42965</v>
      </c>
      <c r="M5042" t="s">
        <v>42966</v>
      </c>
      <c r="N5042" t="s">
        <v>42967</v>
      </c>
      <c r="O5042" t="s">
        <v>25</v>
      </c>
      <c r="P5042" t="s">
        <v>42968</v>
      </c>
      <c r="Q5042" t="s">
        <v>29</v>
      </c>
      <c r="R5042" t="s">
        <v>42963</v>
      </c>
      <c r="S5042" t="s">
        <v>42964</v>
      </c>
    </row>
    <row r="5043" spans="1:19" x14ac:dyDescent="0.25">
      <c r="A5043" s="1">
        <v>5041</v>
      </c>
      <c r="B5043" t="str">
        <f>HYPERLINK("https://www.dasschnelle.at/niederkappler-versicherung-versicherungsverein-auf-gegenseitigkeit-sarleinsbach-marktplatz","Website")</f>
        <v>Website</v>
      </c>
      <c r="C5043" t="str">
        <f>HYPERLINK("http://www.niederkappler.at","Website")</f>
        <v>Website</v>
      </c>
      <c r="D5043" t="str">
        <f>HYPERLINK("http://www.google.com/maps/place/48.5461700,13.9052900","Location")</f>
        <v>Location</v>
      </c>
      <c r="E5043" t="s">
        <v>42969</v>
      </c>
      <c r="F5043" t="s">
        <v>42970</v>
      </c>
      <c r="G5043" t="s">
        <v>35492</v>
      </c>
      <c r="H5043" t="s">
        <v>35493</v>
      </c>
      <c r="I5043" t="s">
        <v>85</v>
      </c>
      <c r="J5043" t="s">
        <v>22</v>
      </c>
      <c r="K5043" t="s">
        <v>42971</v>
      </c>
      <c r="L5043" t="s">
        <v>42974</v>
      </c>
      <c r="M5043" t="s">
        <v>25</v>
      </c>
      <c r="N5043" t="s">
        <v>42975</v>
      </c>
      <c r="O5043" t="s">
        <v>25</v>
      </c>
      <c r="P5043" t="s">
        <v>42976</v>
      </c>
      <c r="Q5043" t="s">
        <v>29</v>
      </c>
      <c r="R5043" t="s">
        <v>42972</v>
      </c>
      <c r="S5043" t="s">
        <v>42973</v>
      </c>
    </row>
    <row r="5044" spans="1:19" x14ac:dyDescent="0.25">
      <c r="A5044" s="1">
        <v>5042</v>
      </c>
      <c r="B5044" t="str">
        <f>HYPERLINK("https://www.dasschnelle.at/pizza-service-hollywood-amstetten-bahnhofstraße","Website")</f>
        <v>Website</v>
      </c>
      <c r="C5044" t="str">
        <f>HYPERLINK("http://www.pizza-hollywood.net","Website")</f>
        <v>Website</v>
      </c>
      <c r="D5044" t="str">
        <f>HYPERLINK("http://www.google.com/maps/place/48.12417,14.87819","Location")</f>
        <v>Location</v>
      </c>
      <c r="E5044" t="s">
        <v>42977</v>
      </c>
      <c r="F5044" t="s">
        <v>42978</v>
      </c>
      <c r="G5044" t="s">
        <v>1474</v>
      </c>
      <c r="H5044" t="s">
        <v>1475</v>
      </c>
      <c r="I5044" t="s">
        <v>177</v>
      </c>
      <c r="J5044" t="s">
        <v>22</v>
      </c>
      <c r="K5044" t="s">
        <v>23075</v>
      </c>
      <c r="L5044" t="s">
        <v>42981</v>
      </c>
      <c r="M5044" t="s">
        <v>25</v>
      </c>
      <c r="N5044" t="s">
        <v>42982</v>
      </c>
      <c r="O5044" t="s">
        <v>42983</v>
      </c>
      <c r="P5044" t="s">
        <v>42984</v>
      </c>
      <c r="Q5044" t="s">
        <v>29</v>
      </c>
      <c r="R5044" t="s">
        <v>42979</v>
      </c>
      <c r="S5044" t="s">
        <v>42980</v>
      </c>
    </row>
    <row r="5045" spans="1:19" x14ac:dyDescent="0.25">
      <c r="A5045" s="1">
        <v>5043</v>
      </c>
      <c r="B5045" t="str">
        <f>HYPERLINK("https://www.dasschnelle.at/abschlepp-u-bergedienst-wiesler-amstetten-peter-mitterhofer-straße","Website")</f>
        <v>Website</v>
      </c>
      <c r="C5045" t="str">
        <f>HYPERLINK("http://www.abschlepp-wiesler.at","Website")</f>
        <v>Website</v>
      </c>
      <c r="D5045" t="str">
        <f>HYPERLINK("http://www.google.com/maps/place/48.10889,14.87902","Location")</f>
        <v>Location</v>
      </c>
      <c r="E5045" t="s">
        <v>42985</v>
      </c>
      <c r="F5045" t="s">
        <v>42986</v>
      </c>
      <c r="G5045" t="s">
        <v>1474</v>
      </c>
      <c r="H5045" t="s">
        <v>1475</v>
      </c>
      <c r="I5045" t="s">
        <v>177</v>
      </c>
      <c r="J5045" t="s">
        <v>22</v>
      </c>
      <c r="K5045" t="s">
        <v>1577</v>
      </c>
      <c r="L5045" t="s">
        <v>42989</v>
      </c>
      <c r="M5045" t="s">
        <v>25</v>
      </c>
      <c r="N5045" t="s">
        <v>42990</v>
      </c>
      <c r="O5045" t="s">
        <v>42991</v>
      </c>
      <c r="P5045" t="s">
        <v>42992</v>
      </c>
      <c r="Q5045" t="s">
        <v>29</v>
      </c>
      <c r="R5045" t="s">
        <v>42987</v>
      </c>
      <c r="S5045" t="s">
        <v>42988</v>
      </c>
    </row>
    <row r="5046" spans="1:19" x14ac:dyDescent="0.25">
      <c r="A5046" s="1">
        <v>5044</v>
      </c>
      <c r="B5046" t="str">
        <f>HYPERLINK("https://www.dasschnelle.at/eder-edith-klam-oberhörnbach","Website")</f>
        <v>Website</v>
      </c>
      <c r="C5046" t="str">
        <f>HYPERLINK("http://www.brandstetter-eder.at","Website")</f>
        <v>Website</v>
      </c>
      <c r="D5046" t="str">
        <f>HYPERLINK("http://www.google.com/maps/place/48.2281842,14.7921746","Location")</f>
        <v>Location</v>
      </c>
      <c r="E5046" t="s">
        <v>42993</v>
      </c>
      <c r="F5046" t="s">
        <v>42994</v>
      </c>
      <c r="G5046" t="s">
        <v>42996</v>
      </c>
      <c r="H5046" t="s">
        <v>42997</v>
      </c>
      <c r="I5046" t="s">
        <v>85</v>
      </c>
      <c r="J5046" t="s">
        <v>22</v>
      </c>
      <c r="K5046" t="s">
        <v>42995</v>
      </c>
      <c r="L5046" t="s">
        <v>43000</v>
      </c>
      <c r="M5046" t="s">
        <v>25</v>
      </c>
      <c r="N5046" t="s">
        <v>43001</v>
      </c>
      <c r="O5046" t="s">
        <v>25</v>
      </c>
      <c r="P5046" t="s">
        <v>43002</v>
      </c>
      <c r="Q5046" t="s">
        <v>29</v>
      </c>
      <c r="R5046" t="s">
        <v>42998</v>
      </c>
      <c r="S5046" t="s">
        <v>42999</v>
      </c>
    </row>
    <row r="5047" spans="1:19" x14ac:dyDescent="0.25">
      <c r="A5047" s="1">
        <v>5045</v>
      </c>
      <c r="B5047" t="str">
        <f>HYPERLINK("https://www.dasschnelle.at/gasth-hahnwirt-grein-lehen","Website")</f>
        <v>Website</v>
      </c>
      <c r="C5047" t="str">
        <f>HYPERLINK("http://www.hahnwirt.at","Website")</f>
        <v>Website</v>
      </c>
      <c r="D5047" t="str">
        <f>HYPERLINK("http://www.google.com/maps/place/48.2441599,14.8479751","Location")</f>
        <v>Location</v>
      </c>
      <c r="E5047" t="s">
        <v>43003</v>
      </c>
      <c r="F5047" t="s">
        <v>43004</v>
      </c>
      <c r="G5047" t="s">
        <v>27263</v>
      </c>
      <c r="H5047" t="s">
        <v>27264</v>
      </c>
      <c r="I5047" t="s">
        <v>85</v>
      </c>
      <c r="J5047" t="s">
        <v>22</v>
      </c>
      <c r="K5047" t="s">
        <v>43005</v>
      </c>
      <c r="L5047" t="s">
        <v>43008</v>
      </c>
      <c r="M5047" t="s">
        <v>25</v>
      </c>
      <c r="N5047" t="s">
        <v>43009</v>
      </c>
      <c r="O5047" t="s">
        <v>25</v>
      </c>
      <c r="P5047" t="s">
        <v>43010</v>
      </c>
      <c r="Q5047" t="s">
        <v>29</v>
      </c>
      <c r="R5047" t="s">
        <v>43006</v>
      </c>
      <c r="S5047" t="s">
        <v>43007</v>
      </c>
    </row>
    <row r="5048" spans="1:19" x14ac:dyDescent="0.25">
      <c r="A5048" s="1">
        <v>5046</v>
      </c>
      <c r="B5048" t="str">
        <f>HYPERLINK("https://www.dasschnelle.at/fohr-monika-dr-klosterneuburg-stadtplatz","Website")</f>
        <v>Website</v>
      </c>
      <c r="C5048" t="str">
        <f>HYPERLINK("http://www.fohr.at","Website")</f>
        <v>Website</v>
      </c>
      <c r="D5048" t="str">
        <f>HYPERLINK("http://www.google.com/maps/place/48.30878,16.32242","Location")</f>
        <v>Location</v>
      </c>
      <c r="E5048" t="s">
        <v>43011</v>
      </c>
      <c r="F5048" t="s">
        <v>43012</v>
      </c>
      <c r="G5048" t="s">
        <v>10308</v>
      </c>
      <c r="H5048" t="s">
        <v>10317</v>
      </c>
      <c r="I5048" t="s">
        <v>177</v>
      </c>
      <c r="J5048" t="s">
        <v>22</v>
      </c>
      <c r="K5048" t="s">
        <v>43013</v>
      </c>
      <c r="L5048" t="s">
        <v>43016</v>
      </c>
      <c r="M5048" t="s">
        <v>25</v>
      </c>
      <c r="N5048" t="s">
        <v>43017</v>
      </c>
      <c r="O5048" t="s">
        <v>25</v>
      </c>
      <c r="P5048" t="s">
        <v>43018</v>
      </c>
      <c r="Q5048" t="s">
        <v>29</v>
      </c>
      <c r="R5048" t="s">
        <v>43014</v>
      </c>
      <c r="S5048" t="s">
        <v>43015</v>
      </c>
    </row>
    <row r="5049" spans="1:19" x14ac:dyDescent="0.25">
      <c r="A5049" s="1">
        <v>5047</v>
      </c>
      <c r="B5049" t="str">
        <f>HYPERLINK("https://www.dasschnelle.at/semper-fritz-gmünd-weitraer-straße","Website")</f>
        <v>Website</v>
      </c>
      <c r="C5049" t="str">
        <f>HYPERLINK("http://www.nickis.at","Website")</f>
        <v>Website</v>
      </c>
      <c r="D5049" t="str">
        <f>HYPERLINK("http://www.google.com/maps/place/48.76311,14.97057","Location")</f>
        <v>Location</v>
      </c>
      <c r="E5049" t="s">
        <v>43019</v>
      </c>
      <c r="F5049" t="s">
        <v>43020</v>
      </c>
      <c r="G5049" t="s">
        <v>13116</v>
      </c>
      <c r="H5049" t="s">
        <v>13117</v>
      </c>
      <c r="I5049" t="s">
        <v>177</v>
      </c>
      <c r="J5049" t="s">
        <v>22</v>
      </c>
      <c r="K5049" t="s">
        <v>43021</v>
      </c>
      <c r="L5049" t="s">
        <v>43024</v>
      </c>
      <c r="M5049" t="s">
        <v>25</v>
      </c>
      <c r="N5049" t="s">
        <v>43025</v>
      </c>
      <c r="O5049" t="s">
        <v>25</v>
      </c>
      <c r="P5049" t="s">
        <v>43026</v>
      </c>
      <c r="Q5049" t="s">
        <v>29</v>
      </c>
      <c r="R5049" t="s">
        <v>43022</v>
      </c>
      <c r="S5049" t="s">
        <v>43023</v>
      </c>
    </row>
    <row r="5050" spans="1:19" x14ac:dyDescent="0.25">
      <c r="A5050" s="1">
        <v>5048</v>
      </c>
      <c r="B5050" t="str">
        <f>HYPERLINK("https://www.dasschnelle.at/figaro-sada-ried-im-innkreis-schwangthalerstraße","Website")</f>
        <v>Website</v>
      </c>
      <c r="C5050" t="str">
        <f>HYPERLINK("http://www.friseur-figaro-lienbacher.at","Website")</f>
        <v>Website</v>
      </c>
      <c r="D5050" t="str">
        <f>HYPERLINK("http://www.google.com/maps/place/48.2086,13.48816","Location")</f>
        <v>Location</v>
      </c>
      <c r="E5050" t="s">
        <v>43027</v>
      </c>
      <c r="F5050" t="s">
        <v>43028</v>
      </c>
      <c r="G5050" t="s">
        <v>6245</v>
      </c>
      <c r="H5050" t="s">
        <v>6267</v>
      </c>
      <c r="I5050" t="s">
        <v>85</v>
      </c>
      <c r="J5050" t="s">
        <v>22</v>
      </c>
      <c r="K5050" t="s">
        <v>43029</v>
      </c>
      <c r="L5050" t="s">
        <v>43032</v>
      </c>
      <c r="M5050" t="s">
        <v>25</v>
      </c>
      <c r="N5050" t="s">
        <v>43033</v>
      </c>
      <c r="O5050" t="s">
        <v>25</v>
      </c>
      <c r="P5050" t="s">
        <v>697</v>
      </c>
      <c r="Q5050" t="s">
        <v>29</v>
      </c>
      <c r="R5050" t="s">
        <v>43030</v>
      </c>
      <c r="S5050" t="s">
        <v>43031</v>
      </c>
    </row>
    <row r="5051" spans="1:19" x14ac:dyDescent="0.25">
      <c r="A5051" s="1">
        <v>5049</v>
      </c>
      <c r="B5051" t="str">
        <f>HYPERLINK("https://www.dasschnelle.at/shafe-olga-karin-dr-med-univ-mayrhofen-hauptstraße","Website")</f>
        <v>Website</v>
      </c>
      <c r="C5051" t="str">
        <f>HYPERLINK("http://www.olga-shafe.at","Website")</f>
        <v>Website</v>
      </c>
      <c r="D5051" t="str">
        <f>HYPERLINK("http://www.google.com/maps/place/47.16214,11.86103","Location")</f>
        <v>Location</v>
      </c>
      <c r="E5051" t="s">
        <v>43034</v>
      </c>
      <c r="F5051" t="s">
        <v>43035</v>
      </c>
      <c r="G5051" t="s">
        <v>4329</v>
      </c>
      <c r="H5051" t="s">
        <v>4330</v>
      </c>
      <c r="I5051" t="s">
        <v>21</v>
      </c>
      <c r="J5051" t="s">
        <v>22</v>
      </c>
      <c r="K5051" t="s">
        <v>43036</v>
      </c>
      <c r="L5051" t="s">
        <v>43039</v>
      </c>
      <c r="M5051" t="s">
        <v>25</v>
      </c>
      <c r="N5051" t="s">
        <v>43040</v>
      </c>
      <c r="O5051" t="s">
        <v>25</v>
      </c>
      <c r="P5051" t="s">
        <v>43041</v>
      </c>
      <c r="Q5051" t="s">
        <v>29</v>
      </c>
      <c r="R5051" t="s">
        <v>43037</v>
      </c>
      <c r="S5051" t="s">
        <v>43038</v>
      </c>
    </row>
    <row r="5052" spans="1:19" x14ac:dyDescent="0.25">
      <c r="A5052" s="1">
        <v>5050</v>
      </c>
      <c r="B5052" t="str">
        <f>HYPERLINK("https://www.dasschnelle.at/rohrmoser-myriam-schladming-siedergasse","Website")</f>
        <v>Website</v>
      </c>
      <c r="C5052" t="str">
        <f>HYPERLINK("http://www.friseur-rohrmoser.at","Website")</f>
        <v>Website</v>
      </c>
      <c r="D5052" t="str">
        <f>HYPERLINK("http://www.google.com/maps/place/47.39249,13.68858","Location")</f>
        <v>Location</v>
      </c>
      <c r="E5052" t="s">
        <v>43042</v>
      </c>
      <c r="F5052" t="s">
        <v>43043</v>
      </c>
      <c r="G5052" t="s">
        <v>1269</v>
      </c>
      <c r="H5052" t="s">
        <v>1270</v>
      </c>
      <c r="I5052" t="s">
        <v>451</v>
      </c>
      <c r="J5052" t="s">
        <v>22</v>
      </c>
      <c r="K5052" t="s">
        <v>8931</v>
      </c>
      <c r="L5052" t="s">
        <v>43044</v>
      </c>
      <c r="M5052" t="s">
        <v>25</v>
      </c>
      <c r="N5052" t="s">
        <v>43045</v>
      </c>
      <c r="O5052" t="s">
        <v>25</v>
      </c>
      <c r="P5052" t="s">
        <v>43046</v>
      </c>
      <c r="Q5052" t="s">
        <v>29</v>
      </c>
      <c r="R5052" t="s">
        <v>8932</v>
      </c>
      <c r="S5052" t="s">
        <v>8933</v>
      </c>
    </row>
    <row r="5053" spans="1:19" x14ac:dyDescent="0.25">
      <c r="A5053" s="1">
        <v>5051</v>
      </c>
      <c r="B5053" t="str">
        <f>HYPERLINK("https://www.dasschnelle.at/steidl-wolfgang-schwaz-oberer-feldweg","Website")</f>
        <v>Website</v>
      </c>
      <c r="C5053" t="str">
        <f>HYPERLINK("https://www.dasschnelle.at/steidl-wolfgang-schwaz-oberer-feldweg","Website")</f>
        <v>Website</v>
      </c>
      <c r="D5053" t="str">
        <f>HYPERLINK("http://www.google.com/maps/place/47.35255,11.72036","Location")</f>
        <v>Location</v>
      </c>
      <c r="E5053" t="s">
        <v>43047</v>
      </c>
      <c r="F5053" t="s">
        <v>43048</v>
      </c>
      <c r="G5053" t="s">
        <v>4200</v>
      </c>
      <c r="H5053" t="s">
        <v>4201</v>
      </c>
      <c r="I5053" t="s">
        <v>21</v>
      </c>
      <c r="J5053" t="s">
        <v>22</v>
      </c>
      <c r="K5053" t="s">
        <v>43049</v>
      </c>
      <c r="L5053" t="s">
        <v>43052</v>
      </c>
      <c r="M5053" t="s">
        <v>25</v>
      </c>
      <c r="N5053" t="s">
        <v>43053</v>
      </c>
      <c r="O5053" t="s">
        <v>25</v>
      </c>
      <c r="P5053" t="s">
        <v>43054</v>
      </c>
      <c r="Q5053" t="s">
        <v>29</v>
      </c>
      <c r="R5053" t="s">
        <v>43050</v>
      </c>
      <c r="S5053" t="s">
        <v>43051</v>
      </c>
    </row>
    <row r="5054" spans="1:19" x14ac:dyDescent="0.25">
      <c r="A5054" s="1">
        <v>5052</v>
      </c>
      <c r="B5054" t="str">
        <f>HYPERLINK("https://www.dasschnelle.at/zeiler-gmbh-sankt-lambrecht-thajagraben","Website")</f>
        <v>Website</v>
      </c>
      <c r="C5054" t="str">
        <f>HYPERLINK("http://www.zeilerputze.at","Website")</f>
        <v>Website</v>
      </c>
      <c r="D5054" t="str">
        <f>HYPERLINK("http://www.google.com/maps/place/47.08741,14.31785","Location")</f>
        <v>Location</v>
      </c>
      <c r="E5054" t="s">
        <v>43055</v>
      </c>
      <c r="F5054" t="s">
        <v>43056</v>
      </c>
      <c r="G5054" t="s">
        <v>12060</v>
      </c>
      <c r="H5054" t="s">
        <v>12061</v>
      </c>
      <c r="I5054" t="s">
        <v>451</v>
      </c>
      <c r="J5054" t="s">
        <v>22</v>
      </c>
      <c r="K5054" t="s">
        <v>43057</v>
      </c>
      <c r="L5054" t="s">
        <v>43060</v>
      </c>
      <c r="M5054" t="s">
        <v>25</v>
      </c>
      <c r="N5054" t="s">
        <v>43061</v>
      </c>
      <c r="O5054" t="s">
        <v>25</v>
      </c>
      <c r="P5054" t="s">
        <v>43062</v>
      </c>
      <c r="Q5054" t="s">
        <v>29</v>
      </c>
      <c r="R5054" t="s">
        <v>43058</v>
      </c>
      <c r="S5054" t="s">
        <v>43059</v>
      </c>
    </row>
    <row r="5055" spans="1:19" x14ac:dyDescent="0.25">
      <c r="A5055" s="1">
        <v>5053</v>
      </c>
      <c r="B5055" t="str">
        <f>HYPERLINK("https://www.dasschnelle.at/schöfl-sven-dr-traun-oedt-steinweg","Website")</f>
        <v>Website</v>
      </c>
      <c r="C5055" t="str">
        <f>HYPERLINK("https://www.dasschnelle.at/sch%C3%B6fl-sven-dr-traun-oedt-steinweg","Website")</f>
        <v>Website</v>
      </c>
      <c r="D5055" t="str">
        <f>HYPERLINK("http://www.google.com/maps/place/48.2104588,14.2093020","Location")</f>
        <v>Location</v>
      </c>
      <c r="E5055" t="s">
        <v>43063</v>
      </c>
      <c r="F5055" t="s">
        <v>43064</v>
      </c>
      <c r="G5055" t="s">
        <v>10227</v>
      </c>
      <c r="H5055" t="s">
        <v>10228</v>
      </c>
      <c r="I5055" t="s">
        <v>85</v>
      </c>
      <c r="J5055" t="s">
        <v>22</v>
      </c>
      <c r="K5055" t="s">
        <v>43065</v>
      </c>
      <c r="L5055" t="s">
        <v>43068</v>
      </c>
      <c r="M5055" t="s">
        <v>25</v>
      </c>
      <c r="N5055" t="s">
        <v>43069</v>
      </c>
      <c r="O5055" t="s">
        <v>25</v>
      </c>
      <c r="P5055" t="s">
        <v>43070</v>
      </c>
      <c r="Q5055" t="s">
        <v>29</v>
      </c>
      <c r="R5055" t="s">
        <v>43066</v>
      </c>
      <c r="S5055" t="s">
        <v>43067</v>
      </c>
    </row>
    <row r="5056" spans="1:19" x14ac:dyDescent="0.25">
      <c r="A5056" s="1">
        <v>5054</v>
      </c>
      <c r="B5056" t="str">
        <f>HYPERLINK("https://www.dasschnelle.at/topay-sandor-dr-kitzbühel-hornweg","Website")</f>
        <v>Website</v>
      </c>
      <c r="C5056" t="str">
        <f>HYPERLINK("http://www.dr-topay.at","Website")</f>
        <v>Website</v>
      </c>
      <c r="D5056" t="str">
        <f>HYPERLINK("http://www.google.com/maps/place/47.44916,12.39204","Location")</f>
        <v>Location</v>
      </c>
      <c r="E5056" t="s">
        <v>43071</v>
      </c>
      <c r="F5056" t="s">
        <v>43072</v>
      </c>
      <c r="G5056" t="s">
        <v>833</v>
      </c>
      <c r="H5056" t="s">
        <v>834</v>
      </c>
      <c r="I5056" t="s">
        <v>21</v>
      </c>
      <c r="J5056" t="s">
        <v>22</v>
      </c>
      <c r="K5056" t="s">
        <v>43073</v>
      </c>
      <c r="L5056" t="s">
        <v>43076</v>
      </c>
      <c r="M5056" t="s">
        <v>43077</v>
      </c>
      <c r="N5056" t="s">
        <v>43078</v>
      </c>
      <c r="O5056" t="s">
        <v>25</v>
      </c>
      <c r="P5056" t="s">
        <v>43079</v>
      </c>
      <c r="Q5056" t="s">
        <v>29</v>
      </c>
      <c r="R5056" t="s">
        <v>43074</v>
      </c>
      <c r="S5056" t="s">
        <v>43075</v>
      </c>
    </row>
    <row r="5057" spans="1:19" x14ac:dyDescent="0.25">
      <c r="A5057" s="1">
        <v>5055</v>
      </c>
      <c r="B5057" t="str">
        <f>HYPERLINK("https://www.dasschnelle.at/trojer-martin-gratkorn-grussach","Website")</f>
        <v>Website</v>
      </c>
      <c r="C5057" t="str">
        <f>HYPERLINK("https://www.dasschnelle.at/trojer-martin-gratkorn-grussach","Website")</f>
        <v>Website</v>
      </c>
      <c r="D5057" t="str">
        <f>HYPERLINK("http://www.google.com/maps/place/47.14715,15.36099","Location")</f>
        <v>Location</v>
      </c>
      <c r="E5057" t="s">
        <v>43080</v>
      </c>
      <c r="F5057" t="s">
        <v>43081</v>
      </c>
      <c r="G5057" t="s">
        <v>7958</v>
      </c>
      <c r="H5057" t="s">
        <v>7959</v>
      </c>
      <c r="I5057" t="s">
        <v>451</v>
      </c>
      <c r="J5057" t="s">
        <v>22</v>
      </c>
      <c r="K5057" t="s">
        <v>43082</v>
      </c>
      <c r="L5057" t="s">
        <v>43085</v>
      </c>
      <c r="M5057" t="s">
        <v>25</v>
      </c>
      <c r="N5057" t="s">
        <v>43086</v>
      </c>
      <c r="O5057" t="s">
        <v>25</v>
      </c>
      <c r="P5057" t="s">
        <v>43087</v>
      </c>
      <c r="Q5057" t="s">
        <v>29</v>
      </c>
      <c r="R5057" t="s">
        <v>43083</v>
      </c>
      <c r="S5057" t="s">
        <v>43084</v>
      </c>
    </row>
    <row r="5058" spans="1:19" x14ac:dyDescent="0.25">
      <c r="A5058" s="1">
        <v>5056</v>
      </c>
      <c r="B5058" t="str">
        <f>HYPERLINK("https://www.dasschnelle.at/toplerhof-wies-steyeregg","Website")</f>
        <v>Website</v>
      </c>
      <c r="C5058" t="str">
        <f>HYPERLINK("http://www.toplerhof.com","Website")</f>
        <v>Website</v>
      </c>
      <c r="D5058" t="str">
        <f>HYPERLINK("http://www.google.com/maps/place/46.734,15.2432","Location")</f>
        <v>Location</v>
      </c>
      <c r="E5058" t="s">
        <v>43088</v>
      </c>
      <c r="F5058" t="s">
        <v>43089</v>
      </c>
      <c r="G5058" t="s">
        <v>2911</v>
      </c>
      <c r="H5058" t="s">
        <v>2912</v>
      </c>
      <c r="I5058" t="s">
        <v>451</v>
      </c>
      <c r="J5058" t="s">
        <v>22</v>
      </c>
      <c r="K5058" t="s">
        <v>43090</v>
      </c>
      <c r="L5058" t="s">
        <v>43093</v>
      </c>
      <c r="M5058" t="s">
        <v>25</v>
      </c>
      <c r="N5058" t="s">
        <v>43094</v>
      </c>
      <c r="O5058" t="s">
        <v>25</v>
      </c>
      <c r="P5058" t="s">
        <v>43095</v>
      </c>
      <c r="Q5058" t="s">
        <v>29</v>
      </c>
      <c r="R5058" t="s">
        <v>43091</v>
      </c>
      <c r="S5058" t="s">
        <v>43092</v>
      </c>
    </row>
    <row r="5059" spans="1:19" x14ac:dyDescent="0.25">
      <c r="A5059" s="1">
        <v>5057</v>
      </c>
      <c r="B5059" t="str">
        <f>HYPERLINK("https://www.dasschnelle.at/wolf-hans-peter-dr-med-univ-oberndorf-bei-salzburg-paracelsusstraße","Website")</f>
        <v>Website</v>
      </c>
      <c r="C5059" t="str">
        <f>HYPERLINK("http://www.dr-hp-wolf.at","Website")</f>
        <v>Website</v>
      </c>
      <c r="D5059" t="str">
        <f>HYPERLINK("http://www.google.com/maps/place/47.94003,12.94514","Location")</f>
        <v>Location</v>
      </c>
      <c r="E5059" t="s">
        <v>43096</v>
      </c>
      <c r="F5059" t="s">
        <v>43097</v>
      </c>
      <c r="G5059" t="s">
        <v>12780</v>
      </c>
      <c r="H5059" t="s">
        <v>12781</v>
      </c>
      <c r="I5059" t="s">
        <v>2239</v>
      </c>
      <c r="J5059" t="s">
        <v>22</v>
      </c>
      <c r="K5059" t="s">
        <v>43098</v>
      </c>
      <c r="L5059" t="s">
        <v>43101</v>
      </c>
      <c r="M5059" t="s">
        <v>25</v>
      </c>
      <c r="N5059" t="s">
        <v>43102</v>
      </c>
      <c r="O5059" t="s">
        <v>25</v>
      </c>
      <c r="P5059" t="s">
        <v>43103</v>
      </c>
      <c r="Q5059" t="s">
        <v>29</v>
      </c>
      <c r="R5059" t="s">
        <v>43099</v>
      </c>
      <c r="S5059" t="s">
        <v>43100</v>
      </c>
    </row>
    <row r="5060" spans="1:19" x14ac:dyDescent="0.25">
      <c r="A5060" s="1">
        <v>5058</v>
      </c>
      <c r="B5060" t="str">
        <f>HYPERLINK("https://www.dasschnelle.at/stibal-iris-dr-eferding-unterer-graben","Website")</f>
        <v>Website</v>
      </c>
      <c r="C5060" t="str">
        <f>HYPERLINK("http://www.opz-eferding.at","Website")</f>
        <v>Website</v>
      </c>
      <c r="D5060" t="str">
        <f>HYPERLINK("http://www.google.com/maps/place/48.3068047,14.0239412","Location")</f>
        <v>Location</v>
      </c>
      <c r="E5060" t="s">
        <v>43104</v>
      </c>
      <c r="F5060" t="s">
        <v>43105</v>
      </c>
      <c r="G5060" t="s">
        <v>3101</v>
      </c>
      <c r="H5060" t="s">
        <v>3102</v>
      </c>
      <c r="I5060" t="s">
        <v>85</v>
      </c>
      <c r="J5060" t="s">
        <v>22</v>
      </c>
      <c r="K5060" t="s">
        <v>43106</v>
      </c>
      <c r="L5060" t="s">
        <v>43109</v>
      </c>
      <c r="M5060" t="s">
        <v>25</v>
      </c>
      <c r="N5060" t="s">
        <v>25</v>
      </c>
      <c r="O5060" t="s">
        <v>25</v>
      </c>
      <c r="P5060" t="s">
        <v>43110</v>
      </c>
      <c r="Q5060" t="s">
        <v>29</v>
      </c>
      <c r="R5060" t="s">
        <v>43107</v>
      </c>
      <c r="S5060" t="s">
        <v>43108</v>
      </c>
    </row>
    <row r="5061" spans="1:19" x14ac:dyDescent="0.25">
      <c r="A5061" s="1">
        <v>5059</v>
      </c>
      <c r="B5061" t="str">
        <f>HYPERLINK("https://www.dasschnelle.at/szlezak-richard-dr-kottingbrunn-schloß","Website")</f>
        <v>Website</v>
      </c>
      <c r="C5061" t="str">
        <f>HYPERLINK("https://www.dasschnelle.at/szlezak-richard-dr-kottingbrunn-schlo%C3%9F","Website")</f>
        <v>Website</v>
      </c>
      <c r="D5061" t="str">
        <f>HYPERLINK("http://www.google.com/maps/place/47.95175,16.22946","Location")</f>
        <v>Location</v>
      </c>
      <c r="E5061" t="s">
        <v>43111</v>
      </c>
      <c r="F5061" t="s">
        <v>43112</v>
      </c>
      <c r="G5061" t="s">
        <v>2147</v>
      </c>
      <c r="H5061" t="s">
        <v>2148</v>
      </c>
      <c r="I5061" t="s">
        <v>177</v>
      </c>
      <c r="J5061" t="s">
        <v>22</v>
      </c>
      <c r="K5061" t="s">
        <v>43113</v>
      </c>
      <c r="L5061" t="s">
        <v>43116</v>
      </c>
      <c r="M5061" t="s">
        <v>25</v>
      </c>
      <c r="N5061" t="s">
        <v>43117</v>
      </c>
      <c r="O5061" t="s">
        <v>25</v>
      </c>
      <c r="P5061" t="s">
        <v>43118</v>
      </c>
      <c r="Q5061" t="s">
        <v>29</v>
      </c>
      <c r="R5061" t="s">
        <v>43114</v>
      </c>
      <c r="S5061" t="s">
        <v>43115</v>
      </c>
    </row>
    <row r="5062" spans="1:19" x14ac:dyDescent="0.25">
      <c r="A5062" s="1">
        <v>5060</v>
      </c>
      <c r="B5062" t="str">
        <f>HYPERLINK("https://www.dasschnelle.at/windsteig-ulrike-ing-friesach-hubert-hauser-straße","Website")</f>
        <v>Website</v>
      </c>
      <c r="C5062" t="str">
        <f>HYPERLINK("http://www.gaertnerei-windsteig.stadtausstellung.at","Website")</f>
        <v>Website</v>
      </c>
      <c r="D5062" t="str">
        <f>HYPERLINK("http://www.google.com/maps/place/46.94839,14.41254","Location")</f>
        <v>Location</v>
      </c>
      <c r="E5062" t="s">
        <v>43119</v>
      </c>
      <c r="F5062" t="s">
        <v>43120</v>
      </c>
      <c r="G5062" t="s">
        <v>26556</v>
      </c>
      <c r="H5062" t="s">
        <v>26557</v>
      </c>
      <c r="I5062" t="s">
        <v>4130</v>
      </c>
      <c r="J5062" t="s">
        <v>22</v>
      </c>
      <c r="K5062" t="s">
        <v>43121</v>
      </c>
      <c r="L5062" t="s">
        <v>43124</v>
      </c>
      <c r="M5062" t="s">
        <v>25</v>
      </c>
      <c r="N5062" t="s">
        <v>43125</v>
      </c>
      <c r="O5062" t="s">
        <v>25</v>
      </c>
      <c r="P5062" t="s">
        <v>43126</v>
      </c>
      <c r="Q5062" t="s">
        <v>29</v>
      </c>
      <c r="R5062" t="s">
        <v>43122</v>
      </c>
      <c r="S5062" t="s">
        <v>43123</v>
      </c>
    </row>
    <row r="5063" spans="1:19" x14ac:dyDescent="0.25">
      <c r="A5063" s="1">
        <v>5061</v>
      </c>
      <c r="B5063" t="str">
        <f>HYPERLINK("https://www.dasschnelle.at/hettegger-alois-großarl-achengasse","Website")</f>
        <v>Website</v>
      </c>
      <c r="C5063" t="str">
        <f>HYPERLINK("http://www.installationen-hettegger.at","Website")</f>
        <v>Website</v>
      </c>
      <c r="D5063" t="str">
        <f>HYPERLINK("http://www.google.com/maps/place/47.23273,13.19699","Location")</f>
        <v>Location</v>
      </c>
      <c r="E5063" t="s">
        <v>43127</v>
      </c>
      <c r="F5063" t="s">
        <v>43128</v>
      </c>
      <c r="G5063" t="s">
        <v>25267</v>
      </c>
      <c r="H5063" t="s">
        <v>25268</v>
      </c>
      <c r="I5063" t="s">
        <v>2239</v>
      </c>
      <c r="J5063" t="s">
        <v>22</v>
      </c>
      <c r="K5063" t="s">
        <v>43129</v>
      </c>
      <c r="L5063" t="s">
        <v>43132</v>
      </c>
      <c r="M5063" t="s">
        <v>43133</v>
      </c>
      <c r="N5063" t="s">
        <v>43134</v>
      </c>
      <c r="O5063" t="s">
        <v>25</v>
      </c>
      <c r="P5063" t="s">
        <v>43135</v>
      </c>
      <c r="Q5063" t="s">
        <v>29</v>
      </c>
      <c r="R5063" t="s">
        <v>43130</v>
      </c>
      <c r="S5063" t="s">
        <v>43131</v>
      </c>
    </row>
    <row r="5064" spans="1:19" x14ac:dyDescent="0.25">
      <c r="A5064" s="1">
        <v>5062</v>
      </c>
      <c r="B5064" t="str">
        <f>HYPERLINK("https://www.dasschnelle.at/preßnig-willfried-jenig-waidegg","Website")</f>
        <v>Website</v>
      </c>
      <c r="C5064" t="str">
        <f>HYPERLINK("https://www.dasschnelle.at/pre%C3%9Fnig-willfried-jenig-waidegg","Website")</f>
        <v>Website</v>
      </c>
      <c r="D5064" t="str">
        <f>HYPERLINK("http://www.google.com/maps/place/46.6335448,13.2309611","Location")</f>
        <v>Location</v>
      </c>
      <c r="E5064" t="s">
        <v>43136</v>
      </c>
      <c r="F5064" t="s">
        <v>43137</v>
      </c>
      <c r="G5064" t="s">
        <v>41400</v>
      </c>
      <c r="H5064" t="s">
        <v>43139</v>
      </c>
      <c r="I5064" t="s">
        <v>4130</v>
      </c>
      <c r="J5064" t="s">
        <v>22</v>
      </c>
      <c r="K5064" t="s">
        <v>43138</v>
      </c>
      <c r="L5064" t="s">
        <v>43142</v>
      </c>
      <c r="M5064" t="s">
        <v>25</v>
      </c>
      <c r="N5064" t="s">
        <v>43143</v>
      </c>
      <c r="O5064" t="s">
        <v>25</v>
      </c>
      <c r="P5064" t="s">
        <v>43144</v>
      </c>
      <c r="Q5064" t="s">
        <v>29</v>
      </c>
      <c r="R5064" t="s">
        <v>43140</v>
      </c>
      <c r="S5064" t="s">
        <v>43141</v>
      </c>
    </row>
    <row r="5065" spans="1:19" x14ac:dyDescent="0.25">
      <c r="A5065" s="1">
        <v>5063</v>
      </c>
      <c r="B5065" t="str">
        <f>HYPERLINK("https://www.dasschnelle.at/seibert-helmut-langenzersdorf-korneuburgerstraße","Website")</f>
        <v>Website</v>
      </c>
      <c r="C5065" t="str">
        <f>HYPERLINK("http://www.elektroseibert.at","Website")</f>
        <v>Website</v>
      </c>
      <c r="D5065" t="str">
        <f>HYPERLINK("http://www.google.com/maps/place/48.3107,16.35703","Location")</f>
        <v>Location</v>
      </c>
      <c r="E5065" t="s">
        <v>43145</v>
      </c>
      <c r="F5065" t="s">
        <v>43146</v>
      </c>
      <c r="G5065" t="s">
        <v>13262</v>
      </c>
      <c r="H5065" t="s">
        <v>13263</v>
      </c>
      <c r="I5065" t="s">
        <v>177</v>
      </c>
      <c r="J5065" t="s">
        <v>22</v>
      </c>
      <c r="K5065" t="s">
        <v>43147</v>
      </c>
      <c r="L5065" t="s">
        <v>43150</v>
      </c>
      <c r="M5065" t="s">
        <v>25</v>
      </c>
      <c r="N5065" t="s">
        <v>13157</v>
      </c>
      <c r="O5065" t="s">
        <v>43151</v>
      </c>
      <c r="P5065" t="s">
        <v>43152</v>
      </c>
      <c r="Q5065" t="s">
        <v>29</v>
      </c>
      <c r="R5065" t="s">
        <v>43148</v>
      </c>
      <c r="S5065" t="s">
        <v>43149</v>
      </c>
    </row>
    <row r="5066" spans="1:19" x14ac:dyDescent="0.25">
      <c r="A5066" s="1">
        <v>5064</v>
      </c>
      <c r="B5066" t="str">
        <f>HYPERLINK("https://www.dasschnelle.at/haiztinger-bootsbau-attersee-aufham","Website")</f>
        <v>Website</v>
      </c>
      <c r="C5066" t="str">
        <f>HYPERLINK("http://www.bootbau-haitzinger.at","Website")</f>
        <v>Website</v>
      </c>
      <c r="D5066" t="str">
        <f>HYPERLINK("http://www.google.com/maps/place/47.9069121,13.5281721","Location")</f>
        <v>Location</v>
      </c>
      <c r="E5066" t="s">
        <v>43153</v>
      </c>
      <c r="F5066" t="s">
        <v>43154</v>
      </c>
      <c r="G5066" t="s">
        <v>3869</v>
      </c>
      <c r="H5066" t="s">
        <v>25942</v>
      </c>
      <c r="I5066" t="s">
        <v>85</v>
      </c>
      <c r="J5066" t="s">
        <v>22</v>
      </c>
      <c r="K5066" t="s">
        <v>43155</v>
      </c>
      <c r="L5066" t="s">
        <v>43158</v>
      </c>
      <c r="M5066" t="s">
        <v>25</v>
      </c>
      <c r="N5066" t="s">
        <v>43159</v>
      </c>
      <c r="O5066" t="s">
        <v>25</v>
      </c>
      <c r="P5066" t="s">
        <v>43160</v>
      </c>
      <c r="Q5066" t="s">
        <v>29</v>
      </c>
      <c r="R5066" t="s">
        <v>43156</v>
      </c>
      <c r="S5066" t="s">
        <v>43157</v>
      </c>
    </row>
    <row r="5067" spans="1:19" x14ac:dyDescent="0.25">
      <c r="A5067" s="1">
        <v>5065</v>
      </c>
      <c r="B5067" t="str">
        <f>HYPERLINK("https://www.dasschnelle.at/bm-fuchs-gmbh-klosterneuburg-buchberggasse","Website")</f>
        <v>Website</v>
      </c>
      <c r="C5067" t="str">
        <f>HYPERLINK("http://www.baumeister-fuchs.at","Website")</f>
        <v>Website</v>
      </c>
      <c r="D5067" t="str">
        <f>HYPERLINK("http://www.google.com/maps/place/48.30647,16.3156","Location")</f>
        <v>Location</v>
      </c>
      <c r="E5067" t="s">
        <v>43161</v>
      </c>
      <c r="F5067" t="s">
        <v>43162</v>
      </c>
      <c r="G5067" t="s">
        <v>10308</v>
      </c>
      <c r="H5067" t="s">
        <v>10317</v>
      </c>
      <c r="I5067" t="s">
        <v>177</v>
      </c>
      <c r="J5067" t="s">
        <v>22</v>
      </c>
      <c r="K5067" t="s">
        <v>43163</v>
      </c>
      <c r="L5067" t="s">
        <v>43166</v>
      </c>
      <c r="M5067" t="s">
        <v>25</v>
      </c>
      <c r="N5067" t="s">
        <v>43167</v>
      </c>
      <c r="O5067" t="s">
        <v>25</v>
      </c>
      <c r="P5067" t="s">
        <v>43168</v>
      </c>
      <c r="Q5067" t="s">
        <v>29</v>
      </c>
      <c r="R5067" t="s">
        <v>43164</v>
      </c>
      <c r="S5067" t="s">
        <v>43165</v>
      </c>
    </row>
    <row r="5068" spans="1:19" x14ac:dyDescent="0.25">
      <c r="A5068" s="1">
        <v>5066</v>
      </c>
      <c r="B5068" t="str">
        <f>HYPERLINK("https://www.dasschnelle.at/stru-bau-gmbh-neustift-im-stubaital-stackler","Website")</f>
        <v>Website</v>
      </c>
      <c r="C5068" t="str">
        <f>HYPERLINK("http://www.stru-bau.at","Website")</f>
        <v>Website</v>
      </c>
      <c r="D5068" t="str">
        <f>HYPERLINK("http://www.google.com/maps/place/47.10467,11.30151","Location")</f>
        <v>Location</v>
      </c>
      <c r="E5068" t="s">
        <v>43169</v>
      </c>
      <c r="F5068" t="s">
        <v>43170</v>
      </c>
      <c r="G5068" t="s">
        <v>5283</v>
      </c>
      <c r="H5068" t="s">
        <v>5284</v>
      </c>
      <c r="I5068" t="s">
        <v>21</v>
      </c>
      <c r="J5068" t="s">
        <v>22</v>
      </c>
      <c r="K5068" t="s">
        <v>43171</v>
      </c>
      <c r="L5068" t="s">
        <v>43174</v>
      </c>
      <c r="M5068" t="s">
        <v>25</v>
      </c>
      <c r="N5068" t="s">
        <v>43175</v>
      </c>
      <c r="O5068" t="s">
        <v>25</v>
      </c>
      <c r="P5068" t="s">
        <v>43176</v>
      </c>
      <c r="Q5068" t="s">
        <v>29</v>
      </c>
      <c r="R5068" t="s">
        <v>43172</v>
      </c>
      <c r="S5068" t="s">
        <v>43173</v>
      </c>
    </row>
    <row r="5069" spans="1:19" x14ac:dyDescent="0.25">
      <c r="A5069" s="1">
        <v>5067</v>
      </c>
      <c r="B5069" t="str">
        <f>HYPERLINK("https://www.dasschnelle.at/vogelsberger-manfred-schöfens-bergstein","Website")</f>
        <v>Website</v>
      </c>
      <c r="C5069" t="str">
        <f>HYPERLINK("http://www.vogelsberger.tirol","Website")</f>
        <v>Website</v>
      </c>
      <c r="D5069" t="str">
        <f>HYPERLINK("http://www.google.com/maps/place/47.13235,11.45397","Location")</f>
        <v>Location</v>
      </c>
      <c r="E5069" t="s">
        <v>43177</v>
      </c>
      <c r="F5069" t="s">
        <v>43178</v>
      </c>
      <c r="G5069" t="s">
        <v>5300</v>
      </c>
      <c r="H5069" t="s">
        <v>43180</v>
      </c>
      <c r="I5069" t="s">
        <v>21</v>
      </c>
      <c r="J5069" t="s">
        <v>22</v>
      </c>
      <c r="K5069" t="s">
        <v>43179</v>
      </c>
      <c r="L5069" t="s">
        <v>43183</v>
      </c>
      <c r="M5069" t="s">
        <v>43184</v>
      </c>
      <c r="N5069" t="s">
        <v>43185</v>
      </c>
      <c r="O5069" t="s">
        <v>25</v>
      </c>
      <c r="P5069" t="s">
        <v>43186</v>
      </c>
      <c r="Q5069" t="s">
        <v>29</v>
      </c>
      <c r="R5069" t="s">
        <v>43181</v>
      </c>
      <c r="S5069" t="s">
        <v>43182</v>
      </c>
    </row>
    <row r="5070" spans="1:19" x14ac:dyDescent="0.25">
      <c r="A5070" s="1">
        <v>5068</v>
      </c>
      <c r="B5070" t="str">
        <f>HYPERLINK("https://www.dasschnelle.at/tierambulatorium-mannswörth-schwechat-mannswörther-straße","Website")</f>
        <v>Website</v>
      </c>
      <c r="C5070" t="str">
        <f>HYPERLINK("http://www.tierambulatorium.mannswoerth.at","Website")</f>
        <v>Website</v>
      </c>
      <c r="D5070" t="str">
        <f>HYPERLINK("http://www.google.com/maps/place/48.14786,16.51326","Location")</f>
        <v>Location</v>
      </c>
      <c r="E5070" t="s">
        <v>43187</v>
      </c>
      <c r="F5070" t="s">
        <v>43188</v>
      </c>
      <c r="G5070" t="s">
        <v>9769</v>
      </c>
      <c r="H5070" t="s">
        <v>9770</v>
      </c>
      <c r="I5070" t="s">
        <v>177</v>
      </c>
      <c r="J5070" t="s">
        <v>22</v>
      </c>
      <c r="K5070" t="s">
        <v>43189</v>
      </c>
      <c r="L5070" t="s">
        <v>43192</v>
      </c>
      <c r="M5070" t="s">
        <v>25</v>
      </c>
      <c r="N5070" t="s">
        <v>43193</v>
      </c>
      <c r="O5070" t="s">
        <v>25</v>
      </c>
      <c r="P5070" t="s">
        <v>43194</v>
      </c>
      <c r="Q5070" t="s">
        <v>29</v>
      </c>
      <c r="R5070" t="s">
        <v>43190</v>
      </c>
      <c r="S5070" t="s">
        <v>43191</v>
      </c>
    </row>
    <row r="5071" spans="1:19" x14ac:dyDescent="0.25">
      <c r="A5071" s="1">
        <v>5069</v>
      </c>
      <c r="B5071" t="str">
        <f>HYPERLINK("https://www.dasschnelle.at/höckner-fritz-utzenaich-murau","Website")</f>
        <v>Website</v>
      </c>
      <c r="C5071" t="str">
        <f>HYPERLINK("http://www.baumhoeckner.com","Website")</f>
        <v>Website</v>
      </c>
      <c r="D5071" t="str">
        <f>HYPERLINK("http://www.google.com/maps/place/48.2744425,13.4851555","Location")</f>
        <v>Location</v>
      </c>
      <c r="E5071" t="s">
        <v>43195</v>
      </c>
      <c r="F5071" t="s">
        <v>43196</v>
      </c>
      <c r="G5071" t="s">
        <v>6296</v>
      </c>
      <c r="H5071" t="s">
        <v>6297</v>
      </c>
      <c r="I5071" t="s">
        <v>85</v>
      </c>
      <c r="J5071" t="s">
        <v>22</v>
      </c>
      <c r="K5071" t="s">
        <v>43197</v>
      </c>
      <c r="L5071" t="s">
        <v>43200</v>
      </c>
      <c r="M5071" t="s">
        <v>25</v>
      </c>
      <c r="N5071" t="s">
        <v>43201</v>
      </c>
      <c r="O5071" t="s">
        <v>25</v>
      </c>
      <c r="P5071" t="s">
        <v>43202</v>
      </c>
      <c r="Q5071" t="s">
        <v>29</v>
      </c>
      <c r="R5071" t="s">
        <v>43198</v>
      </c>
      <c r="S5071" t="s">
        <v>43199</v>
      </c>
    </row>
    <row r="5072" spans="1:19" x14ac:dyDescent="0.25">
      <c r="A5072" s="1">
        <v>5070</v>
      </c>
      <c r="B5072" t="str">
        <f>HYPERLINK("https://www.dasschnelle.at/alpen-druck-egger-josef-jun-imst-floriangasse","Website")</f>
        <v>Website</v>
      </c>
      <c r="C5072" t="str">
        <f>HYPERLINK("http://www.alpendruck.at","Website")</f>
        <v>Website</v>
      </c>
      <c r="D5072" t="str">
        <f>HYPERLINK("http://www.google.com/maps/place/47.2395372,10.7415098","Location")</f>
        <v>Location</v>
      </c>
      <c r="E5072" t="s">
        <v>43203</v>
      </c>
      <c r="F5072" t="s">
        <v>43204</v>
      </c>
      <c r="G5072" t="s">
        <v>7997</v>
      </c>
      <c r="H5072" t="s">
        <v>7998</v>
      </c>
      <c r="I5072" t="s">
        <v>21</v>
      </c>
      <c r="J5072" t="s">
        <v>22</v>
      </c>
      <c r="K5072" t="s">
        <v>43205</v>
      </c>
      <c r="L5072" t="s">
        <v>43208</v>
      </c>
      <c r="M5072" t="s">
        <v>25</v>
      </c>
      <c r="N5072" t="s">
        <v>43209</v>
      </c>
      <c r="O5072" t="s">
        <v>25</v>
      </c>
      <c r="P5072" t="s">
        <v>43210</v>
      </c>
      <c r="Q5072" t="s">
        <v>29</v>
      </c>
      <c r="R5072" t="s">
        <v>43206</v>
      </c>
      <c r="S5072" t="s">
        <v>43207</v>
      </c>
    </row>
    <row r="5073" spans="1:19" x14ac:dyDescent="0.25">
      <c r="A5073" s="1">
        <v>5071</v>
      </c>
      <c r="B5073" t="str">
        <f>HYPERLINK("https://www.dasschnelle.at/dr-armin-ranner-und-dr-gunther-schuller-praxis-für-lungenheilkunde-og-steyr-pachergasse","Website")</f>
        <v>Website</v>
      </c>
      <c r="C5073" t="str">
        <f>HYPERLINK("http://www.lungenordi.at","Website")</f>
        <v>Website</v>
      </c>
      <c r="D5073" t="str">
        <f>HYPERLINK("http://www.google.com/maps/place/48.0413425,14.4254242","Location")</f>
        <v>Location</v>
      </c>
      <c r="E5073" t="s">
        <v>43211</v>
      </c>
      <c r="F5073" t="s">
        <v>43212</v>
      </c>
      <c r="G5073" t="s">
        <v>95</v>
      </c>
      <c r="H5073" t="s">
        <v>96</v>
      </c>
      <c r="I5073" t="s">
        <v>85</v>
      </c>
      <c r="J5073" t="s">
        <v>22</v>
      </c>
      <c r="K5073" t="s">
        <v>43213</v>
      </c>
      <c r="L5073" t="s">
        <v>43216</v>
      </c>
      <c r="M5073" t="s">
        <v>25</v>
      </c>
      <c r="N5073" t="s">
        <v>43217</v>
      </c>
      <c r="O5073" t="s">
        <v>25</v>
      </c>
      <c r="P5073" t="s">
        <v>43218</v>
      </c>
      <c r="Q5073" t="s">
        <v>29</v>
      </c>
      <c r="R5073" t="s">
        <v>43214</v>
      </c>
      <c r="S5073" t="s">
        <v>43215</v>
      </c>
    </row>
    <row r="5074" spans="1:19" x14ac:dyDescent="0.25">
      <c r="A5074" s="1">
        <v>5072</v>
      </c>
      <c r="B5074" t="str">
        <f>HYPERLINK("https://www.dasschnelle.at/regenfelder-bruno-st-veit-an-der-glan-klagenfurter-straße","Website")</f>
        <v>Website</v>
      </c>
      <c r="C5074" t="str">
        <f>HYPERLINK("https://www.dasschnelle.at/regenfelder-bruno-st-veit-an-der-glan-klagenfurter-stra%C3%9Fe","Website")</f>
        <v>Website</v>
      </c>
      <c r="D5074" t="str">
        <f>HYPERLINK("http://www.google.com/maps/place/46.7627357,14.3639006","Location")</f>
        <v>Location</v>
      </c>
      <c r="E5074" t="s">
        <v>43219</v>
      </c>
      <c r="F5074" t="s">
        <v>43220</v>
      </c>
      <c r="G5074" t="s">
        <v>9689</v>
      </c>
      <c r="H5074" t="s">
        <v>43222</v>
      </c>
      <c r="I5074" t="s">
        <v>4130</v>
      </c>
      <c r="J5074" t="s">
        <v>22</v>
      </c>
      <c r="K5074" t="s">
        <v>43221</v>
      </c>
      <c r="L5074" t="s">
        <v>43225</v>
      </c>
      <c r="M5074" t="s">
        <v>25</v>
      </c>
      <c r="N5074" t="s">
        <v>43226</v>
      </c>
      <c r="O5074" t="s">
        <v>25</v>
      </c>
      <c r="P5074" t="s">
        <v>43227</v>
      </c>
      <c r="Q5074" t="s">
        <v>29</v>
      </c>
      <c r="R5074" t="s">
        <v>43223</v>
      </c>
      <c r="S5074" t="s">
        <v>43224</v>
      </c>
    </row>
    <row r="5075" spans="1:19" x14ac:dyDescent="0.25">
      <c r="A5075" s="1">
        <v>5073</v>
      </c>
      <c r="B5075" t="str">
        <f>HYPERLINK("https://www.dasschnelle.at/mosleitner-bau-gmbh-gampern-gewerbepark","Website")</f>
        <v>Website</v>
      </c>
      <c r="C5075" t="str">
        <f>HYPERLINK("http://www.mosleitner-bau.at","Website")</f>
        <v>Website</v>
      </c>
      <c r="D5075" t="str">
        <f>HYPERLINK("http://www.google.com/maps/place/48.0001750,13.5586710","Location")</f>
        <v>Location</v>
      </c>
      <c r="E5075" t="s">
        <v>43228</v>
      </c>
      <c r="F5075" t="s">
        <v>43229</v>
      </c>
      <c r="G5075" t="s">
        <v>26771</v>
      </c>
      <c r="H5075" t="s">
        <v>26772</v>
      </c>
      <c r="I5075" t="s">
        <v>85</v>
      </c>
      <c r="J5075" t="s">
        <v>22</v>
      </c>
      <c r="K5075" t="s">
        <v>396</v>
      </c>
      <c r="L5075" t="s">
        <v>43232</v>
      </c>
      <c r="M5075" t="s">
        <v>25</v>
      </c>
      <c r="N5075" t="s">
        <v>43233</v>
      </c>
      <c r="O5075" t="s">
        <v>25</v>
      </c>
      <c r="P5075" t="s">
        <v>43234</v>
      </c>
      <c r="Q5075" t="s">
        <v>29</v>
      </c>
      <c r="R5075" t="s">
        <v>43230</v>
      </c>
      <c r="S5075" t="s">
        <v>43231</v>
      </c>
    </row>
    <row r="5076" spans="1:19" x14ac:dyDescent="0.25">
      <c r="A5076" s="1">
        <v>5074</v>
      </c>
      <c r="B5076" t="str">
        <f>HYPERLINK("https://www.dasschnelle.at/legat-automobil-gmbh-seewalchen-am-attersee-gewerbegebiet-ager","Website")</f>
        <v>Website</v>
      </c>
      <c r="C5076" t="str">
        <f>HYPERLINK("http://www.auto-legat.at","Website")</f>
        <v>Website</v>
      </c>
      <c r="D5076" t="str">
        <f>HYPERLINK("http://www.google.com/maps/place/47.9555,13.60642","Location")</f>
        <v>Location</v>
      </c>
      <c r="E5076" t="s">
        <v>43235</v>
      </c>
      <c r="F5076" t="s">
        <v>43236</v>
      </c>
      <c r="G5076" t="s">
        <v>3785</v>
      </c>
      <c r="H5076" t="s">
        <v>3786</v>
      </c>
      <c r="I5076" t="s">
        <v>85</v>
      </c>
      <c r="J5076" t="s">
        <v>22</v>
      </c>
      <c r="K5076" t="s">
        <v>43237</v>
      </c>
      <c r="L5076" t="s">
        <v>43240</v>
      </c>
      <c r="M5076" t="s">
        <v>25</v>
      </c>
      <c r="N5076" t="s">
        <v>43241</v>
      </c>
      <c r="O5076" t="s">
        <v>25</v>
      </c>
      <c r="P5076" t="s">
        <v>43242</v>
      </c>
      <c r="Q5076" t="s">
        <v>29</v>
      </c>
      <c r="R5076" t="s">
        <v>43238</v>
      </c>
      <c r="S5076" t="s">
        <v>43239</v>
      </c>
    </row>
    <row r="5077" spans="1:19" x14ac:dyDescent="0.25">
      <c r="A5077" s="1">
        <v>5075</v>
      </c>
      <c r="B5077" t="str">
        <f>HYPERLINK("https://www.dasschnelle.at/schiermayr-ernst-gmbh-und-co-kg-schwanenstadt-agersiedlung","Website")</f>
        <v>Website</v>
      </c>
      <c r="C5077" t="str">
        <f>HYPERLINK("http://www.schiermayr.at","Website")</f>
        <v>Website</v>
      </c>
      <c r="D5077" t="str">
        <f>HYPERLINK("http://www.google.com/maps/place/48.0433469,13.7738255","Location")</f>
        <v>Location</v>
      </c>
      <c r="E5077" t="s">
        <v>43243</v>
      </c>
      <c r="F5077" t="s">
        <v>43244</v>
      </c>
      <c r="G5077" t="s">
        <v>27331</v>
      </c>
      <c r="H5077" t="s">
        <v>27332</v>
      </c>
      <c r="I5077" t="s">
        <v>85</v>
      </c>
      <c r="J5077" t="s">
        <v>22</v>
      </c>
      <c r="K5077" t="s">
        <v>43245</v>
      </c>
      <c r="L5077" t="s">
        <v>43248</v>
      </c>
      <c r="M5077" t="s">
        <v>25</v>
      </c>
      <c r="N5077" t="s">
        <v>43249</v>
      </c>
      <c r="O5077" t="s">
        <v>25</v>
      </c>
      <c r="P5077" t="s">
        <v>43250</v>
      </c>
      <c r="Q5077" t="s">
        <v>29</v>
      </c>
      <c r="R5077" t="s">
        <v>43246</v>
      </c>
      <c r="S5077" t="s">
        <v>43247</v>
      </c>
    </row>
    <row r="5078" spans="1:19" x14ac:dyDescent="0.25">
      <c r="A5078" s="1">
        <v>5076</v>
      </c>
      <c r="B5078" t="str">
        <f>HYPERLINK("https://www.dasschnelle.at/würtl-gmbh-st-ulrich-am-pillersee-dorfstraße","Website")</f>
        <v>Website</v>
      </c>
      <c r="C5078" t="str">
        <f>HYPERLINK("http://www.wuertl-tischlerei.at","Website")</f>
        <v>Website</v>
      </c>
      <c r="D5078" t="str">
        <f>HYPERLINK("http://www.google.com/maps/place/47.5272500,12.5729700","Location")</f>
        <v>Location</v>
      </c>
      <c r="E5078" t="s">
        <v>43251</v>
      </c>
      <c r="F5078" t="s">
        <v>43252</v>
      </c>
      <c r="G5078" t="s">
        <v>919</v>
      </c>
      <c r="H5078" t="s">
        <v>920</v>
      </c>
      <c r="I5078" t="s">
        <v>21</v>
      </c>
      <c r="J5078" t="s">
        <v>22</v>
      </c>
      <c r="K5078" t="s">
        <v>43253</v>
      </c>
      <c r="L5078" t="s">
        <v>43256</v>
      </c>
      <c r="M5078" t="s">
        <v>43257</v>
      </c>
      <c r="N5078" t="s">
        <v>43258</v>
      </c>
      <c r="O5078" t="s">
        <v>25</v>
      </c>
      <c r="P5078" t="s">
        <v>43259</v>
      </c>
      <c r="Q5078" t="s">
        <v>29</v>
      </c>
      <c r="R5078" t="s">
        <v>43254</v>
      </c>
      <c r="S5078" t="s">
        <v>43255</v>
      </c>
    </row>
    <row r="5079" spans="1:19" x14ac:dyDescent="0.25">
      <c r="A5079" s="1">
        <v>5077</v>
      </c>
      <c r="B5079" t="str">
        <f>HYPERLINK("https://www.dasschnelle.at/reicher-gabriele-dr-lunz-sonnengasse","Website")</f>
        <v>Website</v>
      </c>
      <c r="C5079" t="str">
        <f>HYPERLINK("http://www.dr-reicher.at","Website")</f>
        <v>Website</v>
      </c>
      <c r="D5079" t="str">
        <f>HYPERLINK("http://www.google.com/maps/place/47.8590376,15.0353708","Location")</f>
        <v>Location</v>
      </c>
      <c r="E5079" t="s">
        <v>43260</v>
      </c>
      <c r="F5079" t="s">
        <v>43261</v>
      </c>
      <c r="G5079" t="s">
        <v>42944</v>
      </c>
      <c r="H5079" t="s">
        <v>42945</v>
      </c>
      <c r="I5079" t="s">
        <v>177</v>
      </c>
      <c r="J5079" t="s">
        <v>22</v>
      </c>
      <c r="K5079" t="s">
        <v>43262</v>
      </c>
      <c r="L5079" t="s">
        <v>43265</v>
      </c>
      <c r="M5079" t="s">
        <v>25</v>
      </c>
      <c r="N5079" t="s">
        <v>43266</v>
      </c>
      <c r="O5079" t="s">
        <v>25</v>
      </c>
      <c r="P5079" t="s">
        <v>43267</v>
      </c>
      <c r="Q5079" t="s">
        <v>29</v>
      </c>
      <c r="R5079" t="s">
        <v>43263</v>
      </c>
      <c r="S5079" t="s">
        <v>43264</v>
      </c>
    </row>
    <row r="5080" spans="1:19" x14ac:dyDescent="0.25">
      <c r="A5080" s="1">
        <v>5078</v>
      </c>
      <c r="B5080" t="str">
        <f>HYPERLINK("https://www.dasschnelle.at/elektro-klocker-gmbh-brixen-im-thale-brixentaler-straße","Website")</f>
        <v>Website</v>
      </c>
      <c r="C5080" t="str">
        <f>HYPERLINK("http://www.elektro-klocker.at","Website")</f>
        <v>Website</v>
      </c>
      <c r="D5080" t="str">
        <f>HYPERLINK("http://www.google.com/maps/place/47.45017,12.2548","Location")</f>
        <v>Location</v>
      </c>
      <c r="E5080" t="s">
        <v>43268</v>
      </c>
      <c r="F5080" t="s">
        <v>43269</v>
      </c>
      <c r="G5080" t="s">
        <v>17755</v>
      </c>
      <c r="H5080" t="s">
        <v>17756</v>
      </c>
      <c r="I5080" t="s">
        <v>21</v>
      </c>
      <c r="J5080" t="s">
        <v>22</v>
      </c>
      <c r="K5080" t="s">
        <v>43270</v>
      </c>
      <c r="L5080" t="s">
        <v>43273</v>
      </c>
      <c r="M5080" t="s">
        <v>25</v>
      </c>
      <c r="N5080" t="s">
        <v>43274</v>
      </c>
      <c r="O5080" t="s">
        <v>43275</v>
      </c>
      <c r="P5080" t="s">
        <v>43276</v>
      </c>
      <c r="Q5080" t="s">
        <v>29</v>
      </c>
      <c r="R5080" t="s">
        <v>43271</v>
      </c>
      <c r="S5080" t="s">
        <v>43272</v>
      </c>
    </row>
    <row r="5081" spans="1:19" x14ac:dyDescent="0.25">
      <c r="A5081" s="1">
        <v>5079</v>
      </c>
      <c r="B5081" t="str">
        <f>HYPERLINK("https://www.dasschnelle.at/optik-wolfgang-falb-leobersdorf-hauptstraße","Website")</f>
        <v>Website</v>
      </c>
      <c r="C5081" t="str">
        <f>HYPERLINK("http://www.optik-falb-wolfgang.at","Website")</f>
        <v>Website</v>
      </c>
      <c r="D5081" t="str">
        <f>HYPERLINK("http://www.google.com/maps/place/47.9276900,16.2158500","Location")</f>
        <v>Location</v>
      </c>
      <c r="E5081" t="s">
        <v>43277</v>
      </c>
      <c r="F5081" t="s">
        <v>43278</v>
      </c>
      <c r="G5081" t="s">
        <v>2091</v>
      </c>
      <c r="H5081" t="s">
        <v>2092</v>
      </c>
      <c r="I5081" t="s">
        <v>177</v>
      </c>
      <c r="J5081" t="s">
        <v>22</v>
      </c>
      <c r="K5081" t="s">
        <v>7548</v>
      </c>
      <c r="L5081" t="s">
        <v>43281</v>
      </c>
      <c r="M5081" t="s">
        <v>25</v>
      </c>
      <c r="N5081" t="s">
        <v>43282</v>
      </c>
      <c r="O5081" t="s">
        <v>25</v>
      </c>
      <c r="P5081" t="s">
        <v>43283</v>
      </c>
      <c r="Q5081" t="s">
        <v>29</v>
      </c>
      <c r="R5081" t="s">
        <v>43279</v>
      </c>
      <c r="S5081" t="s">
        <v>43280</v>
      </c>
    </row>
    <row r="5082" spans="1:19" x14ac:dyDescent="0.25">
      <c r="A5082" s="1">
        <v>5080</v>
      </c>
      <c r="B5082" t="str">
        <f>HYPERLINK("https://www.dasschnelle.at/gärtnerei-thellmann-michael-vöcklamarkt-blumenstraße","Website")</f>
        <v>Website</v>
      </c>
      <c r="C5082" t="str">
        <f>HYPERLINK("http://www.thellmann.at","Website")</f>
        <v>Website</v>
      </c>
      <c r="D5082" t="str">
        <f>HYPERLINK("http://www.google.com/maps/place/48.0034864,13.4880181","Location")</f>
        <v>Location</v>
      </c>
      <c r="E5082" t="s">
        <v>43284</v>
      </c>
      <c r="F5082" t="s">
        <v>43285</v>
      </c>
      <c r="G5082" t="s">
        <v>3823</v>
      </c>
      <c r="H5082" t="s">
        <v>3824</v>
      </c>
      <c r="I5082" t="s">
        <v>85</v>
      </c>
      <c r="J5082" t="s">
        <v>22</v>
      </c>
      <c r="K5082" t="s">
        <v>43286</v>
      </c>
      <c r="L5082" t="s">
        <v>43289</v>
      </c>
      <c r="M5082" t="s">
        <v>25</v>
      </c>
      <c r="N5082" t="s">
        <v>43290</v>
      </c>
      <c r="O5082" t="s">
        <v>25</v>
      </c>
      <c r="P5082" t="s">
        <v>43291</v>
      </c>
      <c r="Q5082" t="s">
        <v>29</v>
      </c>
      <c r="R5082" t="s">
        <v>43287</v>
      </c>
      <c r="S5082" t="s">
        <v>43288</v>
      </c>
    </row>
    <row r="5083" spans="1:19" x14ac:dyDescent="0.25">
      <c r="A5083" s="1">
        <v>5081</v>
      </c>
      <c r="B5083" t="str">
        <f>HYPERLINK("https://www.dasschnelle.at/oberlercher-und-ortner-spittal-an-der-drau-bernhardtgasse","Website")</f>
        <v>Website</v>
      </c>
      <c r="C5083" t="str">
        <f>HYPERLINK("http://www.oberlercher.com","Website")</f>
        <v>Website</v>
      </c>
      <c r="D5083" t="str">
        <f>HYPERLINK("http://www.google.com/maps/place/46.7986314,13.4970466","Location")</f>
        <v>Location</v>
      </c>
      <c r="E5083" t="s">
        <v>43292</v>
      </c>
      <c r="F5083" t="s">
        <v>43293</v>
      </c>
      <c r="G5083" t="s">
        <v>4160</v>
      </c>
      <c r="H5083" t="s">
        <v>25441</v>
      </c>
      <c r="I5083" t="s">
        <v>4130</v>
      </c>
      <c r="J5083" t="s">
        <v>22</v>
      </c>
      <c r="K5083" t="s">
        <v>43294</v>
      </c>
      <c r="L5083" t="s">
        <v>43297</v>
      </c>
      <c r="M5083" t="s">
        <v>25</v>
      </c>
      <c r="N5083" t="s">
        <v>43298</v>
      </c>
      <c r="O5083" t="s">
        <v>25</v>
      </c>
      <c r="P5083" t="s">
        <v>43299</v>
      </c>
      <c r="Q5083" t="s">
        <v>29</v>
      </c>
      <c r="R5083" t="s">
        <v>43295</v>
      </c>
      <c r="S5083" t="s">
        <v>43296</v>
      </c>
    </row>
    <row r="5084" spans="1:19" x14ac:dyDescent="0.25">
      <c r="A5084" s="1">
        <v>5082</v>
      </c>
      <c r="B5084" t="str">
        <f>HYPERLINK("https://www.dasschnelle.at/schantl-manfred-traiskirchen-ölw-gasse","Website")</f>
        <v>Website</v>
      </c>
      <c r="C5084" t="str">
        <f>HYPERLINK("https://www.dasschnelle.at/schantl-manfred-traiskirchen-%C3%B6lw-gasse","Website")</f>
        <v>Website</v>
      </c>
      <c r="D5084" t="str">
        <f>HYPERLINK("http://www.google.com/maps/place/48.0231,16.28158","Location")</f>
        <v>Location</v>
      </c>
      <c r="E5084" t="s">
        <v>43300</v>
      </c>
      <c r="F5084" t="s">
        <v>43301</v>
      </c>
      <c r="G5084" t="s">
        <v>2081</v>
      </c>
      <c r="H5084" t="s">
        <v>2082</v>
      </c>
      <c r="I5084" t="s">
        <v>177</v>
      </c>
      <c r="J5084" t="s">
        <v>22</v>
      </c>
      <c r="K5084" t="s">
        <v>43302</v>
      </c>
      <c r="L5084" t="s">
        <v>43305</v>
      </c>
      <c r="M5084" t="s">
        <v>25</v>
      </c>
      <c r="N5084" t="s">
        <v>43306</v>
      </c>
      <c r="O5084" t="s">
        <v>43307</v>
      </c>
      <c r="P5084" t="s">
        <v>43308</v>
      </c>
      <c r="Q5084" t="s">
        <v>29</v>
      </c>
      <c r="R5084" t="s">
        <v>43303</v>
      </c>
      <c r="S5084" t="s">
        <v>43304</v>
      </c>
    </row>
    <row r="5085" spans="1:19" x14ac:dyDescent="0.25">
      <c r="A5085" s="1">
        <v>5083</v>
      </c>
      <c r="B5085" t="str">
        <f>HYPERLINK("https://www.dasschnelle.at/juen-kathleen-landeck-leitenweg","Website")</f>
        <v>Website</v>
      </c>
      <c r="C5085" t="str">
        <f>HYPERLINK("https://www.dasschnelle.at/juen-kathleen-landeck-leitenweg","Website")</f>
        <v>Website</v>
      </c>
      <c r="D5085" t="str">
        <f>HYPERLINK("http://www.google.com/maps/place/47.14349,10.55433","Location")</f>
        <v>Location</v>
      </c>
      <c r="E5085" t="s">
        <v>43309</v>
      </c>
      <c r="F5085" t="s">
        <v>43310</v>
      </c>
      <c r="G5085" t="s">
        <v>1279</v>
      </c>
      <c r="H5085" t="s">
        <v>1280</v>
      </c>
      <c r="I5085" t="s">
        <v>21</v>
      </c>
      <c r="J5085" t="s">
        <v>22</v>
      </c>
      <c r="K5085" t="s">
        <v>43311</v>
      </c>
      <c r="L5085" t="s">
        <v>43314</v>
      </c>
      <c r="M5085" t="s">
        <v>25</v>
      </c>
      <c r="N5085" t="s">
        <v>43315</v>
      </c>
      <c r="O5085" t="s">
        <v>25</v>
      </c>
      <c r="P5085" t="s">
        <v>43316</v>
      </c>
      <c r="Q5085" t="s">
        <v>29</v>
      </c>
      <c r="R5085" t="s">
        <v>43312</v>
      </c>
      <c r="S5085" t="s">
        <v>43313</v>
      </c>
    </row>
    <row r="5086" spans="1:19" x14ac:dyDescent="0.25">
      <c r="A5086" s="1">
        <v>5084</v>
      </c>
      <c r="B5086" t="str">
        <f>HYPERLINK("https://www.dasschnelle.at/garhofer-susanne-mag-heidenreichstein-waidhofener-straße","Website")</f>
        <v>Website</v>
      </c>
      <c r="C5086" t="str">
        <f>HYPERLINK("http://www.garhofer.com","Website")</f>
        <v>Website</v>
      </c>
      <c r="D5086" t="str">
        <f>HYPERLINK("http://www.google.com/maps/place/48.86311,15.12593","Location")</f>
        <v>Location</v>
      </c>
      <c r="E5086" t="s">
        <v>43317</v>
      </c>
      <c r="F5086" t="s">
        <v>43318</v>
      </c>
      <c r="G5086" t="s">
        <v>24771</v>
      </c>
      <c r="H5086" t="s">
        <v>24772</v>
      </c>
      <c r="I5086" t="s">
        <v>177</v>
      </c>
      <c r="J5086" t="s">
        <v>22</v>
      </c>
      <c r="K5086" t="s">
        <v>43319</v>
      </c>
      <c r="L5086" t="s">
        <v>43322</v>
      </c>
      <c r="M5086" t="s">
        <v>25</v>
      </c>
      <c r="N5086" t="s">
        <v>43323</v>
      </c>
      <c r="O5086" t="s">
        <v>25</v>
      </c>
      <c r="P5086" t="s">
        <v>43324</v>
      </c>
      <c r="Q5086" t="s">
        <v>29</v>
      </c>
      <c r="R5086" t="s">
        <v>43320</v>
      </c>
      <c r="S5086" t="s">
        <v>43321</v>
      </c>
    </row>
    <row r="5087" spans="1:19" x14ac:dyDescent="0.25">
      <c r="A5087" s="1">
        <v>5085</v>
      </c>
      <c r="B5087" t="str">
        <f>HYPERLINK("https://www.dasschnelle.at/thurner-norbert-dr-gastern-hauptstrasse","Website")</f>
        <v>Website</v>
      </c>
      <c r="C5087" t="str">
        <f>HYPERLINK("http://www.arztpraxis-waldviertel.at","Website")</f>
        <v>Website</v>
      </c>
      <c r="D5087" t="str">
        <f>HYPERLINK("http://www.google.com/maps/place/48.9284783,15.2410945","Location")</f>
        <v>Location</v>
      </c>
      <c r="E5087" t="s">
        <v>43325</v>
      </c>
      <c r="F5087" t="s">
        <v>43326</v>
      </c>
      <c r="G5087" t="s">
        <v>24744</v>
      </c>
      <c r="H5087" t="s">
        <v>24735</v>
      </c>
      <c r="I5087" t="s">
        <v>177</v>
      </c>
      <c r="J5087" t="s">
        <v>22</v>
      </c>
      <c r="K5087" t="s">
        <v>43327</v>
      </c>
      <c r="L5087" t="s">
        <v>43330</v>
      </c>
      <c r="M5087" t="s">
        <v>25</v>
      </c>
      <c r="N5087" t="s">
        <v>43331</v>
      </c>
      <c r="O5087" t="s">
        <v>25</v>
      </c>
      <c r="P5087" t="s">
        <v>43332</v>
      </c>
      <c r="Q5087" t="s">
        <v>29</v>
      </c>
      <c r="R5087" t="s">
        <v>43328</v>
      </c>
      <c r="S5087" t="s">
        <v>43329</v>
      </c>
    </row>
    <row r="5088" spans="1:19" x14ac:dyDescent="0.25">
      <c r="A5088" s="1">
        <v>5086</v>
      </c>
      <c r="B5088" t="str">
        <f>HYPERLINK("https://www.dasschnelle.at/thurner-n-dr-kautzen-waidhofnerstraße","Website")</f>
        <v>Website</v>
      </c>
      <c r="C5088" t="str">
        <f>HYPERLINK("http://www.arztpraxis-waldviertel.at","Website")</f>
        <v>Website</v>
      </c>
      <c r="D5088" t="str">
        <f>HYPERLINK("http://www.google.com/maps/place/48.9284783,15.2410945","Location")</f>
        <v>Location</v>
      </c>
      <c r="E5088" t="s">
        <v>43333</v>
      </c>
      <c r="F5088" t="s">
        <v>43334</v>
      </c>
      <c r="G5088" t="s">
        <v>24744</v>
      </c>
      <c r="H5088" t="s">
        <v>43336</v>
      </c>
      <c r="I5088" t="s">
        <v>177</v>
      </c>
      <c r="J5088" t="s">
        <v>22</v>
      </c>
      <c r="K5088" t="s">
        <v>43335</v>
      </c>
      <c r="L5088" t="s">
        <v>43337</v>
      </c>
      <c r="M5088" t="s">
        <v>25</v>
      </c>
      <c r="N5088" t="s">
        <v>25</v>
      </c>
      <c r="O5088" t="s">
        <v>25</v>
      </c>
      <c r="P5088" t="s">
        <v>43338</v>
      </c>
      <c r="Q5088" t="s">
        <v>29</v>
      </c>
      <c r="R5088" t="s">
        <v>43328</v>
      </c>
      <c r="S5088" t="s">
        <v>43329</v>
      </c>
    </row>
    <row r="5089" spans="1:19" x14ac:dyDescent="0.25">
      <c r="A5089" s="1">
        <v>5087</v>
      </c>
      <c r="B5089" t="str">
        <f>HYPERLINK("https://www.dasschnelle.at/rader-alfred-sankt-aegidi-lehen","Website")</f>
        <v>Website</v>
      </c>
      <c r="C5089" t="str">
        <f>HYPERLINK("http://www.balkon-rader.com","Website")</f>
        <v>Website</v>
      </c>
      <c r="D5089" t="str">
        <f>HYPERLINK("http://www.google.com/maps/place/48.4709686,13.7404937","Location")</f>
        <v>Location</v>
      </c>
      <c r="E5089" t="s">
        <v>43339</v>
      </c>
      <c r="F5089" t="s">
        <v>43340</v>
      </c>
      <c r="G5089" t="s">
        <v>26975</v>
      </c>
      <c r="H5089" t="s">
        <v>43342</v>
      </c>
      <c r="I5089" t="s">
        <v>85</v>
      </c>
      <c r="J5089" t="s">
        <v>22</v>
      </c>
      <c r="K5089" t="s">
        <v>43341</v>
      </c>
      <c r="L5089" t="s">
        <v>43345</v>
      </c>
      <c r="M5089" t="s">
        <v>25</v>
      </c>
      <c r="N5089" t="s">
        <v>43346</v>
      </c>
      <c r="O5089" t="s">
        <v>25</v>
      </c>
      <c r="P5089" t="s">
        <v>43347</v>
      </c>
      <c r="Q5089" t="s">
        <v>29</v>
      </c>
      <c r="R5089" t="s">
        <v>43343</v>
      </c>
      <c r="S5089" t="s">
        <v>43344</v>
      </c>
    </row>
    <row r="5090" spans="1:19" x14ac:dyDescent="0.25">
      <c r="A5090" s="1">
        <v>5088</v>
      </c>
      <c r="B5090" t="str">
        <f>HYPERLINK("https://www.dasschnelle.at/tomsits-jürgen-thalgau-fuschler-straße","Website")</f>
        <v>Website</v>
      </c>
      <c r="C5090" t="str">
        <f>HYPERLINK("http://www.malerei-tomsits-sbg.at","Website")</f>
        <v>Website</v>
      </c>
      <c r="D5090" t="str">
        <f>HYPERLINK("http://www.google.com/maps/place/47.8401,13.25505","Location")</f>
        <v>Location</v>
      </c>
      <c r="E5090" t="s">
        <v>43348</v>
      </c>
      <c r="F5090" t="s">
        <v>43349</v>
      </c>
      <c r="G5090" t="s">
        <v>26904</v>
      </c>
      <c r="H5090" t="s">
        <v>26905</v>
      </c>
      <c r="I5090" t="s">
        <v>2239</v>
      </c>
      <c r="J5090" t="s">
        <v>22</v>
      </c>
      <c r="K5090" t="s">
        <v>43350</v>
      </c>
      <c r="L5090" t="s">
        <v>43353</v>
      </c>
      <c r="M5090" t="s">
        <v>25</v>
      </c>
      <c r="N5090" t="s">
        <v>43354</v>
      </c>
      <c r="O5090" t="s">
        <v>25</v>
      </c>
      <c r="P5090" t="s">
        <v>43355</v>
      </c>
      <c r="Q5090" t="s">
        <v>29</v>
      </c>
      <c r="R5090" t="s">
        <v>43351</v>
      </c>
      <c r="S5090" t="s">
        <v>43352</v>
      </c>
    </row>
    <row r="5091" spans="1:19" x14ac:dyDescent="0.25">
      <c r="A5091" s="1">
        <v>5089</v>
      </c>
      <c r="B5091" t="str">
        <f>HYPERLINK("https://www.dasschnelle.at/blumen-glatz-gmbh-klosterneuburg-ziegelofengasse","Website")</f>
        <v>Website</v>
      </c>
      <c r="C5091" t="str">
        <f>HYPERLINK("http://www.blumenglatz.at","Website")</f>
        <v>Website</v>
      </c>
      <c r="D5091" t="str">
        <f>HYPERLINK("http://www.google.com/maps/place/48.31267,16.31781","Location")</f>
        <v>Location</v>
      </c>
      <c r="E5091" t="s">
        <v>43356</v>
      </c>
      <c r="F5091" t="s">
        <v>43357</v>
      </c>
      <c r="G5091" t="s">
        <v>10308</v>
      </c>
      <c r="H5091" t="s">
        <v>10317</v>
      </c>
      <c r="I5091" t="s">
        <v>177</v>
      </c>
      <c r="J5091" t="s">
        <v>22</v>
      </c>
      <c r="K5091" t="s">
        <v>43358</v>
      </c>
      <c r="L5091" t="s">
        <v>43361</v>
      </c>
      <c r="M5091" t="s">
        <v>25</v>
      </c>
      <c r="N5091" t="s">
        <v>43362</v>
      </c>
      <c r="O5091" t="s">
        <v>25</v>
      </c>
      <c r="P5091" t="s">
        <v>43363</v>
      </c>
      <c r="Q5091" t="s">
        <v>29</v>
      </c>
      <c r="R5091" t="s">
        <v>43359</v>
      </c>
      <c r="S5091" t="s">
        <v>43360</v>
      </c>
    </row>
    <row r="5092" spans="1:19" x14ac:dyDescent="0.25">
      <c r="A5092" s="1">
        <v>5090</v>
      </c>
      <c r="B5092" t="str">
        <f>HYPERLINK("https://www.dasschnelle.at/kaindl-karl-baumgartenberg-baumgartenberg","Website")</f>
        <v>Website</v>
      </c>
      <c r="C5092" t="str">
        <f>HYPERLINK("http://www.kaindl-bgb.at","Website")</f>
        <v>Website</v>
      </c>
      <c r="D5092" t="str">
        <f>HYPERLINK("http://www.google.com/maps/place/48.2090965,14.7460770","Location")</f>
        <v>Location</v>
      </c>
      <c r="E5092" t="s">
        <v>43364</v>
      </c>
      <c r="F5092" t="s">
        <v>43365</v>
      </c>
      <c r="G5092" t="s">
        <v>43367</v>
      </c>
      <c r="H5092" t="s">
        <v>43368</v>
      </c>
      <c r="I5092" t="s">
        <v>85</v>
      </c>
      <c r="J5092" t="s">
        <v>22</v>
      </c>
      <c r="K5092" t="s">
        <v>43366</v>
      </c>
      <c r="L5092" t="s">
        <v>43371</v>
      </c>
      <c r="M5092" t="s">
        <v>25</v>
      </c>
      <c r="N5092" t="s">
        <v>43372</v>
      </c>
      <c r="O5092" t="s">
        <v>25</v>
      </c>
      <c r="P5092" t="s">
        <v>43373</v>
      </c>
      <c r="Q5092" t="s">
        <v>29</v>
      </c>
      <c r="R5092" t="s">
        <v>43369</v>
      </c>
      <c r="S5092" t="s">
        <v>43370</v>
      </c>
    </row>
    <row r="5093" spans="1:19" x14ac:dyDescent="0.25">
      <c r="A5093" s="1">
        <v>5091</v>
      </c>
      <c r="B5093" t="str">
        <f>HYPERLINK("https://www.dasschnelle.at/fachkosmetik-anni-cihal-klosterneuburg-leopoldstraße","Website")</f>
        <v>Website</v>
      </c>
      <c r="C5093" t="str">
        <f>HYPERLINK("https://www.dasschnelle.at/fachkosmetik-anni-cihal-klosterneuburg-leopoldstra%C3%9Fe","Website")</f>
        <v>Website</v>
      </c>
      <c r="D5093" t="str">
        <f>HYPERLINK("http://www.google.com/maps/place/48.30355,16.32696","Location")</f>
        <v>Location</v>
      </c>
      <c r="E5093" t="s">
        <v>43374</v>
      </c>
      <c r="F5093" t="s">
        <v>43375</v>
      </c>
      <c r="G5093" t="s">
        <v>10308</v>
      </c>
      <c r="H5093" t="s">
        <v>10317</v>
      </c>
      <c r="I5093" t="s">
        <v>177</v>
      </c>
      <c r="J5093" t="s">
        <v>22</v>
      </c>
      <c r="K5093" t="s">
        <v>43376</v>
      </c>
      <c r="L5093" t="s">
        <v>43379</v>
      </c>
      <c r="M5093" t="s">
        <v>25</v>
      </c>
      <c r="N5093" t="s">
        <v>25</v>
      </c>
      <c r="O5093" t="s">
        <v>25</v>
      </c>
      <c r="P5093" t="s">
        <v>43380</v>
      </c>
      <c r="Q5093" t="s">
        <v>29</v>
      </c>
      <c r="R5093" t="s">
        <v>43377</v>
      </c>
      <c r="S5093" t="s">
        <v>43378</v>
      </c>
    </row>
    <row r="5094" spans="1:19" x14ac:dyDescent="0.25">
      <c r="A5094" s="1">
        <v>5092</v>
      </c>
      <c r="B5094" t="str">
        <f>HYPERLINK("https://www.dasschnelle.at/aigner-gerald-hüttau-sonnberg","Website")</f>
        <v>Website</v>
      </c>
      <c r="C5094" t="str">
        <f>HYPERLINK("https://www.dasschnelle.at/aigner-gerald-h%C3%BCttau-sonnberg","Website")</f>
        <v>Website</v>
      </c>
      <c r="D5094" t="str">
        <f>HYPERLINK("http://www.google.com/maps/place/47.4300095,13.3533609","Location")</f>
        <v>Location</v>
      </c>
      <c r="E5094" t="s">
        <v>43381</v>
      </c>
      <c r="F5094" t="s">
        <v>43382</v>
      </c>
      <c r="G5094" t="s">
        <v>43384</v>
      </c>
      <c r="H5094" t="s">
        <v>43385</v>
      </c>
      <c r="I5094" t="s">
        <v>2239</v>
      </c>
      <c r="J5094" t="s">
        <v>22</v>
      </c>
      <c r="K5094" t="s">
        <v>43383</v>
      </c>
      <c r="L5094" t="s">
        <v>43388</v>
      </c>
      <c r="M5094" t="s">
        <v>25</v>
      </c>
      <c r="N5094" t="s">
        <v>43389</v>
      </c>
      <c r="O5094" t="s">
        <v>25</v>
      </c>
      <c r="P5094" t="s">
        <v>43390</v>
      </c>
      <c r="Q5094" t="s">
        <v>29</v>
      </c>
      <c r="R5094" t="s">
        <v>43386</v>
      </c>
      <c r="S5094" t="s">
        <v>43387</v>
      </c>
    </row>
    <row r="5095" spans="1:19" x14ac:dyDescent="0.25">
      <c r="A5095" s="1">
        <v>5093</v>
      </c>
      <c r="B5095" t="str">
        <f>HYPERLINK("https://www.dasschnelle.at/klecka-michael-dr-klosterneuburg-kreutzergasse","Website")</f>
        <v>Website</v>
      </c>
      <c r="C5095" t="str">
        <f>HYPERLINK("https://www.dasschnelle.at/klecka-michael-dr-klosterneuburg-kreutzergasse","Website")</f>
        <v>Website</v>
      </c>
      <c r="D5095" t="str">
        <f>HYPERLINK("http://www.google.com/maps/place/48.3038468,16.3147997","Location")</f>
        <v>Location</v>
      </c>
      <c r="E5095" t="s">
        <v>43391</v>
      </c>
      <c r="F5095" t="s">
        <v>43392</v>
      </c>
      <c r="G5095" t="s">
        <v>10308</v>
      </c>
      <c r="H5095" t="s">
        <v>10317</v>
      </c>
      <c r="I5095" t="s">
        <v>177</v>
      </c>
      <c r="J5095" t="s">
        <v>22</v>
      </c>
      <c r="K5095" t="s">
        <v>43393</v>
      </c>
      <c r="L5095" t="s">
        <v>43396</v>
      </c>
      <c r="M5095" t="s">
        <v>25</v>
      </c>
      <c r="N5095" t="s">
        <v>43397</v>
      </c>
      <c r="O5095" t="s">
        <v>25</v>
      </c>
      <c r="P5095" t="s">
        <v>43398</v>
      </c>
      <c r="Q5095" t="s">
        <v>29</v>
      </c>
      <c r="R5095" t="s">
        <v>43394</v>
      </c>
      <c r="S5095" t="s">
        <v>43395</v>
      </c>
    </row>
    <row r="5096" spans="1:19" x14ac:dyDescent="0.25">
      <c r="A5096" s="1">
        <v>5094</v>
      </c>
      <c r="B5096" t="str">
        <f>HYPERLINK("https://www.dasschnelle.at/farbencenter-gralla-og-gralla-gewerbepark-nord","Website")</f>
        <v>Website</v>
      </c>
      <c r="C5096" t="str">
        <f>HYPERLINK("http://www.farbencenter-gralla.at","Website")</f>
        <v>Website</v>
      </c>
      <c r="D5096" t="str">
        <f>HYPERLINK("http://www.google.com/maps/place/46.80673,15.56187","Location")</f>
        <v>Location</v>
      </c>
      <c r="E5096" t="s">
        <v>43399</v>
      </c>
      <c r="F5096" t="s">
        <v>43400</v>
      </c>
      <c r="G5096" t="s">
        <v>11038</v>
      </c>
      <c r="H5096" t="s">
        <v>11039</v>
      </c>
      <c r="I5096" t="s">
        <v>451</v>
      </c>
      <c r="J5096" t="s">
        <v>22</v>
      </c>
      <c r="K5096" t="s">
        <v>43401</v>
      </c>
      <c r="L5096" t="s">
        <v>43404</v>
      </c>
      <c r="M5096" t="s">
        <v>25</v>
      </c>
      <c r="N5096" t="s">
        <v>43405</v>
      </c>
      <c r="O5096" t="s">
        <v>43406</v>
      </c>
      <c r="P5096" t="s">
        <v>43407</v>
      </c>
      <c r="Q5096" t="s">
        <v>29</v>
      </c>
      <c r="R5096" t="s">
        <v>43402</v>
      </c>
      <c r="S5096" t="s">
        <v>43403</v>
      </c>
    </row>
    <row r="5097" spans="1:19" x14ac:dyDescent="0.25">
      <c r="A5097" s="1">
        <v>5095</v>
      </c>
      <c r="B5097" t="str">
        <f>HYPERLINK("https://www.dasschnelle.at/die-haarschneiderei-althofen-hauptplatz","Website")</f>
        <v>Website</v>
      </c>
      <c r="C5097" t="str">
        <f>HYPERLINK("https://www.dasschnelle.at/die-haarschneiderei-althofen-hauptplatz","Website")</f>
        <v>Website</v>
      </c>
      <c r="D5097" t="str">
        <f>HYPERLINK("http://www.google.com/maps/place/46.87044,14.47027","Location")</f>
        <v>Location</v>
      </c>
      <c r="E5097" t="s">
        <v>43408</v>
      </c>
      <c r="F5097" t="s">
        <v>43409</v>
      </c>
      <c r="G5097" t="s">
        <v>9679</v>
      </c>
      <c r="H5097" t="s">
        <v>24971</v>
      </c>
      <c r="I5097" t="s">
        <v>4130</v>
      </c>
      <c r="J5097" t="s">
        <v>22</v>
      </c>
      <c r="K5097" t="s">
        <v>16309</v>
      </c>
      <c r="L5097" t="s">
        <v>43412</v>
      </c>
      <c r="M5097" t="s">
        <v>25</v>
      </c>
      <c r="N5097" t="s">
        <v>43413</v>
      </c>
      <c r="O5097" t="s">
        <v>25</v>
      </c>
      <c r="P5097" t="s">
        <v>43414</v>
      </c>
      <c r="Q5097" t="s">
        <v>29</v>
      </c>
      <c r="R5097" t="s">
        <v>43410</v>
      </c>
      <c r="S5097" t="s">
        <v>43411</v>
      </c>
    </row>
    <row r="5098" spans="1:19" x14ac:dyDescent="0.25">
      <c r="A5098" s="1">
        <v>5096</v>
      </c>
      <c r="B5098" t="str">
        <f>HYPERLINK("https://www.dasschnelle.at/kremnitzer-bernhard-altaussee-puchen","Website")</f>
        <v>Website</v>
      </c>
      <c r="C5098" t="str">
        <f>HYPERLINK("https://www.dasschnelle.at/kremnitzer-bernhard-altaussee-puchen","Website")</f>
        <v>Website</v>
      </c>
      <c r="D5098" t="str">
        <f>HYPERLINK("http://www.google.com/maps/place/47.6337000,13.7585700","Location")</f>
        <v>Location</v>
      </c>
      <c r="E5098" t="s">
        <v>43415</v>
      </c>
      <c r="F5098" t="s">
        <v>43416</v>
      </c>
      <c r="G5098" t="s">
        <v>2643</v>
      </c>
      <c r="H5098" t="s">
        <v>2644</v>
      </c>
      <c r="I5098" t="s">
        <v>451</v>
      </c>
      <c r="J5098" t="s">
        <v>22</v>
      </c>
      <c r="K5098" t="s">
        <v>43417</v>
      </c>
      <c r="L5098" t="s">
        <v>43420</v>
      </c>
      <c r="M5098" t="s">
        <v>25</v>
      </c>
      <c r="N5098" t="s">
        <v>43421</v>
      </c>
      <c r="O5098" t="s">
        <v>25</v>
      </c>
      <c r="P5098" t="s">
        <v>43422</v>
      </c>
      <c r="Q5098" t="s">
        <v>29</v>
      </c>
      <c r="R5098" t="s">
        <v>43418</v>
      </c>
      <c r="S5098" t="s">
        <v>43419</v>
      </c>
    </row>
    <row r="5099" spans="1:19" x14ac:dyDescent="0.25">
      <c r="A5099" s="1">
        <v>5097</v>
      </c>
      <c r="B5099" t="str">
        <f>HYPERLINK("https://www.dasschnelle.at/eggenreitter-stefan-ing-obertraun-obertraun","Website")</f>
        <v>Website</v>
      </c>
      <c r="C5099" t="str">
        <f>HYPERLINK("http://www.eggenreitter.at","Website")</f>
        <v>Website</v>
      </c>
      <c r="D5099" t="str">
        <f>HYPERLINK("http://www.google.com/maps/place/47.5551749,13.7019036","Location")</f>
        <v>Location</v>
      </c>
      <c r="E5099" t="s">
        <v>43423</v>
      </c>
      <c r="F5099" t="s">
        <v>43424</v>
      </c>
      <c r="G5099" t="s">
        <v>2576</v>
      </c>
      <c r="H5099" t="s">
        <v>2577</v>
      </c>
      <c r="I5099" t="s">
        <v>85</v>
      </c>
      <c r="J5099" t="s">
        <v>22</v>
      </c>
      <c r="K5099" t="s">
        <v>43425</v>
      </c>
      <c r="L5099" t="s">
        <v>43428</v>
      </c>
      <c r="M5099" t="s">
        <v>25</v>
      </c>
      <c r="N5099" t="s">
        <v>43429</v>
      </c>
      <c r="O5099" t="s">
        <v>25</v>
      </c>
      <c r="P5099" t="s">
        <v>43430</v>
      </c>
      <c r="Q5099" t="s">
        <v>29</v>
      </c>
      <c r="R5099" t="s">
        <v>43426</v>
      </c>
      <c r="S5099" t="s">
        <v>43427</v>
      </c>
    </row>
    <row r="5100" spans="1:19" x14ac:dyDescent="0.25">
      <c r="A5100" s="1">
        <v>5098</v>
      </c>
      <c r="B5100" t="str">
        <f>HYPERLINK("https://www.dasschnelle.at/kirchenwirt-fam-auer-gmbh-schottwien-maria-schutz","Website")</f>
        <v>Website</v>
      </c>
      <c r="C5100" t="str">
        <f>HYPERLINK("http://www.klosterkrapfen.at","Website")</f>
        <v>Website</v>
      </c>
      <c r="D5100" t="str">
        <f>HYPERLINK("http://www.google.com/maps/place/47.6418719,15.8687109","Location")</f>
        <v>Location</v>
      </c>
      <c r="E5100" t="s">
        <v>43431</v>
      </c>
      <c r="F5100" t="s">
        <v>43432</v>
      </c>
      <c r="G5100" t="s">
        <v>43434</v>
      </c>
      <c r="H5100" t="s">
        <v>43435</v>
      </c>
      <c r="I5100" t="s">
        <v>177</v>
      </c>
      <c r="J5100" t="s">
        <v>22</v>
      </c>
      <c r="K5100" t="s">
        <v>43433</v>
      </c>
      <c r="L5100" t="s">
        <v>43438</v>
      </c>
      <c r="M5100" t="s">
        <v>25</v>
      </c>
      <c r="N5100" t="s">
        <v>43439</v>
      </c>
      <c r="O5100" t="s">
        <v>25</v>
      </c>
      <c r="P5100" t="s">
        <v>43440</v>
      </c>
      <c r="Q5100" t="s">
        <v>29</v>
      </c>
      <c r="R5100" t="s">
        <v>43436</v>
      </c>
      <c r="S5100" t="s">
        <v>43437</v>
      </c>
    </row>
    <row r="5101" spans="1:19" x14ac:dyDescent="0.25">
      <c r="A5101" s="1">
        <v>5099</v>
      </c>
      <c r="B5101" t="str">
        <f>HYPERLINK("https://www.dasschnelle.at/stefan-gailer-landmaschinen-kötschach-kötschach","Website")</f>
        <v>Website</v>
      </c>
      <c r="C5101" t="str">
        <f>HYPERLINK("http://www.maschinen-gailer.at","Website")</f>
        <v>Website</v>
      </c>
      <c r="D5101" t="str">
        <f>HYPERLINK("http://www.google.com/maps/place/46.6820255,13.0021272","Location")</f>
        <v>Location</v>
      </c>
      <c r="E5101" t="s">
        <v>43441</v>
      </c>
      <c r="F5101" t="s">
        <v>43442</v>
      </c>
      <c r="G5101" t="s">
        <v>9163</v>
      </c>
      <c r="H5101" t="s">
        <v>12894</v>
      </c>
      <c r="I5101" t="s">
        <v>4130</v>
      </c>
      <c r="J5101" t="s">
        <v>22</v>
      </c>
      <c r="K5101" t="s">
        <v>43443</v>
      </c>
      <c r="L5101" t="s">
        <v>43446</v>
      </c>
      <c r="M5101" t="s">
        <v>25</v>
      </c>
      <c r="N5101" t="s">
        <v>43447</v>
      </c>
      <c r="O5101" t="s">
        <v>43448</v>
      </c>
      <c r="P5101" t="s">
        <v>43449</v>
      </c>
      <c r="Q5101" t="s">
        <v>29</v>
      </c>
      <c r="R5101" t="s">
        <v>43444</v>
      </c>
      <c r="S5101" t="s">
        <v>43445</v>
      </c>
    </row>
    <row r="5102" spans="1:19" x14ac:dyDescent="0.25">
      <c r="A5102" s="1">
        <v>5100</v>
      </c>
      <c r="B5102" t="str">
        <f>HYPERLINK("https://www.dasschnelle.at/spenglerei-dorer-gesmbh-walchsee-moosen","Website")</f>
        <v>Website</v>
      </c>
      <c r="C5102" t="str">
        <f>HYPERLINK("http://www.dorer-dach.at","Website")</f>
        <v>Website</v>
      </c>
      <c r="D5102" t="str">
        <f>HYPERLINK("http://www.google.com/maps/place/47.64652,12.30302","Location")</f>
        <v>Location</v>
      </c>
      <c r="E5102" t="s">
        <v>43450</v>
      </c>
      <c r="F5102" t="s">
        <v>43451</v>
      </c>
      <c r="G5102" t="s">
        <v>45</v>
      </c>
      <c r="H5102" t="s">
        <v>46</v>
      </c>
      <c r="I5102" t="s">
        <v>21</v>
      </c>
      <c r="J5102" t="s">
        <v>22</v>
      </c>
      <c r="K5102" t="s">
        <v>43452</v>
      </c>
      <c r="L5102" t="s">
        <v>43455</v>
      </c>
      <c r="M5102" t="s">
        <v>25</v>
      </c>
      <c r="N5102" t="s">
        <v>43456</v>
      </c>
      <c r="O5102" t="s">
        <v>25</v>
      </c>
      <c r="P5102" t="s">
        <v>43457</v>
      </c>
      <c r="Q5102" t="s">
        <v>29</v>
      </c>
      <c r="R5102" t="s">
        <v>43453</v>
      </c>
      <c r="S5102" t="s">
        <v>43454</v>
      </c>
    </row>
    <row r="5103" spans="1:19" x14ac:dyDescent="0.25">
      <c r="A5103" s="1">
        <v>5101</v>
      </c>
      <c r="B5103" t="str">
        <f>HYPERLINK("https://www.dasschnelle.at/moser-gmbh-ebbs-kleinfeld","Website")</f>
        <v>Website</v>
      </c>
      <c r="C5103" t="str">
        <f>HYPERLINK("http://www.spenglerei-moser.at","Website")</f>
        <v>Website</v>
      </c>
      <c r="D5103" t="str">
        <f>HYPERLINK("http://www.google.com/maps/place/47.62304,12.21219","Location")</f>
        <v>Location</v>
      </c>
      <c r="E5103" t="s">
        <v>43458</v>
      </c>
      <c r="F5103" t="s">
        <v>43459</v>
      </c>
      <c r="G5103" t="s">
        <v>62</v>
      </c>
      <c r="H5103" t="s">
        <v>9100</v>
      </c>
      <c r="I5103" t="s">
        <v>21</v>
      </c>
      <c r="J5103" t="s">
        <v>22</v>
      </c>
      <c r="K5103" t="s">
        <v>43460</v>
      </c>
      <c r="L5103" t="s">
        <v>43463</v>
      </c>
      <c r="M5103" t="s">
        <v>43464</v>
      </c>
      <c r="N5103" t="s">
        <v>43465</v>
      </c>
      <c r="O5103" t="s">
        <v>25</v>
      </c>
      <c r="P5103" t="s">
        <v>43466</v>
      </c>
      <c r="Q5103" t="s">
        <v>29</v>
      </c>
      <c r="R5103" t="s">
        <v>43461</v>
      </c>
      <c r="S5103" t="s">
        <v>43462</v>
      </c>
    </row>
    <row r="5104" spans="1:19" x14ac:dyDescent="0.25">
      <c r="A5104" s="1">
        <v>5102</v>
      </c>
      <c r="B5104" t="str">
        <f>HYPERLINK("https://www.dasschnelle.at/spenglerei-heim-e-u-schwoich-egerbach","Website")</f>
        <v>Website</v>
      </c>
      <c r="C5104" t="str">
        <f>HYPERLINK("http://www.spenglerei-heim.at","Website")</f>
        <v>Website</v>
      </c>
      <c r="D5104" t="str">
        <f>HYPERLINK("http://www.google.com/maps/place/47.55604,12.15621","Location")</f>
        <v>Location</v>
      </c>
      <c r="E5104" t="s">
        <v>43467</v>
      </c>
      <c r="F5104" t="s">
        <v>43468</v>
      </c>
      <c r="G5104" t="s">
        <v>43470</v>
      </c>
      <c r="H5104" t="s">
        <v>43471</v>
      </c>
      <c r="I5104" t="s">
        <v>21</v>
      </c>
      <c r="J5104" t="s">
        <v>22</v>
      </c>
      <c r="K5104" t="s">
        <v>43469</v>
      </c>
      <c r="L5104" t="s">
        <v>43474</v>
      </c>
      <c r="M5104" t="s">
        <v>25</v>
      </c>
      <c r="N5104" t="s">
        <v>43475</v>
      </c>
      <c r="O5104" t="s">
        <v>25</v>
      </c>
      <c r="P5104" t="s">
        <v>43476</v>
      </c>
      <c r="Q5104" t="s">
        <v>29</v>
      </c>
      <c r="R5104" t="s">
        <v>43472</v>
      </c>
      <c r="S5104" t="s">
        <v>43473</v>
      </c>
    </row>
    <row r="5105" spans="1:19" x14ac:dyDescent="0.25">
      <c r="A5105" s="1">
        <v>5103</v>
      </c>
      <c r="B5105" t="str">
        <f>HYPERLINK("https://www.dasschnelle.at/z-gerüst-gmbh-kufstein-weidach","Website")</f>
        <v>Website</v>
      </c>
      <c r="C5105" t="str">
        <f>HYPERLINK("http://www.z-geruest.at","Website")</f>
        <v>Website</v>
      </c>
      <c r="D5105" t="str">
        <f>HYPERLINK("http://www.google.com/maps/place/47.5755,12.15695","Location")</f>
        <v>Location</v>
      </c>
      <c r="E5105" t="s">
        <v>43477</v>
      </c>
      <c r="F5105" t="s">
        <v>43478</v>
      </c>
      <c r="G5105" t="s">
        <v>19</v>
      </c>
      <c r="H5105" t="s">
        <v>20</v>
      </c>
      <c r="I5105" t="s">
        <v>21</v>
      </c>
      <c r="J5105" t="s">
        <v>22</v>
      </c>
      <c r="K5105" t="s">
        <v>43479</v>
      </c>
      <c r="L5105" t="s">
        <v>43482</v>
      </c>
      <c r="M5105" t="s">
        <v>25</v>
      </c>
      <c r="N5105" t="s">
        <v>43483</v>
      </c>
      <c r="O5105" t="s">
        <v>25</v>
      </c>
      <c r="P5105" t="s">
        <v>43484</v>
      </c>
      <c r="Q5105" t="s">
        <v>29</v>
      </c>
      <c r="R5105" t="s">
        <v>43480</v>
      </c>
      <c r="S5105" t="s">
        <v>43481</v>
      </c>
    </row>
    <row r="5106" spans="1:19" x14ac:dyDescent="0.25">
      <c r="A5106" s="1">
        <v>5104</v>
      </c>
      <c r="B5106" t="str">
        <f>HYPERLINK("https://www.dasschnelle.at/appinger-markus-enzesfeld-lindabrunn-fabriksstraße","Website")</f>
        <v>Website</v>
      </c>
      <c r="C5106" t="str">
        <f>HYPERLINK("http://www.malerei-appinger.at","Website")</f>
        <v>Website</v>
      </c>
      <c r="D5106" t="str">
        <f>HYPERLINK("http://www.google.com/maps/place/47.9219606,16.1950584","Location")</f>
        <v>Location</v>
      </c>
      <c r="E5106" t="s">
        <v>43485</v>
      </c>
      <c r="F5106" t="s">
        <v>43486</v>
      </c>
      <c r="G5106" t="s">
        <v>2227</v>
      </c>
      <c r="H5106" t="s">
        <v>2228</v>
      </c>
      <c r="I5106" t="s">
        <v>177</v>
      </c>
      <c r="J5106" t="s">
        <v>22</v>
      </c>
      <c r="K5106" t="s">
        <v>43487</v>
      </c>
      <c r="L5106" t="s">
        <v>43490</v>
      </c>
      <c r="M5106" t="s">
        <v>25</v>
      </c>
      <c r="N5106" t="s">
        <v>43491</v>
      </c>
      <c r="O5106" t="s">
        <v>25</v>
      </c>
      <c r="P5106" t="s">
        <v>43492</v>
      </c>
      <c r="Q5106" t="s">
        <v>29</v>
      </c>
      <c r="R5106" t="s">
        <v>43488</v>
      </c>
      <c r="S5106" t="s">
        <v>43489</v>
      </c>
    </row>
    <row r="5107" spans="1:19" x14ac:dyDescent="0.25">
      <c r="A5107" s="1">
        <v>5105</v>
      </c>
      <c r="B5107" t="str">
        <f>HYPERLINK("https://www.dasschnelle.at/beirer-benedict-dr-leobersdorf-hauptstraße","Website")</f>
        <v>Website</v>
      </c>
      <c r="C5107" t="str">
        <f>HYPERLINK("http://www.drbeirer.at","Website")</f>
        <v>Website</v>
      </c>
      <c r="D5107" t="str">
        <f>HYPERLINK("http://www.google.com/maps/place/47.92675,16.21623","Location")</f>
        <v>Location</v>
      </c>
      <c r="E5107" t="s">
        <v>43493</v>
      </c>
      <c r="F5107" t="s">
        <v>43494</v>
      </c>
      <c r="G5107" t="s">
        <v>2091</v>
      </c>
      <c r="H5107" t="s">
        <v>2092</v>
      </c>
      <c r="I5107" t="s">
        <v>177</v>
      </c>
      <c r="J5107" t="s">
        <v>22</v>
      </c>
      <c r="K5107" t="s">
        <v>2191</v>
      </c>
      <c r="L5107" t="s">
        <v>43495</v>
      </c>
      <c r="M5107" t="s">
        <v>25</v>
      </c>
      <c r="N5107" t="s">
        <v>43496</v>
      </c>
      <c r="O5107" t="s">
        <v>43497</v>
      </c>
      <c r="P5107" t="s">
        <v>43498</v>
      </c>
      <c r="Q5107" t="s">
        <v>29</v>
      </c>
      <c r="R5107" t="s">
        <v>2192</v>
      </c>
      <c r="S5107" t="s">
        <v>2193</v>
      </c>
    </row>
    <row r="5108" spans="1:19" x14ac:dyDescent="0.25">
      <c r="A5108" s="1">
        <v>5106</v>
      </c>
      <c r="B5108" t="str">
        <f>HYPERLINK("https://www.dasschnelle.at/malerei-peter-hofer-wildschönau-schinter-auffach","Website")</f>
        <v>Website</v>
      </c>
      <c r="C5108" t="str">
        <f>HYPERLINK("https://www.dasschnelle.at/malerei-peter-hofer-wildsch%C3%B6nau-schinter-auffach","Website")</f>
        <v>Website</v>
      </c>
      <c r="D5108" t="str">
        <f>HYPERLINK("http://www.google.com/maps/place/47.4205946,12.0325384","Location")</f>
        <v>Location</v>
      </c>
      <c r="E5108" t="s">
        <v>43499</v>
      </c>
      <c r="F5108" t="s">
        <v>43500</v>
      </c>
      <c r="G5108" t="s">
        <v>43502</v>
      </c>
      <c r="H5108" t="s">
        <v>43503</v>
      </c>
      <c r="I5108" t="s">
        <v>21</v>
      </c>
      <c r="J5108" t="s">
        <v>22</v>
      </c>
      <c r="K5108" t="s">
        <v>43501</v>
      </c>
      <c r="L5108" t="s">
        <v>43506</v>
      </c>
      <c r="M5108" t="s">
        <v>25</v>
      </c>
      <c r="N5108" t="s">
        <v>25</v>
      </c>
      <c r="O5108" t="s">
        <v>43507</v>
      </c>
      <c r="P5108" t="s">
        <v>43508</v>
      </c>
      <c r="Q5108" t="s">
        <v>29</v>
      </c>
      <c r="R5108" t="s">
        <v>43504</v>
      </c>
      <c r="S5108" t="s">
        <v>43505</v>
      </c>
    </row>
    <row r="5109" spans="1:19" x14ac:dyDescent="0.25">
      <c r="A5109" s="1">
        <v>5107</v>
      </c>
      <c r="B5109" t="str">
        <f>HYPERLINK("https://www.dasschnelle.at/rainer-christian-fulpmes-herrengasse","Website")</f>
        <v>Website</v>
      </c>
      <c r="C5109" t="str">
        <f>HYPERLINK("http://www.spenglerei-rainer.at","Website")</f>
        <v>Website</v>
      </c>
      <c r="D5109" t="str">
        <f>HYPERLINK("http://www.google.com/maps/place/47.15345,11.34716","Location")</f>
        <v>Location</v>
      </c>
      <c r="E5109" t="s">
        <v>43509</v>
      </c>
      <c r="F5109" t="s">
        <v>43510</v>
      </c>
      <c r="G5109" t="s">
        <v>5273</v>
      </c>
      <c r="H5109" t="s">
        <v>5274</v>
      </c>
      <c r="I5109" t="s">
        <v>21</v>
      </c>
      <c r="J5109" t="s">
        <v>22</v>
      </c>
      <c r="K5109" t="s">
        <v>11167</v>
      </c>
      <c r="L5109" t="s">
        <v>43513</v>
      </c>
      <c r="M5109" t="s">
        <v>25</v>
      </c>
      <c r="N5109" t="s">
        <v>43514</v>
      </c>
      <c r="O5109" t="s">
        <v>25</v>
      </c>
      <c r="P5109" t="s">
        <v>43515</v>
      </c>
      <c r="Q5109" t="s">
        <v>29</v>
      </c>
      <c r="R5109" t="s">
        <v>43511</v>
      </c>
      <c r="S5109" t="s">
        <v>43512</v>
      </c>
    </row>
    <row r="5110" spans="1:19" x14ac:dyDescent="0.25">
      <c r="A5110" s="1">
        <v>5108</v>
      </c>
      <c r="B5110" t="str">
        <f>HYPERLINK("https://www.dasschnelle.at/lenauer-nastl-brigitte-mag-berndorf-bachgasse","Website")</f>
        <v>Website</v>
      </c>
      <c r="C5110" t="str">
        <f>HYPERLINK("http://www.tierarzt-lenauer.at","Website")</f>
        <v>Website</v>
      </c>
      <c r="D5110" t="str">
        <f>HYPERLINK("http://www.google.com/maps/place/47.9413900,16.1057200","Location")</f>
        <v>Location</v>
      </c>
      <c r="E5110" t="s">
        <v>43516</v>
      </c>
      <c r="F5110" t="s">
        <v>43517</v>
      </c>
      <c r="G5110" t="s">
        <v>2258</v>
      </c>
      <c r="H5110" t="s">
        <v>2259</v>
      </c>
      <c r="I5110" t="s">
        <v>177</v>
      </c>
      <c r="J5110" t="s">
        <v>22</v>
      </c>
      <c r="K5110" t="s">
        <v>43518</v>
      </c>
      <c r="L5110" t="s">
        <v>43521</v>
      </c>
      <c r="M5110" t="s">
        <v>25</v>
      </c>
      <c r="N5110" t="s">
        <v>43522</v>
      </c>
      <c r="O5110" t="s">
        <v>25</v>
      </c>
      <c r="P5110" t="s">
        <v>43523</v>
      </c>
      <c r="Q5110" t="s">
        <v>29</v>
      </c>
      <c r="R5110" t="s">
        <v>43519</v>
      </c>
      <c r="S5110" t="s">
        <v>43520</v>
      </c>
    </row>
    <row r="5111" spans="1:19" x14ac:dyDescent="0.25">
      <c r="A5111" s="1">
        <v>5109</v>
      </c>
      <c r="B5111" t="str">
        <f>HYPERLINK("https://www.dasschnelle.at/elektro-wedl-berndorf-hauptstraße","Website")</f>
        <v>Website</v>
      </c>
      <c r="C5111" t="str">
        <f>HYPERLINK("http://www.elektro-wedl.at","Website")</f>
        <v>Website</v>
      </c>
      <c r="D5111" t="str">
        <f>HYPERLINK("http://www.google.com/maps/place/47.93928,16.14436","Location")</f>
        <v>Location</v>
      </c>
      <c r="E5111" t="s">
        <v>43524</v>
      </c>
      <c r="F5111" t="s">
        <v>43525</v>
      </c>
      <c r="G5111" t="s">
        <v>2258</v>
      </c>
      <c r="H5111" t="s">
        <v>2259</v>
      </c>
      <c r="I5111" t="s">
        <v>177</v>
      </c>
      <c r="J5111" t="s">
        <v>22</v>
      </c>
      <c r="K5111" t="s">
        <v>43526</v>
      </c>
      <c r="L5111" t="s">
        <v>43529</v>
      </c>
      <c r="M5111" t="s">
        <v>43530</v>
      </c>
      <c r="N5111" t="s">
        <v>43531</v>
      </c>
      <c r="O5111" t="s">
        <v>43532</v>
      </c>
      <c r="P5111" t="s">
        <v>43533</v>
      </c>
      <c r="Q5111" t="s">
        <v>29</v>
      </c>
      <c r="R5111" t="s">
        <v>43527</v>
      </c>
      <c r="S5111" t="s">
        <v>43528</v>
      </c>
    </row>
    <row r="5112" spans="1:19" x14ac:dyDescent="0.25">
      <c r="A5112" s="1">
        <v>5110</v>
      </c>
      <c r="B5112" t="str">
        <f>HYPERLINK("https://www.dasschnelle.at/zöchner-erdbau-u-transport-gmbh-altenmarkt-an-der-triesting-feldgasse","Website")</f>
        <v>Website</v>
      </c>
      <c r="C5112" t="str">
        <f>HYPERLINK("https://www.dasschnelle.at/z%C3%B6chner-erdbau-u-transport-gmbh-altenmarkt-an-der-triesting-feldgasse","Website")</f>
        <v>Website</v>
      </c>
      <c r="D5112" t="str">
        <f>HYPERLINK("http://www.google.com/maps/place/48.0166619,15.9927049","Location")</f>
        <v>Location</v>
      </c>
      <c r="E5112" t="s">
        <v>43534</v>
      </c>
      <c r="F5112" t="s">
        <v>43535</v>
      </c>
      <c r="G5112" t="s">
        <v>2249</v>
      </c>
      <c r="H5112" t="s">
        <v>2250</v>
      </c>
      <c r="I5112" t="s">
        <v>177</v>
      </c>
      <c r="J5112" t="s">
        <v>22</v>
      </c>
      <c r="K5112" t="s">
        <v>43536</v>
      </c>
      <c r="L5112" t="s">
        <v>43539</v>
      </c>
      <c r="M5112" t="s">
        <v>25</v>
      </c>
      <c r="N5112" t="s">
        <v>43540</v>
      </c>
      <c r="O5112" t="s">
        <v>25</v>
      </c>
      <c r="P5112" t="s">
        <v>43541</v>
      </c>
      <c r="Q5112" t="s">
        <v>29</v>
      </c>
      <c r="R5112" t="s">
        <v>43537</v>
      </c>
      <c r="S5112" t="s">
        <v>43538</v>
      </c>
    </row>
    <row r="5113" spans="1:19" x14ac:dyDescent="0.25">
      <c r="A5113" s="1">
        <v>5111</v>
      </c>
      <c r="B5113" t="str">
        <f>HYPERLINK("https://www.dasschnelle.at/pichl-andreas-weissenbach-an-der-triesting-hainfelder-straße","Website")</f>
        <v>Website</v>
      </c>
      <c r="C5113" t="str">
        <f>HYPERLINK("http://www.tischlerei-pichl.at","Website")</f>
        <v>Website</v>
      </c>
      <c r="D5113" t="str">
        <f>HYPERLINK("http://www.google.com/maps/place/47.98467,16.04334","Location")</f>
        <v>Location</v>
      </c>
      <c r="E5113" t="s">
        <v>43542</v>
      </c>
      <c r="F5113" t="s">
        <v>43543</v>
      </c>
      <c r="G5113" t="s">
        <v>43545</v>
      </c>
      <c r="H5113" t="s">
        <v>43546</v>
      </c>
      <c r="I5113" t="s">
        <v>177</v>
      </c>
      <c r="J5113" t="s">
        <v>22</v>
      </c>
      <c r="K5113" t="s">
        <v>43544</v>
      </c>
      <c r="L5113" t="s">
        <v>43549</v>
      </c>
      <c r="M5113" t="s">
        <v>25</v>
      </c>
      <c r="N5113" t="s">
        <v>43550</v>
      </c>
      <c r="O5113" t="s">
        <v>25</v>
      </c>
      <c r="P5113" t="s">
        <v>43551</v>
      </c>
      <c r="Q5113" t="s">
        <v>29</v>
      </c>
      <c r="R5113" t="s">
        <v>43547</v>
      </c>
      <c r="S5113" t="s">
        <v>43548</v>
      </c>
    </row>
    <row r="5114" spans="1:19" x14ac:dyDescent="0.25">
      <c r="A5114" s="1">
        <v>5112</v>
      </c>
      <c r="B5114" t="str">
        <f>HYPERLINK("https://www.dasschnelle.at/elektro-dörflinger-kg-pottenstein-hainfelder-straße","Website")</f>
        <v>Website</v>
      </c>
      <c r="C5114" t="str">
        <f>HYPERLINK("http://elektro-doerflinger.stadtausstellung.at","Website")</f>
        <v>Website</v>
      </c>
      <c r="D5114" t="str">
        <f>HYPERLINK("http://www.google.com/maps/place/47.96169,16.09311","Location")</f>
        <v>Location</v>
      </c>
      <c r="E5114" t="s">
        <v>43552</v>
      </c>
      <c r="F5114" t="s">
        <v>43553</v>
      </c>
      <c r="G5114" t="s">
        <v>24300</v>
      </c>
      <c r="H5114" t="s">
        <v>24301</v>
      </c>
      <c r="I5114" t="s">
        <v>177</v>
      </c>
      <c r="J5114" t="s">
        <v>22</v>
      </c>
      <c r="K5114" t="s">
        <v>43544</v>
      </c>
      <c r="L5114" t="s">
        <v>43556</v>
      </c>
      <c r="M5114" t="s">
        <v>25</v>
      </c>
      <c r="N5114" t="s">
        <v>43557</v>
      </c>
      <c r="O5114" t="s">
        <v>25</v>
      </c>
      <c r="P5114" t="s">
        <v>43558</v>
      </c>
      <c r="Q5114" t="s">
        <v>29</v>
      </c>
      <c r="R5114" t="s">
        <v>43554</v>
      </c>
      <c r="S5114" t="s">
        <v>43555</v>
      </c>
    </row>
    <row r="5115" spans="1:19" x14ac:dyDescent="0.25">
      <c r="A5115" s="1">
        <v>5113</v>
      </c>
      <c r="B5115" t="str">
        <f>HYPERLINK("https://www.dasschnelle.at/baumgartner-dagmar-pottenstein-hainfelder-straße","Website")</f>
        <v>Website</v>
      </c>
      <c r="C5115" t="str">
        <f>HYPERLINK("https://www.dasschnelle.at/baumgartner-dagmar-pottenstein-hainfelder-stra%C3%9Fe","Website")</f>
        <v>Website</v>
      </c>
      <c r="D5115" t="str">
        <f>HYPERLINK("http://www.google.com/maps/place/47.96195,16.09278","Location")</f>
        <v>Location</v>
      </c>
      <c r="E5115" t="s">
        <v>43559</v>
      </c>
      <c r="F5115" t="s">
        <v>43560</v>
      </c>
      <c r="G5115" t="s">
        <v>24300</v>
      </c>
      <c r="H5115" t="s">
        <v>24301</v>
      </c>
      <c r="I5115" t="s">
        <v>177</v>
      </c>
      <c r="J5115" t="s">
        <v>22</v>
      </c>
      <c r="K5115" t="s">
        <v>43561</v>
      </c>
      <c r="L5115" t="s">
        <v>43564</v>
      </c>
      <c r="M5115" t="s">
        <v>25</v>
      </c>
      <c r="N5115" t="s">
        <v>43565</v>
      </c>
      <c r="O5115" t="s">
        <v>25</v>
      </c>
      <c r="P5115" t="s">
        <v>43566</v>
      </c>
      <c r="Q5115" t="s">
        <v>29</v>
      </c>
      <c r="R5115" t="s">
        <v>43562</v>
      </c>
      <c r="S5115" t="s">
        <v>43563</v>
      </c>
    </row>
    <row r="5116" spans="1:19" x14ac:dyDescent="0.25">
      <c r="A5116" s="1">
        <v>5114</v>
      </c>
      <c r="B5116" t="str">
        <f>HYPERLINK("https://www.dasschnelle.at/reischer-franz-pottenstein-hainfelder-straße","Website")</f>
        <v>Website</v>
      </c>
      <c r="C5116" t="str">
        <f>HYPERLINK("http://www.pottenstein.at/elektro-reischer","Website")</f>
        <v>Website</v>
      </c>
      <c r="D5116" t="str">
        <f>HYPERLINK("http://www.google.com/maps/place/47.96046,16.0945","Location")</f>
        <v>Location</v>
      </c>
      <c r="E5116" t="s">
        <v>43567</v>
      </c>
      <c r="F5116" t="s">
        <v>43568</v>
      </c>
      <c r="G5116" t="s">
        <v>24300</v>
      </c>
      <c r="H5116" t="s">
        <v>24301</v>
      </c>
      <c r="I5116" t="s">
        <v>177</v>
      </c>
      <c r="J5116" t="s">
        <v>22</v>
      </c>
      <c r="K5116" t="s">
        <v>43569</v>
      </c>
      <c r="L5116" t="s">
        <v>43572</v>
      </c>
      <c r="M5116" t="s">
        <v>25</v>
      </c>
      <c r="N5116" t="s">
        <v>43573</v>
      </c>
      <c r="O5116" t="s">
        <v>25</v>
      </c>
      <c r="P5116" t="s">
        <v>43574</v>
      </c>
      <c r="Q5116" t="s">
        <v>29</v>
      </c>
      <c r="R5116" t="s">
        <v>43570</v>
      </c>
      <c r="S5116" t="s">
        <v>43571</v>
      </c>
    </row>
    <row r="5117" spans="1:19" x14ac:dyDescent="0.25">
      <c r="A5117" s="1">
        <v>5115</v>
      </c>
      <c r="B5117" t="str">
        <f>HYPERLINK("https://www.dasschnelle.at/klein-wolfgang-berndorf-obere-ödlitzer-straße","Website")</f>
        <v>Website</v>
      </c>
      <c r="C5117" t="str">
        <f>HYPERLINK("http://kfz-klein.stadtausstellung.at","Website")</f>
        <v>Website</v>
      </c>
      <c r="D5117" t="str">
        <f>HYPERLINK("http://www.google.com/maps/place/47.94946,16.13593","Location")</f>
        <v>Location</v>
      </c>
      <c r="E5117" t="s">
        <v>43575</v>
      </c>
      <c r="F5117" t="s">
        <v>43576</v>
      </c>
      <c r="G5117" t="s">
        <v>2258</v>
      </c>
      <c r="H5117" t="s">
        <v>2259</v>
      </c>
      <c r="I5117" t="s">
        <v>177</v>
      </c>
      <c r="J5117" t="s">
        <v>22</v>
      </c>
      <c r="K5117" t="s">
        <v>43577</v>
      </c>
      <c r="L5117" t="s">
        <v>43580</v>
      </c>
      <c r="M5117" t="s">
        <v>25</v>
      </c>
      <c r="N5117" t="s">
        <v>43581</v>
      </c>
      <c r="O5117" t="s">
        <v>25</v>
      </c>
      <c r="P5117" t="s">
        <v>43582</v>
      </c>
      <c r="Q5117" t="s">
        <v>29</v>
      </c>
      <c r="R5117" t="s">
        <v>43578</v>
      </c>
      <c r="S5117" t="s">
        <v>43579</v>
      </c>
    </row>
    <row r="5118" spans="1:19" x14ac:dyDescent="0.25">
      <c r="A5118" s="1">
        <v>5116</v>
      </c>
      <c r="B5118" t="str">
        <f>HYPERLINK("https://www.dasschnelle.at/holzbau-thomas-wieser-gmbh-berndorf-untere-ödlitzer-straße","Website")</f>
        <v>Website</v>
      </c>
      <c r="C5118" t="str">
        <f>HYPERLINK("http://www.holzbau-wieser.at","Website")</f>
        <v>Website</v>
      </c>
      <c r="D5118" t="str">
        <f>HYPERLINK("http://www.google.com/maps/place/47.94162,16.14557","Location")</f>
        <v>Location</v>
      </c>
      <c r="E5118" t="s">
        <v>43583</v>
      </c>
      <c r="F5118" t="s">
        <v>43584</v>
      </c>
      <c r="G5118" t="s">
        <v>2258</v>
      </c>
      <c r="H5118" t="s">
        <v>2259</v>
      </c>
      <c r="I5118" t="s">
        <v>177</v>
      </c>
      <c r="J5118" t="s">
        <v>22</v>
      </c>
      <c r="K5118" t="s">
        <v>43585</v>
      </c>
      <c r="L5118" t="s">
        <v>43588</v>
      </c>
      <c r="M5118" t="s">
        <v>25</v>
      </c>
      <c r="N5118" t="s">
        <v>43589</v>
      </c>
      <c r="O5118" t="s">
        <v>25</v>
      </c>
      <c r="P5118" t="s">
        <v>43590</v>
      </c>
      <c r="Q5118" t="s">
        <v>29</v>
      </c>
      <c r="R5118" t="s">
        <v>43586</v>
      </c>
      <c r="S5118" t="s">
        <v>43587</v>
      </c>
    </row>
    <row r="5119" spans="1:19" x14ac:dyDescent="0.25">
      <c r="A5119" s="1">
        <v>5117</v>
      </c>
      <c r="B5119" t="str">
        <f>HYPERLINK("https://www.dasschnelle.at/malerei-yanik-e-u-hirtenberg-leobersdorferstraße","Website")</f>
        <v>Website</v>
      </c>
      <c r="C5119" t="str">
        <f>HYPERLINK("http://www.yanik-malerei.at","Website")</f>
        <v>Website</v>
      </c>
      <c r="D5119" t="str">
        <f>HYPERLINK("http://www.google.com/maps/place/47.9309480,16.1779791","Location")</f>
        <v>Location</v>
      </c>
      <c r="E5119" t="s">
        <v>43591</v>
      </c>
      <c r="F5119" t="s">
        <v>43592</v>
      </c>
      <c r="G5119" t="s">
        <v>43594</v>
      </c>
      <c r="H5119" t="s">
        <v>43595</v>
      </c>
      <c r="I5119" t="s">
        <v>177</v>
      </c>
      <c r="J5119" t="s">
        <v>22</v>
      </c>
      <c r="K5119" t="s">
        <v>43593</v>
      </c>
      <c r="L5119" t="s">
        <v>43598</v>
      </c>
      <c r="M5119" t="s">
        <v>25</v>
      </c>
      <c r="N5119" t="s">
        <v>43599</v>
      </c>
      <c r="O5119" t="s">
        <v>25</v>
      </c>
      <c r="P5119" t="s">
        <v>43600</v>
      </c>
      <c r="Q5119" t="s">
        <v>29</v>
      </c>
      <c r="R5119" t="s">
        <v>43596</v>
      </c>
      <c r="S5119" t="s">
        <v>43597</v>
      </c>
    </row>
    <row r="5120" spans="1:19" x14ac:dyDescent="0.25">
      <c r="A5120" s="1">
        <v>5118</v>
      </c>
      <c r="B5120" t="str">
        <f>HYPERLINK("https://www.dasschnelle.at/koza-gmbh-berndorf-sportpromenade","Website")</f>
        <v>Website</v>
      </c>
      <c r="C5120" t="str">
        <f>HYPERLINK("https://www.dasschnelle.at/koza-gmbh-berndorf-sportpromenade","Website")</f>
        <v>Website</v>
      </c>
      <c r="D5120" t="str">
        <f>HYPERLINK("http://www.google.com/maps/place/47.94982,16.10251","Location")</f>
        <v>Location</v>
      </c>
      <c r="E5120" t="s">
        <v>43601</v>
      </c>
      <c r="F5120" t="s">
        <v>43602</v>
      </c>
      <c r="G5120" t="s">
        <v>2258</v>
      </c>
      <c r="H5120" t="s">
        <v>2259</v>
      </c>
      <c r="I5120" t="s">
        <v>177</v>
      </c>
      <c r="J5120" t="s">
        <v>22</v>
      </c>
      <c r="K5120" t="s">
        <v>43603</v>
      </c>
      <c r="L5120" t="s">
        <v>43606</v>
      </c>
      <c r="M5120" t="s">
        <v>25</v>
      </c>
      <c r="N5120" t="s">
        <v>43607</v>
      </c>
      <c r="O5120" t="s">
        <v>25</v>
      </c>
      <c r="P5120" t="s">
        <v>43608</v>
      </c>
      <c r="Q5120" t="s">
        <v>29</v>
      </c>
      <c r="R5120" t="s">
        <v>43604</v>
      </c>
      <c r="S5120" t="s">
        <v>43605</v>
      </c>
    </row>
    <row r="5121" spans="1:19" x14ac:dyDescent="0.25">
      <c r="A5121" s="1">
        <v>5119</v>
      </c>
      <c r="B5121" t="str">
        <f>HYPERLINK("https://www.dasschnelle.at/kriessl-fahrzeugbau-gmbh-und-co-kg-weissenbach-an-der-triesting-hainfelder-straße","Website")</f>
        <v>Website</v>
      </c>
      <c r="C5121" t="str">
        <f>HYPERLINK("http://www.kriessl.at","Website")</f>
        <v>Website</v>
      </c>
      <c r="D5121" t="str">
        <f>HYPERLINK("http://www.google.com/maps/place/47.9891100,16.0299000","Location")</f>
        <v>Location</v>
      </c>
      <c r="E5121" t="s">
        <v>43609</v>
      </c>
      <c r="F5121" t="s">
        <v>43610</v>
      </c>
      <c r="G5121" t="s">
        <v>43545</v>
      </c>
      <c r="H5121" t="s">
        <v>43546</v>
      </c>
      <c r="I5121" t="s">
        <v>177</v>
      </c>
      <c r="J5121" t="s">
        <v>22</v>
      </c>
      <c r="K5121" t="s">
        <v>43611</v>
      </c>
      <c r="L5121" t="s">
        <v>43614</v>
      </c>
      <c r="M5121" t="s">
        <v>43615</v>
      </c>
      <c r="N5121" t="s">
        <v>43616</v>
      </c>
      <c r="O5121" t="s">
        <v>25</v>
      </c>
      <c r="P5121" t="s">
        <v>43617</v>
      </c>
      <c r="Q5121" t="s">
        <v>29</v>
      </c>
      <c r="R5121" t="s">
        <v>43612</v>
      </c>
      <c r="S5121" t="s">
        <v>43613</v>
      </c>
    </row>
    <row r="5122" spans="1:19" x14ac:dyDescent="0.25">
      <c r="A5122" s="1">
        <v>5120</v>
      </c>
      <c r="B5122" t="str">
        <f>HYPERLINK("https://www.dasschnelle.at/gadinger-michael-altenmarkt-an-der-triesting-thenneberg","Website")</f>
        <v>Website</v>
      </c>
      <c r="C5122" t="str">
        <f>HYPERLINK("https://bit.ly/3gAsyRB_gadinger","Website")</f>
        <v>Website</v>
      </c>
      <c r="D5122" t="str">
        <f>HYPERLINK("http://www.google.com/maps/place/48.0163855,15.9790605","Location")</f>
        <v>Location</v>
      </c>
      <c r="E5122" t="s">
        <v>43618</v>
      </c>
      <c r="F5122" t="s">
        <v>43619</v>
      </c>
      <c r="G5122" t="s">
        <v>2249</v>
      </c>
      <c r="H5122" t="s">
        <v>2250</v>
      </c>
      <c r="I5122" t="s">
        <v>177</v>
      </c>
      <c r="J5122" t="s">
        <v>22</v>
      </c>
      <c r="K5122" t="s">
        <v>43620</v>
      </c>
      <c r="L5122" t="s">
        <v>43623</v>
      </c>
      <c r="M5122" t="s">
        <v>25</v>
      </c>
      <c r="N5122" t="s">
        <v>43624</v>
      </c>
      <c r="O5122" t="s">
        <v>25</v>
      </c>
      <c r="P5122" t="s">
        <v>697</v>
      </c>
      <c r="Q5122" t="s">
        <v>29</v>
      </c>
      <c r="R5122" t="s">
        <v>43621</v>
      </c>
      <c r="S5122" t="s">
        <v>43622</v>
      </c>
    </row>
    <row r="5123" spans="1:19" x14ac:dyDescent="0.25">
      <c r="A5123" s="1">
        <v>5121</v>
      </c>
      <c r="B5123" t="str">
        <f>HYPERLINK("https://www.dasschnelle.at/lenz-günter-kottingbrunn-ladislaus-kiss-gasse","Website")</f>
        <v>Website</v>
      </c>
      <c r="C5123" t="str">
        <f>HYPERLINK("http://www.solenz.at","Website")</f>
        <v>Website</v>
      </c>
      <c r="D5123" t="str">
        <f>HYPERLINK("http://www.google.com/maps/place/47.94494,16.22549","Location")</f>
        <v>Location</v>
      </c>
      <c r="E5123" t="s">
        <v>43625</v>
      </c>
      <c r="F5123" t="s">
        <v>43626</v>
      </c>
      <c r="G5123" t="s">
        <v>2147</v>
      </c>
      <c r="H5123" t="s">
        <v>2148</v>
      </c>
      <c r="I5123" t="s">
        <v>177</v>
      </c>
      <c r="J5123" t="s">
        <v>22</v>
      </c>
      <c r="K5123" t="s">
        <v>43627</v>
      </c>
      <c r="L5123" t="s">
        <v>43630</v>
      </c>
      <c r="M5123" t="s">
        <v>25</v>
      </c>
      <c r="N5123" t="s">
        <v>43631</v>
      </c>
      <c r="O5123" t="s">
        <v>25</v>
      </c>
      <c r="P5123" t="s">
        <v>43632</v>
      </c>
      <c r="Q5123" t="s">
        <v>29</v>
      </c>
      <c r="R5123" t="s">
        <v>43628</v>
      </c>
      <c r="S5123" t="s">
        <v>43629</v>
      </c>
    </row>
    <row r="5124" spans="1:19" x14ac:dyDescent="0.25">
      <c r="A5124" s="1">
        <v>5122</v>
      </c>
      <c r="B5124" t="str">
        <f>HYPERLINK("https://www.dasschnelle.at/mohl-gregor-dr-weissenbach-an-der-tries-hauptstraße","Website")</f>
        <v>Website</v>
      </c>
      <c r="C5124" t="str">
        <f>HYPERLINK("http://www.zahn.dental","Website")</f>
        <v>Website</v>
      </c>
      <c r="D5124" t="str">
        <f>HYPERLINK("http://www.google.com/maps/place/48.0170212,15.9950659","Location")</f>
        <v>Location</v>
      </c>
      <c r="E5124" t="s">
        <v>43633</v>
      </c>
      <c r="F5124" t="s">
        <v>43634</v>
      </c>
      <c r="G5124" t="s">
        <v>43545</v>
      </c>
      <c r="H5124" t="s">
        <v>43636</v>
      </c>
      <c r="I5124" t="s">
        <v>177</v>
      </c>
      <c r="J5124" t="s">
        <v>22</v>
      </c>
      <c r="K5124" t="s">
        <v>43635</v>
      </c>
      <c r="L5124" t="s">
        <v>43639</v>
      </c>
      <c r="M5124" t="s">
        <v>25</v>
      </c>
      <c r="N5124" t="s">
        <v>43640</v>
      </c>
      <c r="O5124" t="s">
        <v>25</v>
      </c>
      <c r="P5124" t="s">
        <v>43641</v>
      </c>
      <c r="Q5124" t="s">
        <v>29</v>
      </c>
      <c r="R5124" t="s">
        <v>43637</v>
      </c>
      <c r="S5124" t="s">
        <v>43638</v>
      </c>
    </row>
    <row r="5125" spans="1:19" x14ac:dyDescent="0.25">
      <c r="A5125" s="1">
        <v>5123</v>
      </c>
      <c r="B5125" t="str">
        <f>HYPERLINK("https://www.dasschnelle.at/tierärztliche-praxis-pottenstein-pottenstein-gutensteiner-straße","Website")</f>
        <v>Website</v>
      </c>
      <c r="C5125" t="str">
        <f>HYPERLINK("http://www.vet-team-pottenstein.at","Website")</f>
        <v>Website</v>
      </c>
      <c r="D5125" t="str">
        <f>HYPERLINK("http://www.google.com/maps/place/47.95806,16.09548","Location")</f>
        <v>Location</v>
      </c>
      <c r="E5125" t="s">
        <v>43642</v>
      </c>
      <c r="F5125" t="s">
        <v>43643</v>
      </c>
      <c r="G5125" t="s">
        <v>24300</v>
      </c>
      <c r="H5125" t="s">
        <v>24301</v>
      </c>
      <c r="I5125" t="s">
        <v>177</v>
      </c>
      <c r="J5125" t="s">
        <v>22</v>
      </c>
      <c r="K5125" t="s">
        <v>43644</v>
      </c>
      <c r="L5125" t="s">
        <v>43647</v>
      </c>
      <c r="M5125" t="s">
        <v>25</v>
      </c>
      <c r="N5125" t="s">
        <v>43648</v>
      </c>
      <c r="O5125" t="s">
        <v>25</v>
      </c>
      <c r="P5125" t="s">
        <v>43649</v>
      </c>
      <c r="Q5125" t="s">
        <v>29</v>
      </c>
      <c r="R5125" t="s">
        <v>43645</v>
      </c>
      <c r="S5125" t="s">
        <v>43646</v>
      </c>
    </row>
    <row r="5126" spans="1:19" x14ac:dyDescent="0.25">
      <c r="A5126" s="1">
        <v>5124</v>
      </c>
      <c r="B5126" t="str">
        <f>HYPERLINK("https://www.dasschnelle.at/henrich-jan-dr-berndorf-pottensteiner-straße","Website")</f>
        <v>Website</v>
      </c>
      <c r="C5126" t="str">
        <f>HYPERLINK("http://www.tierarzt.henrich.at","Website")</f>
        <v>Website</v>
      </c>
      <c r="D5126" t="str">
        <f>HYPERLINK("http://www.google.com/maps/place/47.94818,16.10979","Location")</f>
        <v>Location</v>
      </c>
      <c r="E5126" t="s">
        <v>43650</v>
      </c>
      <c r="F5126" t="s">
        <v>43651</v>
      </c>
      <c r="G5126" t="s">
        <v>2258</v>
      </c>
      <c r="H5126" t="s">
        <v>2259</v>
      </c>
      <c r="I5126" t="s">
        <v>177</v>
      </c>
      <c r="J5126" t="s">
        <v>22</v>
      </c>
      <c r="K5126" t="s">
        <v>43652</v>
      </c>
      <c r="L5126" t="s">
        <v>43655</v>
      </c>
      <c r="M5126" t="s">
        <v>25</v>
      </c>
      <c r="N5126" t="s">
        <v>43656</v>
      </c>
      <c r="O5126" t="s">
        <v>25</v>
      </c>
      <c r="P5126" t="s">
        <v>43657</v>
      </c>
      <c r="Q5126" t="s">
        <v>29</v>
      </c>
      <c r="R5126" t="s">
        <v>43653</v>
      </c>
      <c r="S5126" t="s">
        <v>43654</v>
      </c>
    </row>
    <row r="5127" spans="1:19" x14ac:dyDescent="0.25">
      <c r="A5127" s="1">
        <v>5125</v>
      </c>
      <c r="B5127" t="str">
        <f>HYPERLINK("https://www.dasschnelle.at/wieser-herzog-andrea-berndorf-untere-ödlitzer-straße","Website")</f>
        <v>Website</v>
      </c>
      <c r="C5127" t="str">
        <f>HYPERLINK("http://www.backenaufbestellung.at","Website")</f>
        <v>Website</v>
      </c>
      <c r="D5127" t="str">
        <f>HYPERLINK("http://www.google.com/maps/place/47.94162,16.14557","Location")</f>
        <v>Location</v>
      </c>
      <c r="E5127" t="s">
        <v>43658</v>
      </c>
      <c r="F5127" t="s">
        <v>43659</v>
      </c>
      <c r="G5127" t="s">
        <v>2258</v>
      </c>
      <c r="H5127" t="s">
        <v>2259</v>
      </c>
      <c r="I5127" t="s">
        <v>177</v>
      </c>
      <c r="J5127" t="s">
        <v>22</v>
      </c>
      <c r="K5127" t="s">
        <v>43585</v>
      </c>
      <c r="L5127" t="s">
        <v>43660</v>
      </c>
      <c r="M5127" t="s">
        <v>25</v>
      </c>
      <c r="N5127" t="s">
        <v>43661</v>
      </c>
      <c r="O5127" t="s">
        <v>25</v>
      </c>
      <c r="P5127" t="s">
        <v>43662</v>
      </c>
      <c r="Q5127" t="s">
        <v>29</v>
      </c>
      <c r="R5127" t="s">
        <v>43586</v>
      </c>
      <c r="S5127" t="s">
        <v>43587</v>
      </c>
    </row>
    <row r="5128" spans="1:19" x14ac:dyDescent="0.25">
      <c r="A5128" s="1">
        <v>5126</v>
      </c>
      <c r="B5128" t="str">
        <f>HYPERLINK("https://www.dasschnelle.at/krenn-josef-ing-gesmbh-weissenbach-an-der-tries-edlastraße","Website")</f>
        <v>Website</v>
      </c>
      <c r="C5128" t="str">
        <f>HYPERLINK("http://www.installationen-krenn.at","Website")</f>
        <v>Website</v>
      </c>
      <c r="D5128" t="str">
        <f>HYPERLINK("http://www.google.com/maps/place/47.98592,16.03272","Location")</f>
        <v>Location</v>
      </c>
      <c r="E5128" t="s">
        <v>43663</v>
      </c>
      <c r="F5128" t="s">
        <v>43664</v>
      </c>
      <c r="G5128" t="s">
        <v>43545</v>
      </c>
      <c r="H5128" t="s">
        <v>43636</v>
      </c>
      <c r="I5128" t="s">
        <v>177</v>
      </c>
      <c r="J5128" t="s">
        <v>22</v>
      </c>
      <c r="K5128" t="s">
        <v>43665</v>
      </c>
      <c r="L5128" t="s">
        <v>43668</v>
      </c>
      <c r="M5128" t="s">
        <v>43669</v>
      </c>
      <c r="N5128" t="s">
        <v>43670</v>
      </c>
      <c r="O5128" t="s">
        <v>25</v>
      </c>
      <c r="P5128" t="s">
        <v>43671</v>
      </c>
      <c r="Q5128" t="s">
        <v>29</v>
      </c>
      <c r="R5128" t="s">
        <v>43666</v>
      </c>
      <c r="S5128" t="s">
        <v>43667</v>
      </c>
    </row>
    <row r="5129" spans="1:19" x14ac:dyDescent="0.25">
      <c r="A5129" s="1">
        <v>5127</v>
      </c>
      <c r="B5129" t="str">
        <f>HYPERLINK("https://www.dasschnelle.at/jirka-erwin-e-u-ebbs-unterweidach","Website")</f>
        <v>Website</v>
      </c>
      <c r="C5129" t="str">
        <f>HYPERLINK("http://www.jirka-kufstein.at","Website")</f>
        <v>Website</v>
      </c>
      <c r="D5129" t="str">
        <f>HYPERLINK("http://www.google.com/maps/place/47.63699,12.21259","Location")</f>
        <v>Location</v>
      </c>
      <c r="E5129" t="s">
        <v>43672</v>
      </c>
      <c r="F5129" t="s">
        <v>43673</v>
      </c>
      <c r="G5129" t="s">
        <v>62</v>
      </c>
      <c r="H5129" t="s">
        <v>9100</v>
      </c>
      <c r="I5129" t="s">
        <v>21</v>
      </c>
      <c r="J5129" t="s">
        <v>22</v>
      </c>
      <c r="K5129" t="s">
        <v>43674</v>
      </c>
      <c r="L5129" t="s">
        <v>43677</v>
      </c>
      <c r="M5129" t="s">
        <v>25</v>
      </c>
      <c r="N5129" t="s">
        <v>43678</v>
      </c>
      <c r="O5129" t="s">
        <v>25</v>
      </c>
      <c r="P5129" t="s">
        <v>43679</v>
      </c>
      <c r="Q5129" t="s">
        <v>29</v>
      </c>
      <c r="R5129" t="s">
        <v>43675</v>
      </c>
      <c r="S5129" t="s">
        <v>43676</v>
      </c>
    </row>
    <row r="5130" spans="1:19" x14ac:dyDescent="0.25">
      <c r="A5130" s="1">
        <v>5128</v>
      </c>
      <c r="B5130" t="str">
        <f>HYPERLINK("https://www.dasschnelle.at/johannes-lechner-installationen-gmbh-weissenbach-an-der-triesting-hainfelder-straße","Website")</f>
        <v>Website</v>
      </c>
      <c r="C5130" t="str">
        <f>HYPERLINK("http://www.johanneslechner-installationen.at","Website")</f>
        <v>Website</v>
      </c>
      <c r="D5130" t="str">
        <f>HYPERLINK("http://www.google.com/maps/place/47.98089,16.06563","Location")</f>
        <v>Location</v>
      </c>
      <c r="E5130" t="s">
        <v>43680</v>
      </c>
      <c r="F5130" t="s">
        <v>43681</v>
      </c>
      <c r="G5130" t="s">
        <v>43545</v>
      </c>
      <c r="H5130" t="s">
        <v>43546</v>
      </c>
      <c r="I5130" t="s">
        <v>177</v>
      </c>
      <c r="J5130" t="s">
        <v>22</v>
      </c>
      <c r="K5130" t="s">
        <v>43682</v>
      </c>
      <c r="L5130" t="s">
        <v>43685</v>
      </c>
      <c r="M5130" t="s">
        <v>25</v>
      </c>
      <c r="N5130" t="s">
        <v>43686</v>
      </c>
      <c r="O5130" t="s">
        <v>43687</v>
      </c>
      <c r="P5130" t="s">
        <v>43688</v>
      </c>
      <c r="Q5130" t="s">
        <v>29</v>
      </c>
      <c r="R5130" t="s">
        <v>43683</v>
      </c>
      <c r="S5130" t="s">
        <v>43684</v>
      </c>
    </row>
    <row r="5131" spans="1:19" x14ac:dyDescent="0.25">
      <c r="A5131" s="1">
        <v>5129</v>
      </c>
      <c r="B5131" t="str">
        <f>HYPERLINK("https://www.dasschnelle.at/kfz-zbornik-berndorf-leobersdorfer-strasse","Website")</f>
        <v>Website</v>
      </c>
      <c r="C5131" t="str">
        <f>HYPERLINK("https://www.dasschnelle.at/kfz-zbornik-berndorf-leobersdorfer-strasse","Website")</f>
        <v>Website</v>
      </c>
      <c r="D5131" t="str">
        <f>HYPERLINK("http://www.google.com/maps/place/47.9375,16.14687","Location")</f>
        <v>Location</v>
      </c>
      <c r="E5131" t="s">
        <v>43689</v>
      </c>
      <c r="F5131" t="s">
        <v>43690</v>
      </c>
      <c r="G5131" t="s">
        <v>2258</v>
      </c>
      <c r="H5131" t="s">
        <v>2259</v>
      </c>
      <c r="I5131" t="s">
        <v>177</v>
      </c>
      <c r="J5131" t="s">
        <v>22</v>
      </c>
      <c r="K5131" t="s">
        <v>43691</v>
      </c>
      <c r="L5131" t="s">
        <v>43694</v>
      </c>
      <c r="M5131" t="s">
        <v>25</v>
      </c>
      <c r="N5131" t="s">
        <v>43695</v>
      </c>
      <c r="O5131" t="s">
        <v>25</v>
      </c>
      <c r="P5131" t="s">
        <v>43696</v>
      </c>
      <c r="Q5131" t="s">
        <v>29</v>
      </c>
      <c r="R5131" t="s">
        <v>43692</v>
      </c>
      <c r="S5131" t="s">
        <v>43693</v>
      </c>
    </row>
    <row r="5132" spans="1:19" x14ac:dyDescent="0.25">
      <c r="A5132" s="1">
        <v>5130</v>
      </c>
      <c r="B5132" t="str">
        <f>HYPERLINK("https://www.dasschnelle.at/feiersinger-hotter-zimmerei-gmbh-langkampfen-mitterweg","Website")</f>
        <v>Website</v>
      </c>
      <c r="C5132" t="str">
        <f>HYPERLINK("http://www.zimmerei-feiersinger-hotter.at","Website")</f>
        <v>Website</v>
      </c>
      <c r="D5132" t="str">
        <f>HYPERLINK("http://www.google.com/maps/place/47.53392,12.09265","Location")</f>
        <v>Location</v>
      </c>
      <c r="E5132" t="s">
        <v>43697</v>
      </c>
      <c r="F5132" t="s">
        <v>43698</v>
      </c>
      <c r="G5132" t="s">
        <v>43700</v>
      </c>
      <c r="H5132" t="s">
        <v>43701</v>
      </c>
      <c r="I5132" t="s">
        <v>21</v>
      </c>
      <c r="J5132" t="s">
        <v>22</v>
      </c>
      <c r="K5132" t="s">
        <v>43699</v>
      </c>
      <c r="L5132" t="s">
        <v>43704</v>
      </c>
      <c r="M5132" t="s">
        <v>25</v>
      </c>
      <c r="N5132" t="s">
        <v>43705</v>
      </c>
      <c r="O5132" t="s">
        <v>25</v>
      </c>
      <c r="P5132" t="s">
        <v>43706</v>
      </c>
      <c r="Q5132" t="s">
        <v>29</v>
      </c>
      <c r="R5132" t="s">
        <v>43702</v>
      </c>
      <c r="S5132" t="s">
        <v>43703</v>
      </c>
    </row>
    <row r="5133" spans="1:19" x14ac:dyDescent="0.25">
      <c r="A5133" s="1">
        <v>5131</v>
      </c>
      <c r="B5133" t="str">
        <f>HYPERLINK("https://www.dasschnelle.at/praschberger-gmbh-kufstein-pater-stefan-straße","Website")</f>
        <v>Website</v>
      </c>
      <c r="C5133" t="str">
        <f>HYPERLINK("http://www.praschberger.net","Website")</f>
        <v>Website</v>
      </c>
      <c r="D5133" t="str">
        <f>HYPERLINK("http://www.google.com/maps/place/47.59637,12.17852","Location")</f>
        <v>Location</v>
      </c>
      <c r="E5133" t="s">
        <v>43707</v>
      </c>
      <c r="F5133" t="s">
        <v>43708</v>
      </c>
      <c r="G5133" t="s">
        <v>19</v>
      </c>
      <c r="H5133" t="s">
        <v>20</v>
      </c>
      <c r="I5133" t="s">
        <v>21</v>
      </c>
      <c r="J5133" t="s">
        <v>22</v>
      </c>
      <c r="K5133" t="s">
        <v>43709</v>
      </c>
      <c r="L5133" t="s">
        <v>43712</v>
      </c>
      <c r="M5133" t="s">
        <v>25</v>
      </c>
      <c r="N5133" t="s">
        <v>43713</v>
      </c>
      <c r="O5133" t="s">
        <v>25</v>
      </c>
      <c r="P5133" t="s">
        <v>43714</v>
      </c>
      <c r="Q5133" t="s">
        <v>29</v>
      </c>
      <c r="R5133" t="s">
        <v>43710</v>
      </c>
      <c r="S5133" t="s">
        <v>43711</v>
      </c>
    </row>
    <row r="5134" spans="1:19" x14ac:dyDescent="0.25">
      <c r="A5134" s="1">
        <v>5132</v>
      </c>
      <c r="B5134" t="str">
        <f>HYPERLINK("https://www.dasschnelle.at/spenglerei-hinterreiter-gesmbh-berndorf-harllesstraße","Website")</f>
        <v>Website</v>
      </c>
      <c r="C5134" t="str">
        <f>HYPERLINK("http://www.spenglerei-hinterreiter.at","Website")</f>
        <v>Website</v>
      </c>
      <c r="D5134" t="str">
        <f>HYPERLINK("http://www.google.com/maps/place/47.94108,16.10315","Location")</f>
        <v>Location</v>
      </c>
      <c r="E5134" t="s">
        <v>43715</v>
      </c>
      <c r="F5134" t="s">
        <v>43716</v>
      </c>
      <c r="G5134" t="s">
        <v>2258</v>
      </c>
      <c r="H5134" t="s">
        <v>2259</v>
      </c>
      <c r="I5134" t="s">
        <v>177</v>
      </c>
      <c r="J5134" t="s">
        <v>22</v>
      </c>
      <c r="K5134" t="s">
        <v>43717</v>
      </c>
      <c r="L5134" t="s">
        <v>43720</v>
      </c>
      <c r="M5134" t="s">
        <v>25</v>
      </c>
      <c r="N5134" t="s">
        <v>43721</v>
      </c>
      <c r="O5134" t="s">
        <v>43722</v>
      </c>
      <c r="P5134" t="s">
        <v>43723</v>
      </c>
      <c r="Q5134" t="s">
        <v>29</v>
      </c>
      <c r="R5134" t="s">
        <v>43718</v>
      </c>
      <c r="S5134" t="s">
        <v>43719</v>
      </c>
    </row>
    <row r="5135" spans="1:19" x14ac:dyDescent="0.25">
      <c r="A5135" s="1">
        <v>5133</v>
      </c>
      <c r="B5135" t="str">
        <f>HYPERLINK("https://www.dasschnelle.at/birbamer-wolfgang-berndorf-hainfelder-straße","Website")</f>
        <v>Website</v>
      </c>
      <c r="C5135" t="str">
        <f>HYPERLINK("http://www.bestattungsunternehmen.at","Website")</f>
        <v>Website</v>
      </c>
      <c r="D5135" t="str">
        <f>HYPERLINK("http://www.google.com/maps/place/47.94772,16.1086","Location")</f>
        <v>Location</v>
      </c>
      <c r="E5135" t="s">
        <v>43724</v>
      </c>
      <c r="F5135" t="s">
        <v>43725</v>
      </c>
      <c r="G5135" t="s">
        <v>2258</v>
      </c>
      <c r="H5135" t="s">
        <v>2259</v>
      </c>
      <c r="I5135" t="s">
        <v>177</v>
      </c>
      <c r="J5135" t="s">
        <v>22</v>
      </c>
      <c r="K5135" t="s">
        <v>43726</v>
      </c>
      <c r="L5135" t="s">
        <v>43729</v>
      </c>
      <c r="M5135" t="s">
        <v>25</v>
      </c>
      <c r="N5135" t="s">
        <v>43730</v>
      </c>
      <c r="O5135" t="s">
        <v>25</v>
      </c>
      <c r="P5135" t="s">
        <v>43731</v>
      </c>
      <c r="Q5135" t="s">
        <v>29</v>
      </c>
      <c r="R5135" t="s">
        <v>43727</v>
      </c>
      <c r="S5135" t="s">
        <v>43728</v>
      </c>
    </row>
    <row r="5136" spans="1:19" x14ac:dyDescent="0.25">
      <c r="A5136" s="1">
        <v>5134</v>
      </c>
      <c r="B5136" t="str">
        <f>HYPERLINK("https://www.dasschnelle.at/mitterer-johann-pottenstein-gutensteiner-straße","Website")</f>
        <v>Website</v>
      </c>
      <c r="C5136" t="str">
        <f>HYPERLINK("https://www.dasschnelle.at/mitterer-johann-pottenstein-gutensteiner-stra%C3%9Fe","Website")</f>
        <v>Website</v>
      </c>
      <c r="D5136" t="str">
        <f>HYPERLINK("http://www.google.com/maps/place/47.9585,16.09118","Location")</f>
        <v>Location</v>
      </c>
      <c r="E5136" t="s">
        <v>43732</v>
      </c>
      <c r="F5136" t="s">
        <v>43733</v>
      </c>
      <c r="G5136" t="s">
        <v>24300</v>
      </c>
      <c r="H5136" t="s">
        <v>24301</v>
      </c>
      <c r="I5136" t="s">
        <v>177</v>
      </c>
      <c r="J5136" t="s">
        <v>22</v>
      </c>
      <c r="K5136" t="s">
        <v>43734</v>
      </c>
      <c r="L5136" t="s">
        <v>43737</v>
      </c>
      <c r="M5136" t="s">
        <v>25</v>
      </c>
      <c r="N5136" t="s">
        <v>43738</v>
      </c>
      <c r="O5136" t="s">
        <v>25</v>
      </c>
      <c r="P5136" t="s">
        <v>43739</v>
      </c>
      <c r="Q5136" t="s">
        <v>29</v>
      </c>
      <c r="R5136" t="s">
        <v>43735</v>
      </c>
      <c r="S5136" t="s">
        <v>43736</v>
      </c>
    </row>
    <row r="5137" spans="1:19" x14ac:dyDescent="0.25">
      <c r="A5137" s="1">
        <v>5135</v>
      </c>
      <c r="B5137" t="str">
        <f>HYPERLINK("https://www.dasschnelle.at/suchanek-cornelia-kufstein-gewerbehof","Website")</f>
        <v>Website</v>
      </c>
      <c r="C5137" t="str">
        <f>HYPERLINK("https://www.dasschnelle.at/suchanek-cornelia-kufstein-gewerbehof","Website")</f>
        <v>Website</v>
      </c>
      <c r="D5137" t="str">
        <f>HYPERLINK("http://www.google.com/maps/place/47.5857700,12.1754000","Location")</f>
        <v>Location</v>
      </c>
      <c r="E5137" t="s">
        <v>43740</v>
      </c>
      <c r="F5137" t="s">
        <v>43741</v>
      </c>
      <c r="G5137" t="s">
        <v>19</v>
      </c>
      <c r="H5137" t="s">
        <v>20</v>
      </c>
      <c r="I5137" t="s">
        <v>21</v>
      </c>
      <c r="J5137" t="s">
        <v>22</v>
      </c>
      <c r="K5137" t="s">
        <v>18</v>
      </c>
      <c r="L5137" t="s">
        <v>43744</v>
      </c>
      <c r="M5137" t="s">
        <v>25</v>
      </c>
      <c r="N5137" t="s">
        <v>43745</v>
      </c>
      <c r="O5137" t="s">
        <v>25</v>
      </c>
      <c r="P5137" t="s">
        <v>43746</v>
      </c>
      <c r="Q5137" t="s">
        <v>29</v>
      </c>
      <c r="R5137" t="s">
        <v>43742</v>
      </c>
      <c r="S5137" t="s">
        <v>43743</v>
      </c>
    </row>
    <row r="5138" spans="1:19" x14ac:dyDescent="0.25">
      <c r="A5138" s="1">
        <v>5136</v>
      </c>
      <c r="B5138" t="str">
        <f>HYPERLINK("https://www.dasschnelle.at/widschwenter-daniel-kundl-achenfeldweg","Website")</f>
        <v>Website</v>
      </c>
      <c r="C5138" t="str">
        <f>HYPERLINK("http://www.spenglerei-widschwenter.at","Website")</f>
        <v>Website</v>
      </c>
      <c r="D5138" t="str">
        <f>HYPERLINK("http://www.google.com/maps/place/47.46821,11.99219","Location")</f>
        <v>Location</v>
      </c>
      <c r="E5138" t="s">
        <v>43747</v>
      </c>
      <c r="F5138" t="s">
        <v>43748</v>
      </c>
      <c r="G5138" t="s">
        <v>43750</v>
      </c>
      <c r="H5138" t="s">
        <v>43751</v>
      </c>
      <c r="I5138" t="s">
        <v>21</v>
      </c>
      <c r="J5138" t="s">
        <v>22</v>
      </c>
      <c r="K5138" t="s">
        <v>43749</v>
      </c>
      <c r="L5138" t="s">
        <v>43754</v>
      </c>
      <c r="M5138" t="s">
        <v>25</v>
      </c>
      <c r="N5138" t="s">
        <v>43755</v>
      </c>
      <c r="O5138" t="s">
        <v>25</v>
      </c>
      <c r="P5138" t="s">
        <v>43756</v>
      </c>
      <c r="Q5138" t="s">
        <v>29</v>
      </c>
      <c r="R5138" t="s">
        <v>43752</v>
      </c>
      <c r="S5138" t="s">
        <v>43753</v>
      </c>
    </row>
    <row r="5139" spans="1:19" x14ac:dyDescent="0.25">
      <c r="A5139" s="1">
        <v>5137</v>
      </c>
      <c r="B5139" t="str">
        <f>HYPERLINK("https://www.dasschnelle.at/koltai-bau-u-brennstoffe-enzesfeld-lindabrunn-enzesfeld-hernsteinerstraße","Website")</f>
        <v>Website</v>
      </c>
      <c r="C5139" t="str">
        <f>HYPERLINK("http://www.ewald-koltai.at","Website")</f>
        <v>Website</v>
      </c>
      <c r="D5139" t="str">
        <f>HYPERLINK("http://www.google.com/maps/place/47.9132586,16.1854965","Location")</f>
        <v>Location</v>
      </c>
      <c r="E5139" t="s">
        <v>43757</v>
      </c>
      <c r="F5139" t="s">
        <v>43758</v>
      </c>
      <c r="G5139" t="s">
        <v>2227</v>
      </c>
      <c r="H5139" t="s">
        <v>2228</v>
      </c>
      <c r="I5139" t="s">
        <v>177</v>
      </c>
      <c r="J5139" t="s">
        <v>22</v>
      </c>
      <c r="K5139" t="s">
        <v>43759</v>
      </c>
      <c r="L5139" t="s">
        <v>43762</v>
      </c>
      <c r="M5139" t="s">
        <v>25</v>
      </c>
      <c r="N5139" t="s">
        <v>43763</v>
      </c>
      <c r="O5139" t="s">
        <v>43764</v>
      </c>
      <c r="P5139" t="s">
        <v>43765</v>
      </c>
      <c r="Q5139" t="s">
        <v>29</v>
      </c>
      <c r="R5139" t="s">
        <v>43760</v>
      </c>
      <c r="S5139" t="s">
        <v>43761</v>
      </c>
    </row>
    <row r="5140" spans="1:19" x14ac:dyDescent="0.25">
      <c r="A5140" s="1">
        <v>5138</v>
      </c>
      <c r="B5140" t="str">
        <f>HYPERLINK("https://www.dasschnelle.at/manfred-hacker-gesmbh-und-co-kg-pottenstein-hainfelder-straße","Website")</f>
        <v>Website</v>
      </c>
      <c r="C5140" t="str">
        <f>HYPERLINK("http://www.malerei-hacker.at","Website")</f>
        <v>Website</v>
      </c>
      <c r="D5140" t="str">
        <f>HYPERLINK("http://www.google.com/maps/place/47.96009,16.09433","Location")</f>
        <v>Location</v>
      </c>
      <c r="E5140" t="s">
        <v>43766</v>
      </c>
      <c r="F5140" t="s">
        <v>43767</v>
      </c>
      <c r="G5140" t="s">
        <v>24300</v>
      </c>
      <c r="H5140" t="s">
        <v>24301</v>
      </c>
      <c r="I5140" t="s">
        <v>177</v>
      </c>
      <c r="J5140" t="s">
        <v>22</v>
      </c>
      <c r="K5140" t="s">
        <v>43768</v>
      </c>
      <c r="L5140" t="s">
        <v>43771</v>
      </c>
      <c r="M5140" t="s">
        <v>25</v>
      </c>
      <c r="N5140" t="s">
        <v>43772</v>
      </c>
      <c r="O5140" t="s">
        <v>25</v>
      </c>
      <c r="P5140" t="s">
        <v>43773</v>
      </c>
      <c r="Q5140" t="s">
        <v>29</v>
      </c>
      <c r="R5140" t="s">
        <v>43769</v>
      </c>
      <c r="S5140" t="s">
        <v>43770</v>
      </c>
    </row>
    <row r="5141" spans="1:19" x14ac:dyDescent="0.25">
      <c r="A5141" s="1">
        <v>5139</v>
      </c>
      <c r="B5141" t="str">
        <f>HYPERLINK("https://www.dasschnelle.at/greiner-harald-dr-berndorf-j-f-kennedy-platz","Website")</f>
        <v>Website</v>
      </c>
      <c r="C5141" t="str">
        <f>HYPERLINK("http://www.internistgreiner.at","Website")</f>
        <v>Website</v>
      </c>
      <c r="D5141" t="str">
        <f>HYPERLINK("http://www.google.com/maps/place/47.9446610,16.1083085","Location")</f>
        <v>Location</v>
      </c>
      <c r="E5141" t="s">
        <v>43774</v>
      </c>
      <c r="F5141" t="s">
        <v>43775</v>
      </c>
      <c r="G5141" t="s">
        <v>2258</v>
      </c>
      <c r="H5141" t="s">
        <v>2259</v>
      </c>
      <c r="I5141" t="s">
        <v>177</v>
      </c>
      <c r="J5141" t="s">
        <v>22</v>
      </c>
      <c r="K5141" t="s">
        <v>43776</v>
      </c>
      <c r="L5141" t="s">
        <v>43779</v>
      </c>
      <c r="M5141" t="s">
        <v>25</v>
      </c>
      <c r="N5141" t="s">
        <v>43780</v>
      </c>
      <c r="O5141" t="s">
        <v>25</v>
      </c>
      <c r="P5141" t="s">
        <v>43781</v>
      </c>
      <c r="Q5141" t="s">
        <v>29</v>
      </c>
      <c r="R5141" t="s">
        <v>43777</v>
      </c>
      <c r="S5141" t="s">
        <v>43778</v>
      </c>
    </row>
    <row r="5142" spans="1:19" x14ac:dyDescent="0.25">
      <c r="A5142" s="1">
        <v>5140</v>
      </c>
      <c r="B5142" t="str">
        <f>HYPERLINK("https://www.dasschnelle.at/episas-fliesen-gmbh-ebbs-kirchplatz","Website")</f>
        <v>Website</v>
      </c>
      <c r="C5142" t="str">
        <f>HYPERLINK("http://www.episas.at","Website")</f>
        <v>Website</v>
      </c>
      <c r="D5142" t="str">
        <f>HYPERLINK("http://www.google.com/maps/place/47.62968,12.2137","Location")</f>
        <v>Location</v>
      </c>
      <c r="E5142" t="s">
        <v>43782</v>
      </c>
      <c r="F5142" t="s">
        <v>43783</v>
      </c>
      <c r="G5142" t="s">
        <v>62</v>
      </c>
      <c r="H5142" t="s">
        <v>9100</v>
      </c>
      <c r="I5142" t="s">
        <v>21</v>
      </c>
      <c r="J5142" t="s">
        <v>22</v>
      </c>
      <c r="K5142" t="s">
        <v>43784</v>
      </c>
      <c r="L5142" t="s">
        <v>43787</v>
      </c>
      <c r="M5142" t="s">
        <v>25</v>
      </c>
      <c r="N5142" t="s">
        <v>43788</v>
      </c>
      <c r="O5142" t="s">
        <v>25</v>
      </c>
      <c r="P5142" t="s">
        <v>43789</v>
      </c>
      <c r="Q5142" t="s">
        <v>29</v>
      </c>
      <c r="R5142" t="s">
        <v>43785</v>
      </c>
      <c r="S5142" t="s">
        <v>43786</v>
      </c>
    </row>
    <row r="5143" spans="1:19" x14ac:dyDescent="0.25">
      <c r="A5143" s="1">
        <v>5141</v>
      </c>
      <c r="B5143" t="str">
        <f>HYPERLINK("https://www.dasschnelle.at/scharinger-melanie-peuerbach-graben","Website")</f>
        <v>Website</v>
      </c>
      <c r="C5143" t="str">
        <f>HYPERLINK("http://www.scharinger-koller.at","Website")</f>
        <v>Website</v>
      </c>
      <c r="D5143" t="str">
        <f>HYPERLINK("http://www.google.com/maps/place/48.34543,13.77141","Location")</f>
        <v>Location</v>
      </c>
      <c r="E5143" t="s">
        <v>43790</v>
      </c>
      <c r="F5143" t="s">
        <v>43791</v>
      </c>
      <c r="G5143" t="s">
        <v>7303</v>
      </c>
      <c r="H5143" t="s">
        <v>7304</v>
      </c>
      <c r="I5143" t="s">
        <v>85</v>
      </c>
      <c r="J5143" t="s">
        <v>22</v>
      </c>
      <c r="K5143" t="s">
        <v>43792</v>
      </c>
      <c r="L5143" t="s">
        <v>43795</v>
      </c>
      <c r="M5143" t="s">
        <v>25</v>
      </c>
      <c r="N5143" t="s">
        <v>43796</v>
      </c>
      <c r="O5143" t="s">
        <v>25</v>
      </c>
      <c r="P5143" t="s">
        <v>43797</v>
      </c>
      <c r="Q5143" t="s">
        <v>29</v>
      </c>
      <c r="R5143" t="s">
        <v>43793</v>
      </c>
      <c r="S5143" t="s">
        <v>43794</v>
      </c>
    </row>
    <row r="5144" spans="1:19" x14ac:dyDescent="0.25">
      <c r="A5144" s="1">
        <v>5142</v>
      </c>
      <c r="B5144" t="str">
        <f>HYPERLINK("https://www.dasschnelle.at/lackner-kaufmann-manuela-straß-in-steiermark-hauptstraße","Website")</f>
        <v>Website</v>
      </c>
      <c r="C5144" t="str">
        <f>HYPERLINK("http://www.tdl.at","Website")</f>
        <v>Website</v>
      </c>
      <c r="D5144" t="str">
        <f>HYPERLINK("http://www.google.com/maps/place/46.72771,15.62223","Location")</f>
        <v>Location</v>
      </c>
      <c r="E5144" t="s">
        <v>43798</v>
      </c>
      <c r="F5144" t="s">
        <v>43799</v>
      </c>
      <c r="G5144" t="s">
        <v>25216</v>
      </c>
      <c r="H5144" t="s">
        <v>25217</v>
      </c>
      <c r="I5144" t="s">
        <v>451</v>
      </c>
      <c r="J5144" t="s">
        <v>22</v>
      </c>
      <c r="K5144" t="s">
        <v>43800</v>
      </c>
      <c r="L5144" t="s">
        <v>43803</v>
      </c>
      <c r="M5144" t="s">
        <v>25</v>
      </c>
      <c r="N5144" t="s">
        <v>43804</v>
      </c>
      <c r="O5144" t="s">
        <v>25</v>
      </c>
      <c r="P5144" t="s">
        <v>43805</v>
      </c>
      <c r="Q5144" t="s">
        <v>29</v>
      </c>
      <c r="R5144" t="s">
        <v>43801</v>
      </c>
      <c r="S5144" t="s">
        <v>43802</v>
      </c>
    </row>
    <row r="5145" spans="1:19" x14ac:dyDescent="0.25">
      <c r="A5145" s="1">
        <v>5143</v>
      </c>
      <c r="B5145" t="str">
        <f>HYPERLINK("https://www.dasschnelle.at/wwv-partner-steuerberatungsgmbh-schrems-schulgasse","Website")</f>
        <v>Website</v>
      </c>
      <c r="C5145" t="str">
        <f>HYPERLINK("http://www.wwv.at","Website")</f>
        <v>Website</v>
      </c>
      <c r="D5145" t="str">
        <f>HYPERLINK("http://www.google.com/maps/place/48.7931074,15.0685717","Location")</f>
        <v>Location</v>
      </c>
      <c r="E5145" t="s">
        <v>43806</v>
      </c>
      <c r="F5145" t="s">
        <v>43807</v>
      </c>
      <c r="G5145" t="s">
        <v>7200</v>
      </c>
      <c r="H5145" t="s">
        <v>7201</v>
      </c>
      <c r="I5145" t="s">
        <v>177</v>
      </c>
      <c r="J5145" t="s">
        <v>22</v>
      </c>
      <c r="K5145" t="s">
        <v>43808</v>
      </c>
      <c r="L5145" t="s">
        <v>43811</v>
      </c>
      <c r="M5145" t="s">
        <v>25</v>
      </c>
      <c r="N5145" t="s">
        <v>43812</v>
      </c>
      <c r="O5145" t="s">
        <v>25</v>
      </c>
      <c r="P5145" t="s">
        <v>43813</v>
      </c>
      <c r="Q5145" t="s">
        <v>29</v>
      </c>
      <c r="R5145" t="s">
        <v>43809</v>
      </c>
      <c r="S5145" t="s">
        <v>43810</v>
      </c>
    </row>
    <row r="5146" spans="1:19" x14ac:dyDescent="0.25">
      <c r="A5146" s="1">
        <v>5144</v>
      </c>
      <c r="B5146" t="str">
        <f>HYPERLINK("https://www.dasschnelle.at/blindenmarkt-kg-blindenmarkt-hauptstraße","Website")</f>
        <v>Website</v>
      </c>
      <c r="C5146" t="str">
        <f>HYPERLINK("http://www.apotheke-blindenmarkt.at","Website")</f>
        <v>Website</v>
      </c>
      <c r="D5146" t="str">
        <f>HYPERLINK("http://www.google.com/maps/place/48.12684,14.98202","Location")</f>
        <v>Location</v>
      </c>
      <c r="E5146" t="s">
        <v>43814</v>
      </c>
      <c r="F5146" t="s">
        <v>43815</v>
      </c>
      <c r="G5146" t="s">
        <v>43817</v>
      </c>
      <c r="H5146" t="s">
        <v>43818</v>
      </c>
      <c r="I5146" t="s">
        <v>177</v>
      </c>
      <c r="J5146" t="s">
        <v>22</v>
      </c>
      <c r="K5146" t="s">
        <v>43816</v>
      </c>
      <c r="L5146" t="s">
        <v>43821</v>
      </c>
      <c r="M5146" t="s">
        <v>25</v>
      </c>
      <c r="N5146" t="s">
        <v>43822</v>
      </c>
      <c r="O5146" t="s">
        <v>25</v>
      </c>
      <c r="P5146" t="s">
        <v>43823</v>
      </c>
      <c r="Q5146" t="s">
        <v>29</v>
      </c>
      <c r="R5146" t="s">
        <v>43819</v>
      </c>
      <c r="S5146" t="s">
        <v>43820</v>
      </c>
    </row>
    <row r="5147" spans="1:19" x14ac:dyDescent="0.25">
      <c r="A5147" s="1">
        <v>5145</v>
      </c>
      <c r="B5147" t="str">
        <f>HYPERLINK("https://www.dasschnelle.at/bachler-metalltechnik-gmbh-lunz-gewerbestraße","Website")</f>
        <v>Website</v>
      </c>
      <c r="C5147" t="str">
        <f>HYPERLINK("http://www.bachler-metalltechnik.at","Website")</f>
        <v>Website</v>
      </c>
      <c r="D5147" t="str">
        <f>HYPERLINK("http://www.google.com/maps/place/47.8644704,15.0385803","Location")</f>
        <v>Location</v>
      </c>
      <c r="E5147" t="s">
        <v>43824</v>
      </c>
      <c r="F5147" t="s">
        <v>43825</v>
      </c>
      <c r="G5147" t="s">
        <v>42944</v>
      </c>
      <c r="H5147" t="s">
        <v>42945</v>
      </c>
      <c r="I5147" t="s">
        <v>177</v>
      </c>
      <c r="J5147" t="s">
        <v>22</v>
      </c>
      <c r="K5147" t="s">
        <v>1978</v>
      </c>
      <c r="L5147" t="s">
        <v>43828</v>
      </c>
      <c r="M5147" t="s">
        <v>25</v>
      </c>
      <c r="N5147" t="s">
        <v>43829</v>
      </c>
      <c r="O5147" t="s">
        <v>25</v>
      </c>
      <c r="P5147" t="s">
        <v>43830</v>
      </c>
      <c r="Q5147" t="s">
        <v>29</v>
      </c>
      <c r="R5147" t="s">
        <v>43826</v>
      </c>
      <c r="S5147" t="s">
        <v>43827</v>
      </c>
    </row>
    <row r="5148" spans="1:19" x14ac:dyDescent="0.25">
      <c r="A5148" s="1">
        <v>5146</v>
      </c>
      <c r="B5148" t="str">
        <f>HYPERLINK("https://www.dasschnelle.at/beatrix-lang-bestattung-kematen-an-der-krems-linzer-straße","Website")</f>
        <v>Website</v>
      </c>
      <c r="C5148" t="str">
        <f>HYPERLINK("http://www.bestattung-lang.com","Website")</f>
        <v>Website</v>
      </c>
      <c r="D5148" t="str">
        <f>HYPERLINK("http://www.google.com/maps/place/48.1108741,14.1930700","Location")</f>
        <v>Location</v>
      </c>
      <c r="E5148" t="s">
        <v>43831</v>
      </c>
      <c r="F5148" t="s">
        <v>43832</v>
      </c>
      <c r="G5148" t="s">
        <v>12921</v>
      </c>
      <c r="H5148" t="s">
        <v>12922</v>
      </c>
      <c r="I5148" t="s">
        <v>85</v>
      </c>
      <c r="J5148" t="s">
        <v>22</v>
      </c>
      <c r="K5148" t="s">
        <v>43833</v>
      </c>
      <c r="L5148" t="s">
        <v>43836</v>
      </c>
      <c r="M5148" t="s">
        <v>25</v>
      </c>
      <c r="N5148" t="s">
        <v>43837</v>
      </c>
      <c r="O5148" t="s">
        <v>25</v>
      </c>
      <c r="P5148" t="s">
        <v>43838</v>
      </c>
      <c r="Q5148" t="s">
        <v>29</v>
      </c>
      <c r="R5148" t="s">
        <v>43834</v>
      </c>
      <c r="S5148" t="s">
        <v>43835</v>
      </c>
    </row>
    <row r="5149" spans="1:19" x14ac:dyDescent="0.25">
      <c r="A5149" s="1">
        <v>5147</v>
      </c>
      <c r="B5149" t="str">
        <f>HYPERLINK("https://www.dasschnelle.at/boje-ursula-grieskirchen-prechtlerstraße","Website")</f>
        <v>Website</v>
      </c>
      <c r="C5149" t="str">
        <f>HYPERLINK("http://www.schnittgefu00fchl.at","Website")</f>
        <v>Website</v>
      </c>
      <c r="D5149" t="str">
        <f>HYPERLINK("http://www.google.com/maps/place/48.23435,13.83246","Location")</f>
        <v>Location</v>
      </c>
      <c r="E5149" t="s">
        <v>43839</v>
      </c>
      <c r="F5149" t="s">
        <v>43840</v>
      </c>
      <c r="G5149" t="s">
        <v>4826</v>
      </c>
      <c r="H5149" t="s">
        <v>4827</v>
      </c>
      <c r="I5149" t="s">
        <v>85</v>
      </c>
      <c r="J5149" t="s">
        <v>22</v>
      </c>
      <c r="K5149" t="s">
        <v>43841</v>
      </c>
      <c r="L5149" t="s">
        <v>43844</v>
      </c>
      <c r="M5149" t="s">
        <v>25</v>
      </c>
      <c r="N5149" t="s">
        <v>43845</v>
      </c>
      <c r="O5149" t="s">
        <v>25</v>
      </c>
      <c r="P5149" t="s">
        <v>43846</v>
      </c>
      <c r="Q5149" t="s">
        <v>29</v>
      </c>
      <c r="R5149" t="s">
        <v>43842</v>
      </c>
      <c r="S5149" t="s">
        <v>43843</v>
      </c>
    </row>
    <row r="5150" spans="1:19" x14ac:dyDescent="0.25">
      <c r="A5150" s="1">
        <v>5148</v>
      </c>
      <c r="B5150" t="str">
        <f>HYPERLINK("https://www.dasschnelle.at/amc-strohmeier-wies-wernersdorf","Website")</f>
        <v>Website</v>
      </c>
      <c r="C5150" t="str">
        <f>HYPERLINK("https://www.dasschnelle.at/amc-strohmeier-wies-wernersdorf","Website")</f>
        <v>Website</v>
      </c>
      <c r="D5150" t="str">
        <f>HYPERLINK("http://www.google.com/maps/place/46.7160537,15.2070710","Location")</f>
        <v>Location</v>
      </c>
      <c r="E5150" t="s">
        <v>43847</v>
      </c>
      <c r="F5150" t="s">
        <v>43848</v>
      </c>
      <c r="G5150" t="s">
        <v>2911</v>
      </c>
      <c r="H5150" t="s">
        <v>2912</v>
      </c>
      <c r="I5150" t="s">
        <v>451</v>
      </c>
      <c r="J5150" t="s">
        <v>22</v>
      </c>
      <c r="K5150" t="s">
        <v>43849</v>
      </c>
      <c r="L5150" t="s">
        <v>43852</v>
      </c>
      <c r="M5150" t="s">
        <v>25</v>
      </c>
      <c r="N5150" t="s">
        <v>43853</v>
      </c>
      <c r="O5150" t="s">
        <v>25</v>
      </c>
      <c r="P5150" t="s">
        <v>43854</v>
      </c>
      <c r="Q5150" t="s">
        <v>29</v>
      </c>
      <c r="R5150" t="s">
        <v>43850</v>
      </c>
      <c r="S5150" t="s">
        <v>43851</v>
      </c>
    </row>
    <row r="5151" spans="1:19" x14ac:dyDescent="0.25">
      <c r="A5151" s="1">
        <v>5149</v>
      </c>
      <c r="B5151" t="str">
        <f>HYPERLINK("https://www.dasschnelle.at/csermely-tamas-dr-univ-doz-baden-valeriestraße","Website")</f>
        <v>Website</v>
      </c>
      <c r="C5151" t="str">
        <f>HYPERLINK("http://www.frauenarzt-vertrauen-hu.at","Website")</f>
        <v>Website</v>
      </c>
      <c r="D5151" t="str">
        <f>HYPERLINK("http://www.google.com/maps/place/48.00773,16.23906","Location")</f>
        <v>Location</v>
      </c>
      <c r="E5151" t="s">
        <v>43855</v>
      </c>
      <c r="F5151" t="s">
        <v>43856</v>
      </c>
      <c r="G5151" t="s">
        <v>1979</v>
      </c>
      <c r="H5151" t="s">
        <v>1980</v>
      </c>
      <c r="I5151" t="s">
        <v>177</v>
      </c>
      <c r="J5151" t="s">
        <v>22</v>
      </c>
      <c r="K5151" t="s">
        <v>43857</v>
      </c>
      <c r="L5151" t="s">
        <v>43860</v>
      </c>
      <c r="M5151" t="s">
        <v>25</v>
      </c>
      <c r="N5151" t="s">
        <v>43861</v>
      </c>
      <c r="O5151" t="s">
        <v>25</v>
      </c>
      <c r="P5151" t="s">
        <v>43862</v>
      </c>
      <c r="Q5151" t="s">
        <v>29</v>
      </c>
      <c r="R5151" t="s">
        <v>43858</v>
      </c>
      <c r="S5151" t="s">
        <v>43859</v>
      </c>
    </row>
    <row r="5152" spans="1:19" x14ac:dyDescent="0.25">
      <c r="A5152" s="1">
        <v>5150</v>
      </c>
      <c r="B5152" t="str">
        <f>HYPERLINK("https://www.dasschnelle.at/das-freidls-pölfing-brunn-hauptstraße","Website")</f>
        <v>Website</v>
      </c>
      <c r="C5152" t="str">
        <f>HYPERLINK("http://www.das-freidls.at","Website")</f>
        <v>Website</v>
      </c>
      <c r="D5152" t="str">
        <f>HYPERLINK("http://www.google.com/maps/place/46.7298,15.29674","Location")</f>
        <v>Location</v>
      </c>
      <c r="E5152" t="s">
        <v>43863</v>
      </c>
      <c r="F5152" t="s">
        <v>43864</v>
      </c>
      <c r="G5152" t="s">
        <v>19504</v>
      </c>
      <c r="H5152" t="s">
        <v>22867</v>
      </c>
      <c r="I5152" t="s">
        <v>451</v>
      </c>
      <c r="J5152" t="s">
        <v>22</v>
      </c>
      <c r="K5152" t="s">
        <v>43865</v>
      </c>
      <c r="L5152" t="s">
        <v>43868</v>
      </c>
      <c r="M5152" t="s">
        <v>25</v>
      </c>
      <c r="N5152" t="s">
        <v>43869</v>
      </c>
      <c r="O5152" t="s">
        <v>25</v>
      </c>
      <c r="P5152" t="s">
        <v>43870</v>
      </c>
      <c r="Q5152" t="s">
        <v>29</v>
      </c>
      <c r="R5152" t="s">
        <v>43866</v>
      </c>
      <c r="S5152" t="s">
        <v>43867</v>
      </c>
    </row>
    <row r="5153" spans="1:19" x14ac:dyDescent="0.25">
      <c r="A5153" s="1">
        <v>5151</v>
      </c>
      <c r="B5153" t="str">
        <f>HYPERLINK("https://www.dasschnelle.at/bestattung-h-müllner-hainburg-hofmeisterstraße","Website")</f>
        <v>Website</v>
      </c>
      <c r="C5153" t="str">
        <f>HYPERLINK("http://www.bestattung-muellner.at","Website")</f>
        <v>Website</v>
      </c>
      <c r="D5153" t="str">
        <f>HYPERLINK("http://www.google.com/maps/place/48.1466581,16.9494878","Location")</f>
        <v>Location</v>
      </c>
      <c r="E5153" t="s">
        <v>43871</v>
      </c>
      <c r="F5153" t="s">
        <v>43872</v>
      </c>
      <c r="G5153" t="s">
        <v>1822</v>
      </c>
      <c r="H5153" t="s">
        <v>14695</v>
      </c>
      <c r="I5153" t="s">
        <v>177</v>
      </c>
      <c r="J5153" t="s">
        <v>22</v>
      </c>
      <c r="K5153" t="s">
        <v>43873</v>
      </c>
      <c r="L5153" t="s">
        <v>43876</v>
      </c>
      <c r="M5153" t="s">
        <v>25</v>
      </c>
      <c r="N5153" t="s">
        <v>43877</v>
      </c>
      <c r="O5153" t="s">
        <v>25</v>
      </c>
      <c r="P5153" t="s">
        <v>43878</v>
      </c>
      <c r="Q5153" t="s">
        <v>29</v>
      </c>
      <c r="R5153" t="s">
        <v>43874</v>
      </c>
      <c r="S5153" t="s">
        <v>43875</v>
      </c>
    </row>
    <row r="5154" spans="1:19" x14ac:dyDescent="0.25">
      <c r="A5154" s="1">
        <v>5152</v>
      </c>
      <c r="B5154" t="str">
        <f>HYPERLINK("https://www.dasschnelle.at/baci-taxi-gmunden-bahnhofstraße","Website")</f>
        <v>Website</v>
      </c>
      <c r="C5154" t="str">
        <f>HYPERLINK("https://www.dasschnelle.at/baci-taxi-gmunden-bahnhofstra%C3%9Fe","Website")</f>
        <v>Website</v>
      </c>
      <c r="D5154" t="str">
        <f>HYPERLINK("http://www.google.com/maps/place/47.9782300,13.7942500","Location")</f>
        <v>Location</v>
      </c>
      <c r="E5154" t="s">
        <v>43879</v>
      </c>
      <c r="F5154" t="s">
        <v>43880</v>
      </c>
      <c r="G5154" t="s">
        <v>6951</v>
      </c>
      <c r="H5154" t="s">
        <v>6952</v>
      </c>
      <c r="I5154" t="s">
        <v>85</v>
      </c>
      <c r="J5154" t="s">
        <v>22</v>
      </c>
      <c r="K5154" t="s">
        <v>43881</v>
      </c>
      <c r="L5154" t="s">
        <v>43884</v>
      </c>
      <c r="M5154" t="s">
        <v>43885</v>
      </c>
      <c r="N5154" t="s">
        <v>43886</v>
      </c>
      <c r="O5154" t="s">
        <v>25</v>
      </c>
      <c r="P5154" t="s">
        <v>43887</v>
      </c>
      <c r="Q5154" t="s">
        <v>29</v>
      </c>
      <c r="R5154" t="s">
        <v>43882</v>
      </c>
      <c r="S5154" t="s">
        <v>43883</v>
      </c>
    </row>
    <row r="5155" spans="1:19" x14ac:dyDescent="0.25">
      <c r="A5155" s="1">
        <v>5153</v>
      </c>
      <c r="B5155" t="str">
        <f>HYPERLINK("https://www.dasschnelle.at/böhler-max-univ-doz-dr-baden-mühlgasse","Website")</f>
        <v>Website</v>
      </c>
      <c r="C5155" t="str">
        <f>HYPERLINK("http://www.max-boehler.at","Website")</f>
        <v>Website</v>
      </c>
      <c r="D5155" t="str">
        <f>HYPERLINK("http://www.google.com/maps/place/48.00924,16.24161","Location")</f>
        <v>Location</v>
      </c>
      <c r="E5155" t="s">
        <v>43888</v>
      </c>
      <c r="F5155" t="s">
        <v>43889</v>
      </c>
      <c r="G5155" t="s">
        <v>1979</v>
      </c>
      <c r="H5155" t="s">
        <v>1980</v>
      </c>
      <c r="I5155" t="s">
        <v>177</v>
      </c>
      <c r="J5155" t="s">
        <v>22</v>
      </c>
      <c r="K5155" t="s">
        <v>43890</v>
      </c>
      <c r="L5155" t="s">
        <v>43893</v>
      </c>
      <c r="M5155" t="s">
        <v>25</v>
      </c>
      <c r="N5155" t="s">
        <v>43894</v>
      </c>
      <c r="O5155" t="s">
        <v>25</v>
      </c>
      <c r="P5155" t="s">
        <v>43895</v>
      </c>
      <c r="Q5155" t="s">
        <v>29</v>
      </c>
      <c r="R5155" t="s">
        <v>43891</v>
      </c>
      <c r="S5155" t="s">
        <v>43892</v>
      </c>
    </row>
    <row r="5156" spans="1:19" x14ac:dyDescent="0.25">
      <c r="A5156" s="1">
        <v>5154</v>
      </c>
      <c r="B5156" t="str">
        <f>HYPERLINK("https://www.dasschnelle.at/a-d-l-estrich-schalchham-am-agersteg","Website")</f>
        <v>Website</v>
      </c>
      <c r="C5156" t="str">
        <f>HYPERLINK("http://www.adl-estrich.at","Website")</f>
        <v>Website</v>
      </c>
      <c r="D5156" t="str">
        <f>HYPERLINK("http://www.google.com/maps/place/48.00325,13.65702","Location")</f>
        <v>Location</v>
      </c>
      <c r="E5156" t="s">
        <v>43896</v>
      </c>
      <c r="F5156" t="s">
        <v>43897</v>
      </c>
      <c r="G5156" t="s">
        <v>3773</v>
      </c>
      <c r="H5156" t="s">
        <v>43898</v>
      </c>
      <c r="I5156" t="s">
        <v>85</v>
      </c>
      <c r="J5156" t="s">
        <v>22</v>
      </c>
      <c r="K5156" t="s">
        <v>23979</v>
      </c>
      <c r="L5156" t="s">
        <v>23982</v>
      </c>
      <c r="M5156" t="s">
        <v>25</v>
      </c>
      <c r="N5156" t="s">
        <v>23983</v>
      </c>
      <c r="O5156" t="s">
        <v>43899</v>
      </c>
      <c r="P5156" t="s">
        <v>43900</v>
      </c>
      <c r="Q5156" t="s">
        <v>29</v>
      </c>
      <c r="R5156" t="s">
        <v>23980</v>
      </c>
      <c r="S5156" t="s">
        <v>23981</v>
      </c>
    </row>
    <row r="5157" spans="1:19" x14ac:dyDescent="0.25">
      <c r="A5157" s="1">
        <v>5155</v>
      </c>
      <c r="B5157" t="str">
        <f>HYPERLINK("https://www.dasschnelle.at/burger-f-dr-hirtenberg-badgasse","Website")</f>
        <v>Website</v>
      </c>
      <c r="C5157" t="str">
        <f>HYPERLINK("http://www.zahnarzt-burger.at","Website")</f>
        <v>Website</v>
      </c>
      <c r="D5157" t="str">
        <f>HYPERLINK("http://www.google.com/maps/place/47.93002,16.18377","Location")</f>
        <v>Location</v>
      </c>
      <c r="E5157" t="s">
        <v>43901</v>
      </c>
      <c r="F5157" t="s">
        <v>43902</v>
      </c>
      <c r="G5157" t="s">
        <v>43594</v>
      </c>
      <c r="H5157" t="s">
        <v>43595</v>
      </c>
      <c r="I5157" t="s">
        <v>177</v>
      </c>
      <c r="J5157" t="s">
        <v>22</v>
      </c>
      <c r="K5157" t="s">
        <v>43903</v>
      </c>
      <c r="L5157" t="s">
        <v>43906</v>
      </c>
      <c r="M5157" t="s">
        <v>25</v>
      </c>
      <c r="N5157" t="s">
        <v>43907</v>
      </c>
      <c r="O5157" t="s">
        <v>25</v>
      </c>
      <c r="P5157" t="s">
        <v>43908</v>
      </c>
      <c r="Q5157" t="s">
        <v>29</v>
      </c>
      <c r="R5157" t="s">
        <v>43904</v>
      </c>
      <c r="S5157" t="s">
        <v>43905</v>
      </c>
    </row>
    <row r="5158" spans="1:19" x14ac:dyDescent="0.25">
      <c r="A5158" s="1">
        <v>5156</v>
      </c>
      <c r="B5158" t="str">
        <f>HYPERLINK("https://www.dasschnelle.at/gründling-josef-gesmbh-und-co-kg-amstetten-ardaggerstraße","Website")</f>
        <v>Website</v>
      </c>
      <c r="C5158" t="str">
        <f>HYPERLINK("http://www.gruendling.at","Website")</f>
        <v>Website</v>
      </c>
      <c r="D5158" t="str">
        <f>HYPERLINK("http://www.google.com/maps/place/48.12706,14.86896","Location")</f>
        <v>Location</v>
      </c>
      <c r="E5158" t="s">
        <v>43909</v>
      </c>
      <c r="F5158" t="s">
        <v>43910</v>
      </c>
      <c r="G5158" t="s">
        <v>1474</v>
      </c>
      <c r="H5158" t="s">
        <v>1475</v>
      </c>
      <c r="I5158" t="s">
        <v>177</v>
      </c>
      <c r="J5158" t="s">
        <v>22</v>
      </c>
      <c r="K5158" t="s">
        <v>43911</v>
      </c>
      <c r="L5158" t="s">
        <v>43914</v>
      </c>
      <c r="M5158" t="s">
        <v>25</v>
      </c>
      <c r="N5158" t="s">
        <v>43915</v>
      </c>
      <c r="O5158" t="s">
        <v>25</v>
      </c>
      <c r="P5158" t="s">
        <v>43916</v>
      </c>
      <c r="Q5158" t="s">
        <v>29</v>
      </c>
      <c r="R5158" t="s">
        <v>43912</v>
      </c>
      <c r="S5158" t="s">
        <v>43913</v>
      </c>
    </row>
    <row r="5159" spans="1:19" x14ac:dyDescent="0.25">
      <c r="A5159" s="1">
        <v>5157</v>
      </c>
      <c r="B5159" t="str">
        <f>HYPERLINK("https://www.dasschnelle.at/selfman-holzer-weiß-gesmbh-amstetten-friedhofstraße","Website")</f>
        <v>Website</v>
      </c>
      <c r="C5159" t="str">
        <f>HYPERLINK("http://www.holzer-weiss.at","Website")</f>
        <v>Website</v>
      </c>
      <c r="D5159" t="str">
        <f>HYPERLINK("http://www.google.com/maps/place/48.1250913,14.8682534","Location")</f>
        <v>Location</v>
      </c>
      <c r="E5159" t="s">
        <v>43917</v>
      </c>
      <c r="F5159" t="s">
        <v>43918</v>
      </c>
      <c r="G5159" t="s">
        <v>1474</v>
      </c>
      <c r="H5159" t="s">
        <v>1475</v>
      </c>
      <c r="I5159" t="s">
        <v>177</v>
      </c>
      <c r="J5159" t="s">
        <v>22</v>
      </c>
      <c r="K5159" t="s">
        <v>43919</v>
      </c>
      <c r="L5159" t="s">
        <v>43922</v>
      </c>
      <c r="M5159" t="s">
        <v>25</v>
      </c>
      <c r="N5159" t="s">
        <v>43923</v>
      </c>
      <c r="O5159" t="s">
        <v>25</v>
      </c>
      <c r="P5159" t="s">
        <v>43924</v>
      </c>
      <c r="Q5159" t="s">
        <v>29</v>
      </c>
      <c r="R5159" t="s">
        <v>43920</v>
      </c>
      <c r="S5159" t="s">
        <v>43921</v>
      </c>
    </row>
    <row r="5160" spans="1:19" x14ac:dyDescent="0.25">
      <c r="A5160" s="1">
        <v>5158</v>
      </c>
      <c r="B5160" t="str">
        <f>HYPERLINK("https://www.dasschnelle.at/habersohn-oliver-amstetten-wiener-straße","Website")</f>
        <v>Website</v>
      </c>
      <c r="C5160" t="str">
        <f>HYPERLINK("https://www.dasschnelle.at/habersohn-oliver-amstetten-wiener-stra%C3%9Fe","Website")</f>
        <v>Website</v>
      </c>
      <c r="D5160" t="str">
        <f>HYPERLINK("http://www.google.com/maps/place/48.12267,14.87766","Location")</f>
        <v>Location</v>
      </c>
      <c r="E5160" t="s">
        <v>43925</v>
      </c>
      <c r="F5160" t="s">
        <v>43926</v>
      </c>
      <c r="G5160" t="s">
        <v>1474</v>
      </c>
      <c r="H5160" t="s">
        <v>1475</v>
      </c>
      <c r="I5160" t="s">
        <v>177</v>
      </c>
      <c r="J5160" t="s">
        <v>22</v>
      </c>
      <c r="K5160" t="s">
        <v>43927</v>
      </c>
      <c r="L5160" t="s">
        <v>43930</v>
      </c>
      <c r="M5160" t="s">
        <v>25</v>
      </c>
      <c r="N5160" t="s">
        <v>43931</v>
      </c>
      <c r="O5160" t="s">
        <v>25</v>
      </c>
      <c r="P5160" t="s">
        <v>43932</v>
      </c>
      <c r="Q5160" t="s">
        <v>29</v>
      </c>
      <c r="R5160" t="s">
        <v>43928</v>
      </c>
      <c r="S5160" t="s">
        <v>43929</v>
      </c>
    </row>
    <row r="5161" spans="1:19" x14ac:dyDescent="0.25">
      <c r="A5161" s="1">
        <v>5159</v>
      </c>
      <c r="B5161" t="str">
        <f>HYPERLINK("https://www.dasschnelle.at/moshammer-norbert-gesmbh-böhlerwerk-waidhofnerstraße","Website")</f>
        <v>Website</v>
      </c>
      <c r="C5161" t="str">
        <f>HYPERLINK("http://www.baeckerei-moshammer.at","Website")</f>
        <v>Website</v>
      </c>
      <c r="D5161" t="str">
        <f>HYPERLINK("http://www.google.com/maps/place/47.98523,14.75014","Location")</f>
        <v>Location</v>
      </c>
      <c r="E5161" t="s">
        <v>43933</v>
      </c>
      <c r="F5161" t="s">
        <v>43934</v>
      </c>
      <c r="G5161" t="s">
        <v>43936</v>
      </c>
      <c r="H5161" t="s">
        <v>43937</v>
      </c>
      <c r="I5161" t="s">
        <v>177</v>
      </c>
      <c r="J5161" t="s">
        <v>22</v>
      </c>
      <c r="K5161" t="s">
        <v>43935</v>
      </c>
      <c r="L5161" t="s">
        <v>43939</v>
      </c>
      <c r="M5161" t="s">
        <v>25</v>
      </c>
      <c r="N5161" t="s">
        <v>43940</v>
      </c>
      <c r="O5161" t="s">
        <v>25</v>
      </c>
      <c r="P5161" t="s">
        <v>43941</v>
      </c>
      <c r="Q5161" t="s">
        <v>29</v>
      </c>
      <c r="R5161" t="s">
        <v>1614</v>
      </c>
      <c r="S5161" t="s">
        <v>43938</v>
      </c>
    </row>
    <row r="5162" spans="1:19" x14ac:dyDescent="0.25">
      <c r="A5162" s="1">
        <v>5160</v>
      </c>
      <c r="B5162" t="str">
        <f>HYPERLINK("https://www.dasschnelle.at/grossalber-tischlerei-gmbh-stephanshart-empfing","Website")</f>
        <v>Website</v>
      </c>
      <c r="C5162" t="str">
        <f>HYPERLINK("http://www.grossalber.at","Website")</f>
        <v>Website</v>
      </c>
      <c r="D5162" t="str">
        <f>HYPERLINK("http://www.google.com/maps/place/48.1613,14.80938","Location")</f>
        <v>Location</v>
      </c>
      <c r="E5162" t="s">
        <v>43942</v>
      </c>
      <c r="F5162" t="s">
        <v>43943</v>
      </c>
      <c r="G5162" t="s">
        <v>1559</v>
      </c>
      <c r="H5162" t="s">
        <v>1560</v>
      </c>
      <c r="I5162" t="s">
        <v>177</v>
      </c>
      <c r="J5162" t="s">
        <v>22</v>
      </c>
      <c r="K5162" t="s">
        <v>43944</v>
      </c>
      <c r="L5162" t="s">
        <v>43947</v>
      </c>
      <c r="M5162" t="s">
        <v>25</v>
      </c>
      <c r="N5162" t="s">
        <v>43948</v>
      </c>
      <c r="O5162" t="s">
        <v>25</v>
      </c>
      <c r="P5162" t="s">
        <v>43949</v>
      </c>
      <c r="Q5162" t="s">
        <v>29</v>
      </c>
      <c r="R5162" t="s">
        <v>43945</v>
      </c>
      <c r="S5162" t="s">
        <v>43946</v>
      </c>
    </row>
    <row r="5163" spans="1:19" x14ac:dyDescent="0.25">
      <c r="A5163" s="1">
        <v>5161</v>
      </c>
      <c r="B5163" t="str">
        <f>HYPERLINK("https://www.dasschnelle.at/neu-steinmetzbetrieb-gmbh-amstetten-wörthstraße","Website")</f>
        <v>Website</v>
      </c>
      <c r="C5163" t="str">
        <f>HYPERLINK("http://www.neu-steinmetz.at","Website")</f>
        <v>Website</v>
      </c>
      <c r="D5163" t="str">
        <f>HYPERLINK("http://www.google.com/maps/place/48.12309,14.86961","Location")</f>
        <v>Location</v>
      </c>
      <c r="E5163" t="s">
        <v>43950</v>
      </c>
      <c r="F5163" t="s">
        <v>43951</v>
      </c>
      <c r="G5163" t="s">
        <v>1474</v>
      </c>
      <c r="H5163" t="s">
        <v>1475</v>
      </c>
      <c r="I5163" t="s">
        <v>177</v>
      </c>
      <c r="J5163" t="s">
        <v>22</v>
      </c>
      <c r="K5163" t="s">
        <v>43952</v>
      </c>
      <c r="L5163" t="s">
        <v>43955</v>
      </c>
      <c r="M5163" t="s">
        <v>43956</v>
      </c>
      <c r="N5163" t="s">
        <v>43957</v>
      </c>
      <c r="O5163" t="s">
        <v>25</v>
      </c>
      <c r="P5163" t="s">
        <v>43958</v>
      </c>
      <c r="Q5163" t="s">
        <v>29</v>
      </c>
      <c r="R5163" t="s">
        <v>43953</v>
      </c>
      <c r="S5163" t="s">
        <v>43954</v>
      </c>
    </row>
    <row r="5164" spans="1:19" x14ac:dyDescent="0.25">
      <c r="A5164" s="1">
        <v>5162</v>
      </c>
      <c r="B5164" t="str">
        <f>HYPERLINK("https://www.dasschnelle.at/guttmann-thomas-kaindorf-assmannstraße","Website")</f>
        <v>Website</v>
      </c>
      <c r="C5164" t="str">
        <f>HYPERLINK("https://www.dasschnelle.at/guttmann-thomas-kaindorf-assmannstra%C3%9Fe","Website")</f>
        <v>Website</v>
      </c>
      <c r="D5164" t="str">
        <f>HYPERLINK("http://www.google.com/maps/place/46.79704,15.54508","Location")</f>
        <v>Location</v>
      </c>
      <c r="E5164" t="s">
        <v>43959</v>
      </c>
      <c r="F5164" t="s">
        <v>43960</v>
      </c>
      <c r="G5164" t="s">
        <v>1013</v>
      </c>
      <c r="H5164" t="s">
        <v>1014</v>
      </c>
      <c r="I5164" t="s">
        <v>451</v>
      </c>
      <c r="J5164" t="s">
        <v>22</v>
      </c>
      <c r="K5164" t="s">
        <v>43961</v>
      </c>
      <c r="L5164" t="s">
        <v>43964</v>
      </c>
      <c r="M5164" t="s">
        <v>25</v>
      </c>
      <c r="N5164" t="s">
        <v>43965</v>
      </c>
      <c r="O5164" t="s">
        <v>25</v>
      </c>
      <c r="P5164" t="s">
        <v>43966</v>
      </c>
      <c r="Q5164" t="s">
        <v>29</v>
      </c>
      <c r="R5164" t="s">
        <v>43962</v>
      </c>
      <c r="S5164" t="s">
        <v>43963</v>
      </c>
    </row>
    <row r="5165" spans="1:19" x14ac:dyDescent="0.25">
      <c r="A5165" s="1">
        <v>5163</v>
      </c>
      <c r="B5165" t="str">
        <f>HYPERLINK("https://www.dasschnelle.at/textilreinigung-kuttner-andrea-amstetten-ybbsstraße","Website")</f>
        <v>Website</v>
      </c>
      <c r="C5165" t="str">
        <f>HYPERLINK("http://www.putzerei-kuttner.at","Website")</f>
        <v>Website</v>
      </c>
      <c r="D5165" t="str">
        <f>HYPERLINK("http://www.google.com/maps/place/48.11715,14.87153","Location")</f>
        <v>Location</v>
      </c>
      <c r="E5165" t="s">
        <v>43967</v>
      </c>
      <c r="F5165" t="s">
        <v>43968</v>
      </c>
      <c r="G5165" t="s">
        <v>1474</v>
      </c>
      <c r="H5165" t="s">
        <v>1475</v>
      </c>
      <c r="I5165" t="s">
        <v>177</v>
      </c>
      <c r="J5165" t="s">
        <v>22</v>
      </c>
      <c r="K5165" t="s">
        <v>43969</v>
      </c>
      <c r="L5165" t="s">
        <v>43972</v>
      </c>
      <c r="M5165" t="s">
        <v>25</v>
      </c>
      <c r="N5165" t="s">
        <v>43973</v>
      </c>
      <c r="O5165" t="s">
        <v>25</v>
      </c>
      <c r="P5165" t="s">
        <v>43974</v>
      </c>
      <c r="Q5165" t="s">
        <v>29</v>
      </c>
      <c r="R5165" t="s">
        <v>43970</v>
      </c>
      <c r="S5165" t="s">
        <v>43971</v>
      </c>
    </row>
    <row r="5166" spans="1:19" x14ac:dyDescent="0.25">
      <c r="A5166" s="1">
        <v>5164</v>
      </c>
      <c r="B5166" t="str">
        <f>HYPERLINK("https://www.dasschnelle.at/hundesalon-quicky-amstetten-ybbsstraße","Website")</f>
        <v>Website</v>
      </c>
      <c r="C5166" t="str">
        <f>HYPERLINK("https://www.dasschnelle.at/hundesalon-quicky-amstetten-ybbsstra%C3%9Fe","Website")</f>
        <v>Website</v>
      </c>
      <c r="D5166" t="str">
        <f>HYPERLINK("http://www.google.com/maps/place/48.11715,14.87153","Location")</f>
        <v>Location</v>
      </c>
      <c r="E5166" t="s">
        <v>43975</v>
      </c>
      <c r="F5166" t="s">
        <v>43976</v>
      </c>
      <c r="G5166" t="s">
        <v>1474</v>
      </c>
      <c r="H5166" t="s">
        <v>1475</v>
      </c>
      <c r="I5166" t="s">
        <v>177</v>
      </c>
      <c r="J5166" t="s">
        <v>22</v>
      </c>
      <c r="K5166" t="s">
        <v>43969</v>
      </c>
      <c r="L5166" t="s">
        <v>43977</v>
      </c>
      <c r="M5166" t="s">
        <v>25</v>
      </c>
      <c r="N5166" t="s">
        <v>43978</v>
      </c>
      <c r="O5166" t="s">
        <v>25</v>
      </c>
      <c r="P5166" t="s">
        <v>43979</v>
      </c>
      <c r="Q5166" t="s">
        <v>29</v>
      </c>
      <c r="R5166" t="s">
        <v>43970</v>
      </c>
      <c r="S5166" t="s">
        <v>43971</v>
      </c>
    </row>
    <row r="5167" spans="1:19" x14ac:dyDescent="0.25">
      <c r="A5167" s="1">
        <v>5165</v>
      </c>
      <c r="B5167" t="str">
        <f>HYPERLINK("https://www.dasschnelle.at/schmid-ulrich-gmbh-amstetten-lewingstraße","Website")</f>
        <v>Website</v>
      </c>
      <c r="C5167" t="str">
        <f>HYPERLINK("http://members.aon.at/agrarhandel/startschmidneu.htm","Website")</f>
        <v>Website</v>
      </c>
      <c r="D5167" t="str">
        <f>HYPERLINK("http://www.google.com/maps/place/48.1222551,14.88985","Location")</f>
        <v>Location</v>
      </c>
      <c r="E5167" t="s">
        <v>43980</v>
      </c>
      <c r="F5167" t="s">
        <v>43981</v>
      </c>
      <c r="G5167" t="s">
        <v>1474</v>
      </c>
      <c r="H5167" t="s">
        <v>1475</v>
      </c>
      <c r="I5167" t="s">
        <v>177</v>
      </c>
      <c r="J5167" t="s">
        <v>22</v>
      </c>
      <c r="K5167" t="s">
        <v>43982</v>
      </c>
      <c r="L5167" t="s">
        <v>43985</v>
      </c>
      <c r="M5167" t="s">
        <v>25</v>
      </c>
      <c r="N5167" t="s">
        <v>43986</v>
      </c>
      <c r="O5167" t="s">
        <v>25</v>
      </c>
      <c r="P5167" t="s">
        <v>43987</v>
      </c>
      <c r="Q5167" t="s">
        <v>29</v>
      </c>
      <c r="R5167" t="s">
        <v>43983</v>
      </c>
      <c r="S5167" t="s">
        <v>43984</v>
      </c>
    </row>
    <row r="5168" spans="1:19" x14ac:dyDescent="0.25">
      <c r="A5168" s="1">
        <v>5166</v>
      </c>
      <c r="B5168" t="str">
        <f>HYPERLINK("https://www.dasschnelle.at/andreas-fischer-physio-plus-feldkirchen-10-oktober-straße-24-2","Website")</f>
        <v>Website</v>
      </c>
      <c r="C5168" t="str">
        <f>HYPERLINK("https://www.dasschnelle.at/andreas-fischer-physio-plus-feldkirchen-10-oktober-stra%C3%9Fe-24-2","Website")</f>
        <v>Website</v>
      </c>
      <c r="D5168" t="str">
        <f>HYPERLINK("http://www.google.com/maps/place/46.69719,14.00868","Location")</f>
        <v>Location</v>
      </c>
      <c r="E5168" t="s">
        <v>43988</v>
      </c>
      <c r="F5168" t="s">
        <v>43989</v>
      </c>
      <c r="G5168" t="s">
        <v>8498</v>
      </c>
      <c r="H5168" t="s">
        <v>8530</v>
      </c>
      <c r="I5168" t="s">
        <v>4130</v>
      </c>
      <c r="J5168" t="s">
        <v>22</v>
      </c>
      <c r="K5168" t="s">
        <v>43990</v>
      </c>
      <c r="L5168" t="s">
        <v>43993</v>
      </c>
      <c r="M5168" t="s">
        <v>25</v>
      </c>
      <c r="N5168" t="s">
        <v>43994</v>
      </c>
      <c r="O5168" t="s">
        <v>25</v>
      </c>
      <c r="P5168" t="s">
        <v>43995</v>
      </c>
      <c r="Q5168" t="s">
        <v>29</v>
      </c>
      <c r="R5168" t="s">
        <v>43991</v>
      </c>
      <c r="S5168" t="s">
        <v>43992</v>
      </c>
    </row>
    <row r="5169" spans="1:19" x14ac:dyDescent="0.25">
      <c r="A5169" s="1">
        <v>5167</v>
      </c>
      <c r="B5169" t="str">
        <f>HYPERLINK("https://www.dasschnelle.at/gebetsberger-gmbh-stephanshart-amstettner-straße","Website")</f>
        <v>Website</v>
      </c>
      <c r="C5169" t="str">
        <f>HYPERLINK("http://www.gebetsberger.co.at","Website")</f>
        <v>Website</v>
      </c>
      <c r="D5169" t="str">
        <f>HYPERLINK("http://www.google.com/maps/place/48.15613,14.81752","Location")</f>
        <v>Location</v>
      </c>
      <c r="E5169" t="s">
        <v>43996</v>
      </c>
      <c r="F5169" t="s">
        <v>43997</v>
      </c>
      <c r="G5169" t="s">
        <v>1559</v>
      </c>
      <c r="H5169" t="s">
        <v>1560</v>
      </c>
      <c r="I5169" t="s">
        <v>177</v>
      </c>
      <c r="J5169" t="s">
        <v>22</v>
      </c>
      <c r="K5169" t="s">
        <v>43998</v>
      </c>
      <c r="L5169" t="s">
        <v>44001</v>
      </c>
      <c r="M5169" t="s">
        <v>25</v>
      </c>
      <c r="N5169" t="s">
        <v>44002</v>
      </c>
      <c r="O5169" t="s">
        <v>25</v>
      </c>
      <c r="P5169" t="s">
        <v>44003</v>
      </c>
      <c r="Q5169" t="s">
        <v>29</v>
      </c>
      <c r="R5169" t="s">
        <v>43999</v>
      </c>
      <c r="S5169" t="s">
        <v>44000</v>
      </c>
    </row>
    <row r="5170" spans="1:19" x14ac:dyDescent="0.25">
      <c r="A5170" s="1">
        <v>5168</v>
      </c>
      <c r="B5170" t="str">
        <f>HYPERLINK("https://www.dasschnelle.at/gold-mechthild-mag-klachl-klachl","Website")</f>
        <v>Website</v>
      </c>
      <c r="C5170" t="str">
        <f>HYPERLINK("http://www.tierarztpraxismitherz.at","Website")</f>
        <v>Website</v>
      </c>
      <c r="D5170" t="str">
        <f>HYPERLINK("http://www.google.com/maps/place/46.6967536,14.0798552","Location")</f>
        <v>Location</v>
      </c>
      <c r="E5170" t="s">
        <v>44004</v>
      </c>
      <c r="F5170" t="s">
        <v>44005</v>
      </c>
      <c r="G5170" t="s">
        <v>8498</v>
      </c>
      <c r="H5170" t="s">
        <v>44007</v>
      </c>
      <c r="I5170" t="s">
        <v>4130</v>
      </c>
      <c r="J5170" t="s">
        <v>22</v>
      </c>
      <c r="K5170" t="s">
        <v>44006</v>
      </c>
      <c r="L5170" t="s">
        <v>44010</v>
      </c>
      <c r="M5170" t="s">
        <v>25</v>
      </c>
      <c r="N5170" t="s">
        <v>44011</v>
      </c>
      <c r="O5170" t="s">
        <v>25</v>
      </c>
      <c r="P5170" t="s">
        <v>44012</v>
      </c>
      <c r="Q5170" t="s">
        <v>29</v>
      </c>
      <c r="R5170" t="s">
        <v>44008</v>
      </c>
      <c r="S5170" t="s">
        <v>44009</v>
      </c>
    </row>
    <row r="5171" spans="1:19" x14ac:dyDescent="0.25">
      <c r="A5171" s="1">
        <v>5169</v>
      </c>
      <c r="B5171" t="str">
        <f>HYPERLINK("https://www.dasschnelle.at/linder-andreas-feldkirchen-alte-villacher-straße","Website")</f>
        <v>Website</v>
      </c>
      <c r="C5171" t="str">
        <f>HYPERLINK("https://www.dasschnelle.at/linder-andreas-feldkirchen-alte-villacher-stra%C3%9Fe","Website")</f>
        <v>Website</v>
      </c>
      <c r="D5171" t="str">
        <f>HYPERLINK("http://www.google.com/maps/place/46.71519,14.07106","Location")</f>
        <v>Location</v>
      </c>
      <c r="E5171" t="s">
        <v>44013</v>
      </c>
      <c r="F5171" t="s">
        <v>44014</v>
      </c>
      <c r="G5171" t="s">
        <v>8498</v>
      </c>
      <c r="H5171" t="s">
        <v>8530</v>
      </c>
      <c r="I5171" t="s">
        <v>4130</v>
      </c>
      <c r="J5171" t="s">
        <v>22</v>
      </c>
      <c r="K5171" t="s">
        <v>44015</v>
      </c>
      <c r="L5171" t="s">
        <v>44018</v>
      </c>
      <c r="M5171" t="s">
        <v>25</v>
      </c>
      <c r="N5171" t="s">
        <v>44019</v>
      </c>
      <c r="O5171" t="s">
        <v>25</v>
      </c>
      <c r="P5171" t="s">
        <v>44020</v>
      </c>
      <c r="Q5171" t="s">
        <v>29</v>
      </c>
      <c r="R5171" t="s">
        <v>44016</v>
      </c>
      <c r="S5171" t="s">
        <v>44017</v>
      </c>
    </row>
    <row r="5172" spans="1:19" x14ac:dyDescent="0.25">
      <c r="A5172" s="1">
        <v>5170</v>
      </c>
      <c r="B5172" t="str">
        <f>HYPERLINK("https://www.dasschnelle.at/car-dreams-grill-lichendorf-murfelder-straße","Website")</f>
        <v>Website</v>
      </c>
      <c r="C5172" t="str">
        <f>HYPERLINK("http://www.cardreams-grill.at","Website")</f>
        <v>Website</v>
      </c>
      <c r="D5172" t="str">
        <f>HYPERLINK("http://www.google.com/maps/place/46.7233212,15.6912871","Location")</f>
        <v>Location</v>
      </c>
      <c r="E5172" t="s">
        <v>44021</v>
      </c>
      <c r="F5172" t="s">
        <v>44022</v>
      </c>
      <c r="G5172" t="s">
        <v>16127</v>
      </c>
      <c r="H5172" t="s">
        <v>44024</v>
      </c>
      <c r="I5172" t="s">
        <v>451</v>
      </c>
      <c r="J5172" t="s">
        <v>22</v>
      </c>
      <c r="K5172" t="s">
        <v>44023</v>
      </c>
      <c r="L5172" t="s">
        <v>44027</v>
      </c>
      <c r="M5172" t="s">
        <v>25</v>
      </c>
      <c r="N5172" t="s">
        <v>44028</v>
      </c>
      <c r="O5172" t="s">
        <v>25</v>
      </c>
      <c r="P5172" t="s">
        <v>697</v>
      </c>
      <c r="Q5172" t="s">
        <v>29</v>
      </c>
      <c r="R5172" t="s">
        <v>44025</v>
      </c>
      <c r="S5172" t="s">
        <v>44026</v>
      </c>
    </row>
    <row r="5173" spans="1:19" x14ac:dyDescent="0.25">
      <c r="A5173" s="1">
        <v>5171</v>
      </c>
      <c r="B5173" t="str">
        <f>HYPERLINK("https://www.dasschnelle.at/malermeister-leitner-e-u-aschbach-markt-oberer-markt","Website")</f>
        <v>Website</v>
      </c>
      <c r="C5173" t="str">
        <f>HYPERLINK("http://www.malerleitner.at","Website")</f>
        <v>Website</v>
      </c>
      <c r="D5173" t="str">
        <f>HYPERLINK("http://www.google.com/maps/place/48.07333,14.74706","Location")</f>
        <v>Location</v>
      </c>
      <c r="E5173" t="s">
        <v>44029</v>
      </c>
      <c r="F5173" t="s">
        <v>44030</v>
      </c>
      <c r="G5173" t="s">
        <v>42316</v>
      </c>
      <c r="H5173" t="s">
        <v>42317</v>
      </c>
      <c r="I5173" t="s">
        <v>177</v>
      </c>
      <c r="J5173" t="s">
        <v>22</v>
      </c>
      <c r="K5173" t="s">
        <v>44031</v>
      </c>
      <c r="L5173" t="s">
        <v>44034</v>
      </c>
      <c r="M5173" t="s">
        <v>25</v>
      </c>
      <c r="N5173" t="s">
        <v>44035</v>
      </c>
      <c r="O5173" t="s">
        <v>25</v>
      </c>
      <c r="P5173" t="s">
        <v>44036</v>
      </c>
      <c r="Q5173" t="s">
        <v>29</v>
      </c>
      <c r="R5173" t="s">
        <v>44032</v>
      </c>
      <c r="S5173" t="s">
        <v>44033</v>
      </c>
    </row>
    <row r="5174" spans="1:19" x14ac:dyDescent="0.25">
      <c r="A5174" s="1">
        <v>5172</v>
      </c>
      <c r="B5174" t="str">
        <f>HYPERLINK("https://www.dasschnelle.at/malerbetrieb-zach-kg-eltendorf-am-hochkogel","Website")</f>
        <v>Website</v>
      </c>
      <c r="C5174" t="str">
        <f>HYPERLINK("https://www.dasschnelle.at/malerbetrieb-zach-kg-eltendorf-am-hochkogel","Website")</f>
        <v>Website</v>
      </c>
      <c r="D5174" t="str">
        <f>HYPERLINK("http://www.google.com/maps/place/47.01404,16.22246","Location")</f>
        <v>Location</v>
      </c>
      <c r="E5174" t="s">
        <v>44037</v>
      </c>
      <c r="F5174" t="s">
        <v>44038</v>
      </c>
      <c r="G5174" t="s">
        <v>44040</v>
      </c>
      <c r="H5174" t="s">
        <v>44041</v>
      </c>
      <c r="I5174" t="s">
        <v>1834</v>
      </c>
      <c r="J5174" t="s">
        <v>22</v>
      </c>
      <c r="K5174" t="s">
        <v>44039</v>
      </c>
      <c r="L5174" t="s">
        <v>44044</v>
      </c>
      <c r="M5174" t="s">
        <v>25</v>
      </c>
      <c r="N5174" t="s">
        <v>44045</v>
      </c>
      <c r="O5174" t="s">
        <v>25</v>
      </c>
      <c r="P5174" t="s">
        <v>44046</v>
      </c>
      <c r="Q5174" t="s">
        <v>29</v>
      </c>
      <c r="R5174" t="s">
        <v>44042</v>
      </c>
      <c r="S5174" t="s">
        <v>44043</v>
      </c>
    </row>
    <row r="5175" spans="1:19" x14ac:dyDescent="0.25">
      <c r="A5175" s="1">
        <v>5173</v>
      </c>
      <c r="B5175" t="str">
        <f>HYPERLINK("https://www.dasschnelle.at/malermeister-meitz-harald-minihof-liebau-tauka","Website")</f>
        <v>Website</v>
      </c>
      <c r="C5175" t="str">
        <f>HYPERLINK("https://www.dasschnelle.at/malermeister-meitz-harald-minihof-liebau-tauka","Website")</f>
        <v>Website</v>
      </c>
      <c r="D5175" t="str">
        <f>HYPERLINK("http://www.google.com/maps/place/46.8620786,16.0639303","Location")</f>
        <v>Location</v>
      </c>
      <c r="E5175" t="s">
        <v>44047</v>
      </c>
      <c r="F5175" t="s">
        <v>44048</v>
      </c>
      <c r="G5175" t="s">
        <v>44050</v>
      </c>
      <c r="H5175" t="s">
        <v>44051</v>
      </c>
      <c r="I5175" t="s">
        <v>1834</v>
      </c>
      <c r="J5175" t="s">
        <v>22</v>
      </c>
      <c r="K5175" t="s">
        <v>44049</v>
      </c>
      <c r="L5175" t="s">
        <v>44054</v>
      </c>
      <c r="M5175" t="s">
        <v>25</v>
      </c>
      <c r="N5175" t="s">
        <v>44055</v>
      </c>
      <c r="O5175" t="s">
        <v>25</v>
      </c>
      <c r="P5175" t="s">
        <v>44056</v>
      </c>
      <c r="Q5175" t="s">
        <v>29</v>
      </c>
      <c r="R5175" t="s">
        <v>44052</v>
      </c>
      <c r="S5175" t="s">
        <v>44053</v>
      </c>
    </row>
    <row r="5176" spans="1:19" x14ac:dyDescent="0.25">
      <c r="A5176" s="1">
        <v>5174</v>
      </c>
      <c r="B5176" t="str">
        <f>HYPERLINK("https://www.dasschnelle.at/erdbewegung-stelzer-wirt-tennis-fürstenfeld-stadtbergen","Website")</f>
        <v>Website</v>
      </c>
      <c r="C5176" t="str">
        <f>HYPERLINK("https://www.dasschnelle.at/erdbewegung-stelzer-wirt-tennis-f%C3%BCrstenfeld-stadtbergen","Website")</f>
        <v>Website</v>
      </c>
      <c r="D5176" t="str">
        <f>HYPERLINK("http://www.google.com/maps/place/47.0539408,16.0411683","Location")</f>
        <v>Location</v>
      </c>
      <c r="E5176" t="s">
        <v>44057</v>
      </c>
      <c r="F5176" t="s">
        <v>44058</v>
      </c>
      <c r="G5176" t="s">
        <v>24441</v>
      </c>
      <c r="H5176" t="s">
        <v>24442</v>
      </c>
      <c r="I5176" t="s">
        <v>451</v>
      </c>
      <c r="J5176" t="s">
        <v>22</v>
      </c>
      <c r="K5176" t="s">
        <v>44059</v>
      </c>
      <c r="L5176" t="s">
        <v>44062</v>
      </c>
      <c r="M5176" t="s">
        <v>25</v>
      </c>
      <c r="N5176" t="s">
        <v>44063</v>
      </c>
      <c r="O5176" t="s">
        <v>25</v>
      </c>
      <c r="P5176" t="s">
        <v>44064</v>
      </c>
      <c r="Q5176" t="s">
        <v>29</v>
      </c>
      <c r="R5176" t="s">
        <v>44060</v>
      </c>
      <c r="S5176" t="s">
        <v>44061</v>
      </c>
    </row>
    <row r="5177" spans="1:19" x14ac:dyDescent="0.25">
      <c r="A5177" s="1">
        <v>5175</v>
      </c>
      <c r="B5177" t="str">
        <f>HYPERLINK("https://www.dasschnelle.at/hg-pflasterbau-söchau-hartl","Website")</f>
        <v>Website</v>
      </c>
      <c r="C5177" t="str">
        <f>HYPERLINK("http://www.hg-pflasterbau.at","Website")</f>
        <v>Website</v>
      </c>
      <c r="D5177" t="str">
        <f>HYPERLINK("http://www.google.com/maps/place/47.0174540,16.0366597","Location")</f>
        <v>Location</v>
      </c>
      <c r="E5177" t="s">
        <v>44065</v>
      </c>
      <c r="F5177" t="s">
        <v>44066</v>
      </c>
      <c r="G5177" t="s">
        <v>26143</v>
      </c>
      <c r="H5177" t="s">
        <v>26144</v>
      </c>
      <c r="I5177" t="s">
        <v>451</v>
      </c>
      <c r="J5177" t="s">
        <v>22</v>
      </c>
      <c r="K5177" t="s">
        <v>44067</v>
      </c>
      <c r="L5177" t="s">
        <v>44070</v>
      </c>
      <c r="M5177" t="s">
        <v>25</v>
      </c>
      <c r="N5177" t="s">
        <v>44071</v>
      </c>
      <c r="O5177" t="s">
        <v>25</v>
      </c>
      <c r="P5177" t="s">
        <v>44072</v>
      </c>
      <c r="Q5177" t="s">
        <v>29</v>
      </c>
      <c r="R5177" t="s">
        <v>44068</v>
      </c>
      <c r="S5177" t="s">
        <v>44069</v>
      </c>
    </row>
    <row r="5178" spans="1:19" x14ac:dyDescent="0.25">
      <c r="A5178" s="1">
        <v>5176</v>
      </c>
      <c r="B5178" t="str">
        <f>HYPERLINK("https://www.dasschnelle.at/rosenberger-holzbau-gmbh-fürstenfeld-fehringer-straße","Website")</f>
        <v>Website</v>
      </c>
      <c r="C5178" t="str">
        <f>HYPERLINK("http://www.holzbau-rosenberger.at","Website")</f>
        <v>Website</v>
      </c>
      <c r="D5178" t="str">
        <f>HYPERLINK("http://www.google.com/maps/place/47.03806,16.0828","Location")</f>
        <v>Location</v>
      </c>
      <c r="E5178" t="s">
        <v>44073</v>
      </c>
      <c r="F5178" t="s">
        <v>44074</v>
      </c>
      <c r="G5178" t="s">
        <v>24441</v>
      </c>
      <c r="H5178" t="s">
        <v>24442</v>
      </c>
      <c r="I5178" t="s">
        <v>451</v>
      </c>
      <c r="J5178" t="s">
        <v>22</v>
      </c>
      <c r="K5178" t="s">
        <v>44075</v>
      </c>
      <c r="L5178" t="s">
        <v>44078</v>
      </c>
      <c r="M5178" t="s">
        <v>44079</v>
      </c>
      <c r="N5178" t="s">
        <v>44080</v>
      </c>
      <c r="O5178" t="s">
        <v>25</v>
      </c>
      <c r="P5178" t="s">
        <v>44081</v>
      </c>
      <c r="Q5178" t="s">
        <v>29</v>
      </c>
      <c r="R5178" t="s">
        <v>44076</v>
      </c>
      <c r="S5178" t="s">
        <v>44077</v>
      </c>
    </row>
    <row r="5179" spans="1:19" x14ac:dyDescent="0.25">
      <c r="A5179" s="1">
        <v>5177</v>
      </c>
      <c r="B5179" t="str">
        <f>HYPERLINK("https://www.dasschnelle.at/timischl-waltraud-rudersdorf-weichenberg","Website")</f>
        <v>Website</v>
      </c>
      <c r="C5179" t="str">
        <f>HYPERLINK("http://www.thz-feldbach.at","Website")</f>
        <v>Website</v>
      </c>
      <c r="D5179" t="str">
        <f>HYPERLINK("http://www.google.com/maps/place/47.0719632,16.1282845","Location")</f>
        <v>Location</v>
      </c>
      <c r="E5179" t="s">
        <v>44082</v>
      </c>
      <c r="F5179" t="s">
        <v>44083</v>
      </c>
      <c r="G5179" t="s">
        <v>25101</v>
      </c>
      <c r="H5179" t="s">
        <v>25102</v>
      </c>
      <c r="I5179" t="s">
        <v>1834</v>
      </c>
      <c r="J5179" t="s">
        <v>22</v>
      </c>
      <c r="K5179" t="s">
        <v>44084</v>
      </c>
      <c r="L5179" t="s">
        <v>44087</v>
      </c>
      <c r="M5179" t="s">
        <v>25</v>
      </c>
      <c r="N5179" t="s">
        <v>44088</v>
      </c>
      <c r="O5179" t="s">
        <v>25</v>
      </c>
      <c r="P5179" t="s">
        <v>44089</v>
      </c>
      <c r="Q5179" t="s">
        <v>29</v>
      </c>
      <c r="R5179" t="s">
        <v>44085</v>
      </c>
      <c r="S5179" t="s">
        <v>44086</v>
      </c>
    </row>
    <row r="5180" spans="1:19" x14ac:dyDescent="0.25">
      <c r="A5180" s="1">
        <v>5178</v>
      </c>
      <c r="B5180" t="str">
        <f>HYPERLINK("https://www.dasschnelle.at/cp-fliesen-und-platten-bad-loipersdorf-höhenstraße","Website")</f>
        <v>Website</v>
      </c>
      <c r="C5180" t="str">
        <f>HYPERLINK("http://www.cp-fliesen.at","Website")</f>
        <v>Website</v>
      </c>
      <c r="D5180" t="str">
        <f>HYPERLINK("http://www.google.com/maps/place/47.0123002,16.0948936","Location")</f>
        <v>Location</v>
      </c>
      <c r="E5180" t="s">
        <v>44090</v>
      </c>
      <c r="F5180" t="s">
        <v>44091</v>
      </c>
      <c r="G5180" t="s">
        <v>25111</v>
      </c>
      <c r="H5180" t="s">
        <v>44093</v>
      </c>
      <c r="I5180" t="s">
        <v>451</v>
      </c>
      <c r="J5180" t="s">
        <v>22</v>
      </c>
      <c r="K5180" t="s">
        <v>44092</v>
      </c>
      <c r="L5180" t="s">
        <v>44096</v>
      </c>
      <c r="M5180" t="s">
        <v>25</v>
      </c>
      <c r="N5180" t="s">
        <v>44097</v>
      </c>
      <c r="O5180" t="s">
        <v>25</v>
      </c>
      <c r="P5180" t="s">
        <v>44098</v>
      </c>
      <c r="Q5180" t="s">
        <v>29</v>
      </c>
      <c r="R5180" t="s">
        <v>44094</v>
      </c>
      <c r="S5180" t="s">
        <v>44095</v>
      </c>
    </row>
    <row r="5181" spans="1:19" x14ac:dyDescent="0.25">
      <c r="A5181" s="1">
        <v>5179</v>
      </c>
      <c r="B5181" t="str">
        <f>HYPERLINK("https://www.dasschnelle.at/elektrotechnik-deutsch-kaltenbrunn-gartensiedlung","Website")</f>
        <v>Website</v>
      </c>
      <c r="C5181" t="str">
        <f>HYPERLINK("https://www.dasschnelle.at/elektrotechnik-deutsch-kaltenbrunn-gartensiedlung","Website")</f>
        <v>Website</v>
      </c>
      <c r="D5181" t="str">
        <f>HYPERLINK("http://www.google.com/maps/place/47.0857981,16.1060311","Location")</f>
        <v>Location</v>
      </c>
      <c r="E5181" t="s">
        <v>44099</v>
      </c>
      <c r="F5181" t="s">
        <v>44100</v>
      </c>
      <c r="G5181" t="s">
        <v>6612</v>
      </c>
      <c r="H5181" t="s">
        <v>6613</v>
      </c>
      <c r="I5181" t="s">
        <v>1834</v>
      </c>
      <c r="J5181" t="s">
        <v>22</v>
      </c>
      <c r="K5181" t="s">
        <v>44101</v>
      </c>
      <c r="L5181" t="s">
        <v>44104</v>
      </c>
      <c r="M5181" t="s">
        <v>25</v>
      </c>
      <c r="N5181" t="s">
        <v>44105</v>
      </c>
      <c r="O5181" t="s">
        <v>25</v>
      </c>
      <c r="P5181" t="s">
        <v>44106</v>
      </c>
      <c r="Q5181" t="s">
        <v>29</v>
      </c>
      <c r="R5181" t="s">
        <v>44102</v>
      </c>
      <c r="S5181" t="s">
        <v>44103</v>
      </c>
    </row>
    <row r="5182" spans="1:19" x14ac:dyDescent="0.25">
      <c r="A5182" s="1">
        <v>5180</v>
      </c>
      <c r="B5182" t="str">
        <f>HYPERLINK("https://www.dasschnelle.at/deutsch-harald-mogersdorf-krobotek","Website")</f>
        <v>Website</v>
      </c>
      <c r="C5182" t="str">
        <f>HYPERLINK("http://www.malerkarussell.at","Website")</f>
        <v>Website</v>
      </c>
      <c r="D5182" t="str">
        <f>HYPERLINK("http://www.google.com/maps/place/46.9754140,16.1754787","Location")</f>
        <v>Location</v>
      </c>
      <c r="E5182" t="s">
        <v>44107</v>
      </c>
      <c r="F5182" t="s">
        <v>44108</v>
      </c>
      <c r="G5182" t="s">
        <v>25450</v>
      </c>
      <c r="H5182" t="s">
        <v>25460</v>
      </c>
      <c r="I5182" t="s">
        <v>1834</v>
      </c>
      <c r="J5182" t="s">
        <v>22</v>
      </c>
      <c r="K5182" t="s">
        <v>44109</v>
      </c>
      <c r="L5182" t="s">
        <v>44112</v>
      </c>
      <c r="M5182" t="s">
        <v>25</v>
      </c>
      <c r="N5182" t="s">
        <v>44113</v>
      </c>
      <c r="O5182" t="s">
        <v>44114</v>
      </c>
      <c r="P5182" t="s">
        <v>44115</v>
      </c>
      <c r="Q5182" t="s">
        <v>29</v>
      </c>
      <c r="R5182" t="s">
        <v>44110</v>
      </c>
      <c r="S5182" t="s">
        <v>44111</v>
      </c>
    </row>
    <row r="5183" spans="1:19" x14ac:dyDescent="0.25">
      <c r="A5183" s="1">
        <v>5181</v>
      </c>
      <c r="B5183" t="str">
        <f>HYPERLINK("https://www.dasschnelle.at/elektro-schuller-gmbh-hermagor-egger-straße","Website")</f>
        <v>Website</v>
      </c>
      <c r="C5183" t="str">
        <f>HYPERLINK("http://www.elektro-schuller.at","Website")</f>
        <v>Website</v>
      </c>
      <c r="D5183" t="str">
        <f>HYPERLINK("http://www.google.com/maps/place/46.62358,13.37395","Location")</f>
        <v>Location</v>
      </c>
      <c r="E5183" t="s">
        <v>44116</v>
      </c>
      <c r="F5183" t="s">
        <v>44117</v>
      </c>
      <c r="G5183" t="s">
        <v>9153</v>
      </c>
      <c r="H5183" t="s">
        <v>9154</v>
      </c>
      <c r="I5183" t="s">
        <v>4130</v>
      </c>
      <c r="J5183" t="s">
        <v>22</v>
      </c>
      <c r="K5183" t="s">
        <v>44118</v>
      </c>
      <c r="L5183" t="s">
        <v>44121</v>
      </c>
      <c r="M5183" t="s">
        <v>44122</v>
      </c>
      <c r="N5183" t="s">
        <v>44123</v>
      </c>
      <c r="O5183" t="s">
        <v>25</v>
      </c>
      <c r="P5183" t="s">
        <v>44124</v>
      </c>
      <c r="Q5183" t="s">
        <v>29</v>
      </c>
      <c r="R5183" t="s">
        <v>44119</v>
      </c>
      <c r="S5183" t="s">
        <v>44120</v>
      </c>
    </row>
    <row r="5184" spans="1:19" x14ac:dyDescent="0.25">
      <c r="A5184" s="1">
        <v>5182</v>
      </c>
      <c r="B5184" t="str">
        <f>HYPERLINK("https://www.dasschnelle.at/isi-mobile-handyfachgeschäft-hermagor-bahnhofstraße","Website")</f>
        <v>Website</v>
      </c>
      <c r="C5184" t="str">
        <f>HYPERLINK("http://www.isi-mobile.at","Website")</f>
        <v>Website</v>
      </c>
      <c r="D5184" t="str">
        <f>HYPERLINK("http://www.google.com/maps/place/46.62636,13.3746","Location")</f>
        <v>Location</v>
      </c>
      <c r="E5184" t="s">
        <v>44125</v>
      </c>
      <c r="F5184" t="s">
        <v>44126</v>
      </c>
      <c r="G5184" t="s">
        <v>9153</v>
      </c>
      <c r="H5184" t="s">
        <v>9154</v>
      </c>
      <c r="I5184" t="s">
        <v>4130</v>
      </c>
      <c r="J5184" t="s">
        <v>22</v>
      </c>
      <c r="K5184" t="s">
        <v>909</v>
      </c>
      <c r="L5184" t="s">
        <v>44129</v>
      </c>
      <c r="M5184" t="s">
        <v>25</v>
      </c>
      <c r="N5184" t="s">
        <v>44130</v>
      </c>
      <c r="O5184" t="s">
        <v>25</v>
      </c>
      <c r="P5184" t="s">
        <v>44131</v>
      </c>
      <c r="Q5184" t="s">
        <v>29</v>
      </c>
      <c r="R5184" t="s">
        <v>44127</v>
      </c>
      <c r="S5184" t="s">
        <v>44128</v>
      </c>
    </row>
    <row r="5185" spans="1:19" x14ac:dyDescent="0.25">
      <c r="A5185" s="1">
        <v>5183</v>
      </c>
      <c r="B5185" t="str">
        <f>HYPERLINK("https://www.dasschnelle.at/bestattung-hermagor-hermagor-friedhofstraße","Website")</f>
        <v>Website</v>
      </c>
      <c r="C5185" t="str">
        <f>HYPERLINK("https://www.dasschnelle.at/bestattung-hermagor-hermagor-friedhofstra%C3%9Fe","Website")</f>
        <v>Website</v>
      </c>
      <c r="D5185" t="str">
        <f>HYPERLINK("http://www.google.com/maps/place/46.62195,13.372","Location")</f>
        <v>Location</v>
      </c>
      <c r="E5185" t="s">
        <v>44132</v>
      </c>
      <c r="F5185" t="s">
        <v>44133</v>
      </c>
      <c r="G5185" t="s">
        <v>9153</v>
      </c>
      <c r="H5185" t="s">
        <v>9154</v>
      </c>
      <c r="I5185" t="s">
        <v>4130</v>
      </c>
      <c r="J5185" t="s">
        <v>22</v>
      </c>
      <c r="K5185" t="s">
        <v>44134</v>
      </c>
      <c r="L5185" t="s">
        <v>44137</v>
      </c>
      <c r="M5185" t="s">
        <v>25</v>
      </c>
      <c r="N5185" t="s">
        <v>44138</v>
      </c>
      <c r="O5185" t="s">
        <v>25</v>
      </c>
      <c r="P5185" t="s">
        <v>44139</v>
      </c>
      <c r="Q5185" t="s">
        <v>29</v>
      </c>
      <c r="R5185" t="s">
        <v>44135</v>
      </c>
      <c r="S5185" t="s">
        <v>44136</v>
      </c>
    </row>
    <row r="5186" spans="1:19" x14ac:dyDescent="0.25">
      <c r="A5186" s="1">
        <v>5184</v>
      </c>
      <c r="B5186" t="str">
        <f>HYPERLINK("https://www.dasschnelle.at/nocker-metallbau-gmbh-navis-außerweg","Website")</f>
        <v>Website</v>
      </c>
      <c r="C5186" t="str">
        <f>HYPERLINK("http://www.nocker.at","Website")</f>
        <v>Website</v>
      </c>
      <c r="D5186" t="str">
        <f>HYPERLINK("http://www.google.com/maps/place/47.1307961,11.5274371","Location")</f>
        <v>Location</v>
      </c>
      <c r="E5186" t="s">
        <v>44140</v>
      </c>
      <c r="F5186" t="s">
        <v>44141</v>
      </c>
      <c r="G5186" t="s">
        <v>5226</v>
      </c>
      <c r="H5186" t="s">
        <v>5227</v>
      </c>
      <c r="I5186" t="s">
        <v>21</v>
      </c>
      <c r="J5186" t="s">
        <v>22</v>
      </c>
      <c r="K5186" t="s">
        <v>44142</v>
      </c>
      <c r="L5186" t="s">
        <v>44145</v>
      </c>
      <c r="M5186" t="s">
        <v>25</v>
      </c>
      <c r="N5186" t="s">
        <v>44146</v>
      </c>
      <c r="O5186" t="s">
        <v>25</v>
      </c>
      <c r="P5186" t="s">
        <v>44147</v>
      </c>
      <c r="Q5186" t="s">
        <v>29</v>
      </c>
      <c r="R5186" t="s">
        <v>44143</v>
      </c>
      <c r="S5186" t="s">
        <v>44144</v>
      </c>
    </row>
    <row r="5187" spans="1:19" x14ac:dyDescent="0.25">
      <c r="A5187" s="1">
        <v>5185</v>
      </c>
      <c r="B5187" t="str">
        <f>HYPERLINK("https://www.dasschnelle.at/miric-christina-neuhofen-an-der-krems-kremstalstraße","Website")</f>
        <v>Website</v>
      </c>
      <c r="C5187" t="str">
        <f>HYPERLINK("https://www.dasschnelle.at/miric-christina-neuhofen-an-der-krems-kremstalstra%C3%9Fe","Website")</f>
        <v>Website</v>
      </c>
      <c r="D5187" t="str">
        <f>HYPERLINK("http://www.google.com/maps/place/48.13654,14.22751","Location")</f>
        <v>Location</v>
      </c>
      <c r="E5187" t="s">
        <v>44148</v>
      </c>
      <c r="F5187" t="s">
        <v>44149</v>
      </c>
      <c r="G5187" t="s">
        <v>12931</v>
      </c>
      <c r="H5187" t="s">
        <v>12932</v>
      </c>
      <c r="I5187" t="s">
        <v>85</v>
      </c>
      <c r="J5187" t="s">
        <v>22</v>
      </c>
      <c r="K5187" t="s">
        <v>44150</v>
      </c>
      <c r="L5187" t="s">
        <v>44153</v>
      </c>
      <c r="M5187" t="s">
        <v>25</v>
      </c>
      <c r="N5187" t="s">
        <v>44154</v>
      </c>
      <c r="O5187" t="s">
        <v>25</v>
      </c>
      <c r="P5187" t="s">
        <v>44155</v>
      </c>
      <c r="Q5187" t="s">
        <v>29</v>
      </c>
      <c r="R5187" t="s">
        <v>44151</v>
      </c>
      <c r="S5187" t="s">
        <v>44152</v>
      </c>
    </row>
    <row r="5188" spans="1:19" x14ac:dyDescent="0.25">
      <c r="A5188" s="1">
        <v>5186</v>
      </c>
      <c r="B5188" t="str">
        <f>HYPERLINK("https://www.dasschnelle.at/holzer-sabine-wang-erlaufgasse","Website")</f>
        <v>Website</v>
      </c>
      <c r="C5188" t="str">
        <f>HYPERLINK("http://www.nahundfrisch.at","Website")</f>
        <v>Website</v>
      </c>
      <c r="D5188" t="str">
        <f>HYPERLINK("http://www.google.com/maps/place/48.04545,15.02568","Location")</f>
        <v>Location</v>
      </c>
      <c r="E5188" t="s">
        <v>44156</v>
      </c>
      <c r="F5188" t="s">
        <v>44157</v>
      </c>
      <c r="G5188" t="s">
        <v>10143</v>
      </c>
      <c r="H5188" t="s">
        <v>10144</v>
      </c>
      <c r="I5188" t="s">
        <v>177</v>
      </c>
      <c r="J5188" t="s">
        <v>22</v>
      </c>
      <c r="K5188" t="s">
        <v>44158</v>
      </c>
      <c r="L5188" t="s">
        <v>44161</v>
      </c>
      <c r="M5188" t="s">
        <v>25</v>
      </c>
      <c r="N5188" t="s">
        <v>44162</v>
      </c>
      <c r="O5188" t="s">
        <v>25</v>
      </c>
      <c r="P5188" t="s">
        <v>44163</v>
      </c>
      <c r="Q5188" t="s">
        <v>29</v>
      </c>
      <c r="R5188" t="s">
        <v>44159</v>
      </c>
      <c r="S5188" t="s">
        <v>44160</v>
      </c>
    </row>
    <row r="5189" spans="1:19" x14ac:dyDescent="0.25">
      <c r="A5189" s="1">
        <v>5187</v>
      </c>
      <c r="B5189" t="str">
        <f>HYPERLINK("https://www.dasschnelle.at/kalista-norbert-wels-stadtplatz","Website")</f>
        <v>Website</v>
      </c>
      <c r="C5189" t="str">
        <f>HYPERLINK("https://www.dasschnelle.at/kalista-norbert-wels-stadtplatz","Website")</f>
        <v>Website</v>
      </c>
      <c r="D5189" t="str">
        <f>HYPERLINK("http://www.google.com/maps/place/48.15618,14.02403","Location")</f>
        <v>Location</v>
      </c>
      <c r="E5189" t="s">
        <v>44164</v>
      </c>
      <c r="F5189" t="s">
        <v>44165</v>
      </c>
      <c r="G5189" t="s">
        <v>4725</v>
      </c>
      <c r="H5189" t="s">
        <v>4754</v>
      </c>
      <c r="I5189" t="s">
        <v>85</v>
      </c>
      <c r="J5189" t="s">
        <v>22</v>
      </c>
      <c r="K5189" t="s">
        <v>44166</v>
      </c>
      <c r="L5189" t="s">
        <v>44168</v>
      </c>
      <c r="M5189" t="s">
        <v>25</v>
      </c>
      <c r="N5189" t="s">
        <v>44169</v>
      </c>
      <c r="O5189" t="s">
        <v>25</v>
      </c>
      <c r="P5189" t="s">
        <v>44170</v>
      </c>
      <c r="Q5189" t="s">
        <v>29</v>
      </c>
      <c r="R5189" t="s">
        <v>44167</v>
      </c>
      <c r="S5189" t="s">
        <v>31960</v>
      </c>
    </row>
    <row r="5190" spans="1:19" x14ac:dyDescent="0.25">
      <c r="A5190" s="1">
        <v>5188</v>
      </c>
      <c r="B5190" t="str">
        <f>HYPERLINK("https://www.dasschnelle.at/holzinger-ernst-viechtwang-bartwinkel","Website")</f>
        <v>Website</v>
      </c>
      <c r="C5190" t="str">
        <f>HYPERLINK("https://www.dasschnelle.at/holzinger-ernst-viechtwang-bartwinkel","Website")</f>
        <v>Website</v>
      </c>
      <c r="D5190" t="str">
        <f>HYPERLINK("http://www.google.com/maps/place/47.9132,13.97377","Location")</f>
        <v>Location</v>
      </c>
      <c r="E5190" t="s">
        <v>44171</v>
      </c>
      <c r="F5190" t="s">
        <v>44172</v>
      </c>
      <c r="G5190" t="s">
        <v>9248</v>
      </c>
      <c r="H5190" t="s">
        <v>44174</v>
      </c>
      <c r="I5190" t="s">
        <v>85</v>
      </c>
      <c r="J5190" t="s">
        <v>22</v>
      </c>
      <c r="K5190" t="s">
        <v>44173</v>
      </c>
      <c r="L5190" t="s">
        <v>44177</v>
      </c>
      <c r="M5190" t="s">
        <v>25</v>
      </c>
      <c r="N5190" t="s">
        <v>44178</v>
      </c>
      <c r="O5190" t="s">
        <v>25</v>
      </c>
      <c r="P5190" t="s">
        <v>44179</v>
      </c>
      <c r="Q5190" t="s">
        <v>29</v>
      </c>
      <c r="R5190" t="s">
        <v>44175</v>
      </c>
      <c r="S5190" t="s">
        <v>44176</v>
      </c>
    </row>
    <row r="5191" spans="1:19" x14ac:dyDescent="0.25">
      <c r="A5191" s="1">
        <v>5189</v>
      </c>
      <c r="B5191" t="str">
        <f>HYPERLINK("https://www.dasschnelle.at/kaufmann-anita-rehberg-rehberger-hauptstraße","Website")</f>
        <v>Website</v>
      </c>
      <c r="C5191" t="str">
        <f>HYPERLINK("https://www.dasschnelle.at/kaufmann-anita-rehberg-rehberger-hauptstra%C3%9Fe","Website")</f>
        <v>Website</v>
      </c>
      <c r="D5191" t="str">
        <f>HYPERLINK("http://www.google.com/maps/place/48.42725,15.58916","Location")</f>
        <v>Location</v>
      </c>
      <c r="E5191" t="s">
        <v>44180</v>
      </c>
      <c r="F5191" t="s">
        <v>44181</v>
      </c>
      <c r="G5191" t="s">
        <v>281</v>
      </c>
      <c r="H5191" t="s">
        <v>44183</v>
      </c>
      <c r="I5191" t="s">
        <v>177</v>
      </c>
      <c r="J5191" t="s">
        <v>22</v>
      </c>
      <c r="K5191" t="s">
        <v>44182</v>
      </c>
      <c r="L5191" t="s">
        <v>44186</v>
      </c>
      <c r="M5191" t="s">
        <v>25</v>
      </c>
      <c r="N5191" t="s">
        <v>44187</v>
      </c>
      <c r="O5191" t="s">
        <v>25</v>
      </c>
      <c r="P5191" t="s">
        <v>44188</v>
      </c>
      <c r="Q5191" t="s">
        <v>29</v>
      </c>
      <c r="R5191" t="s">
        <v>44184</v>
      </c>
      <c r="S5191" t="s">
        <v>44185</v>
      </c>
    </row>
    <row r="5192" spans="1:19" x14ac:dyDescent="0.25">
      <c r="A5192" s="1">
        <v>5190</v>
      </c>
      <c r="B5192" t="str">
        <f>HYPERLINK("https://www.dasschnelle.at/dreiblmeier-heinrich-braunau-am-inn-salzburger-straße","Website")</f>
        <v>Website</v>
      </c>
      <c r="C5192" t="str">
        <f>HYPERLINK("http://www.kfz-heidrei.at","Website")</f>
        <v>Website</v>
      </c>
      <c r="D5192" t="str">
        <f>HYPERLINK("http://www.google.com/maps/place/48.2519075,13.0350953","Location")</f>
        <v>Location</v>
      </c>
      <c r="E5192" t="s">
        <v>44189</v>
      </c>
      <c r="F5192" t="s">
        <v>44190</v>
      </c>
      <c r="G5192" t="s">
        <v>1289</v>
      </c>
      <c r="H5192" t="s">
        <v>1310</v>
      </c>
      <c r="I5192" t="s">
        <v>85</v>
      </c>
      <c r="J5192" t="s">
        <v>22</v>
      </c>
      <c r="K5192" t="s">
        <v>44191</v>
      </c>
      <c r="L5192" t="s">
        <v>44194</v>
      </c>
      <c r="M5192" t="s">
        <v>25</v>
      </c>
      <c r="N5192" t="s">
        <v>44195</v>
      </c>
      <c r="O5192" t="s">
        <v>25</v>
      </c>
      <c r="P5192" t="s">
        <v>44196</v>
      </c>
      <c r="Q5192" t="s">
        <v>29</v>
      </c>
      <c r="R5192" t="s">
        <v>44192</v>
      </c>
      <c r="S5192" t="s">
        <v>44193</v>
      </c>
    </row>
    <row r="5193" spans="1:19" x14ac:dyDescent="0.25">
      <c r="A5193" s="1">
        <v>5191</v>
      </c>
      <c r="B5193" t="str">
        <f>HYPERLINK("https://www.dasschnelle.at/friseur-team-sandra-neustift-im-mühlkreis-schulstraße","Website")</f>
        <v>Website</v>
      </c>
      <c r="C5193" t="str">
        <f>HYPERLINK("http://www.friseur-team-sandra.at","Website")</f>
        <v>Website</v>
      </c>
      <c r="D5193" t="str">
        <f>HYPERLINK("http://www.google.com/maps/place/48.5270256,13.7559037","Location")</f>
        <v>Location</v>
      </c>
      <c r="E5193" t="s">
        <v>44197</v>
      </c>
      <c r="F5193" t="s">
        <v>44198</v>
      </c>
      <c r="G5193" t="s">
        <v>8551</v>
      </c>
      <c r="H5193" t="s">
        <v>8552</v>
      </c>
      <c r="I5193" t="s">
        <v>85</v>
      </c>
      <c r="J5193" t="s">
        <v>22</v>
      </c>
      <c r="K5193" t="s">
        <v>44199</v>
      </c>
      <c r="L5193" t="s">
        <v>44202</v>
      </c>
      <c r="M5193" t="s">
        <v>25</v>
      </c>
      <c r="N5193" t="s">
        <v>44203</v>
      </c>
      <c r="O5193" t="s">
        <v>25</v>
      </c>
      <c r="P5193" t="s">
        <v>44204</v>
      </c>
      <c r="Q5193" t="s">
        <v>29</v>
      </c>
      <c r="R5193" t="s">
        <v>44200</v>
      </c>
      <c r="S5193" t="s">
        <v>44201</v>
      </c>
    </row>
    <row r="5194" spans="1:19" x14ac:dyDescent="0.25">
      <c r="A5194" s="1">
        <v>5192</v>
      </c>
      <c r="B5194" t="str">
        <f>HYPERLINK("https://www.dasschnelle.at/jp-dachsysteme-ilztal-prebensdorfberg","Website")</f>
        <v>Website</v>
      </c>
      <c r="C5194" t="str">
        <f>HYPERLINK("http://www.jp-dachsysteme.at","Website")</f>
        <v>Website</v>
      </c>
      <c r="D5194" t="str">
        <f>HYPERLINK("http://www.google.com/maps/place/47.13681,15.77184","Location")</f>
        <v>Location</v>
      </c>
      <c r="E5194" t="s">
        <v>44205</v>
      </c>
      <c r="F5194" t="s">
        <v>44206</v>
      </c>
      <c r="G5194" t="s">
        <v>44208</v>
      </c>
      <c r="H5194" t="s">
        <v>44209</v>
      </c>
      <c r="I5194" t="s">
        <v>451</v>
      </c>
      <c r="J5194" t="s">
        <v>22</v>
      </c>
      <c r="K5194" t="s">
        <v>44207</v>
      </c>
      <c r="L5194" t="s">
        <v>44212</v>
      </c>
      <c r="M5194" t="s">
        <v>25</v>
      </c>
      <c r="N5194" t="s">
        <v>44213</v>
      </c>
      <c r="O5194" t="s">
        <v>44214</v>
      </c>
      <c r="P5194" t="s">
        <v>44215</v>
      </c>
      <c r="Q5194" t="s">
        <v>29</v>
      </c>
      <c r="R5194" t="s">
        <v>44210</v>
      </c>
      <c r="S5194" t="s">
        <v>44211</v>
      </c>
    </row>
    <row r="5195" spans="1:19" x14ac:dyDescent="0.25">
      <c r="A5195" s="1">
        <v>5193</v>
      </c>
      <c r="B5195" t="str">
        <f>HYPERLINK("https://www.dasschnelle.at/grüner-wolfram-längenfeld-unterlängenfeld","Website")</f>
        <v>Website</v>
      </c>
      <c r="C5195" t="str">
        <f>HYPERLINK("http://www.friseur-gruener.at","Website")</f>
        <v>Website</v>
      </c>
      <c r="D5195" t="str">
        <f>HYPERLINK("http://www.google.com/maps/place/47.075994,10.9685302","Location")</f>
        <v>Location</v>
      </c>
      <c r="E5195" t="s">
        <v>44216</v>
      </c>
      <c r="F5195" t="s">
        <v>44217</v>
      </c>
      <c r="G5195" t="s">
        <v>8043</v>
      </c>
      <c r="H5195" t="s">
        <v>8044</v>
      </c>
      <c r="I5195" t="s">
        <v>21</v>
      </c>
      <c r="J5195" t="s">
        <v>22</v>
      </c>
      <c r="K5195" t="s">
        <v>44218</v>
      </c>
      <c r="L5195" t="s">
        <v>44221</v>
      </c>
      <c r="M5195" t="s">
        <v>25</v>
      </c>
      <c r="N5195" t="s">
        <v>44222</v>
      </c>
      <c r="O5195" t="s">
        <v>25</v>
      </c>
      <c r="P5195" t="s">
        <v>44223</v>
      </c>
      <c r="Q5195" t="s">
        <v>29</v>
      </c>
      <c r="R5195" t="s">
        <v>44219</v>
      </c>
      <c r="S5195" t="s">
        <v>44220</v>
      </c>
    </row>
    <row r="5196" spans="1:19" x14ac:dyDescent="0.25">
      <c r="A5196" s="1">
        <v>5194</v>
      </c>
      <c r="B5196" t="str">
        <f>HYPERLINK("https://www.dasschnelle.at/fliesen-umundum-stadl-predlitz-steindorf","Website")</f>
        <v>Website</v>
      </c>
      <c r="C5196" t="str">
        <f>HYPERLINK("http://www.fliesenumundum.at","Website")</f>
        <v>Website</v>
      </c>
      <c r="D5196" t="str">
        <f>HYPERLINK("http://www.google.com/maps/place/47.0885078,13.9816349","Location")</f>
        <v>Location</v>
      </c>
      <c r="E5196" t="s">
        <v>44224</v>
      </c>
      <c r="F5196" t="s">
        <v>44225</v>
      </c>
      <c r="G5196" t="s">
        <v>12082</v>
      </c>
      <c r="H5196" t="s">
        <v>44227</v>
      </c>
      <c r="I5196" t="s">
        <v>451</v>
      </c>
      <c r="J5196" t="s">
        <v>22</v>
      </c>
      <c r="K5196" t="s">
        <v>44226</v>
      </c>
      <c r="L5196" t="s">
        <v>44230</v>
      </c>
      <c r="M5196" t="s">
        <v>25</v>
      </c>
      <c r="N5196" t="s">
        <v>44231</v>
      </c>
      <c r="O5196" t="s">
        <v>25</v>
      </c>
      <c r="P5196" t="s">
        <v>44232</v>
      </c>
      <c r="Q5196" t="s">
        <v>29</v>
      </c>
      <c r="R5196" t="s">
        <v>44228</v>
      </c>
      <c r="S5196" t="s">
        <v>44229</v>
      </c>
    </row>
    <row r="5197" spans="1:19" x14ac:dyDescent="0.25">
      <c r="A5197" s="1">
        <v>5195</v>
      </c>
      <c r="B5197" t="str">
        <f>HYPERLINK("https://www.dasschnelle.at/gri-jano-luciano-kirchdorf-parkstraße","Website")</f>
        <v>Website</v>
      </c>
      <c r="C5197" t="str">
        <f>HYPERLINK("https://www.dasschnelle.at/gri-jano-luciano-kirchdorf-parkstra%C3%9Fe","Website")</f>
        <v>Website</v>
      </c>
      <c r="D5197" t="str">
        <f>HYPERLINK("http://www.google.com/maps/place/47.90487,14.12323","Location")</f>
        <v>Location</v>
      </c>
      <c r="E5197" t="s">
        <v>44233</v>
      </c>
      <c r="F5197" t="s">
        <v>44234</v>
      </c>
      <c r="G5197" t="s">
        <v>12306</v>
      </c>
      <c r="H5197" t="s">
        <v>17489</v>
      </c>
      <c r="I5197" t="s">
        <v>85</v>
      </c>
      <c r="J5197" t="s">
        <v>22</v>
      </c>
      <c r="K5197" t="s">
        <v>44235</v>
      </c>
      <c r="L5197" t="s">
        <v>44238</v>
      </c>
      <c r="M5197" t="s">
        <v>25</v>
      </c>
      <c r="N5197" t="s">
        <v>44239</v>
      </c>
      <c r="O5197" t="s">
        <v>25</v>
      </c>
      <c r="P5197" t="s">
        <v>697</v>
      </c>
      <c r="Q5197" t="s">
        <v>29</v>
      </c>
      <c r="R5197" t="s">
        <v>44236</v>
      </c>
      <c r="S5197" t="s">
        <v>44237</v>
      </c>
    </row>
    <row r="5198" spans="1:19" x14ac:dyDescent="0.25">
      <c r="A5198" s="1">
        <v>5196</v>
      </c>
      <c r="B5198" t="str">
        <f>HYPERLINK("https://www.dasschnelle.at/klotz-optik-gmbh-stefan-klotz-mondsee-rainerstraße","Website")</f>
        <v>Website</v>
      </c>
      <c r="C5198" t="str">
        <f>HYPERLINK("http://www.klotz-optik.at","Website")</f>
        <v>Website</v>
      </c>
      <c r="D5198" t="str">
        <f>HYPERLINK("http://www.google.com/maps/place/47.8551100,13.3496200","Location")</f>
        <v>Location</v>
      </c>
      <c r="E5198" t="s">
        <v>44240</v>
      </c>
      <c r="F5198" t="s">
        <v>44241</v>
      </c>
      <c r="G5198" t="s">
        <v>6543</v>
      </c>
      <c r="H5198" t="s">
        <v>6544</v>
      </c>
      <c r="I5198" t="s">
        <v>85</v>
      </c>
      <c r="J5198" t="s">
        <v>22</v>
      </c>
      <c r="K5198" t="s">
        <v>44242</v>
      </c>
      <c r="L5198" t="s">
        <v>44245</v>
      </c>
      <c r="M5198" t="s">
        <v>25</v>
      </c>
      <c r="N5198" t="s">
        <v>44246</v>
      </c>
      <c r="O5198" t="s">
        <v>44247</v>
      </c>
      <c r="P5198" t="s">
        <v>44248</v>
      </c>
      <c r="Q5198" t="s">
        <v>29</v>
      </c>
      <c r="R5198" t="s">
        <v>44243</v>
      </c>
      <c r="S5198" t="s">
        <v>44244</v>
      </c>
    </row>
    <row r="5199" spans="1:19" x14ac:dyDescent="0.25">
      <c r="A5199" s="1">
        <v>5197</v>
      </c>
      <c r="B5199" t="str">
        <f>HYPERLINK("https://www.dasschnelle.at/hairdresser-by-sandra-bruck-an-der-mur-kollomann-wallitsch-platz","Website")</f>
        <v>Website</v>
      </c>
      <c r="C5199" t="str">
        <f>HYPERLINK("http://www.thehairdresser.at","Website")</f>
        <v>Website</v>
      </c>
      <c r="D5199" t="str">
        <f>HYPERLINK("http://www.google.com/maps/place/47.40942,15.26908","Location")</f>
        <v>Location</v>
      </c>
      <c r="E5199" t="s">
        <v>44249</v>
      </c>
      <c r="F5199" t="s">
        <v>44250</v>
      </c>
      <c r="G5199" t="s">
        <v>3052</v>
      </c>
      <c r="H5199" t="s">
        <v>3053</v>
      </c>
      <c r="I5199" t="s">
        <v>451</v>
      </c>
      <c r="J5199" t="s">
        <v>22</v>
      </c>
      <c r="K5199" t="s">
        <v>44251</v>
      </c>
      <c r="L5199" t="s">
        <v>44254</v>
      </c>
      <c r="M5199" t="s">
        <v>25</v>
      </c>
      <c r="N5199" t="s">
        <v>44255</v>
      </c>
      <c r="O5199" t="s">
        <v>44256</v>
      </c>
      <c r="P5199" t="s">
        <v>44257</v>
      </c>
      <c r="Q5199" t="s">
        <v>29</v>
      </c>
      <c r="R5199" t="s">
        <v>44252</v>
      </c>
      <c r="S5199" t="s">
        <v>44253</v>
      </c>
    </row>
    <row r="5200" spans="1:19" x14ac:dyDescent="0.25">
      <c r="A5200" s="1">
        <v>5198</v>
      </c>
      <c r="B5200" t="str">
        <f>HYPERLINK("https://www.dasschnelle.at/gasthaus-sandhofer-fam-anderle-neuhofen-an-d-ybbs-schlickenreith","Website")</f>
        <v>Website</v>
      </c>
      <c r="C5200" t="str">
        <f>HYPERLINK("https://www.dasschnelle.at/gasthaus-sandhofer-fam-anderle-neuhofen-an-d-ybbs-schlickenreith","Website")</f>
        <v>Website</v>
      </c>
      <c r="D5200" t="str">
        <f>HYPERLINK("http://www.google.com/maps/place/48.0470501,14.8931268","Location")</f>
        <v>Location</v>
      </c>
      <c r="E5200" t="s">
        <v>44258</v>
      </c>
      <c r="F5200" t="s">
        <v>44259</v>
      </c>
      <c r="G5200" t="s">
        <v>25413</v>
      </c>
      <c r="H5200" t="s">
        <v>44261</v>
      </c>
      <c r="I5200" t="s">
        <v>177</v>
      </c>
      <c r="J5200" t="s">
        <v>22</v>
      </c>
      <c r="K5200" t="s">
        <v>44260</v>
      </c>
      <c r="L5200" t="s">
        <v>44264</v>
      </c>
      <c r="M5200" t="s">
        <v>25</v>
      </c>
      <c r="N5200" t="s">
        <v>25</v>
      </c>
      <c r="O5200" t="s">
        <v>25</v>
      </c>
      <c r="P5200" t="s">
        <v>697</v>
      </c>
      <c r="Q5200" t="s">
        <v>29</v>
      </c>
      <c r="R5200" t="s">
        <v>44262</v>
      </c>
      <c r="S5200" t="s">
        <v>44263</v>
      </c>
    </row>
    <row r="5201" spans="1:19" x14ac:dyDescent="0.25">
      <c r="A5201" s="1">
        <v>5199</v>
      </c>
      <c r="B5201" t="str">
        <f>HYPERLINK("https://www.dasschnelle.at/gartenriese-pfaffstätten-lichteneckergasse","Website")</f>
        <v>Website</v>
      </c>
      <c r="C5201" t="str">
        <f>HYPERLINK("https://gartenriese.business.site","Website")</f>
        <v>Website</v>
      </c>
      <c r="D5201" t="str">
        <f>HYPERLINK("http://www.google.com/maps/place/48.01645,16.25747","Location")</f>
        <v>Location</v>
      </c>
      <c r="E5201" t="s">
        <v>44265</v>
      </c>
      <c r="F5201" t="s">
        <v>44266</v>
      </c>
      <c r="G5201" t="s">
        <v>22514</v>
      </c>
      <c r="H5201" t="s">
        <v>22515</v>
      </c>
      <c r="I5201" t="s">
        <v>177</v>
      </c>
      <c r="J5201" t="s">
        <v>22</v>
      </c>
      <c r="K5201" t="s">
        <v>44267</v>
      </c>
      <c r="L5201" t="s">
        <v>44270</v>
      </c>
      <c r="M5201" t="s">
        <v>25</v>
      </c>
      <c r="N5201" t="s">
        <v>44271</v>
      </c>
      <c r="O5201" t="s">
        <v>44272</v>
      </c>
      <c r="P5201" t="s">
        <v>44273</v>
      </c>
      <c r="Q5201" t="s">
        <v>29</v>
      </c>
      <c r="R5201" t="s">
        <v>44268</v>
      </c>
      <c r="S5201" t="s">
        <v>44269</v>
      </c>
    </row>
    <row r="5202" spans="1:19" x14ac:dyDescent="0.25">
      <c r="A5202" s="1">
        <v>5200</v>
      </c>
      <c r="B5202" t="str">
        <f>HYPERLINK("https://www.dasschnelle.at/friseur-sonja-sonja-zigart-gratkorn-felberstraße","Website")</f>
        <v>Website</v>
      </c>
      <c r="C5202" t="str">
        <f>HYPERLINK("http://www.friseur-sonja.com","Website")</f>
        <v>Website</v>
      </c>
      <c r="D5202" t="str">
        <f>HYPERLINK("http://www.google.com/maps/place/47.1457,15.35714","Location")</f>
        <v>Location</v>
      </c>
      <c r="E5202" t="s">
        <v>44274</v>
      </c>
      <c r="F5202" t="s">
        <v>44275</v>
      </c>
      <c r="G5202" t="s">
        <v>7958</v>
      </c>
      <c r="H5202" t="s">
        <v>7959</v>
      </c>
      <c r="I5202" t="s">
        <v>451</v>
      </c>
      <c r="J5202" t="s">
        <v>22</v>
      </c>
      <c r="K5202" t="s">
        <v>44276</v>
      </c>
      <c r="L5202" t="s">
        <v>44279</v>
      </c>
      <c r="M5202" t="s">
        <v>25</v>
      </c>
      <c r="N5202" t="s">
        <v>44280</v>
      </c>
      <c r="O5202" t="s">
        <v>25</v>
      </c>
      <c r="P5202" t="s">
        <v>44281</v>
      </c>
      <c r="Q5202" t="s">
        <v>29</v>
      </c>
      <c r="R5202" t="s">
        <v>44277</v>
      </c>
      <c r="S5202" t="s">
        <v>44278</v>
      </c>
    </row>
    <row r="5203" spans="1:19" x14ac:dyDescent="0.25">
      <c r="A5203" s="1">
        <v>5201</v>
      </c>
      <c r="B5203" t="str">
        <f>HYPERLINK("https://www.dasschnelle.at/glaserei-wolferlglas-felixdorf-hauptstrasse","Website")</f>
        <v>Website</v>
      </c>
      <c r="C5203" t="str">
        <f>HYPERLINK("http://www.wolferlglas.at","Website")</f>
        <v>Website</v>
      </c>
      <c r="D5203" t="str">
        <f>HYPERLINK("http://www.google.com/maps/place/47.88366,16.24555","Location")</f>
        <v>Location</v>
      </c>
      <c r="E5203" t="s">
        <v>44282</v>
      </c>
      <c r="F5203" t="s">
        <v>44283</v>
      </c>
      <c r="G5203" t="s">
        <v>42472</v>
      </c>
      <c r="H5203" t="s">
        <v>42473</v>
      </c>
      <c r="I5203" t="s">
        <v>177</v>
      </c>
      <c r="J5203" t="s">
        <v>22</v>
      </c>
      <c r="K5203" t="s">
        <v>44284</v>
      </c>
      <c r="L5203" t="s">
        <v>44287</v>
      </c>
      <c r="M5203" t="s">
        <v>25</v>
      </c>
      <c r="N5203" t="s">
        <v>44288</v>
      </c>
      <c r="O5203" t="s">
        <v>25</v>
      </c>
      <c r="P5203" t="s">
        <v>44289</v>
      </c>
      <c r="Q5203" t="s">
        <v>29</v>
      </c>
      <c r="R5203" t="s">
        <v>44285</v>
      </c>
      <c r="S5203" t="s">
        <v>44286</v>
      </c>
    </row>
    <row r="5204" spans="1:19" x14ac:dyDescent="0.25">
      <c r="A5204" s="1">
        <v>5202</v>
      </c>
      <c r="B5204" t="str">
        <f>HYPERLINK("https://www.dasschnelle.at/führer-andrea-doggy-studio-baden-wiener-straße","Website")</f>
        <v>Website</v>
      </c>
      <c r="C5204" t="str">
        <f>HYPERLINK("https://www.dasschnelle.at/f%C3%BChrer-andrea-doggy-studio-baden-wiener-stra%C3%9Fe","Website")</f>
        <v>Website</v>
      </c>
      <c r="D5204" t="str">
        <f>HYPERLINK("http://www.google.com/maps/place/48.0134900,16.2572600","Location")</f>
        <v>Location</v>
      </c>
      <c r="E5204" t="s">
        <v>44290</v>
      </c>
      <c r="F5204" t="s">
        <v>44291</v>
      </c>
      <c r="G5204" t="s">
        <v>1979</v>
      </c>
      <c r="H5204" t="s">
        <v>1980</v>
      </c>
      <c r="I5204" t="s">
        <v>177</v>
      </c>
      <c r="J5204" t="s">
        <v>22</v>
      </c>
      <c r="K5204" t="s">
        <v>44292</v>
      </c>
      <c r="L5204" t="s">
        <v>44295</v>
      </c>
      <c r="M5204" t="s">
        <v>25</v>
      </c>
      <c r="N5204" t="s">
        <v>44296</v>
      </c>
      <c r="O5204" t="s">
        <v>25</v>
      </c>
      <c r="P5204" t="s">
        <v>44297</v>
      </c>
      <c r="Q5204" t="s">
        <v>29</v>
      </c>
      <c r="R5204" t="s">
        <v>44293</v>
      </c>
      <c r="S5204" t="s">
        <v>44294</v>
      </c>
    </row>
    <row r="5205" spans="1:19" x14ac:dyDescent="0.25">
      <c r="A5205" s="1">
        <v>5203</v>
      </c>
      <c r="B5205" t="str">
        <f>HYPERLINK("https://www.dasschnelle.at/kebap-haus-völkermarkt-rot-kreuzplatz","Website")</f>
        <v>Website</v>
      </c>
      <c r="C5205" t="str">
        <f>HYPERLINK("https://www.dasschnelle.at/kebap-haus-v%C3%B6lkermarkt-rot-kreuzplatz","Website")</f>
        <v>Website</v>
      </c>
      <c r="D5205" t="str">
        <f>HYPERLINK("http://www.google.com/maps/place/46.6606100,14.6329600","Location")</f>
        <v>Location</v>
      </c>
      <c r="E5205" t="s">
        <v>44298</v>
      </c>
      <c r="F5205" t="s">
        <v>44299</v>
      </c>
      <c r="G5205" t="s">
        <v>5079</v>
      </c>
      <c r="H5205" t="s">
        <v>5080</v>
      </c>
      <c r="I5205" t="s">
        <v>4130</v>
      </c>
      <c r="J5205" t="s">
        <v>22</v>
      </c>
      <c r="K5205" t="s">
        <v>44300</v>
      </c>
      <c r="L5205" t="s">
        <v>44303</v>
      </c>
      <c r="M5205" t="s">
        <v>25</v>
      </c>
      <c r="N5205" t="s">
        <v>44304</v>
      </c>
      <c r="O5205" t="s">
        <v>25</v>
      </c>
      <c r="P5205" t="s">
        <v>44305</v>
      </c>
      <c r="Q5205" t="s">
        <v>29</v>
      </c>
      <c r="R5205" t="s">
        <v>44301</v>
      </c>
      <c r="S5205" t="s">
        <v>44302</v>
      </c>
    </row>
    <row r="5206" spans="1:19" x14ac:dyDescent="0.25">
      <c r="A5206" s="1">
        <v>5204</v>
      </c>
      <c r="B5206" t="str">
        <f>HYPERLINK("https://www.dasschnelle.at/gasthof-bauernbräu-oberndorf-bei-salzburg-salzburger-straße","Website")</f>
        <v>Website</v>
      </c>
      <c r="C5206" t="str">
        <f>HYPERLINK("http://www.hotel-altoberndorf.at","Website")</f>
        <v>Website</v>
      </c>
      <c r="D5206" t="str">
        <f>HYPERLINK("http://www.google.com/maps/place/47.94651,12.93511","Location")</f>
        <v>Location</v>
      </c>
      <c r="E5206" t="s">
        <v>44306</v>
      </c>
      <c r="F5206" t="s">
        <v>44307</v>
      </c>
      <c r="G5206" t="s">
        <v>12780</v>
      </c>
      <c r="H5206" t="s">
        <v>12781</v>
      </c>
      <c r="I5206" t="s">
        <v>2239</v>
      </c>
      <c r="J5206" t="s">
        <v>22</v>
      </c>
      <c r="K5206" t="s">
        <v>44308</v>
      </c>
      <c r="L5206" t="s">
        <v>44311</v>
      </c>
      <c r="M5206" t="s">
        <v>25</v>
      </c>
      <c r="N5206" t="s">
        <v>44312</v>
      </c>
      <c r="O5206" t="s">
        <v>25</v>
      </c>
      <c r="P5206" t="s">
        <v>44313</v>
      </c>
      <c r="Q5206" t="s">
        <v>29</v>
      </c>
      <c r="R5206" t="s">
        <v>44309</v>
      </c>
      <c r="S5206" t="s">
        <v>44310</v>
      </c>
    </row>
    <row r="5207" spans="1:19" x14ac:dyDescent="0.25">
      <c r="A5207" s="1">
        <v>5205</v>
      </c>
      <c r="B5207" t="str">
        <f>HYPERLINK("https://www.dasschnelle.at/tremmel-und-schuller-gesmbh-amstetten-max-christ-straße","Website")</f>
        <v>Website</v>
      </c>
      <c r="C5207" t="str">
        <f>HYPERLINK("http://www.tremmel-schuller.at","Website")</f>
        <v>Website</v>
      </c>
      <c r="D5207" t="str">
        <f>HYPERLINK("http://www.google.com/maps/place/48.11664,14.86871","Location")</f>
        <v>Location</v>
      </c>
      <c r="E5207" t="s">
        <v>44314</v>
      </c>
      <c r="F5207" t="s">
        <v>44315</v>
      </c>
      <c r="G5207" t="s">
        <v>1474</v>
      </c>
      <c r="H5207" t="s">
        <v>1475</v>
      </c>
      <c r="I5207" t="s">
        <v>177</v>
      </c>
      <c r="J5207" t="s">
        <v>22</v>
      </c>
      <c r="K5207" t="s">
        <v>44316</v>
      </c>
      <c r="L5207" t="s">
        <v>44319</v>
      </c>
      <c r="M5207" t="s">
        <v>44320</v>
      </c>
      <c r="N5207" t="s">
        <v>44321</v>
      </c>
      <c r="O5207" t="s">
        <v>25</v>
      </c>
      <c r="P5207" t="s">
        <v>44322</v>
      </c>
      <c r="Q5207" t="s">
        <v>29</v>
      </c>
      <c r="R5207" t="s">
        <v>44317</v>
      </c>
      <c r="S5207" t="s">
        <v>44318</v>
      </c>
    </row>
    <row r="5208" spans="1:19" x14ac:dyDescent="0.25">
      <c r="A5208" s="1">
        <v>5206</v>
      </c>
      <c r="B5208" t="str">
        <f>HYPERLINK("https://www.dasschnelle.at/buggelsheim-andreas-heizungs-und-sanitärtechnik-gmbh-weitensfeld-hafendorf","Website")</f>
        <v>Website</v>
      </c>
      <c r="C5208" t="str">
        <f>HYPERLINK("http://www.buggelsheim-installationen.at","Website")</f>
        <v>Website</v>
      </c>
      <c r="D5208" t="str">
        <f>HYPERLINK("http://www.google.com/maps/place/46.8506356,14.2015985","Location")</f>
        <v>Location</v>
      </c>
      <c r="E5208" t="s">
        <v>44323</v>
      </c>
      <c r="F5208" t="s">
        <v>44324</v>
      </c>
      <c r="G5208" t="s">
        <v>44326</v>
      </c>
      <c r="H5208" t="s">
        <v>44327</v>
      </c>
      <c r="I5208" t="s">
        <v>4130</v>
      </c>
      <c r="J5208" t="s">
        <v>22</v>
      </c>
      <c r="K5208" t="s">
        <v>44325</v>
      </c>
      <c r="L5208" t="s">
        <v>44330</v>
      </c>
      <c r="M5208" t="s">
        <v>25</v>
      </c>
      <c r="N5208" t="s">
        <v>44331</v>
      </c>
      <c r="O5208" t="s">
        <v>44332</v>
      </c>
      <c r="P5208" t="s">
        <v>44333</v>
      </c>
      <c r="Q5208" t="s">
        <v>29</v>
      </c>
      <c r="R5208" t="s">
        <v>44328</v>
      </c>
      <c r="S5208" t="s">
        <v>44329</v>
      </c>
    </row>
    <row r="5209" spans="1:19" x14ac:dyDescent="0.25">
      <c r="A5209" s="1">
        <v>5207</v>
      </c>
      <c r="B5209" t="str">
        <f>HYPERLINK("https://www.dasschnelle.at/eichhorn-gmbh-vöcklabruck-telefunkenstraße","Website")</f>
        <v>Website</v>
      </c>
      <c r="C5209" t="str">
        <f>HYPERLINK("http://www.malerei-eichhorn.at","Website")</f>
        <v>Website</v>
      </c>
      <c r="D5209" t="str">
        <f>HYPERLINK("http://www.google.com/maps/place/48.00243,13.67575","Location")</f>
        <v>Location</v>
      </c>
      <c r="E5209" t="s">
        <v>44334</v>
      </c>
      <c r="F5209" t="s">
        <v>44335</v>
      </c>
      <c r="G5209" t="s">
        <v>3749</v>
      </c>
      <c r="H5209" t="s">
        <v>3750</v>
      </c>
      <c r="I5209" t="s">
        <v>85</v>
      </c>
      <c r="J5209" t="s">
        <v>22</v>
      </c>
      <c r="K5209" t="s">
        <v>44336</v>
      </c>
      <c r="L5209" t="s">
        <v>44339</v>
      </c>
      <c r="M5209" t="s">
        <v>25</v>
      </c>
      <c r="N5209" t="s">
        <v>44340</v>
      </c>
      <c r="O5209" t="s">
        <v>44341</v>
      </c>
      <c r="P5209" t="s">
        <v>44342</v>
      </c>
      <c r="Q5209" t="s">
        <v>29</v>
      </c>
      <c r="R5209" t="s">
        <v>44337</v>
      </c>
      <c r="S5209" t="s">
        <v>44338</v>
      </c>
    </row>
    <row r="5210" spans="1:19" x14ac:dyDescent="0.25">
      <c r="A5210" s="1">
        <v>5208</v>
      </c>
      <c r="B5210" t="str">
        <f>HYPERLINK("https://www.dasschnelle.at/böhm-erwin-kottes-münichreith","Website")</f>
        <v>Website</v>
      </c>
      <c r="C5210" t="str">
        <f>HYPERLINK("https://www.dasschnelle.at/b%C3%B6hm-erwin-kottes-m%C3%BCnichreith","Website")</f>
        <v>Website</v>
      </c>
      <c r="D5210" t="str">
        <f>HYPERLINK("http://www.google.com/maps/place/48.4004900,15.2971326","Location")</f>
        <v>Location</v>
      </c>
      <c r="E5210" t="s">
        <v>44343</v>
      </c>
      <c r="F5210" t="s">
        <v>44344</v>
      </c>
      <c r="G5210" t="s">
        <v>11202</v>
      </c>
      <c r="H5210" t="s">
        <v>44346</v>
      </c>
      <c r="I5210" t="s">
        <v>177</v>
      </c>
      <c r="J5210" t="s">
        <v>22</v>
      </c>
      <c r="K5210" t="s">
        <v>44345</v>
      </c>
      <c r="L5210" t="s">
        <v>44349</v>
      </c>
      <c r="M5210" t="s">
        <v>44350</v>
      </c>
      <c r="N5210" t="s">
        <v>44351</v>
      </c>
      <c r="O5210" t="s">
        <v>25</v>
      </c>
      <c r="P5210" t="s">
        <v>44352</v>
      </c>
      <c r="Q5210" t="s">
        <v>29</v>
      </c>
      <c r="R5210" t="s">
        <v>44347</v>
      </c>
      <c r="S5210" t="s">
        <v>44348</v>
      </c>
    </row>
    <row r="5211" spans="1:19" x14ac:dyDescent="0.25">
      <c r="A5211" s="1">
        <v>5209</v>
      </c>
      <c r="B5211" t="str">
        <f>HYPERLINK("https://www.dasschnelle.at/orthopädie-schuhtechnik-aigner-frankenburg-am-hausruck-hauptstraße","Website")</f>
        <v>Website</v>
      </c>
      <c r="C5211" t="str">
        <f>HYPERLINK("http://www.ortho-aigner.at","Website")</f>
        <v>Website</v>
      </c>
      <c r="D5211" t="str">
        <f>HYPERLINK("http://www.google.com/maps/place/48.06777,13.48306","Location")</f>
        <v>Location</v>
      </c>
      <c r="E5211" t="s">
        <v>44353</v>
      </c>
      <c r="F5211" t="s">
        <v>44354</v>
      </c>
      <c r="G5211" t="s">
        <v>3795</v>
      </c>
      <c r="H5211" t="s">
        <v>3796</v>
      </c>
      <c r="I5211" t="s">
        <v>85</v>
      </c>
      <c r="J5211" t="s">
        <v>22</v>
      </c>
      <c r="K5211" t="s">
        <v>44355</v>
      </c>
      <c r="L5211" t="s">
        <v>44356</v>
      </c>
      <c r="M5211" t="s">
        <v>25</v>
      </c>
      <c r="N5211" t="s">
        <v>44357</v>
      </c>
      <c r="O5211" t="s">
        <v>44358</v>
      </c>
      <c r="P5211" t="s">
        <v>44359</v>
      </c>
      <c r="Q5211" t="s">
        <v>29</v>
      </c>
      <c r="R5211" t="s">
        <v>26030</v>
      </c>
      <c r="S5211" t="s">
        <v>26031</v>
      </c>
    </row>
    <row r="5212" spans="1:19" x14ac:dyDescent="0.25">
      <c r="A5212" s="1">
        <v>5210</v>
      </c>
      <c r="B5212" t="str">
        <f>HYPERLINK("https://www.dasschnelle.at/wenninger-frankenburg-am-hausruck-hofbergstraße","Website")</f>
        <v>Website</v>
      </c>
      <c r="C5212" t="str">
        <f>HYPERLINK("http://www.wenninger.at","Website")</f>
        <v>Website</v>
      </c>
      <c r="D5212" t="str">
        <f>HYPERLINK("http://www.google.com/maps/place/48.07037,13.49453","Location")</f>
        <v>Location</v>
      </c>
      <c r="E5212" t="s">
        <v>44360</v>
      </c>
      <c r="F5212" t="s">
        <v>44361</v>
      </c>
      <c r="G5212" t="s">
        <v>3795</v>
      </c>
      <c r="H5212" t="s">
        <v>3796</v>
      </c>
      <c r="I5212" t="s">
        <v>85</v>
      </c>
      <c r="J5212" t="s">
        <v>22</v>
      </c>
      <c r="K5212" t="s">
        <v>44362</v>
      </c>
      <c r="L5212" t="s">
        <v>44365</v>
      </c>
      <c r="M5212" t="s">
        <v>25</v>
      </c>
      <c r="N5212" t="s">
        <v>44366</v>
      </c>
      <c r="O5212" t="s">
        <v>44367</v>
      </c>
      <c r="P5212" t="s">
        <v>44368</v>
      </c>
      <c r="Q5212" t="s">
        <v>29</v>
      </c>
      <c r="R5212" t="s">
        <v>44363</v>
      </c>
      <c r="S5212" t="s">
        <v>44364</v>
      </c>
    </row>
    <row r="5213" spans="1:19" x14ac:dyDescent="0.25">
      <c r="A5213" s="1">
        <v>5211</v>
      </c>
      <c r="B5213" t="str">
        <f>HYPERLINK("https://www.dasschnelle.at/fotografist-graz-dr-emperger-weg","Website")</f>
        <v>Website</v>
      </c>
      <c r="C5213" t="str">
        <f>HYPERLINK("http://www.fotografist.at","Website")</f>
        <v>Website</v>
      </c>
      <c r="D5213" t="str">
        <f>HYPERLINK("http://www.google.com/maps/place/47.0572076,15.4010286","Location")</f>
        <v>Location</v>
      </c>
      <c r="E5213" t="s">
        <v>44369</v>
      </c>
      <c r="F5213" t="s">
        <v>44370</v>
      </c>
      <c r="G5213" t="s">
        <v>44372</v>
      </c>
      <c r="H5213" t="s">
        <v>13542</v>
      </c>
      <c r="I5213" t="s">
        <v>451</v>
      </c>
      <c r="J5213" t="s">
        <v>22</v>
      </c>
      <c r="K5213" t="s">
        <v>44371</v>
      </c>
      <c r="L5213" t="s">
        <v>44375</v>
      </c>
      <c r="M5213" t="s">
        <v>25</v>
      </c>
      <c r="N5213" t="s">
        <v>44376</v>
      </c>
      <c r="O5213" t="s">
        <v>25</v>
      </c>
      <c r="P5213" t="s">
        <v>44377</v>
      </c>
      <c r="Q5213" t="s">
        <v>29</v>
      </c>
      <c r="R5213" t="s">
        <v>44373</v>
      </c>
      <c r="S5213" t="s">
        <v>44374</v>
      </c>
    </row>
    <row r="5214" spans="1:19" x14ac:dyDescent="0.25">
      <c r="A5214" s="1">
        <v>5212</v>
      </c>
      <c r="B5214" t="str">
        <f>HYPERLINK("https://www.dasschnelle.at/akkura-service-gmbh-lenzing-atterseestraße","Website")</f>
        <v>Website</v>
      </c>
      <c r="C5214" t="str">
        <f>HYPERLINK("http://www.akkura.at","Website")</f>
        <v>Website</v>
      </c>
      <c r="D5214" t="str">
        <f>HYPERLINK("http://www.google.com/maps/place/47.98007,13.61186","Location")</f>
        <v>Location</v>
      </c>
      <c r="E5214" t="s">
        <v>44378</v>
      </c>
      <c r="F5214" t="s">
        <v>44379</v>
      </c>
      <c r="G5214" t="s">
        <v>6591</v>
      </c>
      <c r="H5214" t="s">
        <v>6592</v>
      </c>
      <c r="I5214" t="s">
        <v>85</v>
      </c>
      <c r="J5214" t="s">
        <v>22</v>
      </c>
      <c r="K5214" t="s">
        <v>44380</v>
      </c>
      <c r="L5214" t="s">
        <v>44383</v>
      </c>
      <c r="M5214" t="s">
        <v>25</v>
      </c>
      <c r="N5214" t="s">
        <v>44384</v>
      </c>
      <c r="O5214" t="s">
        <v>44385</v>
      </c>
      <c r="P5214" t="s">
        <v>44386</v>
      </c>
      <c r="Q5214" t="s">
        <v>29</v>
      </c>
      <c r="R5214" t="s">
        <v>44381</v>
      </c>
      <c r="S5214" t="s">
        <v>44382</v>
      </c>
    </row>
    <row r="5215" spans="1:19" x14ac:dyDescent="0.25">
      <c r="A5215" s="1">
        <v>5213</v>
      </c>
      <c r="B5215" t="str">
        <f>HYPERLINK("https://www.dasschnelle.at/amon-installationstechnik-gmbh-attersee-landungsplatz","Website")</f>
        <v>Website</v>
      </c>
      <c r="C5215" t="str">
        <f>HYPERLINK("http://www.amon-inst.at","Website")</f>
        <v>Website</v>
      </c>
      <c r="D5215" t="str">
        <f>HYPERLINK("http://www.google.com/maps/place/47.91494,13.53803","Location")</f>
        <v>Location</v>
      </c>
      <c r="E5215" t="s">
        <v>44387</v>
      </c>
      <c r="F5215" t="s">
        <v>44388</v>
      </c>
      <c r="G5215" t="s">
        <v>3869</v>
      </c>
      <c r="H5215" t="s">
        <v>25942</v>
      </c>
      <c r="I5215" t="s">
        <v>85</v>
      </c>
      <c r="J5215" t="s">
        <v>22</v>
      </c>
      <c r="K5215" t="s">
        <v>44389</v>
      </c>
      <c r="L5215" t="s">
        <v>44392</v>
      </c>
      <c r="M5215" t="s">
        <v>25</v>
      </c>
      <c r="N5215" t="s">
        <v>44393</v>
      </c>
      <c r="O5215" t="s">
        <v>44394</v>
      </c>
      <c r="P5215" t="s">
        <v>697</v>
      </c>
      <c r="Q5215" t="s">
        <v>29</v>
      </c>
      <c r="R5215" t="s">
        <v>44390</v>
      </c>
      <c r="S5215" t="s">
        <v>44391</v>
      </c>
    </row>
    <row r="5216" spans="1:19" x14ac:dyDescent="0.25">
      <c r="A5216" s="1">
        <v>5214</v>
      </c>
      <c r="B5216" t="str">
        <f>HYPERLINK("https://www.dasschnelle.at/alu-tec-aurach-am-hongar-jetzing","Website")</f>
        <v>Website</v>
      </c>
      <c r="C5216" t="str">
        <f>HYPERLINK("http://www.alu-tec.at","Website")</f>
        <v>Website</v>
      </c>
      <c r="D5216" t="str">
        <f>HYPERLINK("http://www.google.com/maps/place/47.9596630,13.6758519","Location")</f>
        <v>Location</v>
      </c>
      <c r="E5216" t="s">
        <v>44395</v>
      </c>
      <c r="F5216" t="s">
        <v>44396</v>
      </c>
      <c r="G5216" t="s">
        <v>3851</v>
      </c>
      <c r="H5216" t="s">
        <v>44398</v>
      </c>
      <c r="I5216" t="s">
        <v>85</v>
      </c>
      <c r="J5216" t="s">
        <v>22</v>
      </c>
      <c r="K5216" t="s">
        <v>44397</v>
      </c>
      <c r="L5216" t="s">
        <v>44401</v>
      </c>
      <c r="M5216" t="s">
        <v>25</v>
      </c>
      <c r="N5216" t="s">
        <v>44402</v>
      </c>
      <c r="O5216" t="s">
        <v>44403</v>
      </c>
      <c r="P5216" t="s">
        <v>44404</v>
      </c>
      <c r="Q5216" t="s">
        <v>29</v>
      </c>
      <c r="R5216" t="s">
        <v>44399</v>
      </c>
      <c r="S5216" t="s">
        <v>44400</v>
      </c>
    </row>
    <row r="5217" spans="1:19" x14ac:dyDescent="0.25">
      <c r="A5217" s="1">
        <v>5215</v>
      </c>
      <c r="B5217" t="str">
        <f>HYPERLINK("https://www.dasschnelle.at/gritsch-andreas-heimschuh-obere-fahrenbachstraße","Website")</f>
        <v>Website</v>
      </c>
      <c r="C5217" t="str">
        <f>HYPERLINK("https://www.dasschnelle.at/gritsch-andreas-heimschuh-obere-fahrenbachstra%C3%9Fe","Website")</f>
        <v>Website</v>
      </c>
      <c r="D5217" t="str">
        <f>HYPERLINK("http://www.google.com/maps/place/46.74963,15.49828","Location")</f>
        <v>Location</v>
      </c>
      <c r="E5217" t="s">
        <v>44405</v>
      </c>
      <c r="F5217" t="s">
        <v>44406</v>
      </c>
      <c r="G5217" t="s">
        <v>25847</v>
      </c>
      <c r="H5217" t="s">
        <v>44408</v>
      </c>
      <c r="I5217" t="s">
        <v>451</v>
      </c>
      <c r="J5217" t="s">
        <v>22</v>
      </c>
      <c r="K5217" t="s">
        <v>44407</v>
      </c>
      <c r="L5217" t="s">
        <v>44411</v>
      </c>
      <c r="M5217" t="s">
        <v>25</v>
      </c>
      <c r="N5217" t="s">
        <v>44412</v>
      </c>
      <c r="O5217" t="s">
        <v>25</v>
      </c>
      <c r="P5217" t="s">
        <v>44413</v>
      </c>
      <c r="Q5217" t="s">
        <v>29</v>
      </c>
      <c r="R5217" t="s">
        <v>44409</v>
      </c>
      <c r="S5217" t="s">
        <v>44410</v>
      </c>
    </row>
    <row r="5218" spans="1:19" x14ac:dyDescent="0.25">
      <c r="A5218" s="1">
        <v>5216</v>
      </c>
      <c r="B5218" t="str">
        <f>HYPERLINK("https://www.dasschnelle.at/ernst-winninger-gmbh-kälte-klima-gastro-technik-regau-handelsstraße","Website")</f>
        <v>Website</v>
      </c>
      <c r="C5218" t="str">
        <f>HYPERLINK("http://www.winninger.at","Website")</f>
        <v>Website</v>
      </c>
      <c r="D5218" t="str">
        <f>HYPERLINK("http://www.google.com/maps/place/47.9959947,13.6853017","Location")</f>
        <v>Location</v>
      </c>
      <c r="E5218" t="s">
        <v>44414</v>
      </c>
      <c r="F5218" t="s">
        <v>44415</v>
      </c>
      <c r="G5218" t="s">
        <v>3773</v>
      </c>
      <c r="H5218" t="s">
        <v>3774</v>
      </c>
      <c r="I5218" t="s">
        <v>85</v>
      </c>
      <c r="J5218" t="s">
        <v>22</v>
      </c>
      <c r="K5218" t="s">
        <v>44416</v>
      </c>
      <c r="L5218" t="s">
        <v>44417</v>
      </c>
      <c r="M5218" t="s">
        <v>25</v>
      </c>
      <c r="N5218" t="s">
        <v>24105</v>
      </c>
      <c r="O5218" t="s">
        <v>44418</v>
      </c>
      <c r="P5218" t="s">
        <v>44419</v>
      </c>
      <c r="Q5218" t="s">
        <v>29</v>
      </c>
      <c r="R5218" t="s">
        <v>24102</v>
      </c>
      <c r="S5218" t="s">
        <v>24103</v>
      </c>
    </row>
    <row r="5219" spans="1:19" x14ac:dyDescent="0.25">
      <c r="A5219" s="1">
        <v>5217</v>
      </c>
      <c r="B5219" t="str">
        <f>HYPERLINK("https://www.dasschnelle.at/liedl-stefan-vorderweißenbach-hinterweißenbach","Website")</f>
        <v>Website</v>
      </c>
      <c r="C5219" t="str">
        <f>HYPERLINK("http://www.liedl-bus.at","Website")</f>
        <v>Website</v>
      </c>
      <c r="D5219" t="str">
        <f>HYPERLINK("http://www.google.com/maps/place/48.5636685,14.1979018","Location")</f>
        <v>Location</v>
      </c>
      <c r="E5219" t="s">
        <v>44420</v>
      </c>
      <c r="F5219" t="s">
        <v>44421</v>
      </c>
      <c r="G5219" t="s">
        <v>27292</v>
      </c>
      <c r="H5219" t="s">
        <v>27293</v>
      </c>
      <c r="I5219" t="s">
        <v>85</v>
      </c>
      <c r="J5219" t="s">
        <v>22</v>
      </c>
      <c r="K5219" t="s">
        <v>44422</v>
      </c>
      <c r="L5219" t="s">
        <v>44425</v>
      </c>
      <c r="M5219" t="s">
        <v>25</v>
      </c>
      <c r="N5219" t="s">
        <v>44426</v>
      </c>
      <c r="O5219" t="s">
        <v>25</v>
      </c>
      <c r="P5219" t="s">
        <v>44427</v>
      </c>
      <c r="Q5219" t="s">
        <v>29</v>
      </c>
      <c r="R5219" t="s">
        <v>44423</v>
      </c>
      <c r="S5219" t="s">
        <v>44424</v>
      </c>
    </row>
    <row r="5220" spans="1:19" x14ac:dyDescent="0.25">
      <c r="A5220" s="1">
        <v>5218</v>
      </c>
      <c r="B5220" t="str">
        <f>HYPERLINK("https://www.dasschnelle.at/helfert-andreas-dr-gmünd-bleylebenstraße","Website")</f>
        <v>Website</v>
      </c>
      <c r="C5220" t="str">
        <f>HYPERLINK("https://www.dasschnelle.at/helfert-andreas-dr-gm%C3%BCnd-bleylebenstra%C3%9Fe","Website")</f>
        <v>Website</v>
      </c>
      <c r="D5220" t="str">
        <f>HYPERLINK("http://www.google.com/maps/place/48.76255,14.97588","Location")</f>
        <v>Location</v>
      </c>
      <c r="E5220" t="s">
        <v>44428</v>
      </c>
      <c r="F5220" t="s">
        <v>44429</v>
      </c>
      <c r="G5220" t="s">
        <v>13116</v>
      </c>
      <c r="H5220" t="s">
        <v>13117</v>
      </c>
      <c r="I5220" t="s">
        <v>177</v>
      </c>
      <c r="J5220" t="s">
        <v>22</v>
      </c>
      <c r="K5220" t="s">
        <v>44430</v>
      </c>
      <c r="L5220" t="s">
        <v>44431</v>
      </c>
      <c r="M5220" t="s">
        <v>25</v>
      </c>
      <c r="N5220" t="s">
        <v>44432</v>
      </c>
      <c r="O5220" t="s">
        <v>25</v>
      </c>
      <c r="P5220" t="s">
        <v>44433</v>
      </c>
      <c r="Q5220" t="s">
        <v>29</v>
      </c>
      <c r="R5220" t="s">
        <v>13118</v>
      </c>
      <c r="S5220" t="s">
        <v>13119</v>
      </c>
    </row>
    <row r="5221" spans="1:19" x14ac:dyDescent="0.25">
      <c r="A5221" s="1">
        <v>5219</v>
      </c>
      <c r="B5221" t="str">
        <f>HYPERLINK("https://www.dasschnelle.at/m-electrics-zwettl-gschwendt","Website")</f>
        <v>Website</v>
      </c>
      <c r="C5221" t="str">
        <f>HYPERLINK("http://www.m-electrics.at","Website")</f>
        <v>Website</v>
      </c>
      <c r="D5221" t="str">
        <f>HYPERLINK("http://www.google.com/maps/place/48.5810124,15.1331762","Location")</f>
        <v>Location</v>
      </c>
      <c r="E5221" t="s">
        <v>44434</v>
      </c>
      <c r="F5221" t="s">
        <v>44435</v>
      </c>
      <c r="G5221" t="s">
        <v>10518</v>
      </c>
      <c r="H5221" t="s">
        <v>10791</v>
      </c>
      <c r="I5221" t="s">
        <v>177</v>
      </c>
      <c r="J5221" t="s">
        <v>22</v>
      </c>
      <c r="K5221" t="s">
        <v>44436</v>
      </c>
      <c r="L5221" t="s">
        <v>44439</v>
      </c>
      <c r="M5221" t="s">
        <v>25</v>
      </c>
      <c r="N5221" t="s">
        <v>44440</v>
      </c>
      <c r="O5221" t="s">
        <v>25</v>
      </c>
      <c r="P5221" t="s">
        <v>44441</v>
      </c>
      <c r="Q5221" t="s">
        <v>29</v>
      </c>
      <c r="R5221" t="s">
        <v>44437</v>
      </c>
      <c r="S5221" t="s">
        <v>44438</v>
      </c>
    </row>
    <row r="5222" spans="1:19" x14ac:dyDescent="0.25">
      <c r="A5222" s="1">
        <v>5220</v>
      </c>
      <c r="B5222" t="str">
        <f>HYPERLINK("https://www.dasschnelle.at/schachner-energietechnik-ges-mb-h-schladming-ramsauerstraße","Website")</f>
        <v>Website</v>
      </c>
      <c r="C5222" t="str">
        <f>HYPERLINK("http://www.schachner-schladming.at","Website")</f>
        <v>Website</v>
      </c>
      <c r="D5222" t="str">
        <f>HYPERLINK("http://www.google.com/maps/place/47.39684,13.68413","Location")</f>
        <v>Location</v>
      </c>
      <c r="E5222" t="s">
        <v>44442</v>
      </c>
      <c r="F5222" t="s">
        <v>44443</v>
      </c>
      <c r="G5222" t="s">
        <v>1269</v>
      </c>
      <c r="H5222" t="s">
        <v>1270</v>
      </c>
      <c r="I5222" t="s">
        <v>451</v>
      </c>
      <c r="J5222" t="s">
        <v>22</v>
      </c>
      <c r="K5222" t="s">
        <v>44444</v>
      </c>
      <c r="L5222" t="s">
        <v>44447</v>
      </c>
      <c r="M5222" t="s">
        <v>25</v>
      </c>
      <c r="N5222" t="s">
        <v>44448</v>
      </c>
      <c r="O5222" t="s">
        <v>44449</v>
      </c>
      <c r="P5222" t="s">
        <v>44450</v>
      </c>
      <c r="Q5222" t="s">
        <v>29</v>
      </c>
      <c r="R5222" t="s">
        <v>44445</v>
      </c>
      <c r="S5222" t="s">
        <v>44446</v>
      </c>
    </row>
    <row r="5223" spans="1:19" x14ac:dyDescent="0.25">
      <c r="A5223" s="1">
        <v>5221</v>
      </c>
      <c r="B5223" t="str">
        <f>HYPERLINK("https://www.dasschnelle.at/hms-strahltechnik-höfer-fulpmes-industriezone-c","Website")</f>
        <v>Website</v>
      </c>
      <c r="C5223" t="str">
        <f>HYPERLINK("http://www.strahltech.at","Website")</f>
        <v>Website</v>
      </c>
      <c r="D5223" t="str">
        <f>HYPERLINK("http://www.google.com/maps/place/47.15022,11.34463","Location")</f>
        <v>Location</v>
      </c>
      <c r="E5223" t="s">
        <v>44451</v>
      </c>
      <c r="F5223" t="s">
        <v>44452</v>
      </c>
      <c r="G5223" t="s">
        <v>5273</v>
      </c>
      <c r="H5223" t="s">
        <v>5274</v>
      </c>
      <c r="I5223" t="s">
        <v>21</v>
      </c>
      <c r="J5223" t="s">
        <v>22</v>
      </c>
      <c r="K5223" t="s">
        <v>44453</v>
      </c>
      <c r="L5223" t="s">
        <v>44456</v>
      </c>
      <c r="M5223" t="s">
        <v>25</v>
      </c>
      <c r="N5223" t="s">
        <v>44457</v>
      </c>
      <c r="O5223" t="s">
        <v>25</v>
      </c>
      <c r="P5223" t="s">
        <v>44458</v>
      </c>
      <c r="Q5223" t="s">
        <v>29</v>
      </c>
      <c r="R5223" t="s">
        <v>44454</v>
      </c>
      <c r="S5223" t="s">
        <v>44455</v>
      </c>
    </row>
    <row r="5224" spans="1:19" x14ac:dyDescent="0.25">
      <c r="A5224" s="1">
        <v>5222</v>
      </c>
      <c r="B5224" t="str">
        <f>HYPERLINK("https://www.dasschnelle.at/baggerungen-wastl-gmbh-puchkirchen-am-trattberg-gewerbepark","Website")</f>
        <v>Website</v>
      </c>
      <c r="C5224" t="str">
        <f>HYPERLINK("http://www.zellampettenfirst.at","Website")</f>
        <v>Website</v>
      </c>
      <c r="D5224" t="str">
        <f>HYPERLINK("http://www.google.com/maps/place/48.0410280,13.5802433","Location")</f>
        <v>Location</v>
      </c>
      <c r="E5224" t="s">
        <v>44459</v>
      </c>
      <c r="F5224" t="s">
        <v>44460</v>
      </c>
      <c r="G5224" t="s">
        <v>26386</v>
      </c>
      <c r="H5224" t="s">
        <v>44461</v>
      </c>
      <c r="I5224" t="s">
        <v>85</v>
      </c>
      <c r="J5224" t="s">
        <v>22</v>
      </c>
      <c r="K5224" t="s">
        <v>3971</v>
      </c>
      <c r="L5224" t="s">
        <v>44464</v>
      </c>
      <c r="M5224" t="s">
        <v>25</v>
      </c>
      <c r="N5224" t="s">
        <v>44465</v>
      </c>
      <c r="O5224" t="s">
        <v>44466</v>
      </c>
      <c r="P5224" t="s">
        <v>697</v>
      </c>
      <c r="Q5224" t="s">
        <v>29</v>
      </c>
      <c r="R5224" t="s">
        <v>44462</v>
      </c>
      <c r="S5224" t="s">
        <v>44463</v>
      </c>
    </row>
    <row r="5225" spans="1:19" x14ac:dyDescent="0.25">
      <c r="A5225" s="1">
        <v>5223</v>
      </c>
      <c r="B5225" t="str">
        <f>HYPERLINK("https://www.dasschnelle.at/comecare-vöcklabruck-hausruckstraße","Website")</f>
        <v>Website</v>
      </c>
      <c r="C5225" t="str">
        <f>HYPERLINK("http://www.cosmecare.at","Website")</f>
        <v>Website</v>
      </c>
      <c r="D5225" t="str">
        <f>HYPERLINK("http://www.google.com/maps/place/48.01123,13.65849","Location")</f>
        <v>Location</v>
      </c>
      <c r="E5225" t="s">
        <v>44467</v>
      </c>
      <c r="F5225" t="s">
        <v>44468</v>
      </c>
      <c r="G5225" t="s">
        <v>3749</v>
      </c>
      <c r="H5225" t="s">
        <v>3750</v>
      </c>
      <c r="I5225" t="s">
        <v>85</v>
      </c>
      <c r="J5225" t="s">
        <v>22</v>
      </c>
      <c r="K5225" t="s">
        <v>44469</v>
      </c>
      <c r="L5225" t="s">
        <v>44472</v>
      </c>
      <c r="M5225" t="s">
        <v>25</v>
      </c>
      <c r="N5225" t="s">
        <v>44473</v>
      </c>
      <c r="O5225" t="s">
        <v>25</v>
      </c>
      <c r="P5225" t="s">
        <v>44474</v>
      </c>
      <c r="Q5225" t="s">
        <v>29</v>
      </c>
      <c r="R5225" t="s">
        <v>44470</v>
      </c>
      <c r="S5225" t="s">
        <v>44471</v>
      </c>
    </row>
    <row r="5226" spans="1:19" x14ac:dyDescent="0.25">
      <c r="A5226" s="1">
        <v>5224</v>
      </c>
      <c r="B5226" t="str">
        <f>HYPERLINK("https://www.dasschnelle.at/mag-karin-schwaiger-steuerberatungskanzlei-gmbh-vomp-au","Website")</f>
        <v>Website</v>
      </c>
      <c r="C5226" t="str">
        <f>HYPERLINK("http://www.steuer-schwaiger.at","Website")</f>
        <v>Website</v>
      </c>
      <c r="D5226" t="str">
        <f>HYPERLINK("http://www.google.com/maps/place/47.35797,11.70413","Location")</f>
        <v>Location</v>
      </c>
      <c r="E5226" t="s">
        <v>44475</v>
      </c>
      <c r="F5226" t="s">
        <v>44476</v>
      </c>
      <c r="G5226" t="s">
        <v>4293</v>
      </c>
      <c r="H5226" t="s">
        <v>4294</v>
      </c>
      <c r="I5226" t="s">
        <v>21</v>
      </c>
      <c r="J5226" t="s">
        <v>22</v>
      </c>
      <c r="K5226" t="s">
        <v>44477</v>
      </c>
      <c r="L5226" t="s">
        <v>44480</v>
      </c>
      <c r="M5226" t="s">
        <v>25</v>
      </c>
      <c r="N5226" t="s">
        <v>44481</v>
      </c>
      <c r="O5226" t="s">
        <v>44482</v>
      </c>
      <c r="P5226" t="s">
        <v>697</v>
      </c>
      <c r="Q5226" t="s">
        <v>29</v>
      </c>
      <c r="R5226" t="s">
        <v>44478</v>
      </c>
      <c r="S5226" t="s">
        <v>44479</v>
      </c>
    </row>
    <row r="5227" spans="1:19" x14ac:dyDescent="0.25">
      <c r="A5227" s="1">
        <v>5225</v>
      </c>
      <c r="B5227" t="str">
        <f>HYPERLINK("https://www.dasschnelle.at/mayerhofer-herbert-liezen-hauptstraße","Website")</f>
        <v>Website</v>
      </c>
      <c r="C5227" t="str">
        <f>HYPERLINK("http://www.orthoschuh.at","Website")</f>
        <v>Website</v>
      </c>
      <c r="D5227" t="str">
        <f>HYPERLINK("http://www.google.com/maps/place/47.56351,14.24421","Location")</f>
        <v>Location</v>
      </c>
      <c r="E5227" t="s">
        <v>44483</v>
      </c>
      <c r="F5227" t="s">
        <v>44484</v>
      </c>
      <c r="G5227" t="s">
        <v>1095</v>
      </c>
      <c r="H5227" t="s">
        <v>1096</v>
      </c>
      <c r="I5227" t="s">
        <v>451</v>
      </c>
      <c r="J5227" t="s">
        <v>22</v>
      </c>
      <c r="K5227" t="s">
        <v>33685</v>
      </c>
      <c r="L5227" t="s">
        <v>44487</v>
      </c>
      <c r="M5227" t="s">
        <v>25</v>
      </c>
      <c r="N5227" t="s">
        <v>44488</v>
      </c>
      <c r="O5227" t="s">
        <v>25</v>
      </c>
      <c r="P5227" t="s">
        <v>44489</v>
      </c>
      <c r="Q5227" t="s">
        <v>29</v>
      </c>
      <c r="R5227" t="s">
        <v>44485</v>
      </c>
      <c r="S5227" t="s">
        <v>44486</v>
      </c>
    </row>
    <row r="5228" spans="1:19" x14ac:dyDescent="0.25">
      <c r="A5228" s="1">
        <v>5226</v>
      </c>
      <c r="B5228" t="str">
        <f>HYPERLINK("https://www.dasschnelle.at/lüftenegger-reinhard-tamsweg-wölting","Website")</f>
        <v>Website</v>
      </c>
      <c r="C5228" t="str">
        <f>HYPERLINK("http://www.haustechnik-lueftenegger.at","Website")</f>
        <v>Website</v>
      </c>
      <c r="D5228" t="str">
        <f>HYPERLINK("http://www.google.com/maps/place/47.1448305,13.8086996","Location")</f>
        <v>Location</v>
      </c>
      <c r="E5228" t="s">
        <v>44490</v>
      </c>
      <c r="F5228" t="s">
        <v>44491</v>
      </c>
      <c r="G5228" t="s">
        <v>11522</v>
      </c>
      <c r="H5228" t="s">
        <v>11523</v>
      </c>
      <c r="I5228" t="s">
        <v>2239</v>
      </c>
      <c r="J5228" t="s">
        <v>22</v>
      </c>
      <c r="K5228" t="s">
        <v>44492</v>
      </c>
      <c r="L5228" t="s">
        <v>44495</v>
      </c>
      <c r="M5228" t="s">
        <v>25</v>
      </c>
      <c r="N5228" t="s">
        <v>44496</v>
      </c>
      <c r="O5228" t="s">
        <v>25</v>
      </c>
      <c r="P5228" t="s">
        <v>44497</v>
      </c>
      <c r="Q5228" t="s">
        <v>29</v>
      </c>
      <c r="R5228" t="s">
        <v>44493</v>
      </c>
      <c r="S5228" t="s">
        <v>44494</v>
      </c>
    </row>
    <row r="5229" spans="1:19" x14ac:dyDescent="0.25">
      <c r="A5229" s="1">
        <v>5227</v>
      </c>
      <c r="B5229" t="str">
        <f>HYPERLINK("https://www.dasschnelle.at/hk-elektrotechnik-umhausen-gscheat","Website")</f>
        <v>Website</v>
      </c>
      <c r="C5229" t="str">
        <f>HYPERLINK("http://www.elektrotechnik-hk.at","Website")</f>
        <v>Website</v>
      </c>
      <c r="D5229" t="str">
        <f>HYPERLINK("http://www.google.com/maps/place/47.1370510,10.9255710","Location")</f>
        <v>Location</v>
      </c>
      <c r="E5229" t="s">
        <v>44498</v>
      </c>
      <c r="F5229" t="s">
        <v>44499</v>
      </c>
      <c r="G5229" t="s">
        <v>7968</v>
      </c>
      <c r="H5229" t="s">
        <v>7969</v>
      </c>
      <c r="I5229" t="s">
        <v>21</v>
      </c>
      <c r="J5229" t="s">
        <v>22</v>
      </c>
      <c r="K5229" t="s">
        <v>44500</v>
      </c>
      <c r="L5229" t="s">
        <v>44503</v>
      </c>
      <c r="M5229" t="s">
        <v>25</v>
      </c>
      <c r="N5229" t="s">
        <v>44504</v>
      </c>
      <c r="O5229" t="s">
        <v>25</v>
      </c>
      <c r="P5229" t="s">
        <v>44505</v>
      </c>
      <c r="Q5229" t="s">
        <v>29</v>
      </c>
      <c r="R5229" t="s">
        <v>44501</v>
      </c>
      <c r="S5229" t="s">
        <v>44502</v>
      </c>
    </row>
    <row r="5230" spans="1:19" x14ac:dyDescent="0.25">
      <c r="A5230" s="1">
        <v>5228</v>
      </c>
      <c r="B5230" t="str">
        <f>HYPERLINK("https://www.dasschnelle.at/ac-altmann-christian-wartberg-hauptstraße","Website")</f>
        <v>Website</v>
      </c>
      <c r="C5230" t="str">
        <f>HYPERLINK("http://www.ac-altmann.at/","Website")</f>
        <v>Website</v>
      </c>
      <c r="D5230" t="str">
        <f>HYPERLINK("http://www.google.com/maps/place/48.0294300,14.1875900","Location")</f>
        <v>Location</v>
      </c>
      <c r="E5230" t="s">
        <v>44506</v>
      </c>
      <c r="F5230" t="s">
        <v>44507</v>
      </c>
      <c r="G5230" t="s">
        <v>12381</v>
      </c>
      <c r="H5230" t="s">
        <v>11974</v>
      </c>
      <c r="I5230" t="s">
        <v>85</v>
      </c>
      <c r="J5230" t="s">
        <v>22</v>
      </c>
      <c r="K5230" t="s">
        <v>12380</v>
      </c>
      <c r="L5230" t="s">
        <v>44510</v>
      </c>
      <c r="M5230" t="s">
        <v>25</v>
      </c>
      <c r="N5230" t="s">
        <v>44511</v>
      </c>
      <c r="O5230" t="s">
        <v>25</v>
      </c>
      <c r="P5230" t="s">
        <v>44512</v>
      </c>
      <c r="Q5230" t="s">
        <v>29</v>
      </c>
      <c r="R5230" t="s">
        <v>44508</v>
      </c>
      <c r="S5230" t="s">
        <v>44509</v>
      </c>
    </row>
    <row r="5231" spans="1:19" x14ac:dyDescent="0.25">
      <c r="A5231" s="1">
        <v>5229</v>
      </c>
      <c r="B5231" t="str">
        <f>HYPERLINK("https://www.dasschnelle.at/mazdra-tapezierer-wiener-neustadt-pottendorfer-straße","Website")</f>
        <v>Website</v>
      </c>
      <c r="C5231" t="str">
        <f>HYPERLINK("http://www.tapezierer-mazdra.at","Website")</f>
        <v>Website</v>
      </c>
      <c r="D5231" t="str">
        <f>HYPERLINK("http://www.google.com/maps/place/47.8319874,16.2656127","Location")</f>
        <v>Location</v>
      </c>
      <c r="E5231" t="s">
        <v>44513</v>
      </c>
      <c r="F5231" t="s">
        <v>44514</v>
      </c>
      <c r="G5231" t="s">
        <v>3962</v>
      </c>
      <c r="H5231" t="s">
        <v>3982</v>
      </c>
      <c r="I5231" t="s">
        <v>177</v>
      </c>
      <c r="J5231" t="s">
        <v>22</v>
      </c>
      <c r="K5231" t="s">
        <v>44515</v>
      </c>
      <c r="L5231" t="s">
        <v>44518</v>
      </c>
      <c r="M5231" t="s">
        <v>25</v>
      </c>
      <c r="N5231" t="s">
        <v>44519</v>
      </c>
      <c r="O5231" t="s">
        <v>25</v>
      </c>
      <c r="P5231" t="s">
        <v>44520</v>
      </c>
      <c r="Q5231" t="s">
        <v>29</v>
      </c>
      <c r="R5231" t="s">
        <v>44516</v>
      </c>
      <c r="S5231" t="s">
        <v>44517</v>
      </c>
    </row>
    <row r="5232" spans="1:19" x14ac:dyDescent="0.25">
      <c r="A5232" s="1">
        <v>5230</v>
      </c>
      <c r="B5232" t="str">
        <f>HYPERLINK("https://www.dasschnelle.at/mair-manuela-rietz-bundesstraße","Website")</f>
        <v>Website</v>
      </c>
      <c r="C5232" t="str">
        <f>HYPERLINK("https://www.dasschnelle.at/mair-manuela-rietz-bundesstra%C3%9Fe","Website")</f>
        <v>Website</v>
      </c>
      <c r="D5232" t="str">
        <f>HYPERLINK("http://www.google.com/maps/place/47.29188,11.03448","Location")</f>
        <v>Location</v>
      </c>
      <c r="E5232" t="s">
        <v>44521</v>
      </c>
      <c r="F5232" t="s">
        <v>44522</v>
      </c>
      <c r="G5232" t="s">
        <v>44524</v>
      </c>
      <c r="H5232" t="s">
        <v>44525</v>
      </c>
      <c r="I5232" t="s">
        <v>21</v>
      </c>
      <c r="J5232" t="s">
        <v>22</v>
      </c>
      <c r="K5232" t="s">
        <v>44523</v>
      </c>
      <c r="L5232" t="s">
        <v>44528</v>
      </c>
      <c r="M5232" t="s">
        <v>25</v>
      </c>
      <c r="N5232" t="s">
        <v>44529</v>
      </c>
      <c r="O5232" t="s">
        <v>25</v>
      </c>
      <c r="P5232" t="s">
        <v>44530</v>
      </c>
      <c r="Q5232" t="s">
        <v>29</v>
      </c>
      <c r="R5232" t="s">
        <v>44526</v>
      </c>
      <c r="S5232" t="s">
        <v>44527</v>
      </c>
    </row>
    <row r="5233" spans="1:19" x14ac:dyDescent="0.25">
      <c r="A5233" s="1">
        <v>5231</v>
      </c>
      <c r="B5233" t="str">
        <f>HYPERLINK("https://www.dasschnelle.at/gerald-hemetzberger-bikes-4-you-bad-goisern-am-hallstättersee-gschwandt","Website")</f>
        <v>Website</v>
      </c>
      <c r="C5233" t="str">
        <f>HYPERLINK("http://www.bikes4you.at","Website")</f>
        <v>Website</v>
      </c>
      <c r="D5233" t="str">
        <f>HYPERLINK("http://www.google.com/maps/place/47.6212339,13.6158295","Location")</f>
        <v>Location</v>
      </c>
      <c r="E5233" t="s">
        <v>44531</v>
      </c>
      <c r="F5233" t="s">
        <v>44532</v>
      </c>
      <c r="G5233" t="s">
        <v>2335</v>
      </c>
      <c r="H5233" t="s">
        <v>2436</v>
      </c>
      <c r="I5233" t="s">
        <v>85</v>
      </c>
      <c r="J5233" t="s">
        <v>22</v>
      </c>
      <c r="K5233" t="s">
        <v>44533</v>
      </c>
      <c r="L5233" t="s">
        <v>44536</v>
      </c>
      <c r="M5233" t="s">
        <v>25</v>
      </c>
      <c r="N5233" t="s">
        <v>44537</v>
      </c>
      <c r="O5233" t="s">
        <v>25</v>
      </c>
      <c r="P5233" t="s">
        <v>44538</v>
      </c>
      <c r="Q5233" t="s">
        <v>29</v>
      </c>
      <c r="R5233" t="s">
        <v>44534</v>
      </c>
      <c r="S5233" t="s">
        <v>44535</v>
      </c>
    </row>
    <row r="5234" spans="1:19" x14ac:dyDescent="0.25">
      <c r="A5234" s="1">
        <v>5232</v>
      </c>
      <c r="B5234" t="str">
        <f>HYPERLINK("https://www.dasschnelle.at/hebel-markus-u-elvira-ach-am-sandhügel","Website")</f>
        <v>Website</v>
      </c>
      <c r="C5234" t="str">
        <f>HYPERLINK("https://www.dasschnelle.at/hebel-markus-u-elvira-ach-am-sandh%C3%BCgel","Website")</f>
        <v>Website</v>
      </c>
      <c r="D5234" t="str">
        <f>HYPERLINK("http://www.google.com/maps/place/48.12993,12.87237","Location")</f>
        <v>Location</v>
      </c>
      <c r="E5234" t="s">
        <v>44539</v>
      </c>
      <c r="F5234" t="s">
        <v>44540</v>
      </c>
      <c r="G5234" t="s">
        <v>16660</v>
      </c>
      <c r="H5234" t="s">
        <v>16661</v>
      </c>
      <c r="I5234" t="s">
        <v>85</v>
      </c>
      <c r="J5234" t="s">
        <v>22</v>
      </c>
      <c r="K5234" t="s">
        <v>44541</v>
      </c>
      <c r="L5234" t="s">
        <v>44544</v>
      </c>
      <c r="M5234" t="s">
        <v>25</v>
      </c>
      <c r="N5234" t="s">
        <v>44545</v>
      </c>
      <c r="O5234" t="s">
        <v>25</v>
      </c>
      <c r="P5234" t="s">
        <v>44546</v>
      </c>
      <c r="Q5234" t="s">
        <v>29</v>
      </c>
      <c r="R5234" t="s">
        <v>44542</v>
      </c>
      <c r="S5234" t="s">
        <v>44543</v>
      </c>
    </row>
    <row r="5235" spans="1:19" x14ac:dyDescent="0.25">
      <c r="A5235" s="1">
        <v>5233</v>
      </c>
      <c r="B5235" t="str">
        <f>HYPERLINK("https://www.dasschnelle.at/lechner-hausservice-hr-lechner-großgmain-salzburgerstrasse","Website")</f>
        <v>Website</v>
      </c>
      <c r="C5235" t="str">
        <f>HYPERLINK("https://www.dasschnelle.at/lechner-hausservice-hr-lechner-gro%C3%9Fgmain-salzburgerstrasse","Website")</f>
        <v>Website</v>
      </c>
      <c r="D5235" t="str">
        <f>HYPERLINK("http://www.google.com/maps/place/47.74527,12.93126","Location")</f>
        <v>Location</v>
      </c>
      <c r="E5235" t="s">
        <v>44547</v>
      </c>
      <c r="F5235" t="s">
        <v>44548</v>
      </c>
      <c r="G5235" t="s">
        <v>44550</v>
      </c>
      <c r="H5235" t="s">
        <v>44551</v>
      </c>
      <c r="I5235" t="s">
        <v>2239</v>
      </c>
      <c r="J5235" t="s">
        <v>22</v>
      </c>
      <c r="K5235" t="s">
        <v>44549</v>
      </c>
      <c r="L5235" t="s">
        <v>44554</v>
      </c>
      <c r="M5235" t="s">
        <v>25</v>
      </c>
      <c r="N5235" t="s">
        <v>44555</v>
      </c>
      <c r="O5235" t="s">
        <v>25</v>
      </c>
      <c r="P5235" t="s">
        <v>44556</v>
      </c>
      <c r="Q5235" t="s">
        <v>29</v>
      </c>
      <c r="R5235" t="s">
        <v>44552</v>
      </c>
      <c r="S5235" t="s">
        <v>44553</v>
      </c>
    </row>
    <row r="5236" spans="1:19" x14ac:dyDescent="0.25">
      <c r="A5236" s="1">
        <v>5234</v>
      </c>
      <c r="B5236" t="str">
        <f>HYPERLINK("https://www.dasschnelle.at/kinderarzt-bruck-an-der-mur-dr-mossier-und-dr-in-rapp-bruck-an-der-mur-erzherzog-johann-gasse","Website")</f>
        <v>Website</v>
      </c>
      <c r="C5236" t="str">
        <f>HYPERLINK("http://www.kinderarzt-bruck.at","Website")</f>
        <v>Website</v>
      </c>
      <c r="D5236" t="str">
        <f>HYPERLINK("http://www.google.com/maps/place/47.4079836,15.2740238","Location")</f>
        <v>Location</v>
      </c>
      <c r="E5236" t="s">
        <v>44557</v>
      </c>
      <c r="F5236" t="s">
        <v>44558</v>
      </c>
      <c r="G5236" t="s">
        <v>3052</v>
      </c>
      <c r="H5236" t="s">
        <v>3053</v>
      </c>
      <c r="I5236" t="s">
        <v>451</v>
      </c>
      <c r="J5236" t="s">
        <v>22</v>
      </c>
      <c r="K5236" t="s">
        <v>44559</v>
      </c>
      <c r="L5236" t="s">
        <v>44562</v>
      </c>
      <c r="M5236" t="s">
        <v>25</v>
      </c>
      <c r="N5236" t="s">
        <v>44563</v>
      </c>
      <c r="O5236" t="s">
        <v>25</v>
      </c>
      <c r="P5236" t="s">
        <v>44564</v>
      </c>
      <c r="Q5236" t="s">
        <v>29</v>
      </c>
      <c r="R5236" t="s">
        <v>44560</v>
      </c>
      <c r="S5236" t="s">
        <v>44561</v>
      </c>
    </row>
    <row r="5237" spans="1:19" x14ac:dyDescent="0.25">
      <c r="A5237" s="1">
        <v>5235</v>
      </c>
      <c r="B5237" t="str">
        <f>HYPERLINK("https://www.dasschnelle.at/l-h-handwerk-aus-leidenschaft-e-u-groß-gerungs-unterer-marktplatz","Website")</f>
        <v>Website</v>
      </c>
      <c r="C5237" t="str">
        <f>HYPERLINK("http://www.lhandwerk.at","Website")</f>
        <v>Website</v>
      </c>
      <c r="D5237" t="str">
        <f>HYPERLINK("http://www.google.com/maps/place/48.57436,14.95878","Location")</f>
        <v>Location</v>
      </c>
      <c r="E5237" t="s">
        <v>44565</v>
      </c>
      <c r="F5237" t="s">
        <v>44566</v>
      </c>
      <c r="G5237" t="s">
        <v>11242</v>
      </c>
      <c r="H5237" t="s">
        <v>11252</v>
      </c>
      <c r="I5237" t="s">
        <v>177</v>
      </c>
      <c r="J5237" t="s">
        <v>22</v>
      </c>
      <c r="K5237" t="s">
        <v>44567</v>
      </c>
      <c r="L5237" t="s">
        <v>44570</v>
      </c>
      <c r="M5237" t="s">
        <v>25</v>
      </c>
      <c r="N5237" t="s">
        <v>44571</v>
      </c>
      <c r="O5237" t="s">
        <v>25</v>
      </c>
      <c r="P5237" t="s">
        <v>44572</v>
      </c>
      <c r="Q5237" t="s">
        <v>29</v>
      </c>
      <c r="R5237" t="s">
        <v>44568</v>
      </c>
      <c r="S5237" t="s">
        <v>44569</v>
      </c>
    </row>
    <row r="5238" spans="1:19" x14ac:dyDescent="0.25">
      <c r="A5238" s="1">
        <v>5236</v>
      </c>
      <c r="B5238" t="str">
        <f>HYPERLINK("https://www.dasschnelle.at/gspandl-naturstein-gmbh-und-co-kg-kufstein-anton-karg-straße","Website")</f>
        <v>Website</v>
      </c>
      <c r="C5238" t="str">
        <f>HYPERLINK("http://www.gspandl-naturstein.at","Website")</f>
        <v>Website</v>
      </c>
      <c r="D5238" t="str">
        <f>HYPERLINK("http://www.google.com/maps/place/47.58644,12.17356","Location")</f>
        <v>Location</v>
      </c>
      <c r="E5238" t="s">
        <v>44573</v>
      </c>
      <c r="F5238" t="s">
        <v>44574</v>
      </c>
      <c r="G5238" t="s">
        <v>19</v>
      </c>
      <c r="H5238" t="s">
        <v>20</v>
      </c>
      <c r="I5238" t="s">
        <v>21</v>
      </c>
      <c r="J5238" t="s">
        <v>22</v>
      </c>
      <c r="K5238" t="s">
        <v>44575</v>
      </c>
      <c r="L5238" t="s">
        <v>44578</v>
      </c>
      <c r="M5238" t="s">
        <v>25</v>
      </c>
      <c r="N5238" t="s">
        <v>44579</v>
      </c>
      <c r="O5238" t="s">
        <v>25</v>
      </c>
      <c r="P5238" t="s">
        <v>44580</v>
      </c>
      <c r="Q5238" t="s">
        <v>29</v>
      </c>
      <c r="R5238" t="s">
        <v>44576</v>
      </c>
      <c r="S5238" t="s">
        <v>44577</v>
      </c>
    </row>
    <row r="5239" spans="1:19" x14ac:dyDescent="0.25">
      <c r="A5239" s="1">
        <v>5237</v>
      </c>
      <c r="B5239" t="str">
        <f>HYPERLINK("https://www.dasschnelle.at/elektro-brettfeld-gesmbh-elixhausen-mattseer-landesstraße","Website")</f>
        <v>Website</v>
      </c>
      <c r="C5239" t="str">
        <f>HYPERLINK("http://www.brettfeld.at","Website")</f>
        <v>Website</v>
      </c>
      <c r="D5239" t="str">
        <f>HYPERLINK("http://www.google.com/maps/place/47.86558,13.06386","Location")</f>
        <v>Location</v>
      </c>
      <c r="E5239" t="s">
        <v>44581</v>
      </c>
      <c r="F5239" t="s">
        <v>44582</v>
      </c>
      <c r="G5239" t="s">
        <v>44584</v>
      </c>
      <c r="H5239" t="s">
        <v>44585</v>
      </c>
      <c r="I5239" t="s">
        <v>2239</v>
      </c>
      <c r="J5239" t="s">
        <v>22</v>
      </c>
      <c r="K5239" t="s">
        <v>44583</v>
      </c>
      <c r="L5239" t="s">
        <v>44588</v>
      </c>
      <c r="M5239" t="s">
        <v>25</v>
      </c>
      <c r="N5239" t="s">
        <v>44589</v>
      </c>
      <c r="O5239" t="s">
        <v>25</v>
      </c>
      <c r="P5239" t="s">
        <v>44590</v>
      </c>
      <c r="Q5239" t="s">
        <v>29</v>
      </c>
      <c r="R5239" t="s">
        <v>44586</v>
      </c>
      <c r="S5239" t="s">
        <v>44587</v>
      </c>
    </row>
    <row r="5240" spans="1:19" x14ac:dyDescent="0.25">
      <c r="A5240" s="1">
        <v>5238</v>
      </c>
      <c r="B5240" t="str">
        <f>HYPERLINK("https://www.dasschnelle.at/pugganig-karl-hunnenbrunn-hunnenbrunn-bundesstraße","Website")</f>
        <v>Website</v>
      </c>
      <c r="C5240" t="str">
        <f>HYPERLINK("http://www.purpurrot.at","Website")</f>
        <v>Website</v>
      </c>
      <c r="D5240" t="str">
        <f>HYPERLINK("http://www.google.com/maps/place/46.7843748,14.3765924","Location")</f>
        <v>Location</v>
      </c>
      <c r="E5240" t="s">
        <v>44591</v>
      </c>
      <c r="F5240" t="s">
        <v>44592</v>
      </c>
      <c r="G5240" t="s">
        <v>9689</v>
      </c>
      <c r="H5240" t="s">
        <v>26800</v>
      </c>
      <c r="I5240" t="s">
        <v>4130</v>
      </c>
      <c r="J5240" t="s">
        <v>22</v>
      </c>
      <c r="K5240" t="s">
        <v>44593</v>
      </c>
      <c r="L5240" t="s">
        <v>44596</v>
      </c>
      <c r="M5240" t="s">
        <v>44597</v>
      </c>
      <c r="N5240" t="s">
        <v>44598</v>
      </c>
      <c r="O5240" t="s">
        <v>25</v>
      </c>
      <c r="P5240" t="s">
        <v>44599</v>
      </c>
      <c r="Q5240" t="s">
        <v>29</v>
      </c>
      <c r="R5240" t="s">
        <v>44594</v>
      </c>
      <c r="S5240" t="s">
        <v>44595</v>
      </c>
    </row>
    <row r="5241" spans="1:19" x14ac:dyDescent="0.25">
      <c r="A5241" s="1">
        <v>5239</v>
      </c>
      <c r="B5241" t="str">
        <f>HYPERLINK("https://www.dasschnelle.at/freithofnig-bernhard-sankt-veit-klagenfurter-straße","Website")</f>
        <v>Website</v>
      </c>
      <c r="C5241" t="str">
        <f>HYPERLINK("http://www.malerei-freithofnig.at","Website")</f>
        <v>Website</v>
      </c>
      <c r="D5241" t="str">
        <f>HYPERLINK("http://www.google.com/maps/place/46.7507074,14.3799648","Location")</f>
        <v>Location</v>
      </c>
      <c r="E5241" t="s">
        <v>44600</v>
      </c>
      <c r="F5241" t="s">
        <v>44601</v>
      </c>
      <c r="G5241" t="s">
        <v>9689</v>
      </c>
      <c r="H5241" t="s">
        <v>25307</v>
      </c>
      <c r="I5241" t="s">
        <v>4130</v>
      </c>
      <c r="J5241" t="s">
        <v>22</v>
      </c>
      <c r="K5241" t="s">
        <v>44602</v>
      </c>
      <c r="L5241" t="s">
        <v>44605</v>
      </c>
      <c r="M5241" t="s">
        <v>25</v>
      </c>
      <c r="N5241" t="s">
        <v>44606</v>
      </c>
      <c r="O5241" t="s">
        <v>25</v>
      </c>
      <c r="P5241" t="s">
        <v>44607</v>
      </c>
      <c r="Q5241" t="s">
        <v>29</v>
      </c>
      <c r="R5241" t="s">
        <v>44603</v>
      </c>
      <c r="S5241" t="s">
        <v>44604</v>
      </c>
    </row>
    <row r="5242" spans="1:19" x14ac:dyDescent="0.25">
      <c r="A5242" s="1">
        <v>5240</v>
      </c>
      <c r="B5242" t="str">
        <f>HYPERLINK("https://www.dasschnelle.at/taferner-gabriele-althofen-untermarkter-straße","Website")</f>
        <v>Website</v>
      </c>
      <c r="C5242" t="str">
        <f>HYPERLINK("http://www.schneiderei-gabriele.at","Website")</f>
        <v>Website</v>
      </c>
      <c r="D5242" t="str">
        <f>HYPERLINK("http://www.google.com/maps/place/46.87049,14.47862","Location")</f>
        <v>Location</v>
      </c>
      <c r="E5242" t="s">
        <v>44608</v>
      </c>
      <c r="F5242" t="s">
        <v>44609</v>
      </c>
      <c r="G5242" t="s">
        <v>9679</v>
      </c>
      <c r="H5242" t="s">
        <v>24971</v>
      </c>
      <c r="I5242" t="s">
        <v>4130</v>
      </c>
      <c r="J5242" t="s">
        <v>22</v>
      </c>
      <c r="K5242" t="s">
        <v>44610</v>
      </c>
      <c r="L5242" t="s">
        <v>44613</v>
      </c>
      <c r="M5242" t="s">
        <v>25</v>
      </c>
      <c r="N5242" t="s">
        <v>44614</v>
      </c>
      <c r="O5242" t="s">
        <v>25</v>
      </c>
      <c r="P5242" t="s">
        <v>44615</v>
      </c>
      <c r="Q5242" t="s">
        <v>29</v>
      </c>
      <c r="R5242" t="s">
        <v>44611</v>
      </c>
      <c r="S5242" t="s">
        <v>44612</v>
      </c>
    </row>
    <row r="5243" spans="1:19" x14ac:dyDescent="0.25">
      <c r="A5243" s="1">
        <v>5241</v>
      </c>
      <c r="B5243" t="str">
        <f>HYPERLINK("https://www.dasschnelle.at/jostex-textilreinigung-jost-marion-st-veit-an-der-glan-lastenstraße","Website")</f>
        <v>Website</v>
      </c>
      <c r="C5243" t="str">
        <f>HYPERLINK("http://www.jostex.eu","Website")</f>
        <v>Website</v>
      </c>
      <c r="D5243" t="str">
        <f>HYPERLINK("http://www.google.com/maps/place/46.7623596,14.3578339","Location")</f>
        <v>Location</v>
      </c>
      <c r="E5243" t="s">
        <v>44616</v>
      </c>
      <c r="F5243" t="s">
        <v>44617</v>
      </c>
      <c r="G5243" t="s">
        <v>9689</v>
      </c>
      <c r="H5243" t="s">
        <v>43222</v>
      </c>
      <c r="I5243" t="s">
        <v>4130</v>
      </c>
      <c r="J5243" t="s">
        <v>22</v>
      </c>
      <c r="K5243" t="s">
        <v>44618</v>
      </c>
      <c r="L5243" t="s">
        <v>44621</v>
      </c>
      <c r="M5243" t="s">
        <v>25</v>
      </c>
      <c r="N5243" t="s">
        <v>44622</v>
      </c>
      <c r="O5243" t="s">
        <v>25</v>
      </c>
      <c r="P5243" t="s">
        <v>44623</v>
      </c>
      <c r="Q5243" t="s">
        <v>29</v>
      </c>
      <c r="R5243" t="s">
        <v>44619</v>
      </c>
      <c r="S5243" t="s">
        <v>44620</v>
      </c>
    </row>
    <row r="5244" spans="1:19" x14ac:dyDescent="0.25">
      <c r="A5244" s="1">
        <v>5242</v>
      </c>
      <c r="B5244" t="str">
        <f>HYPERLINK("https://www.dasschnelle.at/blumen-haßhold-althofen-friesacher-straße","Website")</f>
        <v>Website</v>
      </c>
      <c r="C5244" t="str">
        <f>HYPERLINK("http://www.hasshold-blumengenuss.at","Website")</f>
        <v>Website</v>
      </c>
      <c r="D5244" t="str">
        <f>HYPERLINK("http://www.google.com/maps/place/46.86529,14.47328","Location")</f>
        <v>Location</v>
      </c>
      <c r="E5244" t="s">
        <v>44624</v>
      </c>
      <c r="F5244" t="s">
        <v>44625</v>
      </c>
      <c r="G5244" t="s">
        <v>9679</v>
      </c>
      <c r="H5244" t="s">
        <v>24971</v>
      </c>
      <c r="I5244" t="s">
        <v>4130</v>
      </c>
      <c r="J5244" t="s">
        <v>22</v>
      </c>
      <c r="K5244" t="s">
        <v>44626</v>
      </c>
      <c r="L5244" t="s">
        <v>44629</v>
      </c>
      <c r="M5244" t="s">
        <v>25</v>
      </c>
      <c r="N5244" t="s">
        <v>44630</v>
      </c>
      <c r="O5244" t="s">
        <v>25</v>
      </c>
      <c r="P5244" t="s">
        <v>44631</v>
      </c>
      <c r="Q5244" t="s">
        <v>29</v>
      </c>
      <c r="R5244" t="s">
        <v>44627</v>
      </c>
      <c r="S5244" t="s">
        <v>44628</v>
      </c>
    </row>
    <row r="5245" spans="1:19" x14ac:dyDescent="0.25">
      <c r="A5245" s="1">
        <v>5243</v>
      </c>
      <c r="B5245" t="str">
        <f>HYPERLINK("https://www.dasschnelle.at/autohaus-steinwender-gmbh-weitensfeld-kaindorf","Website")</f>
        <v>Website</v>
      </c>
      <c r="C5245" t="str">
        <f>HYPERLINK("http://www.auto-steinwender.at","Website")</f>
        <v>Website</v>
      </c>
      <c r="D5245" t="str">
        <f>HYPERLINK("http://www.google.com/maps/place/46.8509401,14.1666683","Location")</f>
        <v>Location</v>
      </c>
      <c r="E5245" t="s">
        <v>44632</v>
      </c>
      <c r="F5245" t="s">
        <v>44633</v>
      </c>
      <c r="G5245" t="s">
        <v>44326</v>
      </c>
      <c r="H5245" t="s">
        <v>44327</v>
      </c>
      <c r="I5245" t="s">
        <v>4130</v>
      </c>
      <c r="J5245" t="s">
        <v>22</v>
      </c>
      <c r="K5245" t="s">
        <v>44634</v>
      </c>
      <c r="L5245" t="s">
        <v>44637</v>
      </c>
      <c r="M5245" t="s">
        <v>25</v>
      </c>
      <c r="N5245" t="s">
        <v>44638</v>
      </c>
      <c r="O5245" t="s">
        <v>25</v>
      </c>
      <c r="P5245" t="s">
        <v>44639</v>
      </c>
      <c r="Q5245" t="s">
        <v>29</v>
      </c>
      <c r="R5245" t="s">
        <v>44635</v>
      </c>
      <c r="S5245" t="s">
        <v>44636</v>
      </c>
    </row>
    <row r="5246" spans="1:19" x14ac:dyDescent="0.25">
      <c r="A5246" s="1">
        <v>5244</v>
      </c>
      <c r="B5246" t="str">
        <f>HYPERLINK("https://www.dasschnelle.at/bad-und-energie-zotter-gmbh-friesach-solarstraße","Website")</f>
        <v>Website</v>
      </c>
      <c r="C5246" t="str">
        <f>HYPERLINK("http://www.zotterbad.at","Website")</f>
        <v>Website</v>
      </c>
      <c r="D5246" t="str">
        <f>HYPERLINK("http://www.google.com/maps/place/46.9635300,14.3983900","Location")</f>
        <v>Location</v>
      </c>
      <c r="E5246" t="s">
        <v>44640</v>
      </c>
      <c r="F5246" t="s">
        <v>44641</v>
      </c>
      <c r="G5246" t="s">
        <v>26556</v>
      </c>
      <c r="H5246" t="s">
        <v>26557</v>
      </c>
      <c r="I5246" t="s">
        <v>4130</v>
      </c>
      <c r="J5246" t="s">
        <v>22</v>
      </c>
      <c r="K5246" t="s">
        <v>44642</v>
      </c>
      <c r="L5246" t="s">
        <v>44645</v>
      </c>
      <c r="M5246" t="s">
        <v>44646</v>
      </c>
      <c r="N5246" t="s">
        <v>44647</v>
      </c>
      <c r="O5246" t="s">
        <v>25</v>
      </c>
      <c r="P5246" t="s">
        <v>44648</v>
      </c>
      <c r="Q5246" t="s">
        <v>29</v>
      </c>
      <c r="R5246" t="s">
        <v>44643</v>
      </c>
      <c r="S5246" t="s">
        <v>44644</v>
      </c>
    </row>
    <row r="5247" spans="1:19" x14ac:dyDescent="0.25">
      <c r="A5247" s="1">
        <v>5245</v>
      </c>
      <c r="B5247" t="str">
        <f>HYPERLINK("https://www.dasschnelle.at/köfler-proßnigg-irmgard-dr-glödnitz-hemmaplatz","Website")</f>
        <v>Website</v>
      </c>
      <c r="C5247" t="str">
        <f>HYPERLINK("https://www.dasschnelle.at/k%C3%B6fler-pro%C3%9Fnigg-irmgard-dr-gl%C3%B6dnitz-hemmaplatz","Website")</f>
        <v>Website</v>
      </c>
      <c r="D5247" t="str">
        <f>HYPERLINK("http://www.google.com/maps/place/46.87397,14.11881","Location")</f>
        <v>Location</v>
      </c>
      <c r="E5247" t="s">
        <v>44649</v>
      </c>
      <c r="F5247" t="s">
        <v>44650</v>
      </c>
      <c r="G5247" t="s">
        <v>44652</v>
      </c>
      <c r="H5247" t="s">
        <v>44653</v>
      </c>
      <c r="I5247" t="s">
        <v>4130</v>
      </c>
      <c r="J5247" t="s">
        <v>22</v>
      </c>
      <c r="K5247" t="s">
        <v>44651</v>
      </c>
      <c r="L5247" t="s">
        <v>44656</v>
      </c>
      <c r="M5247" t="s">
        <v>25</v>
      </c>
      <c r="N5247" t="s">
        <v>25</v>
      </c>
      <c r="O5247" t="s">
        <v>25</v>
      </c>
      <c r="P5247" t="s">
        <v>44657</v>
      </c>
      <c r="Q5247" t="s">
        <v>29</v>
      </c>
      <c r="R5247" t="s">
        <v>44654</v>
      </c>
      <c r="S5247" t="s">
        <v>44655</v>
      </c>
    </row>
    <row r="5248" spans="1:19" x14ac:dyDescent="0.25">
      <c r="A5248" s="1">
        <v>5246</v>
      </c>
      <c r="B5248" t="str">
        <f>HYPERLINK("https://www.dasschnelle.at/peter-aicher-schwanenstadt-niederholzham","Website")</f>
        <v>Website</v>
      </c>
      <c r="C5248" t="str">
        <f>HYPERLINK("https://www.dasschnelle.at/peter-aicher-schwanenstadt-niederholzham","Website")</f>
        <v>Website</v>
      </c>
      <c r="D5248" t="str">
        <f>HYPERLINK("http://www.google.com/maps/place/48.06813,13.76106","Location")</f>
        <v>Location</v>
      </c>
      <c r="E5248" t="s">
        <v>44658</v>
      </c>
      <c r="F5248" t="s">
        <v>44659</v>
      </c>
      <c r="G5248" t="s">
        <v>27331</v>
      </c>
      <c r="H5248" t="s">
        <v>27332</v>
      </c>
      <c r="I5248" t="s">
        <v>85</v>
      </c>
      <c r="J5248" t="s">
        <v>22</v>
      </c>
      <c r="K5248" t="s">
        <v>44660</v>
      </c>
      <c r="L5248" t="s">
        <v>44663</v>
      </c>
      <c r="M5248" t="s">
        <v>25</v>
      </c>
      <c r="N5248" t="s">
        <v>25</v>
      </c>
      <c r="O5248" t="s">
        <v>25</v>
      </c>
      <c r="P5248" t="s">
        <v>44664</v>
      </c>
      <c r="Q5248" t="s">
        <v>29</v>
      </c>
      <c r="R5248" t="s">
        <v>44661</v>
      </c>
      <c r="S5248" t="s">
        <v>44662</v>
      </c>
    </row>
    <row r="5249" spans="1:19" x14ac:dyDescent="0.25">
      <c r="A5249" s="1">
        <v>5247</v>
      </c>
      <c r="B5249" t="str">
        <f>HYPERLINK("https://www.dasschnelle.at/köppl-schwanenstadt-pitzenbergholz","Website")</f>
        <v>Website</v>
      </c>
      <c r="C5249" t="str">
        <f>HYPERLINK("http://www.gartenkoeppl.at","Website")</f>
        <v>Website</v>
      </c>
      <c r="D5249" t="str">
        <f>HYPERLINK("http://www.google.com/maps/place/48.0618393,13.7360320","Location")</f>
        <v>Location</v>
      </c>
      <c r="E5249" t="s">
        <v>44665</v>
      </c>
      <c r="F5249" t="s">
        <v>44666</v>
      </c>
      <c r="G5249" t="s">
        <v>27331</v>
      </c>
      <c r="H5249" t="s">
        <v>27332</v>
      </c>
      <c r="I5249" t="s">
        <v>85</v>
      </c>
      <c r="J5249" t="s">
        <v>22</v>
      </c>
      <c r="K5249" t="s">
        <v>44667</v>
      </c>
      <c r="L5249" t="s">
        <v>44670</v>
      </c>
      <c r="M5249" t="s">
        <v>25</v>
      </c>
      <c r="N5249" t="s">
        <v>44671</v>
      </c>
      <c r="O5249" t="s">
        <v>25</v>
      </c>
      <c r="P5249" t="s">
        <v>44672</v>
      </c>
      <c r="Q5249" t="s">
        <v>29</v>
      </c>
      <c r="R5249" t="s">
        <v>44668</v>
      </c>
      <c r="S5249" t="s">
        <v>44669</v>
      </c>
    </row>
    <row r="5250" spans="1:19" x14ac:dyDescent="0.25">
      <c r="A5250" s="1">
        <v>5248</v>
      </c>
      <c r="B5250" t="str">
        <f>HYPERLINK("https://www.dasschnelle.at/strickbar-roswitha-mair-schwanenstadt-stadtplatz","Website")</f>
        <v>Website</v>
      </c>
      <c r="C5250" t="str">
        <f>HYPERLINK("http://www.strickbar.at","Website")</f>
        <v>Website</v>
      </c>
      <c r="D5250" t="str">
        <f>HYPERLINK("http://www.google.com/maps/place/48.0544275,13.7733986","Location")</f>
        <v>Location</v>
      </c>
      <c r="E5250" t="s">
        <v>44673</v>
      </c>
      <c r="F5250" t="s">
        <v>44674</v>
      </c>
      <c r="G5250" t="s">
        <v>27331</v>
      </c>
      <c r="H5250" t="s">
        <v>27332</v>
      </c>
      <c r="I5250" t="s">
        <v>85</v>
      </c>
      <c r="J5250" t="s">
        <v>22</v>
      </c>
      <c r="K5250" t="s">
        <v>18105</v>
      </c>
      <c r="L5250" t="s">
        <v>44677</v>
      </c>
      <c r="M5250" t="s">
        <v>25</v>
      </c>
      <c r="N5250" t="s">
        <v>44678</v>
      </c>
      <c r="O5250" t="s">
        <v>25</v>
      </c>
      <c r="P5250" t="s">
        <v>44679</v>
      </c>
      <c r="Q5250" t="s">
        <v>29</v>
      </c>
      <c r="R5250" t="s">
        <v>44675</v>
      </c>
      <c r="S5250" t="s">
        <v>44676</v>
      </c>
    </row>
    <row r="5251" spans="1:19" x14ac:dyDescent="0.25">
      <c r="A5251" s="1">
        <v>5249</v>
      </c>
      <c r="B5251" t="str">
        <f>HYPERLINK("https://www.dasschnelle.at/leicht-gmbh-und-co-attnang-puchheim-mitterweg","Website")</f>
        <v>Website</v>
      </c>
      <c r="C5251" t="str">
        <f>HYPERLINK("http://www.kuechenleicht.at","Website")</f>
        <v>Website</v>
      </c>
      <c r="D5251" t="str">
        <f>HYPERLINK("http://www.google.com/maps/place/48.01176,13.72382","Location")</f>
        <v>Location</v>
      </c>
      <c r="E5251" t="s">
        <v>44680</v>
      </c>
      <c r="F5251" t="s">
        <v>44681</v>
      </c>
      <c r="G5251" t="s">
        <v>3728</v>
      </c>
      <c r="H5251" t="s">
        <v>3729</v>
      </c>
      <c r="I5251" t="s">
        <v>85</v>
      </c>
      <c r="J5251" t="s">
        <v>22</v>
      </c>
      <c r="K5251" t="s">
        <v>23111</v>
      </c>
      <c r="L5251" t="s">
        <v>44684</v>
      </c>
      <c r="M5251" t="s">
        <v>25</v>
      </c>
      <c r="N5251" t="s">
        <v>44685</v>
      </c>
      <c r="O5251" t="s">
        <v>25</v>
      </c>
      <c r="P5251" t="s">
        <v>44686</v>
      </c>
      <c r="Q5251" t="s">
        <v>29</v>
      </c>
      <c r="R5251" t="s">
        <v>44682</v>
      </c>
      <c r="S5251" t="s">
        <v>44683</v>
      </c>
    </row>
    <row r="5252" spans="1:19" x14ac:dyDescent="0.25">
      <c r="A5252" s="1">
        <v>5250</v>
      </c>
      <c r="B5252" t="str">
        <f>HYPERLINK("https://www.dasschnelle.at/moser-hubert-sankt-veit-gewerbestraße","Website")</f>
        <v>Website</v>
      </c>
      <c r="C5252" t="str">
        <f>HYPERLINK("https://www.dasschnelle.at/moser-hubert-sankt-veit-gewerbestra%C3%9Fe","Website")</f>
        <v>Website</v>
      </c>
      <c r="D5252" t="str">
        <f>HYPERLINK("http://www.google.com/maps/place/46.7584041,14.3519980","Location")</f>
        <v>Location</v>
      </c>
      <c r="E5252" t="s">
        <v>44687</v>
      </c>
      <c r="F5252" t="s">
        <v>44688</v>
      </c>
      <c r="G5252" t="s">
        <v>9689</v>
      </c>
      <c r="H5252" t="s">
        <v>25307</v>
      </c>
      <c r="I5252" t="s">
        <v>4130</v>
      </c>
      <c r="J5252" t="s">
        <v>22</v>
      </c>
      <c r="K5252" t="s">
        <v>44689</v>
      </c>
      <c r="L5252" t="s">
        <v>44692</v>
      </c>
      <c r="M5252" t="s">
        <v>25</v>
      </c>
      <c r="N5252" t="s">
        <v>44693</v>
      </c>
      <c r="O5252" t="s">
        <v>25</v>
      </c>
      <c r="P5252" t="s">
        <v>44694</v>
      </c>
      <c r="Q5252" t="s">
        <v>29</v>
      </c>
      <c r="R5252" t="s">
        <v>44690</v>
      </c>
      <c r="S5252" t="s">
        <v>44691</v>
      </c>
    </row>
    <row r="5253" spans="1:19" x14ac:dyDescent="0.25">
      <c r="A5253" s="1">
        <v>5251</v>
      </c>
      <c r="B5253" t="str">
        <f>HYPERLINK("https://www.dasschnelle.at/hugo-kogler-sankt-veit-personalstraße","Website")</f>
        <v>Website</v>
      </c>
      <c r="C5253" t="str">
        <f>HYPERLINK("http://www.hugo-kogler.at","Website")</f>
        <v>Website</v>
      </c>
      <c r="D5253" t="str">
        <f>HYPERLINK("http://www.google.com/maps/place/46.7651501,14.3591520","Location")</f>
        <v>Location</v>
      </c>
      <c r="E5253" t="s">
        <v>44695</v>
      </c>
      <c r="F5253" t="s">
        <v>44696</v>
      </c>
      <c r="G5253" t="s">
        <v>9689</v>
      </c>
      <c r="H5253" t="s">
        <v>25307</v>
      </c>
      <c r="I5253" t="s">
        <v>4130</v>
      </c>
      <c r="J5253" t="s">
        <v>22</v>
      </c>
      <c r="K5253" t="s">
        <v>44697</v>
      </c>
      <c r="L5253" t="s">
        <v>44700</v>
      </c>
      <c r="M5253" t="s">
        <v>25</v>
      </c>
      <c r="N5253" t="s">
        <v>44701</v>
      </c>
      <c r="O5253" t="s">
        <v>25</v>
      </c>
      <c r="P5253" t="s">
        <v>44702</v>
      </c>
      <c r="Q5253" t="s">
        <v>29</v>
      </c>
      <c r="R5253" t="s">
        <v>44698</v>
      </c>
      <c r="S5253" t="s">
        <v>44699</v>
      </c>
    </row>
    <row r="5254" spans="1:19" x14ac:dyDescent="0.25">
      <c r="A5254" s="1">
        <v>5252</v>
      </c>
      <c r="B5254" t="str">
        <f>HYPERLINK("https://www.dasschnelle.at/buttinger-gmbh-seewalchen-am-attersee-carl-häupl-weg","Website")</f>
        <v>Website</v>
      </c>
      <c r="C5254" t="str">
        <f>HYPERLINK("http://www.taxi-buttinger.at","Website")</f>
        <v>Website</v>
      </c>
      <c r="D5254" t="str">
        <f>HYPERLINK("http://www.google.com/maps/place/47.95564,13.58016","Location")</f>
        <v>Location</v>
      </c>
      <c r="E5254" t="s">
        <v>44703</v>
      </c>
      <c r="F5254" t="s">
        <v>44704</v>
      </c>
      <c r="G5254" t="s">
        <v>3785</v>
      </c>
      <c r="H5254" t="s">
        <v>3786</v>
      </c>
      <c r="I5254" t="s">
        <v>85</v>
      </c>
      <c r="J5254" t="s">
        <v>22</v>
      </c>
      <c r="K5254" t="s">
        <v>44705</v>
      </c>
      <c r="L5254" t="s">
        <v>44708</v>
      </c>
      <c r="M5254" t="s">
        <v>25</v>
      </c>
      <c r="N5254" t="s">
        <v>44709</v>
      </c>
      <c r="O5254" t="s">
        <v>25</v>
      </c>
      <c r="P5254" t="s">
        <v>44710</v>
      </c>
      <c r="Q5254" t="s">
        <v>29</v>
      </c>
      <c r="R5254" t="s">
        <v>44706</v>
      </c>
      <c r="S5254" t="s">
        <v>44707</v>
      </c>
    </row>
    <row r="5255" spans="1:19" x14ac:dyDescent="0.25">
      <c r="A5255" s="1">
        <v>5253</v>
      </c>
      <c r="B5255" t="str">
        <f>HYPERLINK("https://www.dasschnelle.at/blumen-gebetsroither-timelkam-lerchenfeldstraße","Website")</f>
        <v>Website</v>
      </c>
      <c r="C5255" t="str">
        <f>HYPERLINK("http://www.blumengebetsroither.at","Website")</f>
        <v>Website</v>
      </c>
      <c r="D5255" t="str">
        <f>HYPERLINK("http://www.google.com/maps/place/48.0013,13.60976","Location")</f>
        <v>Location</v>
      </c>
      <c r="E5255" t="s">
        <v>44711</v>
      </c>
      <c r="F5255" t="s">
        <v>44712</v>
      </c>
      <c r="G5255" t="s">
        <v>3739</v>
      </c>
      <c r="H5255" t="s">
        <v>3740</v>
      </c>
      <c r="I5255" t="s">
        <v>85</v>
      </c>
      <c r="J5255" t="s">
        <v>22</v>
      </c>
      <c r="K5255" t="s">
        <v>44713</v>
      </c>
      <c r="L5255" t="s">
        <v>44716</v>
      </c>
      <c r="M5255" t="s">
        <v>25</v>
      </c>
      <c r="N5255" t="s">
        <v>44717</v>
      </c>
      <c r="O5255" t="s">
        <v>25</v>
      </c>
      <c r="P5255" t="s">
        <v>44718</v>
      </c>
      <c r="Q5255" t="s">
        <v>29</v>
      </c>
      <c r="R5255" t="s">
        <v>44714</v>
      </c>
      <c r="S5255" t="s">
        <v>44715</v>
      </c>
    </row>
    <row r="5256" spans="1:19" x14ac:dyDescent="0.25">
      <c r="A5256" s="1">
        <v>5254</v>
      </c>
      <c r="B5256" t="str">
        <f>HYPERLINK("https://www.dasschnelle.at/peschka-s-wtw-franz-dachdeckerei-spenglerei-gesmbh-sankt-veit-schießstattallee","Website")</f>
        <v>Website</v>
      </c>
      <c r="C5256" t="str">
        <f>HYPERLINK("http://www.dach-peschka.at","Website")</f>
        <v>Website</v>
      </c>
      <c r="D5256" t="str">
        <f>HYPERLINK("http://www.google.com/maps/place/46.7582860,14.3574065","Location")</f>
        <v>Location</v>
      </c>
      <c r="E5256" t="s">
        <v>44719</v>
      </c>
      <c r="F5256" t="s">
        <v>44720</v>
      </c>
      <c r="G5256" t="s">
        <v>9689</v>
      </c>
      <c r="H5256" t="s">
        <v>25307</v>
      </c>
      <c r="I5256" t="s">
        <v>4130</v>
      </c>
      <c r="J5256" t="s">
        <v>22</v>
      </c>
      <c r="K5256" t="s">
        <v>44721</v>
      </c>
      <c r="L5256" t="s">
        <v>44724</v>
      </c>
      <c r="M5256" t="s">
        <v>44725</v>
      </c>
      <c r="N5256" t="s">
        <v>44726</v>
      </c>
      <c r="O5256" t="s">
        <v>25</v>
      </c>
      <c r="P5256" t="s">
        <v>44727</v>
      </c>
      <c r="Q5256" t="s">
        <v>29</v>
      </c>
      <c r="R5256" t="s">
        <v>44722</v>
      </c>
      <c r="S5256" t="s">
        <v>44723</v>
      </c>
    </row>
    <row r="5257" spans="1:19" x14ac:dyDescent="0.25">
      <c r="A5257" s="1">
        <v>5255</v>
      </c>
      <c r="B5257" t="str">
        <f>HYPERLINK("https://www.dasschnelle.at/schwamberger-josef-st-georgen-im-attergau-agergasse","Website")</f>
        <v>Website</v>
      </c>
      <c r="C5257" t="str">
        <f>HYPERLINK("http://www.schwamberger-baustoffe.at","Website")</f>
        <v>Website</v>
      </c>
      <c r="D5257" t="str">
        <f>HYPERLINK("http://www.google.com/maps/place/47.93771,13.48446","Location")</f>
        <v>Location</v>
      </c>
      <c r="E5257" t="s">
        <v>44728</v>
      </c>
      <c r="F5257" t="s">
        <v>44729</v>
      </c>
      <c r="G5257" t="s">
        <v>3833</v>
      </c>
      <c r="H5257" t="s">
        <v>3834</v>
      </c>
      <c r="I5257" t="s">
        <v>85</v>
      </c>
      <c r="J5257" t="s">
        <v>22</v>
      </c>
      <c r="K5257" t="s">
        <v>44730</v>
      </c>
      <c r="L5257" t="s">
        <v>44733</v>
      </c>
      <c r="M5257" t="s">
        <v>25</v>
      </c>
      <c r="N5257" t="s">
        <v>44734</v>
      </c>
      <c r="O5257" t="s">
        <v>25</v>
      </c>
      <c r="P5257" t="s">
        <v>44735</v>
      </c>
      <c r="Q5257" t="s">
        <v>29</v>
      </c>
      <c r="R5257" t="s">
        <v>44731</v>
      </c>
      <c r="S5257" t="s">
        <v>44732</v>
      </c>
    </row>
    <row r="5258" spans="1:19" x14ac:dyDescent="0.25">
      <c r="A5258" s="1">
        <v>5256</v>
      </c>
      <c r="B5258" t="str">
        <f>HYPERLINK("https://www.dasschnelle.at/haberl-gernot-st-georgen-im-attergau-attergaustraße","Website")</f>
        <v>Website</v>
      </c>
      <c r="C5258" t="str">
        <f>HYPERLINK("https://www.dasschnelle.at/haberl-gernot-st-georgen-im-attergau-attergaustra%C3%9Fe","Website")</f>
        <v>Website</v>
      </c>
      <c r="D5258" t="str">
        <f>HYPERLINK("http://www.google.com/maps/place/47.9356,13.48055","Location")</f>
        <v>Location</v>
      </c>
      <c r="E5258" t="s">
        <v>44736</v>
      </c>
      <c r="F5258" t="s">
        <v>44737</v>
      </c>
      <c r="G5258" t="s">
        <v>3833</v>
      </c>
      <c r="H5258" t="s">
        <v>3834</v>
      </c>
      <c r="I5258" t="s">
        <v>85</v>
      </c>
      <c r="J5258" t="s">
        <v>22</v>
      </c>
      <c r="K5258" t="s">
        <v>44738</v>
      </c>
      <c r="L5258" t="s">
        <v>44741</v>
      </c>
      <c r="M5258" t="s">
        <v>25</v>
      </c>
      <c r="N5258" t="s">
        <v>44742</v>
      </c>
      <c r="O5258" t="s">
        <v>25</v>
      </c>
      <c r="P5258" t="s">
        <v>44743</v>
      </c>
      <c r="Q5258" t="s">
        <v>29</v>
      </c>
      <c r="R5258" t="s">
        <v>44739</v>
      </c>
      <c r="S5258" t="s">
        <v>44740</v>
      </c>
    </row>
    <row r="5259" spans="1:19" x14ac:dyDescent="0.25">
      <c r="A5259" s="1">
        <v>5257</v>
      </c>
      <c r="B5259" t="str">
        <f>HYPERLINK("https://www.dasschnelle.at/enthammer-karin-sankt-georgen-im-attergau-jakitschgasse","Website")</f>
        <v>Website</v>
      </c>
      <c r="C5259" t="str">
        <f>HYPERLINK("http://www.enthammer-polsterungen.at","Website")</f>
        <v>Website</v>
      </c>
      <c r="D5259" t="str">
        <f>HYPERLINK("http://www.google.com/maps/place/47.9327,13.49576","Location")</f>
        <v>Location</v>
      </c>
      <c r="E5259" t="s">
        <v>44744</v>
      </c>
      <c r="F5259" t="s">
        <v>44745</v>
      </c>
      <c r="G5259" t="s">
        <v>3833</v>
      </c>
      <c r="H5259" t="s">
        <v>26014</v>
      </c>
      <c r="I5259" t="s">
        <v>85</v>
      </c>
      <c r="J5259" t="s">
        <v>22</v>
      </c>
      <c r="K5259" t="s">
        <v>44746</v>
      </c>
      <c r="L5259" t="s">
        <v>44749</v>
      </c>
      <c r="M5259" t="s">
        <v>25</v>
      </c>
      <c r="N5259" t="s">
        <v>44750</v>
      </c>
      <c r="O5259" t="s">
        <v>25</v>
      </c>
      <c r="P5259" t="s">
        <v>44751</v>
      </c>
      <c r="Q5259" t="s">
        <v>29</v>
      </c>
      <c r="R5259" t="s">
        <v>44747</v>
      </c>
      <c r="S5259" t="s">
        <v>44748</v>
      </c>
    </row>
    <row r="5260" spans="1:19" x14ac:dyDescent="0.25">
      <c r="A5260" s="1">
        <v>5258</v>
      </c>
      <c r="B5260" t="str">
        <f>HYPERLINK("https://www.dasschnelle.at/kandussi-dachdeckungs-gmbh-st-veit-an-der-glan-industriestraße","Website")</f>
        <v>Website</v>
      </c>
      <c r="C5260" t="str">
        <f>HYPERLINK("http://www.kandussidach.at","Website")</f>
        <v>Website</v>
      </c>
      <c r="D5260" t="str">
        <f>HYPERLINK("http://www.google.com/maps/place/46.7602011,14.3536875","Location")</f>
        <v>Location</v>
      </c>
      <c r="E5260" t="s">
        <v>44752</v>
      </c>
      <c r="F5260" t="s">
        <v>44753</v>
      </c>
      <c r="G5260" t="s">
        <v>9689</v>
      </c>
      <c r="H5260" t="s">
        <v>43222</v>
      </c>
      <c r="I5260" t="s">
        <v>4130</v>
      </c>
      <c r="J5260" t="s">
        <v>22</v>
      </c>
      <c r="K5260" t="s">
        <v>44754</v>
      </c>
      <c r="L5260" t="s">
        <v>44757</v>
      </c>
      <c r="M5260" t="s">
        <v>25</v>
      </c>
      <c r="N5260" t="s">
        <v>44758</v>
      </c>
      <c r="O5260" t="s">
        <v>25</v>
      </c>
      <c r="P5260" t="s">
        <v>44759</v>
      </c>
      <c r="Q5260" t="s">
        <v>29</v>
      </c>
      <c r="R5260" t="s">
        <v>44755</v>
      </c>
      <c r="S5260" t="s">
        <v>44756</v>
      </c>
    </row>
    <row r="5261" spans="1:19" x14ac:dyDescent="0.25">
      <c r="A5261" s="1">
        <v>5259</v>
      </c>
      <c r="B5261" t="str">
        <f>HYPERLINK("https://www.dasschnelle.at/bergmair-brigitta-sankt-georgen-im-attergau-mondseerstraße","Website")</f>
        <v>Website</v>
      </c>
      <c r="C5261" t="str">
        <f>HYPERLINK("https://www.dasschnelle.at/bergmair-brigitta-sankt-georgen-im-attergau-mondseerstra%C3%9Fe","Website")</f>
        <v>Website</v>
      </c>
      <c r="D5261" t="str">
        <f>HYPERLINK("http://www.google.com/maps/place/47.9332700,13.4783200","Location")</f>
        <v>Location</v>
      </c>
      <c r="E5261" t="s">
        <v>44760</v>
      </c>
      <c r="F5261" t="s">
        <v>44761</v>
      </c>
      <c r="G5261" t="s">
        <v>3833</v>
      </c>
      <c r="H5261" t="s">
        <v>26014</v>
      </c>
      <c r="I5261" t="s">
        <v>85</v>
      </c>
      <c r="J5261" t="s">
        <v>22</v>
      </c>
      <c r="K5261" t="s">
        <v>44762</v>
      </c>
      <c r="L5261" t="s">
        <v>44765</v>
      </c>
      <c r="M5261" t="s">
        <v>25</v>
      </c>
      <c r="N5261" t="s">
        <v>44766</v>
      </c>
      <c r="O5261" t="s">
        <v>44767</v>
      </c>
      <c r="P5261" t="s">
        <v>44768</v>
      </c>
      <c r="Q5261" t="s">
        <v>29</v>
      </c>
      <c r="R5261" t="s">
        <v>44763</v>
      </c>
      <c r="S5261" t="s">
        <v>44764</v>
      </c>
    </row>
    <row r="5262" spans="1:19" x14ac:dyDescent="0.25">
      <c r="A5262" s="1">
        <v>5260</v>
      </c>
      <c r="B5262" t="str">
        <f>HYPERLINK("https://www.dasschnelle.at/1a-cars-frankenburg-am-hausruck-au","Website")</f>
        <v>Website</v>
      </c>
      <c r="C5262" t="str">
        <f>HYPERLINK("http://www.kfz-gadermair.at","Website")</f>
        <v>Website</v>
      </c>
      <c r="D5262" t="str">
        <f>HYPERLINK("http://www.google.com/maps/place/48.0516787,13.4854083","Location")</f>
        <v>Location</v>
      </c>
      <c r="E5262" t="s">
        <v>44769</v>
      </c>
      <c r="F5262" t="s">
        <v>44770</v>
      </c>
      <c r="G5262" t="s">
        <v>3795</v>
      </c>
      <c r="H5262" t="s">
        <v>3796</v>
      </c>
      <c r="I5262" t="s">
        <v>85</v>
      </c>
      <c r="J5262" t="s">
        <v>22</v>
      </c>
      <c r="K5262" t="s">
        <v>44771</v>
      </c>
      <c r="L5262" t="s">
        <v>44774</v>
      </c>
      <c r="M5262" t="s">
        <v>25</v>
      </c>
      <c r="N5262" t="s">
        <v>44775</v>
      </c>
      <c r="O5262" t="s">
        <v>25</v>
      </c>
      <c r="P5262" t="s">
        <v>44776</v>
      </c>
      <c r="Q5262" t="s">
        <v>29</v>
      </c>
      <c r="R5262" t="s">
        <v>44772</v>
      </c>
      <c r="S5262" t="s">
        <v>44773</v>
      </c>
    </row>
    <row r="5263" spans="1:19" x14ac:dyDescent="0.25">
      <c r="A5263" s="1">
        <v>5261</v>
      </c>
      <c r="B5263" t="str">
        <f>HYPERLINK("https://www.dasschnelle.at/rfe-gase-gmbh-vöcklabruck-wagrainer-straße","Website")</f>
        <v>Website</v>
      </c>
      <c r="C5263" t="str">
        <f>HYPERLINK("http://www.rfe.at","Website")</f>
        <v>Website</v>
      </c>
      <c r="D5263" t="str">
        <f>HYPERLINK("http://www.google.com/maps/place/48.0057234,13.6659292","Location")</f>
        <v>Location</v>
      </c>
      <c r="E5263" t="s">
        <v>44777</v>
      </c>
      <c r="F5263" t="s">
        <v>44778</v>
      </c>
      <c r="G5263" t="s">
        <v>3749</v>
      </c>
      <c r="H5263" t="s">
        <v>3750</v>
      </c>
      <c r="I5263" t="s">
        <v>85</v>
      </c>
      <c r="J5263" t="s">
        <v>22</v>
      </c>
      <c r="K5263" t="s">
        <v>44779</v>
      </c>
      <c r="L5263" t="s">
        <v>44782</v>
      </c>
      <c r="M5263" t="s">
        <v>25</v>
      </c>
      <c r="N5263" t="s">
        <v>44783</v>
      </c>
      <c r="O5263" t="s">
        <v>25</v>
      </c>
      <c r="P5263" t="s">
        <v>44784</v>
      </c>
      <c r="Q5263" t="s">
        <v>29</v>
      </c>
      <c r="R5263" t="s">
        <v>44780</v>
      </c>
      <c r="S5263" t="s">
        <v>44781</v>
      </c>
    </row>
    <row r="5264" spans="1:19" x14ac:dyDescent="0.25">
      <c r="A5264" s="1">
        <v>5262</v>
      </c>
      <c r="B5264" t="str">
        <f>HYPERLINK("https://www.dasschnelle.at/schmidtmayr-auto-gmbh-haslach-haslach","Website")</f>
        <v>Website</v>
      </c>
      <c r="C5264" t="str">
        <f>HYPERLINK("http://www.peugeot-schmidtmayr.at","Website")</f>
        <v>Website</v>
      </c>
      <c r="D5264" t="str">
        <f>HYPERLINK("http://www.google.com/maps/place/48.0362300,13.4922983","Location")</f>
        <v>Location</v>
      </c>
      <c r="E5264" t="s">
        <v>44785</v>
      </c>
      <c r="F5264" t="s">
        <v>44786</v>
      </c>
      <c r="G5264" t="s">
        <v>41373</v>
      </c>
      <c r="H5264" t="s">
        <v>44788</v>
      </c>
      <c r="I5264" t="s">
        <v>85</v>
      </c>
      <c r="J5264" t="s">
        <v>22</v>
      </c>
      <c r="K5264" t="s">
        <v>44787</v>
      </c>
      <c r="L5264" t="s">
        <v>44791</v>
      </c>
      <c r="M5264" t="s">
        <v>44792</v>
      </c>
      <c r="N5264" t="s">
        <v>44793</v>
      </c>
      <c r="O5264" t="s">
        <v>25</v>
      </c>
      <c r="P5264" t="s">
        <v>44794</v>
      </c>
      <c r="Q5264" t="s">
        <v>29</v>
      </c>
      <c r="R5264" t="s">
        <v>44789</v>
      </c>
      <c r="S5264" t="s">
        <v>44790</v>
      </c>
    </row>
    <row r="5265" spans="1:19" x14ac:dyDescent="0.25">
      <c r="A5265" s="1">
        <v>5263</v>
      </c>
      <c r="B5265" t="str">
        <f>HYPERLINK("https://www.dasschnelle.at/stallinger-johann-zipf-zipf","Website")</f>
        <v>Website</v>
      </c>
      <c r="C5265" t="str">
        <f>HYPERLINK("https://www.dasschnelle.at/stallinger-johann-zipf-zipf","Website")</f>
        <v>Website</v>
      </c>
      <c r="D5265" t="str">
        <f>HYPERLINK("http://www.google.com/maps/place/48.0260739,13.5004702","Location")</f>
        <v>Location</v>
      </c>
      <c r="E5265" t="s">
        <v>44795</v>
      </c>
      <c r="F5265" t="s">
        <v>44796</v>
      </c>
      <c r="G5265" t="s">
        <v>41373</v>
      </c>
      <c r="H5265" t="s">
        <v>41374</v>
      </c>
      <c r="I5265" t="s">
        <v>85</v>
      </c>
      <c r="J5265" t="s">
        <v>22</v>
      </c>
      <c r="K5265" t="s">
        <v>44797</v>
      </c>
      <c r="L5265" t="s">
        <v>44800</v>
      </c>
      <c r="M5265" t="s">
        <v>25</v>
      </c>
      <c r="N5265" t="s">
        <v>44801</v>
      </c>
      <c r="O5265" t="s">
        <v>25</v>
      </c>
      <c r="P5265" t="s">
        <v>44802</v>
      </c>
      <c r="Q5265" t="s">
        <v>29</v>
      </c>
      <c r="R5265" t="s">
        <v>44798</v>
      </c>
      <c r="S5265" t="s">
        <v>44799</v>
      </c>
    </row>
    <row r="5266" spans="1:19" x14ac:dyDescent="0.25">
      <c r="A5266" s="1">
        <v>5264</v>
      </c>
      <c r="B5266" t="str">
        <f>HYPERLINK("https://www.dasschnelle.at/grafenhofer-raumausstattung-kg-vöcklamarkt-hauptstraße","Website")</f>
        <v>Website</v>
      </c>
      <c r="C5266" t="str">
        <f>HYPERLINK("http://www.raumausstatter-grafenhofer.at","Website")</f>
        <v>Website</v>
      </c>
      <c r="D5266" t="str">
        <f>HYPERLINK("http://www.google.com/maps/place/48.00155,13.48299","Location")</f>
        <v>Location</v>
      </c>
      <c r="E5266" t="s">
        <v>44803</v>
      </c>
      <c r="F5266" t="s">
        <v>44804</v>
      </c>
      <c r="G5266" t="s">
        <v>3823</v>
      </c>
      <c r="H5266" t="s">
        <v>3824</v>
      </c>
      <c r="I5266" t="s">
        <v>85</v>
      </c>
      <c r="J5266" t="s">
        <v>22</v>
      </c>
      <c r="K5266" t="s">
        <v>19314</v>
      </c>
      <c r="L5266" t="s">
        <v>44807</v>
      </c>
      <c r="M5266" t="s">
        <v>44808</v>
      </c>
      <c r="N5266" t="s">
        <v>44809</v>
      </c>
      <c r="O5266" t="s">
        <v>25</v>
      </c>
      <c r="P5266" t="s">
        <v>44810</v>
      </c>
      <c r="Q5266" t="s">
        <v>29</v>
      </c>
      <c r="R5266" t="s">
        <v>44805</v>
      </c>
      <c r="S5266" t="s">
        <v>44806</v>
      </c>
    </row>
    <row r="5267" spans="1:19" x14ac:dyDescent="0.25">
      <c r="A5267" s="1">
        <v>5265</v>
      </c>
      <c r="B5267" t="str">
        <f>HYPERLINK("https://www.dasschnelle.at/lohninger-erdbau-gmbh-vöcklamarkt-schmidham","Website")</f>
        <v>Website</v>
      </c>
      <c r="C5267" t="str">
        <f>HYPERLINK("http://www.Baggerungen-Lohninger.at","Website")</f>
        <v>Website</v>
      </c>
      <c r="D5267" t="str">
        <f>HYPERLINK("http://www.google.com/maps/place/47.9699693,13.4749304","Location")</f>
        <v>Location</v>
      </c>
      <c r="E5267" t="s">
        <v>44811</v>
      </c>
      <c r="F5267" t="s">
        <v>44812</v>
      </c>
      <c r="G5267" t="s">
        <v>3823</v>
      </c>
      <c r="H5267" t="s">
        <v>3824</v>
      </c>
      <c r="I5267" t="s">
        <v>85</v>
      </c>
      <c r="J5267" t="s">
        <v>22</v>
      </c>
      <c r="K5267" t="s">
        <v>44813</v>
      </c>
      <c r="L5267" t="s">
        <v>44816</v>
      </c>
      <c r="M5267" t="s">
        <v>25</v>
      </c>
      <c r="N5267" t="s">
        <v>44817</v>
      </c>
      <c r="O5267" t="s">
        <v>25</v>
      </c>
      <c r="P5267" t="s">
        <v>44818</v>
      </c>
      <c r="Q5267" t="s">
        <v>29</v>
      </c>
      <c r="R5267" t="s">
        <v>44814</v>
      </c>
      <c r="S5267" t="s">
        <v>44815</v>
      </c>
    </row>
    <row r="5268" spans="1:19" x14ac:dyDescent="0.25">
      <c r="A5268" s="1">
        <v>5266</v>
      </c>
      <c r="B5268" t="str">
        <f>HYPERLINK("https://www.dasschnelle.at/höller-sebastian-ampflwang-scharermühlenstraße","Website")</f>
        <v>Website</v>
      </c>
      <c r="C5268" t="str">
        <f>HYPERLINK("https://www.dasschnelle.at/h%C3%B6ller-sebastian-ampflwang-scharerm%C3%BChlenstra%C3%9Fe","Website")</f>
        <v>Website</v>
      </c>
      <c r="D5268" t="str">
        <f>HYPERLINK("http://www.google.com/maps/place/48.0858609,13.5628570","Location")</f>
        <v>Location</v>
      </c>
      <c r="E5268" t="s">
        <v>44819</v>
      </c>
      <c r="F5268" t="s">
        <v>44820</v>
      </c>
      <c r="G5268" t="s">
        <v>3805</v>
      </c>
      <c r="H5268" t="s">
        <v>3806</v>
      </c>
      <c r="I5268" t="s">
        <v>85</v>
      </c>
      <c r="J5268" t="s">
        <v>22</v>
      </c>
      <c r="K5268" t="s">
        <v>44821</v>
      </c>
      <c r="L5268" t="s">
        <v>44824</v>
      </c>
      <c r="M5268" t="s">
        <v>25</v>
      </c>
      <c r="N5268" t="s">
        <v>44825</v>
      </c>
      <c r="O5268" t="s">
        <v>25</v>
      </c>
      <c r="P5268" t="s">
        <v>44826</v>
      </c>
      <c r="Q5268" t="s">
        <v>29</v>
      </c>
      <c r="R5268" t="s">
        <v>44822</v>
      </c>
      <c r="S5268" t="s">
        <v>44823</v>
      </c>
    </row>
    <row r="5269" spans="1:19" x14ac:dyDescent="0.25">
      <c r="A5269" s="1">
        <v>5267</v>
      </c>
      <c r="B5269" t="str">
        <f>HYPERLINK("https://www.dasschnelle.at/dynamics-inh-h-lachinger-vöcklabruck-industriestraße","Website")</f>
        <v>Website</v>
      </c>
      <c r="C5269" t="str">
        <f>HYPERLINK("http://www.dynamics-lachinger.at","Website")</f>
        <v>Website</v>
      </c>
      <c r="D5269" t="str">
        <f>HYPERLINK("http://www.google.com/maps/place/48.00564,13.66788","Location")</f>
        <v>Location</v>
      </c>
      <c r="E5269" t="s">
        <v>44827</v>
      </c>
      <c r="F5269" t="s">
        <v>44828</v>
      </c>
      <c r="G5269" t="s">
        <v>3749</v>
      </c>
      <c r="H5269" t="s">
        <v>3750</v>
      </c>
      <c r="I5269" t="s">
        <v>85</v>
      </c>
      <c r="J5269" t="s">
        <v>22</v>
      </c>
      <c r="K5269" t="s">
        <v>44829</v>
      </c>
      <c r="L5269" t="s">
        <v>44832</v>
      </c>
      <c r="M5269" t="s">
        <v>25</v>
      </c>
      <c r="N5269" t="s">
        <v>44833</v>
      </c>
      <c r="O5269" t="s">
        <v>25</v>
      </c>
      <c r="P5269" t="s">
        <v>44834</v>
      </c>
      <c r="Q5269" t="s">
        <v>29</v>
      </c>
      <c r="R5269" t="s">
        <v>44830</v>
      </c>
      <c r="S5269" t="s">
        <v>44831</v>
      </c>
    </row>
    <row r="5270" spans="1:19" x14ac:dyDescent="0.25">
      <c r="A5270" s="1">
        <v>5268</v>
      </c>
      <c r="B5270" t="str">
        <f>HYPERLINK("https://www.dasschnelle.at/sport-lechner-frankenburg-am-hausruck-hauptstraße","Website")</f>
        <v>Website</v>
      </c>
      <c r="C5270" t="str">
        <f>HYPERLINK("http://www.sportlechner.at","Website")</f>
        <v>Website</v>
      </c>
      <c r="D5270" t="str">
        <f>HYPERLINK("http://www.google.com/maps/place/48.06757,13.48772","Location")</f>
        <v>Location</v>
      </c>
      <c r="E5270" t="s">
        <v>44835</v>
      </c>
      <c r="F5270" t="s">
        <v>44836</v>
      </c>
      <c r="G5270" t="s">
        <v>3795</v>
      </c>
      <c r="H5270" t="s">
        <v>3796</v>
      </c>
      <c r="I5270" t="s">
        <v>85</v>
      </c>
      <c r="J5270" t="s">
        <v>22</v>
      </c>
      <c r="K5270" t="s">
        <v>20559</v>
      </c>
      <c r="L5270" t="s">
        <v>44839</v>
      </c>
      <c r="M5270" t="s">
        <v>25</v>
      </c>
      <c r="N5270" t="s">
        <v>44840</v>
      </c>
      <c r="O5270" t="s">
        <v>25</v>
      </c>
      <c r="P5270" t="s">
        <v>44841</v>
      </c>
      <c r="Q5270" t="s">
        <v>29</v>
      </c>
      <c r="R5270" t="s">
        <v>44837</v>
      </c>
      <c r="S5270" t="s">
        <v>44838</v>
      </c>
    </row>
    <row r="5271" spans="1:19" x14ac:dyDescent="0.25">
      <c r="A5271" s="1">
        <v>5269</v>
      </c>
      <c r="B5271" t="str">
        <f>HYPERLINK("https://www.dasschnelle.at/krall-eva-maria-sankt-veit-an-der-glan-platz-am-graben","Website")</f>
        <v>Website</v>
      </c>
      <c r="C5271" t="str">
        <f>HYPERLINK("http://www.augenarzt-krall.at","Website")</f>
        <v>Website</v>
      </c>
      <c r="D5271" t="str">
        <f>HYPERLINK("http://www.google.com/maps/place/46.7665938,14.3610023","Location")</f>
        <v>Location</v>
      </c>
      <c r="E5271" t="s">
        <v>44842</v>
      </c>
      <c r="F5271" t="s">
        <v>44843</v>
      </c>
      <c r="G5271" t="s">
        <v>9689</v>
      </c>
      <c r="H5271" t="s">
        <v>9690</v>
      </c>
      <c r="I5271" t="s">
        <v>4130</v>
      </c>
      <c r="J5271" t="s">
        <v>22</v>
      </c>
      <c r="K5271" t="s">
        <v>44844</v>
      </c>
      <c r="L5271" t="s">
        <v>44847</v>
      </c>
      <c r="M5271" t="s">
        <v>25</v>
      </c>
      <c r="N5271" t="s">
        <v>25</v>
      </c>
      <c r="O5271" t="s">
        <v>25</v>
      </c>
      <c r="P5271" t="s">
        <v>44848</v>
      </c>
      <c r="Q5271" t="s">
        <v>29</v>
      </c>
      <c r="R5271" t="s">
        <v>44845</v>
      </c>
      <c r="S5271" t="s">
        <v>44846</v>
      </c>
    </row>
    <row r="5272" spans="1:19" x14ac:dyDescent="0.25">
      <c r="A5272" s="1">
        <v>5270</v>
      </c>
      <c r="B5272" t="str">
        <f>HYPERLINK("https://www.dasschnelle.at/taxi-service-manfred-sankt-veit-millenniumspark","Website")</f>
        <v>Website</v>
      </c>
      <c r="C5272" t="str">
        <f>HYPERLINK("http://www.taxiservice-2299.at","Website")</f>
        <v>Website</v>
      </c>
      <c r="D5272" t="str">
        <f>HYPERLINK("http://www.google.com/maps/place/46.7548429,14.3354500","Location")</f>
        <v>Location</v>
      </c>
      <c r="E5272" t="s">
        <v>44849</v>
      </c>
      <c r="F5272" t="s">
        <v>44850</v>
      </c>
      <c r="G5272" t="s">
        <v>9689</v>
      </c>
      <c r="H5272" t="s">
        <v>25307</v>
      </c>
      <c r="I5272" t="s">
        <v>4130</v>
      </c>
      <c r="J5272" t="s">
        <v>22</v>
      </c>
      <c r="K5272" t="s">
        <v>44851</v>
      </c>
      <c r="L5272" t="s">
        <v>44854</v>
      </c>
      <c r="M5272" t="s">
        <v>25</v>
      </c>
      <c r="N5272" t="s">
        <v>44855</v>
      </c>
      <c r="O5272" t="s">
        <v>25</v>
      </c>
      <c r="P5272" t="s">
        <v>44856</v>
      </c>
      <c r="Q5272" t="s">
        <v>29</v>
      </c>
      <c r="R5272" t="s">
        <v>44852</v>
      </c>
      <c r="S5272" t="s">
        <v>44853</v>
      </c>
    </row>
    <row r="5273" spans="1:19" x14ac:dyDescent="0.25">
      <c r="A5273" s="1">
        <v>5271</v>
      </c>
      <c r="B5273" t="str">
        <f>HYPERLINK("https://www.dasschnelle.at/bäckerei-oberndorfer-seewalchen-am-attersee-hatschekstraße","Website")</f>
        <v>Website</v>
      </c>
      <c r="C5273" t="str">
        <f>HYPERLINK("https://www.dasschnelle.at/b%C3%A4ckerei-oberndorfer-seewalchen-am-attersee-hatschekstra%C3%9Fe","Website")</f>
        <v>Website</v>
      </c>
      <c r="D5273" t="str">
        <f>HYPERLINK("http://www.google.com/maps/place/47.95501,13.58723","Location")</f>
        <v>Location</v>
      </c>
      <c r="E5273" t="s">
        <v>44857</v>
      </c>
      <c r="F5273" t="s">
        <v>44858</v>
      </c>
      <c r="G5273" t="s">
        <v>3785</v>
      </c>
      <c r="H5273" t="s">
        <v>3786</v>
      </c>
      <c r="I5273" t="s">
        <v>85</v>
      </c>
      <c r="J5273" t="s">
        <v>22</v>
      </c>
      <c r="K5273" t="s">
        <v>44859</v>
      </c>
      <c r="L5273" t="s">
        <v>44862</v>
      </c>
      <c r="M5273" t="s">
        <v>25</v>
      </c>
      <c r="N5273" t="s">
        <v>44863</v>
      </c>
      <c r="O5273" t="s">
        <v>25</v>
      </c>
      <c r="P5273" t="s">
        <v>44864</v>
      </c>
      <c r="Q5273" t="s">
        <v>29</v>
      </c>
      <c r="R5273" t="s">
        <v>44860</v>
      </c>
      <c r="S5273" t="s">
        <v>44861</v>
      </c>
    </row>
    <row r="5274" spans="1:19" x14ac:dyDescent="0.25">
      <c r="A5274" s="1">
        <v>5272</v>
      </c>
      <c r="B5274" t="str">
        <f>HYPERLINK("https://www.dasschnelle.at/neutron-handelsgmbh-hund-u-katzensalon-evelyn-seewalchen-am-attersee-kraims","Website")</f>
        <v>Website</v>
      </c>
      <c r="C5274" t="str">
        <f>HYPERLINK("http://www.hunde-und-katzensalon.at","Website")</f>
        <v>Website</v>
      </c>
      <c r="D5274" t="str">
        <f>HYPERLINK("http://www.google.com/maps/place/47.9706851,13.5864730","Location")</f>
        <v>Location</v>
      </c>
      <c r="E5274" t="s">
        <v>44865</v>
      </c>
      <c r="F5274" t="s">
        <v>44866</v>
      </c>
      <c r="G5274" t="s">
        <v>3785</v>
      </c>
      <c r="H5274" t="s">
        <v>3786</v>
      </c>
      <c r="I5274" t="s">
        <v>85</v>
      </c>
      <c r="J5274" t="s">
        <v>22</v>
      </c>
      <c r="K5274" t="s">
        <v>44867</v>
      </c>
      <c r="L5274" t="s">
        <v>44870</v>
      </c>
      <c r="M5274" t="s">
        <v>25</v>
      </c>
      <c r="N5274" t="s">
        <v>44871</v>
      </c>
      <c r="O5274" t="s">
        <v>25</v>
      </c>
      <c r="P5274" t="s">
        <v>44872</v>
      </c>
      <c r="Q5274" t="s">
        <v>29</v>
      </c>
      <c r="R5274" t="s">
        <v>44868</v>
      </c>
      <c r="S5274" t="s">
        <v>44869</v>
      </c>
    </row>
    <row r="5275" spans="1:19" x14ac:dyDescent="0.25">
      <c r="A5275" s="1">
        <v>5273</v>
      </c>
      <c r="B5275" t="str">
        <f>HYPERLINK("https://www.dasschnelle.at/gebetsroider-herbert-seewalchen-am-attersee-wagnerstraße","Website")</f>
        <v>Website</v>
      </c>
      <c r="C5275" t="str">
        <f>HYPERLINK("https://www.dasschnelle.at/gebetsroider-herbert-seewalchen-am-attersee-wagnerstra%C3%9Fe","Website")</f>
        <v>Website</v>
      </c>
      <c r="D5275" t="str">
        <f>HYPERLINK("http://www.google.com/maps/place/47.93998,13.56063","Location")</f>
        <v>Location</v>
      </c>
      <c r="E5275" t="s">
        <v>44873</v>
      </c>
      <c r="F5275" t="s">
        <v>44874</v>
      </c>
      <c r="G5275" t="s">
        <v>3785</v>
      </c>
      <c r="H5275" t="s">
        <v>3786</v>
      </c>
      <c r="I5275" t="s">
        <v>85</v>
      </c>
      <c r="J5275" t="s">
        <v>22</v>
      </c>
      <c r="K5275" t="s">
        <v>44875</v>
      </c>
      <c r="L5275" t="s">
        <v>44878</v>
      </c>
      <c r="M5275" t="s">
        <v>44879</v>
      </c>
      <c r="N5275" t="s">
        <v>44880</v>
      </c>
      <c r="O5275" t="s">
        <v>25</v>
      </c>
      <c r="P5275" t="s">
        <v>44881</v>
      </c>
      <c r="Q5275" t="s">
        <v>29</v>
      </c>
      <c r="R5275" t="s">
        <v>44876</v>
      </c>
      <c r="S5275" t="s">
        <v>44877</v>
      </c>
    </row>
    <row r="5276" spans="1:19" x14ac:dyDescent="0.25">
      <c r="A5276" s="1">
        <v>5274</v>
      </c>
      <c r="B5276" t="str">
        <f>HYPERLINK("https://www.dasschnelle.at/gehmayr-norbert-timelkam-oberthalheim","Website")</f>
        <v>Website</v>
      </c>
      <c r="C5276" t="str">
        <f>HYPERLINK("https://www.dasschnelle.at/gehmayr-norbert-timelkam-oberthalheim","Website")</f>
        <v>Website</v>
      </c>
      <c r="D5276" t="str">
        <f>HYPERLINK("http://www.google.com/maps/place/48.0054347,13.6311018","Location")</f>
        <v>Location</v>
      </c>
      <c r="E5276" t="s">
        <v>44882</v>
      </c>
      <c r="F5276" t="s">
        <v>44883</v>
      </c>
      <c r="G5276" t="s">
        <v>3739</v>
      </c>
      <c r="H5276" t="s">
        <v>3740</v>
      </c>
      <c r="I5276" t="s">
        <v>85</v>
      </c>
      <c r="J5276" t="s">
        <v>22</v>
      </c>
      <c r="K5276" t="s">
        <v>44884</v>
      </c>
      <c r="L5276" t="s">
        <v>44887</v>
      </c>
      <c r="M5276" t="s">
        <v>44888</v>
      </c>
      <c r="N5276" t="s">
        <v>44889</v>
      </c>
      <c r="O5276" t="s">
        <v>25</v>
      </c>
      <c r="P5276" t="s">
        <v>44890</v>
      </c>
      <c r="Q5276" t="s">
        <v>29</v>
      </c>
      <c r="R5276" t="s">
        <v>44885</v>
      </c>
      <c r="S5276" t="s">
        <v>44886</v>
      </c>
    </row>
    <row r="5277" spans="1:19" x14ac:dyDescent="0.25">
      <c r="A5277" s="1">
        <v>5275</v>
      </c>
      <c r="B5277" t="str">
        <f>HYPERLINK("https://www.dasschnelle.at/königseder-wolfgang-timelkam-mozartstraße","Website")</f>
        <v>Website</v>
      </c>
      <c r="C5277" t="str">
        <f>HYPERLINK("http://www.members.aon.at/fakoen","Website")</f>
        <v>Website</v>
      </c>
      <c r="D5277" t="str">
        <f>HYPERLINK("http://www.google.com/maps/place/48.00103,13.61246","Location")</f>
        <v>Location</v>
      </c>
      <c r="E5277" t="s">
        <v>44891</v>
      </c>
      <c r="F5277" t="s">
        <v>44892</v>
      </c>
      <c r="G5277" t="s">
        <v>3739</v>
      </c>
      <c r="H5277" t="s">
        <v>3740</v>
      </c>
      <c r="I5277" t="s">
        <v>85</v>
      </c>
      <c r="J5277" t="s">
        <v>22</v>
      </c>
      <c r="K5277" t="s">
        <v>44893</v>
      </c>
      <c r="L5277" t="s">
        <v>44895</v>
      </c>
      <c r="M5277" t="s">
        <v>25</v>
      </c>
      <c r="N5277" t="s">
        <v>44896</v>
      </c>
      <c r="O5277" t="s">
        <v>25</v>
      </c>
      <c r="P5277" t="s">
        <v>44897</v>
      </c>
      <c r="Q5277" t="s">
        <v>29</v>
      </c>
      <c r="R5277" t="s">
        <v>19684</v>
      </c>
      <c r="S5277" t="s">
        <v>44894</v>
      </c>
    </row>
    <row r="5278" spans="1:19" x14ac:dyDescent="0.25">
      <c r="A5278" s="1">
        <v>5276</v>
      </c>
      <c r="B5278" t="str">
        <f>HYPERLINK("https://www.dasschnelle.at/asm-sautner-handelsgesmbh-schörfling-gewerbepark","Website")</f>
        <v>Website</v>
      </c>
      <c r="C5278" t="str">
        <f>HYPERLINK("http://www.sautner.at","Website")</f>
        <v>Website</v>
      </c>
      <c r="D5278" t="str">
        <f>HYPERLINK("http://www.google.com/maps/place/47.9518119,13.6162390","Location")</f>
        <v>Location</v>
      </c>
      <c r="E5278" t="s">
        <v>44898</v>
      </c>
      <c r="F5278" t="s">
        <v>44899</v>
      </c>
      <c r="G5278" t="s">
        <v>3851</v>
      </c>
      <c r="H5278" t="s">
        <v>3852</v>
      </c>
      <c r="I5278" t="s">
        <v>85</v>
      </c>
      <c r="J5278" t="s">
        <v>22</v>
      </c>
      <c r="K5278" t="s">
        <v>29025</v>
      </c>
      <c r="L5278" t="s">
        <v>44902</v>
      </c>
      <c r="M5278" t="s">
        <v>25</v>
      </c>
      <c r="N5278" t="s">
        <v>44903</v>
      </c>
      <c r="O5278" t="s">
        <v>25</v>
      </c>
      <c r="P5278" t="s">
        <v>44904</v>
      </c>
      <c r="Q5278" t="s">
        <v>29</v>
      </c>
      <c r="R5278" t="s">
        <v>44900</v>
      </c>
      <c r="S5278" t="s">
        <v>44901</v>
      </c>
    </row>
    <row r="5279" spans="1:19" x14ac:dyDescent="0.25">
      <c r="A5279" s="1">
        <v>5277</v>
      </c>
      <c r="B5279" t="str">
        <f>HYPERLINK("https://www.dasschnelle.at/vöcklabrucker-karrosseriebau-gesmbh-vöcklabruck-telefunkenstraße","Website")</f>
        <v>Website</v>
      </c>
      <c r="C5279" t="str">
        <f>HYPERLINK("http://vb-karosseriebau.stadtausstellung.at","Website")</f>
        <v>Website</v>
      </c>
      <c r="D5279" t="str">
        <f>HYPERLINK("http://www.google.com/maps/place/48.00267,13.67801","Location")</f>
        <v>Location</v>
      </c>
      <c r="E5279" t="s">
        <v>44905</v>
      </c>
      <c r="F5279" t="s">
        <v>44906</v>
      </c>
      <c r="G5279" t="s">
        <v>3749</v>
      </c>
      <c r="H5279" t="s">
        <v>3750</v>
      </c>
      <c r="I5279" t="s">
        <v>85</v>
      </c>
      <c r="J5279" t="s">
        <v>22</v>
      </c>
      <c r="K5279" t="s">
        <v>44907</v>
      </c>
      <c r="L5279" t="s">
        <v>44910</v>
      </c>
      <c r="M5279" t="s">
        <v>25</v>
      </c>
      <c r="N5279" t="s">
        <v>44911</v>
      </c>
      <c r="O5279" t="s">
        <v>25</v>
      </c>
      <c r="P5279" t="s">
        <v>44912</v>
      </c>
      <c r="Q5279" t="s">
        <v>29</v>
      </c>
      <c r="R5279" t="s">
        <v>44908</v>
      </c>
      <c r="S5279" t="s">
        <v>44909</v>
      </c>
    </row>
    <row r="5280" spans="1:19" x14ac:dyDescent="0.25">
      <c r="A5280" s="1">
        <v>5278</v>
      </c>
      <c r="B5280" t="str">
        <f>HYPERLINK("https://www.dasschnelle.at/kriech-manuel-ampflwang-vöcklabrucker-straße","Website")</f>
        <v>Website</v>
      </c>
      <c r="C5280" t="str">
        <f>HYPERLINK("http://www.kriech-baumanagement.at","Website")</f>
        <v>Website</v>
      </c>
      <c r="D5280" t="str">
        <f>HYPERLINK("http://www.google.com/maps/place/48.0903820,13.5669107","Location")</f>
        <v>Location</v>
      </c>
      <c r="E5280" t="s">
        <v>44913</v>
      </c>
      <c r="F5280" t="s">
        <v>44914</v>
      </c>
      <c r="G5280" t="s">
        <v>3805</v>
      </c>
      <c r="H5280" t="s">
        <v>3806</v>
      </c>
      <c r="I5280" t="s">
        <v>85</v>
      </c>
      <c r="J5280" t="s">
        <v>22</v>
      </c>
      <c r="K5280" t="s">
        <v>44915</v>
      </c>
      <c r="L5280" t="s">
        <v>44918</v>
      </c>
      <c r="M5280" t="s">
        <v>25</v>
      </c>
      <c r="N5280" t="s">
        <v>44919</v>
      </c>
      <c r="O5280" t="s">
        <v>25</v>
      </c>
      <c r="P5280" t="s">
        <v>44920</v>
      </c>
      <c r="Q5280" t="s">
        <v>29</v>
      </c>
      <c r="R5280" t="s">
        <v>44916</v>
      </c>
      <c r="S5280" t="s">
        <v>44917</v>
      </c>
    </row>
    <row r="5281" spans="1:19" x14ac:dyDescent="0.25">
      <c r="A5281" s="1">
        <v>5279</v>
      </c>
      <c r="B5281" t="str">
        <f>HYPERLINK("https://www.dasschnelle.at/mayer-astrid-seewalchen-am-attersee-atterseestraße","Website")</f>
        <v>Website</v>
      </c>
      <c r="C5281" t="str">
        <f>HYPERLINK("http://www.blumenbinderei.cc","Website")</f>
        <v>Website</v>
      </c>
      <c r="D5281" t="str">
        <f>HYPERLINK("http://www.google.com/maps/place/47.94942,13.59335","Location")</f>
        <v>Location</v>
      </c>
      <c r="E5281" t="s">
        <v>44921</v>
      </c>
      <c r="F5281" t="s">
        <v>44922</v>
      </c>
      <c r="G5281" t="s">
        <v>3785</v>
      </c>
      <c r="H5281" t="s">
        <v>3786</v>
      </c>
      <c r="I5281" t="s">
        <v>85</v>
      </c>
      <c r="J5281" t="s">
        <v>22</v>
      </c>
      <c r="K5281" t="s">
        <v>44923</v>
      </c>
      <c r="L5281" t="s">
        <v>44926</v>
      </c>
      <c r="M5281" t="s">
        <v>25</v>
      </c>
      <c r="N5281" t="s">
        <v>44927</v>
      </c>
      <c r="O5281" t="s">
        <v>25</v>
      </c>
      <c r="P5281" t="s">
        <v>44928</v>
      </c>
      <c r="Q5281" t="s">
        <v>29</v>
      </c>
      <c r="R5281" t="s">
        <v>44924</v>
      </c>
      <c r="S5281" t="s">
        <v>44925</v>
      </c>
    </row>
    <row r="5282" spans="1:19" x14ac:dyDescent="0.25">
      <c r="A5282" s="1">
        <v>5280</v>
      </c>
      <c r="B5282" t="str">
        <f>HYPERLINK("https://www.dasschnelle.at/grünzeug-kreativwerkstatt-vöcklabruck-hinterstadt","Website")</f>
        <v>Website</v>
      </c>
      <c r="C5282" t="str">
        <f>HYPERLINK("http://www.gru00fcnzeug-kreativwerkstatt.at","Website")</f>
        <v>Website</v>
      </c>
      <c r="D5282" t="str">
        <f>HYPERLINK("http://www.google.com/maps/place/48.00793,13.65557","Location")</f>
        <v>Location</v>
      </c>
      <c r="E5282" t="s">
        <v>44929</v>
      </c>
      <c r="F5282" t="s">
        <v>44930</v>
      </c>
      <c r="G5282" t="s">
        <v>3749</v>
      </c>
      <c r="H5282" t="s">
        <v>3750</v>
      </c>
      <c r="I5282" t="s">
        <v>85</v>
      </c>
      <c r="J5282" t="s">
        <v>22</v>
      </c>
      <c r="K5282" t="s">
        <v>44931</v>
      </c>
      <c r="L5282" t="s">
        <v>44932</v>
      </c>
      <c r="M5282" t="s">
        <v>25</v>
      </c>
      <c r="N5282" t="s">
        <v>44933</v>
      </c>
      <c r="O5282" t="s">
        <v>25</v>
      </c>
      <c r="P5282" t="s">
        <v>44934</v>
      </c>
      <c r="Q5282" t="s">
        <v>29</v>
      </c>
      <c r="R5282" t="s">
        <v>3815</v>
      </c>
      <c r="S5282" t="s">
        <v>3816</v>
      </c>
    </row>
    <row r="5283" spans="1:19" x14ac:dyDescent="0.25">
      <c r="A5283" s="1">
        <v>5281</v>
      </c>
      <c r="B5283" t="str">
        <f>HYPERLINK("https://www.dasschnelle.at/höller-dach-gampern-weiterschwang","Website")</f>
        <v>Website</v>
      </c>
      <c r="C5283" t="str">
        <f>HYPERLINK("https://www.dasschnelle.at/h%C3%B6ller-dach-gampern-weiterschwang","Website")</f>
        <v>Website</v>
      </c>
      <c r="D5283" t="str">
        <f>HYPERLINK("http://www.google.com/maps/place/47.9875933,13.5790886","Location")</f>
        <v>Location</v>
      </c>
      <c r="E5283" t="s">
        <v>44935</v>
      </c>
      <c r="F5283" t="s">
        <v>44936</v>
      </c>
      <c r="G5283" t="s">
        <v>26771</v>
      </c>
      <c r="H5283" t="s">
        <v>26772</v>
      </c>
      <c r="I5283" t="s">
        <v>85</v>
      </c>
      <c r="J5283" t="s">
        <v>22</v>
      </c>
      <c r="K5283" t="s">
        <v>44937</v>
      </c>
      <c r="L5283" t="s">
        <v>44940</v>
      </c>
      <c r="M5283" t="s">
        <v>25</v>
      </c>
      <c r="N5283" t="s">
        <v>44941</v>
      </c>
      <c r="O5283" t="s">
        <v>44942</v>
      </c>
      <c r="P5283" t="s">
        <v>44943</v>
      </c>
      <c r="Q5283" t="s">
        <v>29</v>
      </c>
      <c r="R5283" t="s">
        <v>44938</v>
      </c>
      <c r="S5283" t="s">
        <v>44939</v>
      </c>
    </row>
    <row r="5284" spans="1:19" x14ac:dyDescent="0.25">
      <c r="A5284" s="1">
        <v>5282</v>
      </c>
      <c r="B5284" t="str">
        <f>HYPERLINK("https://www.dasschnelle.at/ärztliche-gruppenpraxis-f-allgemeinmedizin-schörfling-kronbergerweg","Website")</f>
        <v>Website</v>
      </c>
      <c r="C5284" t="str">
        <f>HYPERLINK("http://www.hainbucher.com","Website")</f>
        <v>Website</v>
      </c>
      <c r="D5284" t="str">
        <f>HYPERLINK("http://www.google.com/maps/place/47.9455011,13.6041652","Location")</f>
        <v>Location</v>
      </c>
      <c r="E5284" t="s">
        <v>44944</v>
      </c>
      <c r="F5284" t="s">
        <v>44945</v>
      </c>
      <c r="G5284" t="s">
        <v>3851</v>
      </c>
      <c r="H5284" t="s">
        <v>3852</v>
      </c>
      <c r="I5284" t="s">
        <v>85</v>
      </c>
      <c r="J5284" t="s">
        <v>22</v>
      </c>
      <c r="K5284" t="s">
        <v>44946</v>
      </c>
      <c r="L5284" t="s">
        <v>44949</v>
      </c>
      <c r="M5284" t="s">
        <v>25</v>
      </c>
      <c r="N5284" t="s">
        <v>44950</v>
      </c>
      <c r="O5284" t="s">
        <v>25</v>
      </c>
      <c r="P5284" t="s">
        <v>44951</v>
      </c>
      <c r="Q5284" t="s">
        <v>29</v>
      </c>
      <c r="R5284" t="s">
        <v>44947</v>
      </c>
      <c r="S5284" t="s">
        <v>44948</v>
      </c>
    </row>
    <row r="5285" spans="1:19" x14ac:dyDescent="0.25">
      <c r="A5285" s="1">
        <v>5283</v>
      </c>
      <c r="B5285" t="str">
        <f>HYPERLINK("https://www.dasschnelle.at/burtscher-r-dr-vöcklabruck-robert-kunz-straße","Website")</f>
        <v>Website</v>
      </c>
      <c r="C5285" t="str">
        <f>HYPERLINK("https://www.dasschnelle.at/burtscher-r-dr-v%C3%B6cklabruck-robert-kunz-stra%C3%9Fe","Website")</f>
        <v>Website</v>
      </c>
      <c r="D5285" t="str">
        <f>HYPERLINK("http://www.google.com/maps/place/48.0011,13.65033","Location")</f>
        <v>Location</v>
      </c>
      <c r="E5285" t="s">
        <v>44952</v>
      </c>
      <c r="F5285" t="s">
        <v>44953</v>
      </c>
      <c r="G5285" t="s">
        <v>3749</v>
      </c>
      <c r="H5285" t="s">
        <v>3750</v>
      </c>
      <c r="I5285" t="s">
        <v>85</v>
      </c>
      <c r="J5285" t="s">
        <v>22</v>
      </c>
      <c r="K5285" t="s">
        <v>25891</v>
      </c>
      <c r="L5285" t="s">
        <v>44954</v>
      </c>
      <c r="M5285" t="s">
        <v>25</v>
      </c>
      <c r="N5285" t="s">
        <v>25</v>
      </c>
      <c r="O5285" t="s">
        <v>25</v>
      </c>
      <c r="P5285" t="s">
        <v>44955</v>
      </c>
      <c r="Q5285" t="s">
        <v>29</v>
      </c>
      <c r="R5285" t="s">
        <v>25892</v>
      </c>
      <c r="S5285" t="s">
        <v>25893</v>
      </c>
    </row>
    <row r="5286" spans="1:19" x14ac:dyDescent="0.25">
      <c r="A5286" s="1">
        <v>5284</v>
      </c>
      <c r="B5286" t="str">
        <f>HYPERLINK("https://www.dasschnelle.at/sobotka-michaela-mag-med-vet-seewalchen-am-attersee-steindorf","Website")</f>
        <v>Website</v>
      </c>
      <c r="C5286" t="str">
        <f>HYPERLINK("https://www.dasschnelle.at/sobotka-michaela-mag-med-vet-seewalchen-am-attersee-steindorf","Website")</f>
        <v>Website</v>
      </c>
      <c r="D5286" t="str">
        <f>HYPERLINK("http://www.google.com/maps/place/47.9653009,13.5707966","Location")</f>
        <v>Location</v>
      </c>
      <c r="E5286" t="s">
        <v>44956</v>
      </c>
      <c r="F5286" t="s">
        <v>44957</v>
      </c>
      <c r="G5286" t="s">
        <v>3785</v>
      </c>
      <c r="H5286" t="s">
        <v>3786</v>
      </c>
      <c r="I5286" t="s">
        <v>85</v>
      </c>
      <c r="J5286" t="s">
        <v>22</v>
      </c>
      <c r="K5286" t="s">
        <v>44958</v>
      </c>
      <c r="L5286" t="s">
        <v>44961</v>
      </c>
      <c r="M5286" t="s">
        <v>25</v>
      </c>
      <c r="N5286" t="s">
        <v>25</v>
      </c>
      <c r="O5286" t="s">
        <v>25</v>
      </c>
      <c r="P5286" t="s">
        <v>44962</v>
      </c>
      <c r="Q5286" t="s">
        <v>29</v>
      </c>
      <c r="R5286" t="s">
        <v>44959</v>
      </c>
      <c r="S5286" t="s">
        <v>44960</v>
      </c>
    </row>
    <row r="5287" spans="1:19" x14ac:dyDescent="0.25">
      <c r="A5287" s="1">
        <v>5285</v>
      </c>
      <c r="B5287" t="str">
        <f>HYPERLINK("https://www.dasschnelle.at/lengauer-bernhard-dr-med-univ-vöcklabruck-stadtplatz","Website")</f>
        <v>Website</v>
      </c>
      <c r="C5287" t="str">
        <f>HYPERLINK("http://www.augenarzt-lengauer.at","Website")</f>
        <v>Website</v>
      </c>
      <c r="D5287" t="str">
        <f>HYPERLINK("http://www.google.com/maps/place/48.0084,13.65418","Location")</f>
        <v>Location</v>
      </c>
      <c r="E5287" t="s">
        <v>44963</v>
      </c>
      <c r="F5287" t="s">
        <v>44964</v>
      </c>
      <c r="G5287" t="s">
        <v>3749</v>
      </c>
      <c r="H5287" t="s">
        <v>3750</v>
      </c>
      <c r="I5287" t="s">
        <v>85</v>
      </c>
      <c r="J5287" t="s">
        <v>22</v>
      </c>
      <c r="K5287" t="s">
        <v>44965</v>
      </c>
      <c r="L5287" t="s">
        <v>44966</v>
      </c>
      <c r="M5287" t="s">
        <v>25</v>
      </c>
      <c r="N5287" t="s">
        <v>25</v>
      </c>
      <c r="O5287" t="s">
        <v>25</v>
      </c>
      <c r="P5287" t="s">
        <v>44967</v>
      </c>
      <c r="Q5287" t="s">
        <v>29</v>
      </c>
      <c r="R5287" t="s">
        <v>28875</v>
      </c>
      <c r="S5287" t="s">
        <v>28876</v>
      </c>
    </row>
    <row r="5288" spans="1:19" x14ac:dyDescent="0.25">
      <c r="A5288" s="1">
        <v>5286</v>
      </c>
      <c r="B5288" t="str">
        <f>HYPERLINK("https://www.dasschnelle.at/knoflach-alois-matrei-am-brenner-matrei-am-brenner","Website")</f>
        <v>Website</v>
      </c>
      <c r="C5288" t="str">
        <f>HYPERLINK("https://www.dasschnelle.at/knoflach-alois-matrei-am-brenner-matrei-am-brenner","Website")</f>
        <v>Website</v>
      </c>
      <c r="D5288" t="str">
        <f>HYPERLINK("http://www.google.com/maps/place/47.1261877,11.4515479","Location")</f>
        <v>Location</v>
      </c>
      <c r="E5288" t="s">
        <v>44968</v>
      </c>
      <c r="F5288" t="s">
        <v>44969</v>
      </c>
      <c r="G5288" t="s">
        <v>5300</v>
      </c>
      <c r="H5288" t="s">
        <v>5301</v>
      </c>
      <c r="I5288" t="s">
        <v>21</v>
      </c>
      <c r="J5288" t="s">
        <v>22</v>
      </c>
      <c r="K5288" t="s">
        <v>44970</v>
      </c>
      <c r="L5288" t="s">
        <v>44973</v>
      </c>
      <c r="M5288" t="s">
        <v>25</v>
      </c>
      <c r="N5288" t="s">
        <v>44974</v>
      </c>
      <c r="O5288" t="s">
        <v>25</v>
      </c>
      <c r="P5288" t="s">
        <v>44975</v>
      </c>
      <c r="Q5288" t="s">
        <v>29</v>
      </c>
      <c r="R5288" t="s">
        <v>44971</v>
      </c>
      <c r="S5288" t="s">
        <v>44972</v>
      </c>
    </row>
    <row r="5289" spans="1:19" x14ac:dyDescent="0.25">
      <c r="A5289" s="1">
        <v>5287</v>
      </c>
      <c r="B5289" t="str">
        <f>HYPERLINK("https://www.dasschnelle.at/scharo-installationen-gesmbh-matrei-am-brenner-altstadt","Website")</f>
        <v>Website</v>
      </c>
      <c r="C5289" t="str">
        <f>HYPERLINK("http://www.scharo.com","Website")</f>
        <v>Website</v>
      </c>
      <c r="D5289" t="str">
        <f>HYPERLINK("http://www.google.com/maps/place/47.13915,11.46062","Location")</f>
        <v>Location</v>
      </c>
      <c r="E5289" t="s">
        <v>44976</v>
      </c>
      <c r="F5289" t="s">
        <v>44977</v>
      </c>
      <c r="G5289" t="s">
        <v>5300</v>
      </c>
      <c r="H5289" t="s">
        <v>5301</v>
      </c>
      <c r="I5289" t="s">
        <v>21</v>
      </c>
      <c r="J5289" t="s">
        <v>22</v>
      </c>
      <c r="K5289" t="s">
        <v>44978</v>
      </c>
      <c r="L5289" t="s">
        <v>44981</v>
      </c>
      <c r="M5289" t="s">
        <v>25</v>
      </c>
      <c r="N5289" t="s">
        <v>44982</v>
      </c>
      <c r="O5289" t="s">
        <v>25</v>
      </c>
      <c r="P5289" t="s">
        <v>44983</v>
      </c>
      <c r="Q5289" t="s">
        <v>29</v>
      </c>
      <c r="R5289" t="s">
        <v>44979</v>
      </c>
      <c r="S5289" t="s">
        <v>44980</v>
      </c>
    </row>
    <row r="5290" spans="1:19" x14ac:dyDescent="0.25">
      <c r="A5290" s="1">
        <v>5288</v>
      </c>
      <c r="B5290" t="str">
        <f>HYPERLINK("https://www.dasschnelle.at/blumenstadl-schladming-erzherzog-johann-straße","Website")</f>
        <v>Website</v>
      </c>
      <c r="C5290" t="str">
        <f>HYPERLINK("http://www.blumenstadl.at","Website")</f>
        <v>Website</v>
      </c>
      <c r="D5290" t="str">
        <f>HYPERLINK("http://www.google.com/maps/place/47.39354,13.68675","Location")</f>
        <v>Location</v>
      </c>
      <c r="E5290" t="s">
        <v>44984</v>
      </c>
      <c r="F5290" t="s">
        <v>44985</v>
      </c>
      <c r="G5290" t="s">
        <v>1269</v>
      </c>
      <c r="H5290" t="s">
        <v>1270</v>
      </c>
      <c r="I5290" t="s">
        <v>451</v>
      </c>
      <c r="J5290" t="s">
        <v>22</v>
      </c>
      <c r="K5290" t="s">
        <v>8973</v>
      </c>
      <c r="L5290" t="s">
        <v>44986</v>
      </c>
      <c r="M5290" t="s">
        <v>44987</v>
      </c>
      <c r="N5290" t="s">
        <v>44988</v>
      </c>
      <c r="O5290" t="s">
        <v>25</v>
      </c>
      <c r="P5290" t="s">
        <v>44989</v>
      </c>
      <c r="Q5290" t="s">
        <v>29</v>
      </c>
      <c r="R5290" t="s">
        <v>8974</v>
      </c>
      <c r="S5290" t="s">
        <v>8975</v>
      </c>
    </row>
    <row r="5291" spans="1:19" x14ac:dyDescent="0.25">
      <c r="A5291" s="1">
        <v>5289</v>
      </c>
      <c r="B5291" t="str">
        <f>HYPERLINK("https://www.dasschnelle.at/riegler-franz-kirchberg-am-wechsel-außen-au","Website")</f>
        <v>Website</v>
      </c>
      <c r="C5291" t="str">
        <f>HYPERLINK("http://www.installateur-riegler.at","Website")</f>
        <v>Website</v>
      </c>
      <c r="D5291" t="str">
        <f>HYPERLINK("http://www.google.com/maps/place/47.6054889,16.0324103","Location")</f>
        <v>Location</v>
      </c>
      <c r="E5291" t="s">
        <v>44990</v>
      </c>
      <c r="F5291" t="s">
        <v>44991</v>
      </c>
      <c r="G5291" t="s">
        <v>19112</v>
      </c>
      <c r="H5291" t="s">
        <v>44993</v>
      </c>
      <c r="I5291" t="s">
        <v>177</v>
      </c>
      <c r="J5291" t="s">
        <v>22</v>
      </c>
      <c r="K5291" t="s">
        <v>44992</v>
      </c>
      <c r="L5291" t="s">
        <v>44996</v>
      </c>
      <c r="M5291" t="s">
        <v>25</v>
      </c>
      <c r="N5291" t="s">
        <v>44997</v>
      </c>
      <c r="O5291" t="s">
        <v>25</v>
      </c>
      <c r="P5291" t="s">
        <v>44998</v>
      </c>
      <c r="Q5291" t="s">
        <v>29</v>
      </c>
      <c r="R5291" t="s">
        <v>44994</v>
      </c>
      <c r="S5291" t="s">
        <v>44995</v>
      </c>
    </row>
    <row r="5292" spans="1:19" x14ac:dyDescent="0.25">
      <c r="A5292" s="1">
        <v>5290</v>
      </c>
      <c r="B5292" t="str">
        <f>HYPERLINK("https://www.dasschnelle.at/druckenthaner-helmut-gramastetten-schmiedberg","Website")</f>
        <v>Website</v>
      </c>
      <c r="C5292" t="str">
        <f>HYPERLINK("https://www.dasschnelle.at/druckenthaner-helmut-gramastetten-schmiedberg","Website")</f>
        <v>Website</v>
      </c>
      <c r="D5292" t="str">
        <f>HYPERLINK("http://www.google.com/maps/place/48.37722,14.18963","Location")</f>
        <v>Location</v>
      </c>
      <c r="E5292" t="s">
        <v>44999</v>
      </c>
      <c r="F5292" t="s">
        <v>45000</v>
      </c>
      <c r="G5292" t="s">
        <v>27341</v>
      </c>
      <c r="H5292" t="s">
        <v>27342</v>
      </c>
      <c r="I5292" t="s">
        <v>85</v>
      </c>
      <c r="J5292" t="s">
        <v>22</v>
      </c>
      <c r="K5292" t="s">
        <v>45001</v>
      </c>
      <c r="L5292" t="s">
        <v>45004</v>
      </c>
      <c r="M5292" t="s">
        <v>25</v>
      </c>
      <c r="N5292" t="s">
        <v>45005</v>
      </c>
      <c r="O5292" t="s">
        <v>25</v>
      </c>
      <c r="P5292" t="s">
        <v>45006</v>
      </c>
      <c r="Q5292" t="s">
        <v>29</v>
      </c>
      <c r="R5292" t="s">
        <v>45002</v>
      </c>
      <c r="S5292" t="s">
        <v>45003</v>
      </c>
    </row>
    <row r="5293" spans="1:19" x14ac:dyDescent="0.25">
      <c r="A5293" s="1">
        <v>5291</v>
      </c>
      <c r="B5293" t="str">
        <f>HYPERLINK("https://www.dasschnelle.at/klauss-a-eisen-u-baumarkt-gesmbh-kötschach","Website")</f>
        <v>Website</v>
      </c>
      <c r="C5293" t="str">
        <f>HYPERLINK("http://www.hagebau.at/baumarkt/a-klauss-eisen-u-baumarkt-gesellschaft-mbh-baumarkt-koetschach-mauthen-sn252100/","Website")</f>
        <v>Website</v>
      </c>
      <c r="D5293" t="str">
        <f>HYPERLINK("http://www.google.com/maps/place/46.6771514,13.0062862","Location")</f>
        <v>Location</v>
      </c>
      <c r="E5293" t="s">
        <v>45007</v>
      </c>
      <c r="F5293" t="s">
        <v>45008</v>
      </c>
      <c r="G5293" t="s">
        <v>9163</v>
      </c>
      <c r="H5293" t="s">
        <v>12894</v>
      </c>
      <c r="I5293" t="s">
        <v>4130</v>
      </c>
      <c r="J5293" t="s">
        <v>22</v>
      </c>
      <c r="K5293" t="s">
        <v>25</v>
      </c>
      <c r="L5293" t="s">
        <v>45011</v>
      </c>
      <c r="M5293" t="s">
        <v>25</v>
      </c>
      <c r="N5293" t="s">
        <v>45012</v>
      </c>
      <c r="O5293" t="s">
        <v>25</v>
      </c>
      <c r="P5293" t="s">
        <v>45013</v>
      </c>
      <c r="Q5293" t="s">
        <v>29</v>
      </c>
      <c r="R5293" t="s">
        <v>45009</v>
      </c>
      <c r="S5293" t="s">
        <v>45010</v>
      </c>
    </row>
    <row r="5294" spans="1:19" x14ac:dyDescent="0.25">
      <c r="A5294" s="1">
        <v>5292</v>
      </c>
      <c r="B5294" t="str">
        <f>HYPERLINK("https://www.dasschnelle.at/hanzal-engelbert-dr-klosterneuburg-stadtplatz","Website")</f>
        <v>Website</v>
      </c>
      <c r="C5294" t="str">
        <f>HYPERLINK("http://www.progyn.at","Website")</f>
        <v>Website</v>
      </c>
      <c r="D5294" t="str">
        <f>HYPERLINK("http://www.google.com/maps/place/48.30878,16.32242","Location")</f>
        <v>Location</v>
      </c>
      <c r="E5294" t="s">
        <v>45014</v>
      </c>
      <c r="F5294" t="s">
        <v>45015</v>
      </c>
      <c r="G5294" t="s">
        <v>10308</v>
      </c>
      <c r="H5294" t="s">
        <v>10317</v>
      </c>
      <c r="I5294" t="s">
        <v>177</v>
      </c>
      <c r="J5294" t="s">
        <v>22</v>
      </c>
      <c r="K5294" t="s">
        <v>43013</v>
      </c>
      <c r="L5294" t="s">
        <v>45016</v>
      </c>
      <c r="M5294" t="s">
        <v>25</v>
      </c>
      <c r="N5294" t="s">
        <v>45017</v>
      </c>
      <c r="O5294" t="s">
        <v>25</v>
      </c>
      <c r="P5294" t="s">
        <v>45018</v>
      </c>
      <c r="Q5294" t="s">
        <v>29</v>
      </c>
      <c r="R5294" t="s">
        <v>43014</v>
      </c>
      <c r="S5294" t="s">
        <v>43015</v>
      </c>
    </row>
    <row r="5295" spans="1:19" x14ac:dyDescent="0.25">
      <c r="A5295" s="1">
        <v>5293</v>
      </c>
      <c r="B5295" t="str">
        <f>HYPERLINK("https://www.dasschnelle.at/elektrotechnik-hubmann-weißbriach-weißbriach","Website")</f>
        <v>Website</v>
      </c>
      <c r="C5295" t="str">
        <f>HYPERLINK("http://www.elektro-hubmann.at","Website")</f>
        <v>Website</v>
      </c>
      <c r="D5295" t="str">
        <f>HYPERLINK("http://www.google.com/maps/place/46.6879081,13.2541626","Location")</f>
        <v>Location</v>
      </c>
      <c r="E5295" t="s">
        <v>45019</v>
      </c>
      <c r="F5295" t="s">
        <v>45020</v>
      </c>
      <c r="G5295" t="s">
        <v>42885</v>
      </c>
      <c r="H5295" t="s">
        <v>42886</v>
      </c>
      <c r="I5295" t="s">
        <v>4130</v>
      </c>
      <c r="J5295" t="s">
        <v>22</v>
      </c>
      <c r="K5295" t="s">
        <v>45021</v>
      </c>
      <c r="L5295" t="s">
        <v>45024</v>
      </c>
      <c r="M5295" t="s">
        <v>45025</v>
      </c>
      <c r="N5295" t="s">
        <v>45026</v>
      </c>
      <c r="O5295" t="s">
        <v>25</v>
      </c>
      <c r="P5295" t="s">
        <v>45027</v>
      </c>
      <c r="Q5295" t="s">
        <v>29</v>
      </c>
      <c r="R5295" t="s">
        <v>45022</v>
      </c>
      <c r="S5295" t="s">
        <v>45023</v>
      </c>
    </row>
    <row r="5296" spans="1:19" x14ac:dyDescent="0.25">
      <c r="A5296" s="1">
        <v>5294</v>
      </c>
      <c r="B5296" t="str">
        <f>HYPERLINK("https://www.dasschnelle.at/putz-und-estrich-bau-michael-benedikt-kötschach-kötschach","Website")</f>
        <v>Website</v>
      </c>
      <c r="C5296" t="str">
        <f>HYPERLINK("http://benedikt-bau.at","Website")</f>
        <v>Website</v>
      </c>
      <c r="D5296" t="str">
        <f>HYPERLINK("http://www.google.com/maps/place/46.6703338,12.9879290","Location")</f>
        <v>Location</v>
      </c>
      <c r="E5296" t="s">
        <v>45028</v>
      </c>
      <c r="F5296" t="s">
        <v>45029</v>
      </c>
      <c r="G5296" t="s">
        <v>9163</v>
      </c>
      <c r="H5296" t="s">
        <v>12894</v>
      </c>
      <c r="I5296" t="s">
        <v>4130</v>
      </c>
      <c r="J5296" t="s">
        <v>22</v>
      </c>
      <c r="K5296" t="s">
        <v>45030</v>
      </c>
      <c r="L5296" t="s">
        <v>45033</v>
      </c>
      <c r="M5296" t="s">
        <v>25</v>
      </c>
      <c r="N5296" t="s">
        <v>45034</v>
      </c>
      <c r="O5296" t="s">
        <v>25</v>
      </c>
      <c r="P5296" t="s">
        <v>45035</v>
      </c>
      <c r="Q5296" t="s">
        <v>29</v>
      </c>
      <c r="R5296" t="s">
        <v>45031</v>
      </c>
      <c r="S5296" t="s">
        <v>45032</v>
      </c>
    </row>
    <row r="5297" spans="1:19" x14ac:dyDescent="0.25">
      <c r="A5297" s="1">
        <v>5295</v>
      </c>
      <c r="B5297" t="str">
        <f>HYPERLINK("https://www.dasschnelle.at/unser-lagerhaus-althofen-bahnstraße","Website")</f>
        <v>Website</v>
      </c>
      <c r="C5297" t="str">
        <f>HYPERLINK("http://www.unser-lagerhaus.at","Website")</f>
        <v>Website</v>
      </c>
      <c r="D5297" t="str">
        <f>HYPERLINK("http://www.google.com/maps/place/46.86542,14.465","Location")</f>
        <v>Location</v>
      </c>
      <c r="E5297" t="s">
        <v>45036</v>
      </c>
      <c r="F5297" t="s">
        <v>45037</v>
      </c>
      <c r="G5297" t="s">
        <v>9679</v>
      </c>
      <c r="H5297" t="s">
        <v>24971</v>
      </c>
      <c r="I5297" t="s">
        <v>4130</v>
      </c>
      <c r="J5297" t="s">
        <v>22</v>
      </c>
      <c r="K5297" t="s">
        <v>45038</v>
      </c>
      <c r="L5297" t="s">
        <v>45041</v>
      </c>
      <c r="M5297" t="s">
        <v>25</v>
      </c>
      <c r="N5297" t="s">
        <v>45042</v>
      </c>
      <c r="O5297" t="s">
        <v>25</v>
      </c>
      <c r="P5297" t="s">
        <v>45043</v>
      </c>
      <c r="Q5297" t="s">
        <v>29</v>
      </c>
      <c r="R5297" t="s">
        <v>45039</v>
      </c>
      <c r="S5297" t="s">
        <v>45040</v>
      </c>
    </row>
    <row r="5298" spans="1:19" x14ac:dyDescent="0.25">
      <c r="A5298" s="1">
        <v>5296</v>
      </c>
      <c r="B5298" t="str">
        <f>HYPERLINK("https://www.dasschnelle.at/friseur-gabi-haargenial-weiten-hauptstraße","Website")</f>
        <v>Website</v>
      </c>
      <c r="C5298" t="str">
        <f>HYPERLINK("https://www.dasschnelle.at/friseur-gabi-haargenial-weiten-hauptstra%C3%9Fe","Website")</f>
        <v>Website</v>
      </c>
      <c r="D5298" t="str">
        <f>HYPERLINK("http://www.google.com/maps/place/48.2928123,15.2646047","Location")</f>
        <v>Location</v>
      </c>
      <c r="E5298" t="s">
        <v>45044</v>
      </c>
      <c r="F5298" t="s">
        <v>45045</v>
      </c>
      <c r="G5298" t="s">
        <v>45046</v>
      </c>
      <c r="H5298" t="s">
        <v>45047</v>
      </c>
      <c r="I5298" t="s">
        <v>177</v>
      </c>
      <c r="J5298" t="s">
        <v>22</v>
      </c>
      <c r="K5298" t="s">
        <v>43800</v>
      </c>
      <c r="L5298" t="s">
        <v>45050</v>
      </c>
      <c r="M5298" t="s">
        <v>25</v>
      </c>
      <c r="N5298" t="s">
        <v>45051</v>
      </c>
      <c r="O5298" t="s">
        <v>45052</v>
      </c>
      <c r="P5298" t="s">
        <v>45053</v>
      </c>
      <c r="Q5298" t="s">
        <v>29</v>
      </c>
      <c r="R5298" t="s">
        <v>45048</v>
      </c>
      <c r="S5298" t="s">
        <v>45049</v>
      </c>
    </row>
    <row r="5299" spans="1:19" x14ac:dyDescent="0.25">
      <c r="A5299" s="1">
        <v>5297</v>
      </c>
      <c r="B5299" t="str">
        <f>HYPERLINK("https://www.dasschnelle.at/installationen-gstrein-heizung-sanitär-gas-gmbh-sölden-gewerbestraße","Website")</f>
        <v>Website</v>
      </c>
      <c r="C5299" t="str">
        <f>HYPERLINK("http://www.gstrein-gmbh.at","Website")</f>
        <v>Website</v>
      </c>
      <c r="D5299" t="str">
        <f>HYPERLINK("http://www.google.com/maps/place/46.9474700,11.0202000","Location")</f>
        <v>Location</v>
      </c>
      <c r="E5299" t="s">
        <v>45054</v>
      </c>
      <c r="F5299" t="s">
        <v>45055</v>
      </c>
      <c r="G5299" t="s">
        <v>8016</v>
      </c>
      <c r="H5299" t="s">
        <v>8017</v>
      </c>
      <c r="I5299" t="s">
        <v>21</v>
      </c>
      <c r="J5299" t="s">
        <v>22</v>
      </c>
      <c r="K5299" t="s">
        <v>45056</v>
      </c>
      <c r="L5299" t="s">
        <v>45059</v>
      </c>
      <c r="M5299" t="s">
        <v>45060</v>
      </c>
      <c r="N5299" t="s">
        <v>45061</v>
      </c>
      <c r="O5299" t="s">
        <v>25</v>
      </c>
      <c r="P5299" t="s">
        <v>45062</v>
      </c>
      <c r="Q5299" t="s">
        <v>29</v>
      </c>
      <c r="R5299" t="s">
        <v>45057</v>
      </c>
      <c r="S5299" t="s">
        <v>45058</v>
      </c>
    </row>
    <row r="5300" spans="1:19" x14ac:dyDescent="0.25">
      <c r="A5300" s="1">
        <v>5298</v>
      </c>
      <c r="B5300" t="str">
        <f>HYPERLINK("https://www.dasschnelle.at/hörmanseder-gmbh-haag-h-starhemberg","Website")</f>
        <v>Website</v>
      </c>
      <c r="C5300" t="str">
        <f>HYPERLINK("http://www.glas-dach-hoermanseder.at","Website")</f>
        <v>Website</v>
      </c>
      <c r="D5300" t="str">
        <f>HYPERLINK("http://www.google.com/maps/place/48.1882600,13.6432400","Location")</f>
        <v>Location</v>
      </c>
      <c r="E5300" t="s">
        <v>45063</v>
      </c>
      <c r="F5300" t="s">
        <v>45064</v>
      </c>
      <c r="G5300" t="s">
        <v>7266</v>
      </c>
      <c r="H5300" t="s">
        <v>45066</v>
      </c>
      <c r="I5300" t="s">
        <v>85</v>
      </c>
      <c r="J5300" t="s">
        <v>22</v>
      </c>
      <c r="K5300" t="s">
        <v>45065</v>
      </c>
      <c r="L5300" t="s">
        <v>45069</v>
      </c>
      <c r="M5300" t="s">
        <v>25</v>
      </c>
      <c r="N5300" t="s">
        <v>45070</v>
      </c>
      <c r="O5300" t="s">
        <v>25</v>
      </c>
      <c r="P5300" t="s">
        <v>45071</v>
      </c>
      <c r="Q5300" t="s">
        <v>29</v>
      </c>
      <c r="R5300" t="s">
        <v>45067</v>
      </c>
      <c r="S5300" t="s">
        <v>45068</v>
      </c>
    </row>
    <row r="5301" spans="1:19" x14ac:dyDescent="0.25">
      <c r="A5301" s="1">
        <v>5299</v>
      </c>
      <c r="B5301" t="str">
        <f>HYPERLINK("https://www.dasschnelle.at/zöttl-florian-kufstein-andreas-hofer-straße","Website")</f>
        <v>Website</v>
      </c>
      <c r="C5301" t="str">
        <f>HYPERLINK("http://www.bestattung-zoettl.at","Website")</f>
        <v>Website</v>
      </c>
      <c r="D5301" t="str">
        <f>HYPERLINK("http://www.google.com/maps/place/47.58269,12.17345","Location")</f>
        <v>Location</v>
      </c>
      <c r="E5301" t="s">
        <v>45072</v>
      </c>
      <c r="F5301" t="s">
        <v>45073</v>
      </c>
      <c r="G5301" t="s">
        <v>19</v>
      </c>
      <c r="H5301" t="s">
        <v>20</v>
      </c>
      <c r="I5301" t="s">
        <v>21</v>
      </c>
      <c r="J5301" t="s">
        <v>22</v>
      </c>
      <c r="K5301" t="s">
        <v>45074</v>
      </c>
      <c r="L5301" t="s">
        <v>45077</v>
      </c>
      <c r="M5301" t="s">
        <v>45078</v>
      </c>
      <c r="N5301" t="s">
        <v>45079</v>
      </c>
      <c r="O5301" t="s">
        <v>25</v>
      </c>
      <c r="P5301" t="s">
        <v>45080</v>
      </c>
      <c r="Q5301" t="s">
        <v>29</v>
      </c>
      <c r="R5301" t="s">
        <v>45075</v>
      </c>
      <c r="S5301" t="s">
        <v>45076</v>
      </c>
    </row>
    <row r="5302" spans="1:19" x14ac:dyDescent="0.25">
      <c r="A5302" s="1">
        <v>5300</v>
      </c>
      <c r="B5302" t="str">
        <f>HYPERLINK("https://www.dasschnelle.at/hörmanseder-gmbh-frankenmarkt-stauf","Website")</f>
        <v>Website</v>
      </c>
      <c r="C5302" t="str">
        <f>HYPERLINK("http://www.glas-dach-hoermanseder.at","Website")</f>
        <v>Website</v>
      </c>
      <c r="D5302" t="str">
        <f>HYPERLINK("http://www.google.com/maps/place/48.1882600,13.6432400","Location")</f>
        <v>Location</v>
      </c>
      <c r="E5302" t="s">
        <v>45081</v>
      </c>
      <c r="F5302" t="s">
        <v>45082</v>
      </c>
      <c r="G5302" t="s">
        <v>13301</v>
      </c>
      <c r="H5302" t="s">
        <v>13311</v>
      </c>
      <c r="I5302" t="s">
        <v>85</v>
      </c>
      <c r="J5302" t="s">
        <v>22</v>
      </c>
      <c r="K5302" t="s">
        <v>45083</v>
      </c>
      <c r="L5302" t="s">
        <v>45084</v>
      </c>
      <c r="M5302" t="s">
        <v>25</v>
      </c>
      <c r="N5302" t="s">
        <v>45085</v>
      </c>
      <c r="O5302" t="s">
        <v>45086</v>
      </c>
      <c r="P5302" t="s">
        <v>45087</v>
      </c>
      <c r="Q5302" t="s">
        <v>29</v>
      </c>
      <c r="R5302" t="s">
        <v>45067</v>
      </c>
      <c r="S5302" t="s">
        <v>45068</v>
      </c>
    </row>
    <row r="5303" spans="1:19" x14ac:dyDescent="0.25">
      <c r="A5303" s="1">
        <v>5301</v>
      </c>
      <c r="B5303" t="str">
        <f>HYPERLINK("https://www.dasschnelle.at/bischof-fritz-münzkirchen-passauer-straße","Website")</f>
        <v>Website</v>
      </c>
      <c r="C5303" t="str">
        <f>HYPERLINK("http://www.steinmetz-bischof.at","Website")</f>
        <v>Website</v>
      </c>
      <c r="D5303" t="str">
        <f>HYPERLINK("http://www.google.com/maps/place/48.48192,13.55312","Location")</f>
        <v>Location</v>
      </c>
      <c r="E5303" t="s">
        <v>45088</v>
      </c>
      <c r="F5303" t="s">
        <v>45089</v>
      </c>
      <c r="G5303" t="s">
        <v>11983</v>
      </c>
      <c r="H5303" t="s">
        <v>24220</v>
      </c>
      <c r="I5303" t="s">
        <v>85</v>
      </c>
      <c r="J5303" t="s">
        <v>22</v>
      </c>
      <c r="K5303" t="s">
        <v>24600</v>
      </c>
      <c r="L5303" t="s">
        <v>45092</v>
      </c>
      <c r="M5303" t="s">
        <v>45093</v>
      </c>
      <c r="N5303" t="s">
        <v>45094</v>
      </c>
      <c r="O5303" t="s">
        <v>25</v>
      </c>
      <c r="P5303" t="s">
        <v>45095</v>
      </c>
      <c r="Q5303" t="s">
        <v>29</v>
      </c>
      <c r="R5303" t="s">
        <v>45090</v>
      </c>
      <c r="S5303" t="s">
        <v>45091</v>
      </c>
    </row>
    <row r="5304" spans="1:19" x14ac:dyDescent="0.25">
      <c r="A5304" s="1">
        <v>5302</v>
      </c>
      <c r="B5304" t="str">
        <f>HYPERLINK("https://www.dasschnelle.at/bouvier-franz-installationen-gmbh-und-co-kg-zams-hauptstraße","Website")</f>
        <v>Website</v>
      </c>
      <c r="C5304" t="str">
        <f>HYPERLINK("http://www.franz-bouvier.at","Website")</f>
        <v>Website</v>
      </c>
      <c r="D5304" t="str">
        <f>HYPERLINK("http://www.google.com/maps/place/47.15635,10.58767","Location")</f>
        <v>Location</v>
      </c>
      <c r="E5304" t="s">
        <v>45096</v>
      </c>
      <c r="F5304" t="s">
        <v>45097</v>
      </c>
      <c r="G5304" t="s">
        <v>26421</v>
      </c>
      <c r="H5304" t="s">
        <v>26422</v>
      </c>
      <c r="I5304" t="s">
        <v>21</v>
      </c>
      <c r="J5304" t="s">
        <v>22</v>
      </c>
      <c r="K5304" t="s">
        <v>4384</v>
      </c>
      <c r="L5304" t="s">
        <v>45100</v>
      </c>
      <c r="M5304" t="s">
        <v>25</v>
      </c>
      <c r="N5304" t="s">
        <v>45101</v>
      </c>
      <c r="O5304" t="s">
        <v>25</v>
      </c>
      <c r="P5304" t="s">
        <v>45102</v>
      </c>
      <c r="Q5304" t="s">
        <v>29</v>
      </c>
      <c r="R5304" t="s">
        <v>45098</v>
      </c>
      <c r="S5304" t="s">
        <v>45099</v>
      </c>
    </row>
    <row r="5305" spans="1:19" x14ac:dyDescent="0.25">
      <c r="A5305" s="1">
        <v>5303</v>
      </c>
      <c r="B5305" t="str">
        <f>HYPERLINK("https://www.dasschnelle.at/huber-fertigputz-gmbh-schardenberg-grub","Website")</f>
        <v>Website</v>
      </c>
      <c r="C5305" t="str">
        <f>HYPERLINK("http://www.huber-fertigputz.at","Website")</f>
        <v>Website</v>
      </c>
      <c r="D5305" t="str">
        <f>HYPERLINK("http://www.google.com/maps/place/48.5291586,13.4785948","Location")</f>
        <v>Location</v>
      </c>
      <c r="E5305" t="s">
        <v>45103</v>
      </c>
      <c r="F5305" t="s">
        <v>45104</v>
      </c>
      <c r="G5305" t="s">
        <v>10951</v>
      </c>
      <c r="H5305" t="s">
        <v>10952</v>
      </c>
      <c r="I5305" t="s">
        <v>85</v>
      </c>
      <c r="J5305" t="s">
        <v>22</v>
      </c>
      <c r="K5305" t="s">
        <v>45105</v>
      </c>
      <c r="L5305" t="s">
        <v>45108</v>
      </c>
      <c r="M5305" t="s">
        <v>25</v>
      </c>
      <c r="N5305" t="s">
        <v>45109</v>
      </c>
      <c r="O5305" t="s">
        <v>25</v>
      </c>
      <c r="P5305" t="s">
        <v>45110</v>
      </c>
      <c r="Q5305" t="s">
        <v>29</v>
      </c>
      <c r="R5305" t="s">
        <v>45106</v>
      </c>
      <c r="S5305" t="s">
        <v>45107</v>
      </c>
    </row>
    <row r="5306" spans="1:19" x14ac:dyDescent="0.25">
      <c r="A5306" s="1">
        <v>5304</v>
      </c>
      <c r="B5306" t="str">
        <f>HYPERLINK("https://www.dasschnelle.at/vermessung-dipl-ing-weißenböck-morawek-gmünd-gymnasiumstraße","Website")</f>
        <v>Website</v>
      </c>
      <c r="C5306" t="str">
        <f>HYPERLINK("http://www.dervermesser.at","Website")</f>
        <v>Website</v>
      </c>
      <c r="D5306" t="str">
        <f>HYPERLINK("http://www.google.com/maps/place/48.77089,14.98845","Location")</f>
        <v>Location</v>
      </c>
      <c r="E5306" t="s">
        <v>45111</v>
      </c>
      <c r="F5306" t="s">
        <v>45112</v>
      </c>
      <c r="G5306" t="s">
        <v>13116</v>
      </c>
      <c r="H5306" t="s">
        <v>13117</v>
      </c>
      <c r="I5306" t="s">
        <v>177</v>
      </c>
      <c r="J5306" t="s">
        <v>22</v>
      </c>
      <c r="K5306" t="s">
        <v>45113</v>
      </c>
      <c r="L5306" t="s">
        <v>45116</v>
      </c>
      <c r="M5306" t="s">
        <v>25</v>
      </c>
      <c r="N5306" t="s">
        <v>45117</v>
      </c>
      <c r="O5306" t="s">
        <v>25</v>
      </c>
      <c r="P5306" t="s">
        <v>45118</v>
      </c>
      <c r="Q5306" t="s">
        <v>29</v>
      </c>
      <c r="R5306" t="s">
        <v>45114</v>
      </c>
      <c r="S5306" t="s">
        <v>45115</v>
      </c>
    </row>
    <row r="5307" spans="1:19" x14ac:dyDescent="0.25">
      <c r="A5307" s="1">
        <v>5305</v>
      </c>
      <c r="B5307" t="str">
        <f>HYPERLINK("https://www.dasschnelle.at/mode-und-spiel-elisabeth-schiener-litschau-hörmannser-straße","Website")</f>
        <v>Website</v>
      </c>
      <c r="C5307" t="str">
        <f>HYPERLINK("https://www.dasschnelle.at/mode-und-spiel-elisabeth-schiener-litschau-h%C3%B6rmannser-stra%C3%9Fe","Website")</f>
        <v>Website</v>
      </c>
      <c r="D5307" t="str">
        <f>HYPERLINK("http://www.google.com/maps/place/48.94675,15.04919","Location")</f>
        <v>Location</v>
      </c>
      <c r="E5307" t="s">
        <v>45119</v>
      </c>
      <c r="F5307" t="s">
        <v>45120</v>
      </c>
      <c r="G5307" t="s">
        <v>7210</v>
      </c>
      <c r="H5307" t="s">
        <v>7211</v>
      </c>
      <c r="I5307" t="s">
        <v>177</v>
      </c>
      <c r="J5307" t="s">
        <v>22</v>
      </c>
      <c r="K5307" t="s">
        <v>24962</v>
      </c>
      <c r="L5307" t="s">
        <v>24965</v>
      </c>
      <c r="M5307" t="s">
        <v>25</v>
      </c>
      <c r="N5307" t="s">
        <v>24966</v>
      </c>
      <c r="O5307" t="s">
        <v>25</v>
      </c>
      <c r="P5307" t="s">
        <v>45121</v>
      </c>
      <c r="Q5307" t="s">
        <v>29</v>
      </c>
      <c r="R5307" t="s">
        <v>24963</v>
      </c>
      <c r="S5307" t="s">
        <v>24964</v>
      </c>
    </row>
    <row r="5308" spans="1:19" x14ac:dyDescent="0.25">
      <c r="A5308" s="1">
        <v>5306</v>
      </c>
      <c r="B5308" t="str">
        <f>HYPERLINK("https://www.dasschnelle.at/pelzmann-marion-dr-frohnleiten-römerpark","Website")</f>
        <v>Website</v>
      </c>
      <c r="C5308" t="str">
        <f>HYPERLINK("https://www.dasschnelle.at/pelzmann-marion-dr-frohnleiten-r%C3%B6merpark","Website")</f>
        <v>Website</v>
      </c>
      <c r="D5308" t="str">
        <f>HYPERLINK("http://www.google.com/maps/place/47.26929,15.32114","Location")</f>
        <v>Location</v>
      </c>
      <c r="E5308" t="s">
        <v>45122</v>
      </c>
      <c r="F5308" t="s">
        <v>45123</v>
      </c>
      <c r="G5308" t="s">
        <v>7874</v>
      </c>
      <c r="H5308" t="s">
        <v>7875</v>
      </c>
      <c r="I5308" t="s">
        <v>451</v>
      </c>
      <c r="J5308" t="s">
        <v>22</v>
      </c>
      <c r="K5308" t="s">
        <v>45124</v>
      </c>
      <c r="L5308" t="s">
        <v>45127</v>
      </c>
      <c r="M5308" t="s">
        <v>25</v>
      </c>
      <c r="N5308" t="s">
        <v>45128</v>
      </c>
      <c r="O5308" t="s">
        <v>25</v>
      </c>
      <c r="P5308" t="s">
        <v>45129</v>
      </c>
      <c r="Q5308" t="s">
        <v>29</v>
      </c>
      <c r="R5308" t="s">
        <v>45125</v>
      </c>
      <c r="S5308" t="s">
        <v>45126</v>
      </c>
    </row>
    <row r="5309" spans="1:19" x14ac:dyDescent="0.25">
      <c r="A5309" s="1">
        <v>5307</v>
      </c>
      <c r="B5309" t="str">
        <f>HYPERLINK("https://www.dasschnelle.at/reindl-gerhard-netzberg-netzberg","Website")</f>
        <v>Website</v>
      </c>
      <c r="C5309" t="str">
        <f>HYPERLINK("https://www.dasschnelle.at/reindl-gerhard-netzberg-netzberg","Website")</f>
        <v>Website</v>
      </c>
      <c r="D5309" t="str">
        <f>HYPERLINK("http://www.google.com/maps/place/48.4056674,14.5563305","Location")</f>
        <v>Location</v>
      </c>
      <c r="E5309" t="s">
        <v>45130</v>
      </c>
      <c r="F5309" t="s">
        <v>45131</v>
      </c>
      <c r="G5309" t="s">
        <v>42774</v>
      </c>
      <c r="H5309" t="s">
        <v>45133</v>
      </c>
      <c r="I5309" t="s">
        <v>85</v>
      </c>
      <c r="J5309" t="s">
        <v>22</v>
      </c>
      <c r="K5309" t="s">
        <v>45132</v>
      </c>
      <c r="L5309" t="s">
        <v>45136</v>
      </c>
      <c r="M5309" t="s">
        <v>25</v>
      </c>
      <c r="N5309" t="s">
        <v>45137</v>
      </c>
      <c r="O5309" t="s">
        <v>25</v>
      </c>
      <c r="P5309" t="s">
        <v>697</v>
      </c>
      <c r="Q5309" t="s">
        <v>29</v>
      </c>
      <c r="R5309" t="s">
        <v>45134</v>
      </c>
      <c r="S5309" t="s">
        <v>45135</v>
      </c>
    </row>
    <row r="5310" spans="1:19" x14ac:dyDescent="0.25">
      <c r="A5310" s="1">
        <v>5308</v>
      </c>
      <c r="B5310" t="str">
        <f>HYPERLINK("https://www.dasschnelle.at/jost-werner-ligist-unterwald","Website")</f>
        <v>Website</v>
      </c>
      <c r="C5310" t="str">
        <f>HYPERLINK("http://www.jost.co.at","Website")</f>
        <v>Website</v>
      </c>
      <c r="D5310" t="str">
        <f>HYPERLINK("http://www.google.com/maps/place/46.9909600,15.1575300","Location")</f>
        <v>Location</v>
      </c>
      <c r="E5310" t="s">
        <v>45138</v>
      </c>
      <c r="F5310" t="s">
        <v>45139</v>
      </c>
      <c r="G5310" t="s">
        <v>4699</v>
      </c>
      <c r="H5310" t="s">
        <v>37840</v>
      </c>
      <c r="I5310" t="s">
        <v>451</v>
      </c>
      <c r="J5310" t="s">
        <v>22</v>
      </c>
      <c r="K5310" t="s">
        <v>45140</v>
      </c>
      <c r="L5310" t="s">
        <v>45143</v>
      </c>
      <c r="M5310" t="s">
        <v>45144</v>
      </c>
      <c r="N5310" t="s">
        <v>45145</v>
      </c>
      <c r="O5310" t="s">
        <v>45146</v>
      </c>
      <c r="P5310" t="s">
        <v>45147</v>
      </c>
      <c r="Q5310" t="s">
        <v>29</v>
      </c>
      <c r="R5310" t="s">
        <v>45141</v>
      </c>
      <c r="S5310" t="s">
        <v>45142</v>
      </c>
    </row>
    <row r="5311" spans="1:19" x14ac:dyDescent="0.25">
      <c r="A5311" s="1">
        <v>5309</v>
      </c>
      <c r="B5311" t="str">
        <f>HYPERLINK("https://www.dasschnelle.at/altenheim-pregarten-pregarten-bindergasse","Website")</f>
        <v>Website</v>
      </c>
      <c r="C5311" t="str">
        <f>HYPERLINK("https://www.dasschnelle.at/altenheim-pregarten-pregarten-bindergasse","Website")</f>
        <v>Website</v>
      </c>
      <c r="D5311" t="str">
        <f>HYPERLINK("http://www.google.com/maps/place/48.35385,14.53249","Location")</f>
        <v>Location</v>
      </c>
      <c r="E5311" t="s">
        <v>45148</v>
      </c>
      <c r="F5311" t="s">
        <v>45149</v>
      </c>
      <c r="G5311" t="s">
        <v>25297</v>
      </c>
      <c r="H5311" t="s">
        <v>25298</v>
      </c>
      <c r="I5311" t="s">
        <v>85</v>
      </c>
      <c r="J5311" t="s">
        <v>22</v>
      </c>
      <c r="K5311" t="s">
        <v>45150</v>
      </c>
      <c r="L5311" t="s">
        <v>45153</v>
      </c>
      <c r="M5311" t="s">
        <v>25</v>
      </c>
      <c r="N5311" t="s">
        <v>45154</v>
      </c>
      <c r="O5311" t="s">
        <v>25</v>
      </c>
      <c r="P5311" t="s">
        <v>45155</v>
      </c>
      <c r="Q5311" t="s">
        <v>29</v>
      </c>
      <c r="R5311" t="s">
        <v>45151</v>
      </c>
      <c r="S5311" t="s">
        <v>45152</v>
      </c>
    </row>
    <row r="5312" spans="1:19" x14ac:dyDescent="0.25">
      <c r="A5312" s="1">
        <v>5310</v>
      </c>
      <c r="B5312" t="str">
        <f>HYPERLINK("https://www.dasschnelle.at/irndorfer-verena-kefermarkt-elz","Website")</f>
        <v>Website</v>
      </c>
      <c r="C5312" t="str">
        <f>HYPERLINK("http://www.kinder-physiopraxis.at","Website")</f>
        <v>Website</v>
      </c>
      <c r="D5312" t="str">
        <f>HYPERLINK("http://www.google.com/maps/place/48.4471682,14.5670197","Location")</f>
        <v>Location</v>
      </c>
      <c r="E5312" t="s">
        <v>45156</v>
      </c>
      <c r="F5312" t="s">
        <v>45157</v>
      </c>
      <c r="G5312" t="s">
        <v>42774</v>
      </c>
      <c r="H5312" t="s">
        <v>42775</v>
      </c>
      <c r="I5312" t="s">
        <v>85</v>
      </c>
      <c r="J5312" t="s">
        <v>22</v>
      </c>
      <c r="K5312" t="s">
        <v>45158</v>
      </c>
      <c r="L5312" t="s">
        <v>45161</v>
      </c>
      <c r="M5312" t="s">
        <v>25</v>
      </c>
      <c r="N5312" t="s">
        <v>45162</v>
      </c>
      <c r="O5312" t="s">
        <v>45163</v>
      </c>
      <c r="P5312" t="s">
        <v>697</v>
      </c>
      <c r="Q5312" t="s">
        <v>29</v>
      </c>
      <c r="R5312" t="s">
        <v>45159</v>
      </c>
      <c r="S5312" t="s">
        <v>45160</v>
      </c>
    </row>
    <row r="5313" spans="1:19" x14ac:dyDescent="0.25">
      <c r="A5313" s="1">
        <v>5311</v>
      </c>
      <c r="B5313" t="str">
        <f>HYPERLINK("https://www.dasschnelle.at/anglberger-gmbh-obertrum-am-see-handelsstraße","Website")</f>
        <v>Website</v>
      </c>
      <c r="C5313" t="str">
        <f>HYPERLINK("http://www.anglberger.at","Website")</f>
        <v>Website</v>
      </c>
      <c r="D5313" t="str">
        <f>HYPERLINK("http://www.google.com/maps/place/47.9368600,13.0818400","Location")</f>
        <v>Location</v>
      </c>
      <c r="E5313" t="s">
        <v>45164</v>
      </c>
      <c r="F5313" t="s">
        <v>45165</v>
      </c>
      <c r="G5313" t="s">
        <v>10429</v>
      </c>
      <c r="H5313" t="s">
        <v>10466</v>
      </c>
      <c r="I5313" t="s">
        <v>2239</v>
      </c>
      <c r="J5313" t="s">
        <v>22</v>
      </c>
      <c r="K5313" t="s">
        <v>45166</v>
      </c>
      <c r="L5313" t="s">
        <v>45169</v>
      </c>
      <c r="M5313" t="s">
        <v>45170</v>
      </c>
      <c r="N5313" t="s">
        <v>45171</v>
      </c>
      <c r="O5313" t="s">
        <v>25</v>
      </c>
      <c r="P5313" t="s">
        <v>45172</v>
      </c>
      <c r="Q5313" t="s">
        <v>29</v>
      </c>
      <c r="R5313" t="s">
        <v>45167</v>
      </c>
      <c r="S5313" t="s">
        <v>45168</v>
      </c>
    </row>
    <row r="5314" spans="1:19" x14ac:dyDescent="0.25">
      <c r="A5314" s="1">
        <v>5312</v>
      </c>
      <c r="B5314" t="str">
        <f>HYPERLINK("https://www.dasschnelle.at/stüger-margit-dr-frankenmarkt-feldweg","Website")</f>
        <v>Website</v>
      </c>
      <c r="C5314" t="str">
        <f>HYPERLINK("https://www.kosmetik-kilzer.at","Website")</f>
        <v>Website</v>
      </c>
      <c r="D5314" t="str">
        <f>HYPERLINK("http://www.google.com/maps/place/47.9863400,13.4163100","Location")</f>
        <v>Location</v>
      </c>
      <c r="E5314" t="s">
        <v>45173</v>
      </c>
      <c r="F5314" t="s">
        <v>45174</v>
      </c>
      <c r="G5314" t="s">
        <v>13301</v>
      </c>
      <c r="H5314" t="s">
        <v>13311</v>
      </c>
      <c r="I5314" t="s">
        <v>85</v>
      </c>
      <c r="J5314" t="s">
        <v>22</v>
      </c>
      <c r="K5314" t="s">
        <v>45175</v>
      </c>
      <c r="L5314" t="s">
        <v>45178</v>
      </c>
      <c r="M5314" t="s">
        <v>25</v>
      </c>
      <c r="N5314" t="s">
        <v>45179</v>
      </c>
      <c r="O5314" t="s">
        <v>25</v>
      </c>
      <c r="P5314" t="s">
        <v>45180</v>
      </c>
      <c r="Q5314" t="s">
        <v>29</v>
      </c>
      <c r="R5314" t="s">
        <v>45176</v>
      </c>
      <c r="S5314" t="s">
        <v>45177</v>
      </c>
    </row>
    <row r="5315" spans="1:19" x14ac:dyDescent="0.25">
      <c r="A5315" s="1">
        <v>5313</v>
      </c>
      <c r="B5315" t="str">
        <f>HYPERLINK("https://www.dasschnelle.at/autohaus-bocskay-gmbh-frohnleiten-rechbergstraße","Website")</f>
        <v>Website</v>
      </c>
      <c r="C5315" t="str">
        <f>HYPERLINK("http://www.autohaus-bocskay.at","Website")</f>
        <v>Website</v>
      </c>
      <c r="D5315" t="str">
        <f>HYPERLINK("http://www.google.com/maps/place/47.2683,15.3337","Location")</f>
        <v>Location</v>
      </c>
      <c r="E5315" t="s">
        <v>45181</v>
      </c>
      <c r="F5315" t="s">
        <v>45182</v>
      </c>
      <c r="G5315" t="s">
        <v>7874</v>
      </c>
      <c r="H5315" t="s">
        <v>7875</v>
      </c>
      <c r="I5315" t="s">
        <v>451</v>
      </c>
      <c r="J5315" t="s">
        <v>22</v>
      </c>
      <c r="K5315" t="s">
        <v>45183</v>
      </c>
      <c r="L5315" t="s">
        <v>45185</v>
      </c>
      <c r="M5315" t="s">
        <v>25</v>
      </c>
      <c r="N5315" t="s">
        <v>45186</v>
      </c>
      <c r="O5315" t="s">
        <v>25</v>
      </c>
      <c r="P5315" t="s">
        <v>45187</v>
      </c>
      <c r="Q5315" t="s">
        <v>29</v>
      </c>
      <c r="R5315" t="s">
        <v>45184</v>
      </c>
      <c r="S5315" t="s">
        <v>2967</v>
      </c>
    </row>
    <row r="5316" spans="1:19" x14ac:dyDescent="0.25">
      <c r="A5316" s="1">
        <v>5314</v>
      </c>
      <c r="B5316" t="str">
        <f>HYPERLINK("https://www.dasschnelle.at/kosmetik-und-fußpflege-kilzer-frankenmarkt-hauptstraße","Website")</f>
        <v>Website</v>
      </c>
      <c r="C5316" t="str">
        <f>HYPERLINK("http://www.kosmetik-kilzer.at","Website")</f>
        <v>Website</v>
      </c>
      <c r="D5316" t="str">
        <f>HYPERLINK("http://www.google.com/maps/place/47.9863400,13.4163100","Location")</f>
        <v>Location</v>
      </c>
      <c r="E5316" t="s">
        <v>45188</v>
      </c>
      <c r="F5316" t="s">
        <v>45189</v>
      </c>
      <c r="G5316" t="s">
        <v>13301</v>
      </c>
      <c r="H5316" t="s">
        <v>13311</v>
      </c>
      <c r="I5316" t="s">
        <v>85</v>
      </c>
      <c r="J5316" t="s">
        <v>22</v>
      </c>
      <c r="K5316" t="s">
        <v>45190</v>
      </c>
      <c r="L5316" t="s">
        <v>45178</v>
      </c>
      <c r="M5316" t="s">
        <v>25</v>
      </c>
      <c r="N5316" t="s">
        <v>45191</v>
      </c>
      <c r="O5316" t="s">
        <v>25</v>
      </c>
      <c r="P5316" t="s">
        <v>45192</v>
      </c>
      <c r="Q5316" t="s">
        <v>29</v>
      </c>
      <c r="R5316" t="s">
        <v>45176</v>
      </c>
      <c r="S5316" t="s">
        <v>45177</v>
      </c>
    </row>
    <row r="5317" spans="1:19" x14ac:dyDescent="0.25">
      <c r="A5317" s="1">
        <v>5315</v>
      </c>
      <c r="B5317" t="str">
        <f>HYPERLINK("https://www.dasschnelle.at/estermann-warenhandels-gmbh-münzkirchen-an-der-kreuzstraße","Website")</f>
        <v>Website</v>
      </c>
      <c r="C5317" t="str">
        <f>HYPERLINK("http://www.warenhandel.at","Website")</f>
        <v>Website</v>
      </c>
      <c r="D5317" t="str">
        <f>HYPERLINK("http://www.google.com/maps/place/48.48004,13.5574","Location")</f>
        <v>Location</v>
      </c>
      <c r="E5317" t="s">
        <v>45193</v>
      </c>
      <c r="F5317" t="s">
        <v>45194</v>
      </c>
      <c r="G5317" t="s">
        <v>11983</v>
      </c>
      <c r="H5317" t="s">
        <v>24220</v>
      </c>
      <c r="I5317" t="s">
        <v>85</v>
      </c>
      <c r="J5317" t="s">
        <v>22</v>
      </c>
      <c r="K5317" t="s">
        <v>45195</v>
      </c>
      <c r="L5317" t="s">
        <v>45198</v>
      </c>
      <c r="M5317" t="s">
        <v>45199</v>
      </c>
      <c r="N5317" t="s">
        <v>45200</v>
      </c>
      <c r="O5317" t="s">
        <v>25</v>
      </c>
      <c r="P5317" t="s">
        <v>45201</v>
      </c>
      <c r="Q5317" t="s">
        <v>29</v>
      </c>
      <c r="R5317" t="s">
        <v>45196</v>
      </c>
      <c r="S5317" t="s">
        <v>45197</v>
      </c>
    </row>
    <row r="5318" spans="1:19" x14ac:dyDescent="0.25">
      <c r="A5318" s="1">
        <v>5316</v>
      </c>
      <c r="B5318" t="str">
        <f>HYPERLINK("https://www.dasschnelle.at/blumen-lechner-heidenreichstein-bahnhofstraße","Website")</f>
        <v>Website</v>
      </c>
      <c r="C5318" t="str">
        <f>HYPERLINK("http://www.blumen-lechner.at","Website")</f>
        <v>Website</v>
      </c>
      <c r="D5318" t="str">
        <f>HYPERLINK("http://www.google.com/maps/place/48.8638171,15.1196718","Location")</f>
        <v>Location</v>
      </c>
      <c r="E5318" t="s">
        <v>45202</v>
      </c>
      <c r="F5318" t="s">
        <v>45203</v>
      </c>
      <c r="G5318" t="s">
        <v>24771</v>
      </c>
      <c r="H5318" t="s">
        <v>24772</v>
      </c>
      <c r="I5318" t="s">
        <v>177</v>
      </c>
      <c r="J5318" t="s">
        <v>22</v>
      </c>
      <c r="K5318" t="s">
        <v>2279</v>
      </c>
      <c r="L5318" t="s">
        <v>24920</v>
      </c>
      <c r="M5318" t="s">
        <v>45206</v>
      </c>
      <c r="N5318" t="s">
        <v>24921</v>
      </c>
      <c r="O5318" t="s">
        <v>25</v>
      </c>
      <c r="P5318" t="s">
        <v>45207</v>
      </c>
      <c r="Q5318" t="s">
        <v>29</v>
      </c>
      <c r="R5318" t="s">
        <v>45204</v>
      </c>
      <c r="S5318" t="s">
        <v>45205</v>
      </c>
    </row>
    <row r="5319" spans="1:19" x14ac:dyDescent="0.25">
      <c r="A5319" s="1">
        <v>5317</v>
      </c>
      <c r="B5319" t="str">
        <f>HYPERLINK("https://www.dasschnelle.at/niedermayer-georg-langenzersdorf-mühlweg","Website")</f>
        <v>Website</v>
      </c>
      <c r="C5319" t="str">
        <f>HYPERLINK("http://www.georgniedermayer.at","Website")</f>
        <v>Website</v>
      </c>
      <c r="D5319" t="str">
        <f>HYPERLINK("http://www.google.com/maps/place/48.31421,16.35175","Location")</f>
        <v>Location</v>
      </c>
      <c r="E5319" t="s">
        <v>45208</v>
      </c>
      <c r="F5319" t="s">
        <v>45209</v>
      </c>
      <c r="G5319" t="s">
        <v>13262</v>
      </c>
      <c r="H5319" t="s">
        <v>13263</v>
      </c>
      <c r="I5319" t="s">
        <v>177</v>
      </c>
      <c r="J5319" t="s">
        <v>22</v>
      </c>
      <c r="K5319" t="s">
        <v>45210</v>
      </c>
      <c r="L5319" t="s">
        <v>45213</v>
      </c>
      <c r="M5319" t="s">
        <v>25</v>
      </c>
      <c r="N5319" t="s">
        <v>45214</v>
      </c>
      <c r="O5319" t="s">
        <v>25</v>
      </c>
      <c r="P5319" t="s">
        <v>45215</v>
      </c>
      <c r="Q5319" t="s">
        <v>29</v>
      </c>
      <c r="R5319" t="s">
        <v>45211</v>
      </c>
      <c r="S5319" t="s">
        <v>45212</v>
      </c>
    </row>
    <row r="5320" spans="1:19" x14ac:dyDescent="0.25">
      <c r="A5320" s="1">
        <v>5318</v>
      </c>
      <c r="B5320" t="str">
        <f>HYPERLINK("https://www.dasschnelle.at/stern-bau-gmbh-und-co-kg-münzkirchen-schärdinger-straße","Website")</f>
        <v>Website</v>
      </c>
      <c r="C5320" t="str">
        <f>HYPERLINK("http://www.stern-bau.co.at","Website")</f>
        <v>Website</v>
      </c>
      <c r="D5320" t="str">
        <f>HYPERLINK("http://www.google.com/maps/place/48.48154,13.5593","Location")</f>
        <v>Location</v>
      </c>
      <c r="E5320" t="s">
        <v>45216</v>
      </c>
      <c r="F5320" t="s">
        <v>45217</v>
      </c>
      <c r="G5320" t="s">
        <v>11983</v>
      </c>
      <c r="H5320" t="s">
        <v>24220</v>
      </c>
      <c r="I5320" t="s">
        <v>85</v>
      </c>
      <c r="J5320" t="s">
        <v>22</v>
      </c>
      <c r="K5320" t="s">
        <v>45218</v>
      </c>
      <c r="L5320" t="s">
        <v>45221</v>
      </c>
      <c r="M5320" t="s">
        <v>25</v>
      </c>
      <c r="N5320" t="s">
        <v>45222</v>
      </c>
      <c r="O5320" t="s">
        <v>25</v>
      </c>
      <c r="P5320" t="s">
        <v>697</v>
      </c>
      <c r="Q5320" t="s">
        <v>29</v>
      </c>
      <c r="R5320" t="s">
        <v>45219</v>
      </c>
      <c r="S5320" t="s">
        <v>45220</v>
      </c>
    </row>
    <row r="5321" spans="1:19" x14ac:dyDescent="0.25">
      <c r="A5321" s="1">
        <v>5319</v>
      </c>
      <c r="B5321" t="str">
        <f>HYPERLINK("https://www.dasschnelle.at/bäckerei-smetacek-litschau-stadtplatz","Website")</f>
        <v>Website</v>
      </c>
      <c r="C5321" t="str">
        <f>HYPERLINK("https://www.dasschnelle.at/b%C3%A4ckerei-smetacek-litschau-stadtplatz","Website")</f>
        <v>Website</v>
      </c>
      <c r="D5321" t="str">
        <f>HYPERLINK("http://www.google.com/maps/place/48.94497,15.04624","Location")</f>
        <v>Location</v>
      </c>
      <c r="E5321" t="s">
        <v>45223</v>
      </c>
      <c r="F5321" t="s">
        <v>45224</v>
      </c>
      <c r="G5321" t="s">
        <v>7210</v>
      </c>
      <c r="H5321" t="s">
        <v>7211</v>
      </c>
      <c r="I5321" t="s">
        <v>177</v>
      </c>
      <c r="J5321" t="s">
        <v>22</v>
      </c>
      <c r="K5321" t="s">
        <v>45225</v>
      </c>
      <c r="L5321" t="s">
        <v>45228</v>
      </c>
      <c r="M5321" t="s">
        <v>25</v>
      </c>
      <c r="N5321" t="s">
        <v>45229</v>
      </c>
      <c r="O5321" t="s">
        <v>25</v>
      </c>
      <c r="P5321" t="s">
        <v>45230</v>
      </c>
      <c r="Q5321" t="s">
        <v>29</v>
      </c>
      <c r="R5321" t="s">
        <v>45226</v>
      </c>
      <c r="S5321" t="s">
        <v>45227</v>
      </c>
    </row>
    <row r="5322" spans="1:19" x14ac:dyDescent="0.25">
      <c r="A5322" s="1">
        <v>5320</v>
      </c>
      <c r="B5322" t="str">
        <f>HYPERLINK("https://www.dasschnelle.at/atp-monschein-fürstenfeld-bahnhofstraße","Website")</f>
        <v>Website</v>
      </c>
      <c r="C5322" t="str">
        <f>HYPERLINK("https://www.dasschnelle.at/atp-monschein-f%C3%BCrstenfeld-bahnhofstra%C3%9Fe","Website")</f>
        <v>Website</v>
      </c>
      <c r="D5322" t="str">
        <f>HYPERLINK("http://www.google.com/maps/place/47.04409,16.08227","Location")</f>
        <v>Location</v>
      </c>
      <c r="E5322" t="s">
        <v>45231</v>
      </c>
      <c r="F5322" t="s">
        <v>45232</v>
      </c>
      <c r="G5322" t="s">
        <v>24441</v>
      </c>
      <c r="H5322" t="s">
        <v>24442</v>
      </c>
      <c r="I5322" t="s">
        <v>451</v>
      </c>
      <c r="J5322" t="s">
        <v>22</v>
      </c>
      <c r="K5322" t="s">
        <v>4581</v>
      </c>
      <c r="L5322" t="s">
        <v>45235</v>
      </c>
      <c r="M5322" t="s">
        <v>45236</v>
      </c>
      <c r="N5322" t="s">
        <v>45237</v>
      </c>
      <c r="O5322" t="s">
        <v>25</v>
      </c>
      <c r="P5322" t="s">
        <v>45238</v>
      </c>
      <c r="Q5322" t="s">
        <v>29</v>
      </c>
      <c r="R5322" t="s">
        <v>45233</v>
      </c>
      <c r="S5322" t="s">
        <v>45234</v>
      </c>
    </row>
    <row r="5323" spans="1:19" x14ac:dyDescent="0.25">
      <c r="A5323" s="1">
        <v>5321</v>
      </c>
      <c r="B5323" t="str">
        <f>HYPERLINK("https://www.dasschnelle.at/kienreich-eva-maria-deutsch-kaltenbrunn-panoramastraße","Website")</f>
        <v>Website</v>
      </c>
      <c r="C5323" t="str">
        <f>HYPERLINK("https://www.dasschnelle.at/kienreich-eva-maria-deutsch-kaltenbrunn-panoramastra%C3%9Fe","Website")</f>
        <v>Website</v>
      </c>
      <c r="D5323" t="str">
        <f>HYPERLINK("http://www.google.com/maps/place/47.094,16.1232","Location")</f>
        <v>Location</v>
      </c>
      <c r="E5323" t="s">
        <v>45239</v>
      </c>
      <c r="F5323" t="s">
        <v>45240</v>
      </c>
      <c r="G5323" t="s">
        <v>6612</v>
      </c>
      <c r="H5323" t="s">
        <v>6613</v>
      </c>
      <c r="I5323" t="s">
        <v>1834</v>
      </c>
      <c r="J5323" t="s">
        <v>22</v>
      </c>
      <c r="K5323" t="s">
        <v>45241</v>
      </c>
      <c r="L5323" t="s">
        <v>45244</v>
      </c>
      <c r="M5323" t="s">
        <v>25</v>
      </c>
      <c r="N5323" t="s">
        <v>25</v>
      </c>
      <c r="O5323" t="s">
        <v>25</v>
      </c>
      <c r="P5323" t="s">
        <v>45245</v>
      </c>
      <c r="Q5323" t="s">
        <v>29</v>
      </c>
      <c r="R5323" t="s">
        <v>45242</v>
      </c>
      <c r="S5323" t="s">
        <v>45243</v>
      </c>
    </row>
    <row r="5324" spans="1:19" x14ac:dyDescent="0.25">
      <c r="A5324" s="1">
        <v>5322</v>
      </c>
      <c r="B5324" t="str">
        <f>HYPERLINK("https://www.dasschnelle.at/holzbau-plangger-gmbh-und-co-kg-pfunds-dorf","Website")</f>
        <v>Website</v>
      </c>
      <c r="C5324" t="str">
        <f>HYPERLINK("http://www.holzbau-plangger.at","Website")</f>
        <v>Website</v>
      </c>
      <c r="D5324" t="str">
        <f>HYPERLINK("http://www.google.com/maps/place/46.96921,10.54676","Location")</f>
        <v>Location</v>
      </c>
      <c r="E5324" t="s">
        <v>45246</v>
      </c>
      <c r="F5324" t="s">
        <v>45247</v>
      </c>
      <c r="G5324" t="s">
        <v>27119</v>
      </c>
      <c r="H5324" t="s">
        <v>27120</v>
      </c>
      <c r="I5324" t="s">
        <v>21</v>
      </c>
      <c r="J5324" t="s">
        <v>22</v>
      </c>
      <c r="K5324" t="s">
        <v>45248</v>
      </c>
      <c r="L5324" t="s">
        <v>45251</v>
      </c>
      <c r="M5324" t="s">
        <v>25</v>
      </c>
      <c r="N5324" t="s">
        <v>45252</v>
      </c>
      <c r="O5324" t="s">
        <v>25</v>
      </c>
      <c r="P5324" t="s">
        <v>45253</v>
      </c>
      <c r="Q5324" t="s">
        <v>29</v>
      </c>
      <c r="R5324" t="s">
        <v>45249</v>
      </c>
      <c r="S5324" t="s">
        <v>45250</v>
      </c>
    </row>
    <row r="5325" spans="1:19" x14ac:dyDescent="0.25">
      <c r="A5325" s="1">
        <v>5323</v>
      </c>
      <c r="B5325" t="str">
        <f>HYPERLINK("https://www.dasschnelle.at/waldschloss-gmbh-gattern-gattern","Website")</f>
        <v>Website</v>
      </c>
      <c r="C5325" t="str">
        <f>HYPERLINK("http://www.waldschloss.at","Website")</f>
        <v>Website</v>
      </c>
      <c r="D5325" t="str">
        <f>HYPERLINK("http://www.google.com/maps/place/48.5552280,13.4746170","Location")</f>
        <v>Location</v>
      </c>
      <c r="E5325" t="s">
        <v>45254</v>
      </c>
      <c r="F5325" t="s">
        <v>45255</v>
      </c>
      <c r="G5325" t="s">
        <v>10951</v>
      </c>
      <c r="H5325" t="s">
        <v>45257</v>
      </c>
      <c r="I5325" t="s">
        <v>85</v>
      </c>
      <c r="J5325" t="s">
        <v>22</v>
      </c>
      <c r="K5325" t="s">
        <v>45256</v>
      </c>
      <c r="L5325" t="s">
        <v>45260</v>
      </c>
      <c r="M5325" t="s">
        <v>45261</v>
      </c>
      <c r="N5325" t="s">
        <v>45262</v>
      </c>
      <c r="O5325" t="s">
        <v>25</v>
      </c>
      <c r="P5325" t="s">
        <v>45263</v>
      </c>
      <c r="Q5325" t="s">
        <v>29</v>
      </c>
      <c r="R5325" t="s">
        <v>45258</v>
      </c>
      <c r="S5325" t="s">
        <v>45259</v>
      </c>
    </row>
    <row r="5326" spans="1:19" x14ac:dyDescent="0.25">
      <c r="A5326" s="1">
        <v>5324</v>
      </c>
      <c r="B5326" t="str">
        <f>HYPERLINK("https://www.dasschnelle.at/teschinegg-kg-sankt-martin-im-sulmtal-dörfla","Website")</f>
        <v>Website</v>
      </c>
      <c r="C5326" t="str">
        <f>HYPERLINK("http://www.tesolar.at","Website")</f>
        <v>Website</v>
      </c>
      <c r="D5326" t="str">
        <f>HYPERLINK("http://www.google.com/maps/place/46.7554478,15.3010360","Location")</f>
        <v>Location</v>
      </c>
      <c r="E5326" t="s">
        <v>45264</v>
      </c>
      <c r="F5326" t="s">
        <v>45265</v>
      </c>
      <c r="G5326" t="s">
        <v>13661</v>
      </c>
      <c r="H5326" t="s">
        <v>13662</v>
      </c>
      <c r="I5326" t="s">
        <v>451</v>
      </c>
      <c r="J5326" t="s">
        <v>22</v>
      </c>
      <c r="K5326" t="s">
        <v>45266</v>
      </c>
      <c r="L5326" t="s">
        <v>45269</v>
      </c>
      <c r="M5326" t="s">
        <v>25</v>
      </c>
      <c r="N5326" t="s">
        <v>45270</v>
      </c>
      <c r="O5326" t="s">
        <v>45271</v>
      </c>
      <c r="P5326" t="s">
        <v>45272</v>
      </c>
      <c r="Q5326" t="s">
        <v>29</v>
      </c>
      <c r="R5326" t="s">
        <v>45267</v>
      </c>
      <c r="S5326" t="s">
        <v>45268</v>
      </c>
    </row>
    <row r="5327" spans="1:19" x14ac:dyDescent="0.25">
      <c r="A5327" s="1">
        <v>5325</v>
      </c>
      <c r="B5327" t="str">
        <f>HYPERLINK("https://www.dasschnelle.at/dr-peter-bernscherer-waidhofen-an-der-thaya-böhmgasse","Website")</f>
        <v>Website</v>
      </c>
      <c r="C5327" t="str">
        <f>HYPERLINK("https://www.dasschnelle.at/dr-peter-bernscherer-waidhofen-an-der-thaya-b%C3%B6hmgasse","Website")</f>
        <v>Website</v>
      </c>
      <c r="D5327" t="str">
        <f>HYPERLINK("http://www.google.com/maps/place/48.8139300,15.2837600","Location")</f>
        <v>Location</v>
      </c>
      <c r="E5327" t="s">
        <v>45273</v>
      </c>
      <c r="F5327" t="s">
        <v>45274</v>
      </c>
      <c r="G5327" t="s">
        <v>10987</v>
      </c>
      <c r="H5327" t="s">
        <v>10988</v>
      </c>
      <c r="I5327" t="s">
        <v>177</v>
      </c>
      <c r="J5327" t="s">
        <v>22</v>
      </c>
      <c r="K5327" t="s">
        <v>45275</v>
      </c>
      <c r="L5327" t="s">
        <v>45278</v>
      </c>
      <c r="M5327" t="s">
        <v>25</v>
      </c>
      <c r="N5327" t="s">
        <v>45279</v>
      </c>
      <c r="O5327" t="s">
        <v>25</v>
      </c>
      <c r="P5327" t="s">
        <v>45280</v>
      </c>
      <c r="Q5327" t="s">
        <v>29</v>
      </c>
      <c r="R5327" t="s">
        <v>45276</v>
      </c>
      <c r="S5327" t="s">
        <v>45277</v>
      </c>
    </row>
    <row r="5328" spans="1:19" x14ac:dyDescent="0.25">
      <c r="A5328" s="1">
        <v>5326</v>
      </c>
      <c r="B5328" t="str">
        <f>HYPERLINK("https://www.dasschnelle.at/schachner-matthias-pöndorf-obermühlham","Website")</f>
        <v>Website</v>
      </c>
      <c r="C5328" t="str">
        <f>HYPERLINK("http://www.schachner-etech.at","Website")</f>
        <v>Website</v>
      </c>
      <c r="D5328" t="str">
        <f>HYPERLINK("http://www.google.com/maps/place/47.9943812,13.3497320","Location")</f>
        <v>Location</v>
      </c>
      <c r="E5328" t="s">
        <v>45281</v>
      </c>
      <c r="F5328" t="s">
        <v>45282</v>
      </c>
      <c r="G5328" t="s">
        <v>19122</v>
      </c>
      <c r="H5328" t="s">
        <v>19123</v>
      </c>
      <c r="I5328" t="s">
        <v>85</v>
      </c>
      <c r="J5328" t="s">
        <v>22</v>
      </c>
      <c r="K5328" t="s">
        <v>45283</v>
      </c>
      <c r="L5328" t="s">
        <v>45286</v>
      </c>
      <c r="M5328" t="s">
        <v>45287</v>
      </c>
      <c r="N5328" t="s">
        <v>45288</v>
      </c>
      <c r="O5328" t="s">
        <v>45289</v>
      </c>
      <c r="P5328" t="s">
        <v>45290</v>
      </c>
      <c r="Q5328" t="s">
        <v>29</v>
      </c>
      <c r="R5328" t="s">
        <v>45284</v>
      </c>
      <c r="S5328" t="s">
        <v>45285</v>
      </c>
    </row>
    <row r="5329" spans="1:19" x14ac:dyDescent="0.25">
      <c r="A5329" s="1">
        <v>5327</v>
      </c>
      <c r="B5329" t="str">
        <f>HYPERLINK("https://www.dasschnelle.at/gruber-klaus-scharten-scharten","Website")</f>
        <v>Website</v>
      </c>
      <c r="C5329" t="str">
        <f>HYPERLINK("http://www.gruber-bestattung.at","Website")</f>
        <v>Website</v>
      </c>
      <c r="D5329" t="str">
        <f>HYPERLINK("http://www.google.com/maps/place/48.2511189,14.0338108","Location")</f>
        <v>Location</v>
      </c>
      <c r="E5329" t="s">
        <v>45291</v>
      </c>
      <c r="F5329" t="s">
        <v>45292</v>
      </c>
      <c r="G5329" t="s">
        <v>45294</v>
      </c>
      <c r="H5329" t="s">
        <v>45295</v>
      </c>
      <c r="I5329" t="s">
        <v>85</v>
      </c>
      <c r="J5329" t="s">
        <v>22</v>
      </c>
      <c r="K5329" t="s">
        <v>45293</v>
      </c>
      <c r="L5329" t="s">
        <v>45298</v>
      </c>
      <c r="M5329" t="s">
        <v>25</v>
      </c>
      <c r="N5329" t="s">
        <v>45299</v>
      </c>
      <c r="O5329" t="s">
        <v>25</v>
      </c>
      <c r="P5329" t="s">
        <v>45300</v>
      </c>
      <c r="Q5329" t="s">
        <v>29</v>
      </c>
      <c r="R5329" t="s">
        <v>45296</v>
      </c>
      <c r="S5329" t="s">
        <v>45297</v>
      </c>
    </row>
    <row r="5330" spans="1:19" x14ac:dyDescent="0.25">
      <c r="A5330" s="1">
        <v>5328</v>
      </c>
      <c r="B5330" t="str">
        <f>HYPERLINK("https://www.dasschnelle.at/prehofer-holz-gmbh-rutzenmoos-stölln","Website")</f>
        <v>Website</v>
      </c>
      <c r="C5330" t="str">
        <f>HYPERLINK("http://www.prehofer-holz.at","Website")</f>
        <v>Website</v>
      </c>
      <c r="D5330" t="str">
        <f>HYPERLINK("http://www.google.com/maps/place/47.9610000,13.7125200","Location")</f>
        <v>Location</v>
      </c>
      <c r="E5330" t="s">
        <v>45301</v>
      </c>
      <c r="F5330" t="s">
        <v>45302</v>
      </c>
      <c r="G5330" t="s">
        <v>45304</v>
      </c>
      <c r="H5330" t="s">
        <v>45305</v>
      </c>
      <c r="I5330" t="s">
        <v>85</v>
      </c>
      <c r="J5330" t="s">
        <v>22</v>
      </c>
      <c r="K5330" t="s">
        <v>45303</v>
      </c>
      <c r="L5330" t="s">
        <v>45308</v>
      </c>
      <c r="M5330" t="s">
        <v>25</v>
      </c>
      <c r="N5330" t="s">
        <v>45309</v>
      </c>
      <c r="O5330" t="s">
        <v>45310</v>
      </c>
      <c r="P5330" t="s">
        <v>45311</v>
      </c>
      <c r="Q5330" t="s">
        <v>29</v>
      </c>
      <c r="R5330" t="s">
        <v>45306</v>
      </c>
      <c r="S5330" t="s">
        <v>45307</v>
      </c>
    </row>
    <row r="5331" spans="1:19" x14ac:dyDescent="0.25">
      <c r="A5331" s="1">
        <v>5329</v>
      </c>
      <c r="B5331" t="str">
        <f>HYPERLINK("https://www.dasschnelle.at/dipl-ing-mag-margot-graf-ll-m-taufkirchen-an-der-pram-gewerbepark-pramtal-haberedt","Website")</f>
        <v>Website</v>
      </c>
      <c r="C5331" t="str">
        <f>HYPERLINK("http://www.geometer-schachinger.at","Website")</f>
        <v>Website</v>
      </c>
      <c r="D5331" t="str">
        <f>HYPERLINK("http://www.google.com/maps/place/48.4076163,13.5215458","Location")</f>
        <v>Location</v>
      </c>
      <c r="E5331" t="s">
        <v>45312</v>
      </c>
      <c r="F5331" t="s">
        <v>45313</v>
      </c>
      <c r="G5331" t="s">
        <v>13097</v>
      </c>
      <c r="H5331" t="s">
        <v>13098</v>
      </c>
      <c r="I5331" t="s">
        <v>85</v>
      </c>
      <c r="J5331" t="s">
        <v>22</v>
      </c>
      <c r="K5331" t="s">
        <v>45314</v>
      </c>
      <c r="L5331" t="s">
        <v>45317</v>
      </c>
      <c r="M5331" t="s">
        <v>25</v>
      </c>
      <c r="N5331" t="s">
        <v>45318</v>
      </c>
      <c r="O5331" t="s">
        <v>45319</v>
      </c>
      <c r="P5331" t="s">
        <v>45320</v>
      </c>
      <c r="Q5331" t="s">
        <v>29</v>
      </c>
      <c r="R5331" t="s">
        <v>45315</v>
      </c>
      <c r="S5331" t="s">
        <v>45316</v>
      </c>
    </row>
    <row r="5332" spans="1:19" x14ac:dyDescent="0.25">
      <c r="A5332" s="1">
        <v>5330</v>
      </c>
      <c r="B5332" t="str">
        <f>HYPERLINK("https://www.dasschnelle.at/hochrainer-beatrix-lenzing-ginzkeystraße","Website")</f>
        <v>Website</v>
      </c>
      <c r="C5332" t="str">
        <f>HYPERLINK("https://www.dasschnelle.at/hochrainer-beatrix-lenzing-ginzkeystra%C3%9Fe","Website")</f>
        <v>Website</v>
      </c>
      <c r="D5332" t="str">
        <f>HYPERLINK("http://www.google.com/maps/place/47.97232,13.60476","Location")</f>
        <v>Location</v>
      </c>
      <c r="E5332" t="s">
        <v>45321</v>
      </c>
      <c r="F5332" t="s">
        <v>45322</v>
      </c>
      <c r="G5332" t="s">
        <v>6591</v>
      </c>
      <c r="H5332" t="s">
        <v>6592</v>
      </c>
      <c r="I5332" t="s">
        <v>85</v>
      </c>
      <c r="J5332" t="s">
        <v>22</v>
      </c>
      <c r="K5332" t="s">
        <v>45323</v>
      </c>
      <c r="L5332" t="s">
        <v>45326</v>
      </c>
      <c r="M5332" t="s">
        <v>25</v>
      </c>
      <c r="N5332" t="s">
        <v>45327</v>
      </c>
      <c r="O5332" t="s">
        <v>45328</v>
      </c>
      <c r="P5332" t="s">
        <v>45329</v>
      </c>
      <c r="Q5332" t="s">
        <v>29</v>
      </c>
      <c r="R5332" t="s">
        <v>45324</v>
      </c>
      <c r="S5332" t="s">
        <v>45325</v>
      </c>
    </row>
    <row r="5333" spans="1:19" x14ac:dyDescent="0.25">
      <c r="A5333" s="1">
        <v>5331</v>
      </c>
      <c r="B5333" t="str">
        <f>HYPERLINK("https://www.dasschnelle.at/fliesen-barbi-gmbh-mank-anton-luger-platz","Website")</f>
        <v>Website</v>
      </c>
      <c r="C5333" t="str">
        <f>HYPERLINK("http://www.fliesen-barbi.at","Website")</f>
        <v>Website</v>
      </c>
      <c r="D5333" t="str">
        <f>HYPERLINK("http://www.google.com/maps/place/48.1122624,15.3414427","Location")</f>
        <v>Location</v>
      </c>
      <c r="E5333" t="s">
        <v>45330</v>
      </c>
      <c r="F5333" t="s">
        <v>45331</v>
      </c>
      <c r="G5333" t="s">
        <v>6136</v>
      </c>
      <c r="H5333" t="s">
        <v>6137</v>
      </c>
      <c r="I5333" t="s">
        <v>177</v>
      </c>
      <c r="J5333" t="s">
        <v>22</v>
      </c>
      <c r="K5333" t="s">
        <v>45332</v>
      </c>
      <c r="L5333" t="s">
        <v>45335</v>
      </c>
      <c r="M5333" t="s">
        <v>25</v>
      </c>
      <c r="N5333" t="s">
        <v>45336</v>
      </c>
      <c r="O5333" t="s">
        <v>45337</v>
      </c>
      <c r="P5333" t="s">
        <v>45338</v>
      </c>
      <c r="Q5333" t="s">
        <v>29</v>
      </c>
      <c r="R5333" t="s">
        <v>45333</v>
      </c>
      <c r="S5333" t="s">
        <v>45334</v>
      </c>
    </row>
    <row r="5334" spans="1:19" x14ac:dyDescent="0.25">
      <c r="A5334" s="1">
        <v>5332</v>
      </c>
      <c r="B5334" t="str">
        <f>HYPERLINK("https://www.dasschnelle.at/sehmanufaktur-litzenberger-e-u-zwettl-landstrasse","Website")</f>
        <v>Website</v>
      </c>
      <c r="C5334" t="str">
        <f>HYPERLINK("http://www.sehmanufaktur.at","Website")</f>
        <v>Website</v>
      </c>
      <c r="D5334" t="str">
        <f>HYPERLINK("http://www.google.com/maps/place/48.60539,15.16581","Location")</f>
        <v>Location</v>
      </c>
      <c r="E5334" t="s">
        <v>45339</v>
      </c>
      <c r="F5334" t="s">
        <v>45340</v>
      </c>
      <c r="G5334" t="s">
        <v>10518</v>
      </c>
      <c r="H5334" t="s">
        <v>10791</v>
      </c>
      <c r="I5334" t="s">
        <v>177</v>
      </c>
      <c r="J5334" t="s">
        <v>22</v>
      </c>
      <c r="K5334" t="s">
        <v>45341</v>
      </c>
      <c r="L5334" t="s">
        <v>45342</v>
      </c>
      <c r="M5334" t="s">
        <v>25</v>
      </c>
      <c r="N5334" t="s">
        <v>45343</v>
      </c>
      <c r="O5334" t="s">
        <v>45344</v>
      </c>
      <c r="P5334" t="s">
        <v>45345</v>
      </c>
      <c r="Q5334" t="s">
        <v>29</v>
      </c>
      <c r="R5334" t="s">
        <v>26266</v>
      </c>
      <c r="S5334" t="s">
        <v>26267</v>
      </c>
    </row>
    <row r="5335" spans="1:19" x14ac:dyDescent="0.25">
      <c r="A5335" s="1">
        <v>5333</v>
      </c>
      <c r="B5335" t="str">
        <f>HYPERLINK("https://www.dasschnelle.at/konrad-johann-frankenmarkt-wimm","Website")</f>
        <v>Website</v>
      </c>
      <c r="C5335" t="str">
        <f>HYPERLINK("http://www.konrad-hebebuehnen.at","Website")</f>
        <v>Website</v>
      </c>
      <c r="D5335" t="str">
        <f>HYPERLINK("http://www.google.com/maps/place/47.9744495,13.4087517","Location")</f>
        <v>Location</v>
      </c>
      <c r="E5335" t="s">
        <v>45346</v>
      </c>
      <c r="F5335" t="s">
        <v>45347</v>
      </c>
      <c r="G5335" t="s">
        <v>13301</v>
      </c>
      <c r="H5335" t="s">
        <v>13311</v>
      </c>
      <c r="I5335" t="s">
        <v>85</v>
      </c>
      <c r="J5335" t="s">
        <v>22</v>
      </c>
      <c r="K5335" t="s">
        <v>45348</v>
      </c>
      <c r="L5335" t="s">
        <v>45351</v>
      </c>
      <c r="M5335" t="s">
        <v>25</v>
      </c>
      <c r="N5335" t="s">
        <v>45352</v>
      </c>
      <c r="O5335" t="s">
        <v>45353</v>
      </c>
      <c r="P5335" t="s">
        <v>45354</v>
      </c>
      <c r="Q5335" t="s">
        <v>29</v>
      </c>
      <c r="R5335" t="s">
        <v>45349</v>
      </c>
      <c r="S5335" t="s">
        <v>45350</v>
      </c>
    </row>
    <row r="5336" spans="1:19" x14ac:dyDescent="0.25">
      <c r="A5336" s="1">
        <v>5334</v>
      </c>
      <c r="B5336" t="str">
        <f>HYPERLINK("https://www.dasschnelle.at/eschelmüller-herbert-gesmbh-litschau-badergrabenweg","Website")</f>
        <v>Website</v>
      </c>
      <c r="C5336" t="str">
        <f>HYPERLINK("http://www.meisterdach.at","Website")</f>
        <v>Website</v>
      </c>
      <c r="D5336" t="str">
        <f>HYPERLINK("http://www.google.com/maps/place/48.9431400,15.0487700","Location")</f>
        <v>Location</v>
      </c>
      <c r="E5336" t="s">
        <v>45355</v>
      </c>
      <c r="F5336" t="s">
        <v>45356</v>
      </c>
      <c r="G5336" t="s">
        <v>7210</v>
      </c>
      <c r="H5336" t="s">
        <v>7211</v>
      </c>
      <c r="I5336" t="s">
        <v>177</v>
      </c>
      <c r="J5336" t="s">
        <v>22</v>
      </c>
      <c r="K5336" t="s">
        <v>45357</v>
      </c>
      <c r="L5336" t="s">
        <v>45360</v>
      </c>
      <c r="M5336" t="s">
        <v>25</v>
      </c>
      <c r="N5336" t="s">
        <v>45361</v>
      </c>
      <c r="O5336" t="s">
        <v>25</v>
      </c>
      <c r="P5336" t="s">
        <v>45362</v>
      </c>
      <c r="Q5336" t="s">
        <v>29</v>
      </c>
      <c r="R5336" t="s">
        <v>45358</v>
      </c>
      <c r="S5336" t="s">
        <v>45359</v>
      </c>
    </row>
    <row r="5337" spans="1:19" x14ac:dyDescent="0.25">
      <c r="A5337" s="1">
        <v>5335</v>
      </c>
      <c r="B5337" t="str">
        <f>HYPERLINK("https://www.dasschnelle.at/korp-rechtsanwalts-gmbh-andorf-thomas-schwanthaler-straße","Website")</f>
        <v>Website</v>
      </c>
      <c r="C5337" t="str">
        <f>HYPERLINK("http://www.rakorp.at","Website")</f>
        <v>Website</v>
      </c>
      <c r="D5337" t="str">
        <f>HYPERLINK("http://www.google.com/maps/place/48.37064,13.57324","Location")</f>
        <v>Location</v>
      </c>
      <c r="E5337" t="s">
        <v>45363</v>
      </c>
      <c r="F5337" t="s">
        <v>45364</v>
      </c>
      <c r="G5337" t="s">
        <v>26299</v>
      </c>
      <c r="H5337" t="s">
        <v>26300</v>
      </c>
      <c r="I5337" t="s">
        <v>85</v>
      </c>
      <c r="J5337" t="s">
        <v>22</v>
      </c>
      <c r="K5337" t="s">
        <v>45365</v>
      </c>
      <c r="L5337" t="s">
        <v>45368</v>
      </c>
      <c r="M5337" t="s">
        <v>25</v>
      </c>
      <c r="N5337" t="s">
        <v>45369</v>
      </c>
      <c r="O5337" t="s">
        <v>25</v>
      </c>
      <c r="P5337" t="s">
        <v>45370</v>
      </c>
      <c r="Q5337" t="s">
        <v>29</v>
      </c>
      <c r="R5337" t="s">
        <v>45366</v>
      </c>
      <c r="S5337" t="s">
        <v>45367</v>
      </c>
    </row>
    <row r="5338" spans="1:19" x14ac:dyDescent="0.25">
      <c r="A5338" s="1">
        <v>5336</v>
      </c>
      <c r="B5338" t="str">
        <f>HYPERLINK("https://www.dasschnelle.at/kiesenhofer-u-grilberger-dach-u-wand-gesmbh-gramastetten-gewerbepark","Website")</f>
        <v>Website</v>
      </c>
      <c r="C5338" t="str">
        <f>HYPERLINK("http://www.dach-wand.at","Website")</f>
        <v>Website</v>
      </c>
      <c r="D5338" t="str">
        <f>HYPERLINK("http://www.google.com/maps/place/48.37156,14.21169","Location")</f>
        <v>Location</v>
      </c>
      <c r="E5338" t="s">
        <v>45371</v>
      </c>
      <c r="F5338" t="s">
        <v>45372</v>
      </c>
      <c r="G5338" t="s">
        <v>27341</v>
      </c>
      <c r="H5338" t="s">
        <v>27342</v>
      </c>
      <c r="I5338" t="s">
        <v>85</v>
      </c>
      <c r="J5338" t="s">
        <v>22</v>
      </c>
      <c r="K5338" t="s">
        <v>20996</v>
      </c>
      <c r="L5338" t="s">
        <v>45375</v>
      </c>
      <c r="M5338" t="s">
        <v>25</v>
      </c>
      <c r="N5338" t="s">
        <v>45376</v>
      </c>
      <c r="O5338" t="s">
        <v>45377</v>
      </c>
      <c r="P5338" t="s">
        <v>45378</v>
      </c>
      <c r="Q5338" t="s">
        <v>29</v>
      </c>
      <c r="R5338" t="s">
        <v>45373</v>
      </c>
      <c r="S5338" t="s">
        <v>45374</v>
      </c>
    </row>
    <row r="5339" spans="1:19" x14ac:dyDescent="0.25">
      <c r="A5339" s="1">
        <v>5337</v>
      </c>
      <c r="B5339" t="str">
        <f>HYPERLINK("https://www.dasschnelle.at/gartenerlebnis-lutz-gmbh-prutz-hintergasse","Website")</f>
        <v>Website</v>
      </c>
      <c r="C5339" t="str">
        <f>HYPERLINK("http://www.gartenerlebnis-lutz.com","Website")</f>
        <v>Website</v>
      </c>
      <c r="D5339" t="str">
        <f>HYPERLINK("http://www.google.com/maps/place/47.07688,10.66211","Location")</f>
        <v>Location</v>
      </c>
      <c r="E5339" t="s">
        <v>45379</v>
      </c>
      <c r="F5339" t="s">
        <v>45380</v>
      </c>
      <c r="G5339" t="s">
        <v>27742</v>
      </c>
      <c r="H5339" t="s">
        <v>27743</v>
      </c>
      <c r="I5339" t="s">
        <v>21</v>
      </c>
      <c r="J5339" t="s">
        <v>22</v>
      </c>
      <c r="K5339" t="s">
        <v>45381</v>
      </c>
      <c r="L5339" t="s">
        <v>45384</v>
      </c>
      <c r="M5339" t="s">
        <v>25</v>
      </c>
      <c r="N5339" t="s">
        <v>45385</v>
      </c>
      <c r="O5339" t="s">
        <v>25</v>
      </c>
      <c r="P5339" t="s">
        <v>45386</v>
      </c>
      <c r="Q5339" t="s">
        <v>29</v>
      </c>
      <c r="R5339" t="s">
        <v>45382</v>
      </c>
      <c r="S5339" t="s">
        <v>45383</v>
      </c>
    </row>
    <row r="5340" spans="1:19" x14ac:dyDescent="0.25">
      <c r="A5340" s="1">
        <v>5338</v>
      </c>
      <c r="B5340" t="str">
        <f>HYPERLINK("https://www.dasschnelle.at/malermeister-hanzal-gmbh-kritzendorf-schelhammergasse","Website")</f>
        <v>Website</v>
      </c>
      <c r="C5340" t="str">
        <f>HYPERLINK("http://www.hanzal.at","Website")</f>
        <v>Website</v>
      </c>
      <c r="D5340" t="str">
        <f>HYPERLINK("http://www.google.com/maps/place/48.32262,16.30026","Location")</f>
        <v>Location</v>
      </c>
      <c r="E5340" t="s">
        <v>45387</v>
      </c>
      <c r="F5340" t="s">
        <v>45388</v>
      </c>
      <c r="G5340" t="s">
        <v>26282</v>
      </c>
      <c r="H5340" t="s">
        <v>26283</v>
      </c>
      <c r="I5340" t="s">
        <v>177</v>
      </c>
      <c r="J5340" t="s">
        <v>22</v>
      </c>
      <c r="K5340" t="s">
        <v>45389</v>
      </c>
      <c r="L5340" t="s">
        <v>45392</v>
      </c>
      <c r="M5340" t="s">
        <v>25</v>
      </c>
      <c r="N5340" t="s">
        <v>45393</v>
      </c>
      <c r="O5340" t="s">
        <v>25</v>
      </c>
      <c r="P5340" t="s">
        <v>45394</v>
      </c>
      <c r="Q5340" t="s">
        <v>29</v>
      </c>
      <c r="R5340" t="s">
        <v>45390</v>
      </c>
      <c r="S5340" t="s">
        <v>45391</v>
      </c>
    </row>
    <row r="5341" spans="1:19" x14ac:dyDescent="0.25">
      <c r="A5341" s="1">
        <v>5339</v>
      </c>
      <c r="B5341" t="str">
        <f>HYPERLINK("https://www.dasschnelle.at/juster-johann-mag-zwettl-landstraße","Website")</f>
        <v>Website</v>
      </c>
      <c r="C5341" t="str">
        <f>HYPERLINK("http://www.anwalt-juster.at","Website")</f>
        <v>Website</v>
      </c>
      <c r="D5341" t="str">
        <f>HYPERLINK("http://www.google.com/maps/place/48.6039000,15.1668900","Location")</f>
        <v>Location</v>
      </c>
      <c r="E5341" t="s">
        <v>45395</v>
      </c>
      <c r="F5341" t="s">
        <v>45396</v>
      </c>
      <c r="G5341" t="s">
        <v>10518</v>
      </c>
      <c r="H5341" t="s">
        <v>10791</v>
      </c>
      <c r="I5341" t="s">
        <v>177</v>
      </c>
      <c r="J5341" t="s">
        <v>22</v>
      </c>
      <c r="K5341" t="s">
        <v>45397</v>
      </c>
      <c r="L5341" t="s">
        <v>45400</v>
      </c>
      <c r="M5341" t="s">
        <v>25</v>
      </c>
      <c r="N5341" t="s">
        <v>45401</v>
      </c>
      <c r="O5341" t="s">
        <v>25</v>
      </c>
      <c r="P5341" t="s">
        <v>45402</v>
      </c>
      <c r="Q5341" t="s">
        <v>29</v>
      </c>
      <c r="R5341" t="s">
        <v>45398</v>
      </c>
      <c r="S5341" t="s">
        <v>45399</v>
      </c>
    </row>
    <row r="5342" spans="1:19" x14ac:dyDescent="0.25">
      <c r="A5342" s="1">
        <v>5340</v>
      </c>
      <c r="B5342" t="str">
        <f>HYPERLINK("https://www.dasschnelle.at/nösterer-neulinger-simone-dr-freistadt-salzgasse","Website")</f>
        <v>Website</v>
      </c>
      <c r="C5342" t="str">
        <f>HYPERLINK("http://www.noesterer-neulinger.at","Website")</f>
        <v>Website</v>
      </c>
      <c r="D5342" t="str">
        <f>HYPERLINK("http://www.google.com/maps/place/48.51206,14.50341","Location")</f>
        <v>Location</v>
      </c>
      <c r="E5342" t="s">
        <v>45403</v>
      </c>
      <c r="F5342" t="s">
        <v>45404</v>
      </c>
      <c r="G5342" t="s">
        <v>6891</v>
      </c>
      <c r="H5342" t="s">
        <v>6892</v>
      </c>
      <c r="I5342" t="s">
        <v>85</v>
      </c>
      <c r="J5342" t="s">
        <v>22</v>
      </c>
      <c r="K5342" t="s">
        <v>45405</v>
      </c>
      <c r="L5342" t="s">
        <v>45408</v>
      </c>
      <c r="M5342" t="s">
        <v>25</v>
      </c>
      <c r="N5342" t="s">
        <v>45409</v>
      </c>
      <c r="O5342" t="s">
        <v>25</v>
      </c>
      <c r="P5342" t="s">
        <v>45410</v>
      </c>
      <c r="Q5342" t="s">
        <v>29</v>
      </c>
      <c r="R5342" t="s">
        <v>45406</v>
      </c>
      <c r="S5342" t="s">
        <v>45407</v>
      </c>
    </row>
    <row r="5343" spans="1:19" x14ac:dyDescent="0.25">
      <c r="A5343" s="1">
        <v>5341</v>
      </c>
      <c r="B5343" t="str">
        <f>HYPERLINK("https://www.dasschnelle.at/vithera-vital-u-therapiezentrum-schärding-passauer-straße","Website")</f>
        <v>Website</v>
      </c>
      <c r="C5343" t="str">
        <f>HYPERLINK("http://www.vithera.at","Website")</f>
        <v>Website</v>
      </c>
      <c r="D5343" t="str">
        <f>HYPERLINK("http://www.google.com/maps/place/48.46652,13.44033","Location")</f>
        <v>Location</v>
      </c>
      <c r="E5343" t="s">
        <v>45411</v>
      </c>
      <c r="F5343" t="s">
        <v>45412</v>
      </c>
      <c r="G5343" t="s">
        <v>8850</v>
      </c>
      <c r="H5343" t="s">
        <v>8851</v>
      </c>
      <c r="I5343" t="s">
        <v>85</v>
      </c>
      <c r="J5343" t="s">
        <v>22</v>
      </c>
      <c r="K5343" t="s">
        <v>45413</v>
      </c>
      <c r="L5343" t="s">
        <v>45416</v>
      </c>
      <c r="M5343" t="s">
        <v>25</v>
      </c>
      <c r="N5343" t="s">
        <v>45417</v>
      </c>
      <c r="O5343" t="s">
        <v>25</v>
      </c>
      <c r="P5343" t="s">
        <v>45418</v>
      </c>
      <c r="Q5343" t="s">
        <v>29</v>
      </c>
      <c r="R5343" t="s">
        <v>45414</v>
      </c>
      <c r="S5343" t="s">
        <v>45415</v>
      </c>
    </row>
    <row r="5344" spans="1:19" x14ac:dyDescent="0.25">
      <c r="A5344" s="1">
        <v>5342</v>
      </c>
      <c r="B5344" t="str">
        <f>HYPERLINK("https://www.dasschnelle.at/optik-eder-waidhofen-an-der-thaya-niederleuthnerstraße","Website")</f>
        <v>Website</v>
      </c>
      <c r="C5344" t="str">
        <f>HYPERLINK("http://www.optik-eder.at","Website")</f>
        <v>Website</v>
      </c>
      <c r="D5344" t="str">
        <f>HYPERLINK("http://www.google.com/maps/place/48.81395,15.28611","Location")</f>
        <v>Location</v>
      </c>
      <c r="E5344" t="s">
        <v>45419</v>
      </c>
      <c r="F5344" t="s">
        <v>45420</v>
      </c>
      <c r="G5344" t="s">
        <v>10987</v>
      </c>
      <c r="H5344" t="s">
        <v>10988</v>
      </c>
      <c r="I5344" t="s">
        <v>177</v>
      </c>
      <c r="J5344" t="s">
        <v>22</v>
      </c>
      <c r="K5344" t="s">
        <v>45421</v>
      </c>
      <c r="L5344" t="s">
        <v>45424</v>
      </c>
      <c r="M5344" t="s">
        <v>25</v>
      </c>
      <c r="N5344" t="s">
        <v>45425</v>
      </c>
      <c r="O5344" t="s">
        <v>25</v>
      </c>
      <c r="P5344" t="s">
        <v>45426</v>
      </c>
      <c r="Q5344" t="s">
        <v>29</v>
      </c>
      <c r="R5344" t="s">
        <v>45422</v>
      </c>
      <c r="S5344" t="s">
        <v>45423</v>
      </c>
    </row>
    <row r="5345" spans="1:19" x14ac:dyDescent="0.25">
      <c r="A5345" s="1">
        <v>5343</v>
      </c>
      <c r="B5345" t="str">
        <f>HYPERLINK("https://www.dasschnelle.at/benetton-klosterneuburg-klosterneuburg-niedermarkt","Website")</f>
        <v>Website</v>
      </c>
      <c r="C5345" t="str">
        <f>HYPERLINK("http://at.benetton.com/","Website")</f>
        <v>Website</v>
      </c>
      <c r="D5345" t="str">
        <f>HYPERLINK("http://www.google.com/maps/place/48.30955,16.32537","Location")</f>
        <v>Location</v>
      </c>
      <c r="E5345" t="s">
        <v>45427</v>
      </c>
      <c r="F5345" t="s">
        <v>45428</v>
      </c>
      <c r="G5345" t="s">
        <v>10308</v>
      </c>
      <c r="H5345" t="s">
        <v>10317</v>
      </c>
      <c r="I5345" t="s">
        <v>177</v>
      </c>
      <c r="J5345" t="s">
        <v>22</v>
      </c>
      <c r="K5345" t="s">
        <v>45429</v>
      </c>
      <c r="L5345" t="s">
        <v>45432</v>
      </c>
      <c r="M5345" t="s">
        <v>25</v>
      </c>
      <c r="N5345" t="s">
        <v>45433</v>
      </c>
      <c r="O5345" t="s">
        <v>25</v>
      </c>
      <c r="P5345" t="s">
        <v>45434</v>
      </c>
      <c r="Q5345" t="s">
        <v>29</v>
      </c>
      <c r="R5345" t="s">
        <v>45430</v>
      </c>
      <c r="S5345" t="s">
        <v>45431</v>
      </c>
    </row>
    <row r="5346" spans="1:19" x14ac:dyDescent="0.25">
      <c r="A5346" s="1">
        <v>5344</v>
      </c>
      <c r="B5346" t="str">
        <f>HYPERLINK("https://www.dasschnelle.at/buschenschank-staribacher-höbersdorf-kirchenplatz","Website")</f>
        <v>Website</v>
      </c>
      <c r="C5346" t="str">
        <f>HYPERLINK("http://www.buschenschank-staribacher.com","Website")</f>
        <v>Website</v>
      </c>
      <c r="D5346" t="str">
        <f>HYPERLINK("http://www.google.com/maps/place/48.44836,16.1806","Location")</f>
        <v>Location</v>
      </c>
      <c r="E5346" t="s">
        <v>45435</v>
      </c>
      <c r="F5346" t="s">
        <v>45436</v>
      </c>
      <c r="G5346" t="s">
        <v>34151</v>
      </c>
      <c r="H5346" t="s">
        <v>45437</v>
      </c>
      <c r="I5346" t="s">
        <v>177</v>
      </c>
      <c r="J5346" t="s">
        <v>22</v>
      </c>
      <c r="K5346" t="s">
        <v>22875</v>
      </c>
      <c r="L5346" t="s">
        <v>45440</v>
      </c>
      <c r="M5346" t="s">
        <v>45441</v>
      </c>
      <c r="N5346" t="s">
        <v>45442</v>
      </c>
      <c r="O5346" t="s">
        <v>25</v>
      </c>
      <c r="P5346" t="s">
        <v>45443</v>
      </c>
      <c r="Q5346" t="s">
        <v>29</v>
      </c>
      <c r="R5346" t="s">
        <v>45438</v>
      </c>
      <c r="S5346" t="s">
        <v>45439</v>
      </c>
    </row>
    <row r="5347" spans="1:19" x14ac:dyDescent="0.25">
      <c r="A5347" s="1">
        <v>5345</v>
      </c>
      <c r="B5347" t="str">
        <f>HYPERLINK("https://www.dasschnelle.at/china-restaurant-sinohaus-stockerau-eduard-rösch-straße","Website")</f>
        <v>Website</v>
      </c>
      <c r="C5347" t="str">
        <f>HYPERLINK("http://www.sinohaus-stockerau.at","Website")</f>
        <v>Website</v>
      </c>
      <c r="D5347" t="str">
        <f>HYPERLINK("http://www.google.com/maps/place/48.38652,16.22387","Location")</f>
        <v>Location</v>
      </c>
      <c r="E5347" t="s">
        <v>45444</v>
      </c>
      <c r="F5347" t="s">
        <v>45445</v>
      </c>
      <c r="G5347" t="s">
        <v>13026</v>
      </c>
      <c r="H5347" t="s">
        <v>13027</v>
      </c>
      <c r="I5347" t="s">
        <v>177</v>
      </c>
      <c r="J5347" t="s">
        <v>22</v>
      </c>
      <c r="K5347" t="s">
        <v>45446</v>
      </c>
      <c r="L5347" t="s">
        <v>45449</v>
      </c>
      <c r="M5347" t="s">
        <v>25</v>
      </c>
      <c r="N5347" t="s">
        <v>45450</v>
      </c>
      <c r="O5347" t="s">
        <v>25</v>
      </c>
      <c r="P5347" t="s">
        <v>45451</v>
      </c>
      <c r="Q5347" t="s">
        <v>29</v>
      </c>
      <c r="R5347" t="s">
        <v>45447</v>
      </c>
      <c r="S5347" t="s">
        <v>45448</v>
      </c>
    </row>
    <row r="5348" spans="1:19" x14ac:dyDescent="0.25">
      <c r="A5348" s="1">
        <v>5346</v>
      </c>
      <c r="B5348" t="str">
        <f>HYPERLINK("https://www.dasschnelle.at/dusella-rudolf-gesmbh-klosterneuburg-leopoldstraße","Website")</f>
        <v>Website</v>
      </c>
      <c r="C5348" t="str">
        <f>HYPERLINK("http://www.dusella.at","Website")</f>
        <v>Website</v>
      </c>
      <c r="D5348" t="str">
        <f>HYPERLINK("http://www.google.com/maps/place/48.30445,16.32574","Location")</f>
        <v>Location</v>
      </c>
      <c r="E5348" t="s">
        <v>45452</v>
      </c>
      <c r="F5348" t="s">
        <v>45453</v>
      </c>
      <c r="G5348" t="s">
        <v>10308</v>
      </c>
      <c r="H5348" t="s">
        <v>10317</v>
      </c>
      <c r="I5348" t="s">
        <v>177</v>
      </c>
      <c r="J5348" t="s">
        <v>22</v>
      </c>
      <c r="K5348" t="s">
        <v>45454</v>
      </c>
      <c r="L5348" t="s">
        <v>45457</v>
      </c>
      <c r="M5348" t="s">
        <v>25</v>
      </c>
      <c r="N5348" t="s">
        <v>45458</v>
      </c>
      <c r="O5348" t="s">
        <v>45459</v>
      </c>
      <c r="P5348" t="s">
        <v>45460</v>
      </c>
      <c r="Q5348" t="s">
        <v>29</v>
      </c>
      <c r="R5348" t="s">
        <v>45455</v>
      </c>
      <c r="S5348" t="s">
        <v>45456</v>
      </c>
    </row>
    <row r="5349" spans="1:19" x14ac:dyDescent="0.25">
      <c r="A5349" s="1">
        <v>5347</v>
      </c>
      <c r="B5349" t="str">
        <f>HYPERLINK("https://www.dasschnelle.at/elektro-göttinger-gmbh-klosterneuburg-stadtplatz","Website")</f>
        <v>Website</v>
      </c>
      <c r="C5349" t="str">
        <f>HYPERLINK("http://www.goettinger.at","Website")</f>
        <v>Website</v>
      </c>
      <c r="D5349" t="str">
        <f>HYPERLINK("http://www.google.com/maps/place/48.30878,16.32242","Location")</f>
        <v>Location</v>
      </c>
      <c r="E5349" t="s">
        <v>45461</v>
      </c>
      <c r="F5349" t="s">
        <v>45462</v>
      </c>
      <c r="G5349" t="s">
        <v>10308</v>
      </c>
      <c r="H5349" t="s">
        <v>10317</v>
      </c>
      <c r="I5349" t="s">
        <v>177</v>
      </c>
      <c r="J5349" t="s">
        <v>22</v>
      </c>
      <c r="K5349" t="s">
        <v>43013</v>
      </c>
      <c r="L5349" t="s">
        <v>45463</v>
      </c>
      <c r="M5349" t="s">
        <v>25</v>
      </c>
      <c r="N5349" t="s">
        <v>45464</v>
      </c>
      <c r="O5349" t="s">
        <v>45465</v>
      </c>
      <c r="P5349" t="s">
        <v>45466</v>
      </c>
      <c r="Q5349" t="s">
        <v>29</v>
      </c>
      <c r="R5349" t="s">
        <v>43014</v>
      </c>
      <c r="S5349" t="s">
        <v>43015</v>
      </c>
    </row>
    <row r="5350" spans="1:19" x14ac:dyDescent="0.25">
      <c r="A5350" s="1">
        <v>5348</v>
      </c>
      <c r="B5350" t="str">
        <f>HYPERLINK("https://www.dasschnelle.at/fuchs-josef-u-wilhelm-gesmbh-klosterneuburg-stadtplatz","Website")</f>
        <v>Website</v>
      </c>
      <c r="C5350" t="str">
        <f>HYPERLINK("http://www.bestattung-fuchs.at","Website")</f>
        <v>Website</v>
      </c>
      <c r="D5350" t="str">
        <f>HYPERLINK("http://www.google.com/maps/place/48.3089,16.32259","Location")</f>
        <v>Location</v>
      </c>
      <c r="E5350" t="s">
        <v>45467</v>
      </c>
      <c r="F5350" t="s">
        <v>45468</v>
      </c>
      <c r="G5350" t="s">
        <v>10308</v>
      </c>
      <c r="H5350" t="s">
        <v>10317</v>
      </c>
      <c r="I5350" t="s">
        <v>177</v>
      </c>
      <c r="J5350" t="s">
        <v>22</v>
      </c>
      <c r="K5350" t="s">
        <v>45469</v>
      </c>
      <c r="L5350" t="s">
        <v>45472</v>
      </c>
      <c r="M5350" t="s">
        <v>45473</v>
      </c>
      <c r="N5350" t="s">
        <v>45474</v>
      </c>
      <c r="O5350" t="s">
        <v>25</v>
      </c>
      <c r="P5350" t="s">
        <v>45475</v>
      </c>
      <c r="Q5350" t="s">
        <v>29</v>
      </c>
      <c r="R5350" t="s">
        <v>45470</v>
      </c>
      <c r="S5350" t="s">
        <v>45471</v>
      </c>
    </row>
    <row r="5351" spans="1:19" x14ac:dyDescent="0.25">
      <c r="A5351" s="1">
        <v>5349</v>
      </c>
      <c r="B5351" t="str">
        <f>HYPERLINK("https://www.dasschnelle.at/dangl-optik-inh-andreas-popp-waidhofen-an-der-thaya-böhmgasse","Website")</f>
        <v>Website</v>
      </c>
      <c r="C5351" t="str">
        <f>HYPERLINK("http://www.optikdangl.at","Website")</f>
        <v>Website</v>
      </c>
      <c r="D5351" t="str">
        <f>HYPERLINK("http://www.google.com/maps/place/48.81544,15.28522","Location")</f>
        <v>Location</v>
      </c>
      <c r="E5351" t="s">
        <v>45476</v>
      </c>
      <c r="F5351" t="s">
        <v>45477</v>
      </c>
      <c r="G5351" t="s">
        <v>10987</v>
      </c>
      <c r="H5351" t="s">
        <v>10988</v>
      </c>
      <c r="I5351" t="s">
        <v>177</v>
      </c>
      <c r="J5351" t="s">
        <v>22</v>
      </c>
      <c r="K5351" t="s">
        <v>45478</v>
      </c>
      <c r="L5351" t="s">
        <v>45481</v>
      </c>
      <c r="M5351" t="s">
        <v>25</v>
      </c>
      <c r="N5351" t="s">
        <v>45482</v>
      </c>
      <c r="O5351" t="s">
        <v>25</v>
      </c>
      <c r="P5351" t="s">
        <v>697</v>
      </c>
      <c r="Q5351" t="s">
        <v>29</v>
      </c>
      <c r="R5351" t="s">
        <v>45479</v>
      </c>
      <c r="S5351" t="s">
        <v>45480</v>
      </c>
    </row>
    <row r="5352" spans="1:19" x14ac:dyDescent="0.25">
      <c r="A5352" s="1">
        <v>5350</v>
      </c>
      <c r="B5352" t="str">
        <f>HYPERLINK("https://www.dasschnelle.at/stadt-apotheke-klosterneuburg-klosterneuburg-albrechtstraße","Website")</f>
        <v>Website</v>
      </c>
      <c r="C5352" t="str">
        <f>HYPERLINK("http://www.stadtapoklbg.at","Website")</f>
        <v>Website</v>
      </c>
      <c r="D5352" t="str">
        <f>HYPERLINK("http://www.google.com/maps/place/48.30913,16.32099","Location")</f>
        <v>Location</v>
      </c>
      <c r="E5352" t="s">
        <v>45483</v>
      </c>
      <c r="F5352" t="s">
        <v>45484</v>
      </c>
      <c r="G5352" t="s">
        <v>10308</v>
      </c>
      <c r="H5352" t="s">
        <v>10317</v>
      </c>
      <c r="I5352" t="s">
        <v>177</v>
      </c>
      <c r="J5352" t="s">
        <v>22</v>
      </c>
      <c r="K5352" t="s">
        <v>27226</v>
      </c>
      <c r="L5352" t="s">
        <v>27229</v>
      </c>
      <c r="M5352" t="s">
        <v>27230</v>
      </c>
      <c r="N5352" t="s">
        <v>27231</v>
      </c>
      <c r="O5352" t="s">
        <v>25</v>
      </c>
      <c r="P5352" t="s">
        <v>697</v>
      </c>
      <c r="Q5352" t="s">
        <v>29</v>
      </c>
      <c r="R5352" t="s">
        <v>27227</v>
      </c>
      <c r="S5352" t="s">
        <v>27228</v>
      </c>
    </row>
    <row r="5353" spans="1:19" x14ac:dyDescent="0.25">
      <c r="A5353" s="1">
        <v>5351</v>
      </c>
      <c r="B5353" t="str">
        <f>HYPERLINK("https://www.dasschnelle.at/apotheke-zur-heiligen-agnes-klosterneuburg-wiener-straße","Website")</f>
        <v>Website</v>
      </c>
      <c r="C5353" t="str">
        <f>HYPERLINK("http://www.agnesapotheke.at","Website")</f>
        <v>Website</v>
      </c>
      <c r="D5353" t="str">
        <f>HYPERLINK("http://www.google.com/maps/place/48.2975,16.33391","Location")</f>
        <v>Location</v>
      </c>
      <c r="E5353" t="s">
        <v>45485</v>
      </c>
      <c r="F5353" t="s">
        <v>45486</v>
      </c>
      <c r="G5353" t="s">
        <v>10308</v>
      </c>
      <c r="H5353" t="s">
        <v>10317</v>
      </c>
      <c r="I5353" t="s">
        <v>177</v>
      </c>
      <c r="J5353" t="s">
        <v>22</v>
      </c>
      <c r="K5353" t="s">
        <v>45487</v>
      </c>
      <c r="L5353" t="s">
        <v>45490</v>
      </c>
      <c r="M5353" t="s">
        <v>25</v>
      </c>
      <c r="N5353" t="s">
        <v>45491</v>
      </c>
      <c r="O5353" t="s">
        <v>25</v>
      </c>
      <c r="P5353" t="s">
        <v>45492</v>
      </c>
      <c r="Q5353" t="s">
        <v>29</v>
      </c>
      <c r="R5353" t="s">
        <v>45488</v>
      </c>
      <c r="S5353" t="s">
        <v>45489</v>
      </c>
    </row>
    <row r="5354" spans="1:19" x14ac:dyDescent="0.25">
      <c r="A5354" s="1">
        <v>5352</v>
      </c>
      <c r="B5354" t="str">
        <f>HYPERLINK("https://www.dasschnelle.at/haas-ernestine-brunnenthal-brunnwiesstraße","Website")</f>
        <v>Website</v>
      </c>
      <c r="C5354" t="str">
        <f>HYPERLINK("http://www.ernikocht.at","Website")</f>
        <v>Website</v>
      </c>
      <c r="D5354" t="str">
        <f>HYPERLINK("http://www.google.com/maps/place/48.45945,13.44563","Location")</f>
        <v>Location</v>
      </c>
      <c r="E5354" t="s">
        <v>45493</v>
      </c>
      <c r="F5354" t="s">
        <v>45494</v>
      </c>
      <c r="G5354" t="s">
        <v>24318</v>
      </c>
      <c r="H5354" t="s">
        <v>24319</v>
      </c>
      <c r="I5354" t="s">
        <v>85</v>
      </c>
      <c r="J5354" t="s">
        <v>22</v>
      </c>
      <c r="K5354" t="s">
        <v>45495</v>
      </c>
      <c r="L5354" t="s">
        <v>45498</v>
      </c>
      <c r="M5354" t="s">
        <v>25</v>
      </c>
      <c r="N5354" t="s">
        <v>45499</v>
      </c>
      <c r="O5354" t="s">
        <v>25</v>
      </c>
      <c r="P5354" t="s">
        <v>697</v>
      </c>
      <c r="Q5354" t="s">
        <v>29</v>
      </c>
      <c r="R5354" t="s">
        <v>45496</v>
      </c>
      <c r="S5354" t="s">
        <v>45497</v>
      </c>
    </row>
    <row r="5355" spans="1:19" x14ac:dyDescent="0.25">
      <c r="A5355" s="1">
        <v>5353</v>
      </c>
      <c r="B5355" t="str">
        <f>HYPERLINK("https://www.dasschnelle.at/elektro-stern-und-pfurtscheller-og-fulpmes-industriezone","Website")</f>
        <v>Website</v>
      </c>
      <c r="C5355" t="str">
        <f>HYPERLINK("https://www.dasschnelle.at/elektro-stern-und-pfurtscheller-og-fulpmes-industriezone","Website")</f>
        <v>Website</v>
      </c>
      <c r="D5355" t="str">
        <f>HYPERLINK("http://www.google.com/maps/place/47.1492303,11.3505370","Location")</f>
        <v>Location</v>
      </c>
      <c r="E5355" t="s">
        <v>45500</v>
      </c>
      <c r="F5355" t="s">
        <v>45501</v>
      </c>
      <c r="G5355" t="s">
        <v>5273</v>
      </c>
      <c r="H5355" t="s">
        <v>5274</v>
      </c>
      <c r="I5355" t="s">
        <v>21</v>
      </c>
      <c r="J5355" t="s">
        <v>22</v>
      </c>
      <c r="K5355" t="s">
        <v>45502</v>
      </c>
      <c r="L5355" t="s">
        <v>45505</v>
      </c>
      <c r="M5355" t="s">
        <v>25</v>
      </c>
      <c r="N5355" t="s">
        <v>45506</v>
      </c>
      <c r="O5355" t="s">
        <v>25</v>
      </c>
      <c r="P5355" t="s">
        <v>45507</v>
      </c>
      <c r="Q5355" t="s">
        <v>29</v>
      </c>
      <c r="R5355" t="s">
        <v>45503</v>
      </c>
      <c r="S5355" t="s">
        <v>45504</v>
      </c>
    </row>
    <row r="5356" spans="1:19" x14ac:dyDescent="0.25">
      <c r="A5356" s="1">
        <v>5354</v>
      </c>
      <c r="B5356" t="str">
        <f>HYPERLINK("https://www.dasschnelle.at/nagenkögl-petra-msc-d-o-steyr-werndlstrasse","Website")</f>
        <v>Website</v>
      </c>
      <c r="C5356" t="str">
        <f>HYPERLINK("http://www.osteopathie-steyr.pro","Website")</f>
        <v>Website</v>
      </c>
      <c r="D5356" t="str">
        <f>HYPERLINK("http://www.google.com/maps/place/48.09367,14.42303","Location")</f>
        <v>Location</v>
      </c>
      <c r="E5356" t="s">
        <v>45508</v>
      </c>
      <c r="F5356" t="s">
        <v>45509</v>
      </c>
      <c r="G5356" t="s">
        <v>95</v>
      </c>
      <c r="H5356" t="s">
        <v>96</v>
      </c>
      <c r="I5356" t="s">
        <v>85</v>
      </c>
      <c r="J5356" t="s">
        <v>22</v>
      </c>
      <c r="K5356" t="s">
        <v>45510</v>
      </c>
      <c r="L5356" t="s">
        <v>45513</v>
      </c>
      <c r="M5356" t="s">
        <v>25</v>
      </c>
      <c r="N5356" t="s">
        <v>45514</v>
      </c>
      <c r="O5356" t="s">
        <v>25</v>
      </c>
      <c r="P5356" t="s">
        <v>45515</v>
      </c>
      <c r="Q5356" t="s">
        <v>29</v>
      </c>
      <c r="R5356" t="s">
        <v>45511</v>
      </c>
      <c r="S5356" t="s">
        <v>45512</v>
      </c>
    </row>
    <row r="5357" spans="1:19" x14ac:dyDescent="0.25">
      <c r="A5357" s="1">
        <v>5355</v>
      </c>
      <c r="B5357" t="str">
        <f>HYPERLINK("https://www.dasschnelle.at/teppich-moser-raumausstatter-feistritz-an-der-gail-achomitz","Website")</f>
        <v>Website</v>
      </c>
      <c r="C5357" t="str">
        <f>HYPERLINK("http://www.teppich-moser.at","Website")</f>
        <v>Website</v>
      </c>
      <c r="D5357" t="str">
        <f>HYPERLINK("http://www.google.com/maps/place/46.5693000,13.6067300","Location")</f>
        <v>Location</v>
      </c>
      <c r="E5357" t="s">
        <v>45516</v>
      </c>
      <c r="F5357" t="s">
        <v>45517</v>
      </c>
      <c r="G5357" t="s">
        <v>45519</v>
      </c>
      <c r="H5357" t="s">
        <v>45520</v>
      </c>
      <c r="I5357" t="s">
        <v>4130</v>
      </c>
      <c r="J5357" t="s">
        <v>22</v>
      </c>
      <c r="K5357" t="s">
        <v>45518</v>
      </c>
      <c r="L5357" t="s">
        <v>45523</v>
      </c>
      <c r="M5357" t="s">
        <v>25</v>
      </c>
      <c r="N5357" t="s">
        <v>45524</v>
      </c>
      <c r="O5357" t="s">
        <v>25</v>
      </c>
      <c r="P5357" t="s">
        <v>45525</v>
      </c>
      <c r="Q5357" t="s">
        <v>29</v>
      </c>
      <c r="R5357" t="s">
        <v>45521</v>
      </c>
      <c r="S5357" t="s">
        <v>45522</v>
      </c>
    </row>
    <row r="5358" spans="1:19" x14ac:dyDescent="0.25">
      <c r="A5358" s="1">
        <v>5356</v>
      </c>
      <c r="B5358" t="str">
        <f>HYPERLINK("https://www.dasschnelle.at/passrucker-maria-altenmarkt-im-pongau-obere-marktstraße","Website")</f>
        <v>Website</v>
      </c>
      <c r="C5358" t="str">
        <f>HYPERLINK("https://www.dasschnelle.at/passrucker-maria-altenmarkt-im-pongau-obere-marktstra%C3%9Fe","Website")</f>
        <v>Website</v>
      </c>
      <c r="D5358" t="str">
        <f>HYPERLINK("http://www.google.com/maps/place/47.37926,13.42175","Location")</f>
        <v>Location</v>
      </c>
      <c r="E5358" t="s">
        <v>45526</v>
      </c>
      <c r="F5358" t="s">
        <v>45527</v>
      </c>
      <c r="G5358" t="s">
        <v>5876</v>
      </c>
      <c r="H5358" t="s">
        <v>5877</v>
      </c>
      <c r="I5358" t="s">
        <v>2239</v>
      </c>
      <c r="J5358" t="s">
        <v>22</v>
      </c>
      <c r="K5358" t="s">
        <v>45528</v>
      </c>
      <c r="L5358" t="s">
        <v>45531</v>
      </c>
      <c r="M5358" t="s">
        <v>25</v>
      </c>
      <c r="N5358" t="s">
        <v>45532</v>
      </c>
      <c r="O5358" t="s">
        <v>25</v>
      </c>
      <c r="P5358" t="s">
        <v>45533</v>
      </c>
      <c r="Q5358" t="s">
        <v>29</v>
      </c>
      <c r="R5358" t="s">
        <v>45529</v>
      </c>
      <c r="S5358" t="s">
        <v>45530</v>
      </c>
    </row>
    <row r="5359" spans="1:19" x14ac:dyDescent="0.25">
      <c r="A5359" s="1">
        <v>5357</v>
      </c>
      <c r="B5359" t="str">
        <f>HYPERLINK("https://www.dasschnelle.at/physiotherapie-md-landeck-flirstraße","Website")</f>
        <v>Website</v>
      </c>
      <c r="C5359" t="str">
        <f>HYPERLINK("http://www.physio-landeck.at","Website")</f>
        <v>Website</v>
      </c>
      <c r="D5359" t="str">
        <f>HYPERLINK("http://www.google.com/maps/place/47.14126,10.55208","Location")</f>
        <v>Location</v>
      </c>
      <c r="E5359" t="s">
        <v>45534</v>
      </c>
      <c r="F5359" t="s">
        <v>45535</v>
      </c>
      <c r="G5359" t="s">
        <v>1279</v>
      </c>
      <c r="H5359" t="s">
        <v>1280</v>
      </c>
      <c r="I5359" t="s">
        <v>21</v>
      </c>
      <c r="J5359" t="s">
        <v>22</v>
      </c>
      <c r="K5359" t="s">
        <v>45536</v>
      </c>
      <c r="L5359" t="s">
        <v>45539</v>
      </c>
      <c r="M5359" t="s">
        <v>25</v>
      </c>
      <c r="N5359" t="s">
        <v>45540</v>
      </c>
      <c r="O5359" t="s">
        <v>45541</v>
      </c>
      <c r="P5359" t="s">
        <v>45542</v>
      </c>
      <c r="Q5359" t="s">
        <v>29</v>
      </c>
      <c r="R5359" t="s">
        <v>45537</v>
      </c>
      <c r="S5359" t="s">
        <v>45538</v>
      </c>
    </row>
    <row r="5360" spans="1:19" x14ac:dyDescent="0.25">
      <c r="A5360" s="1">
        <v>5358</v>
      </c>
      <c r="B5360" t="str">
        <f>HYPERLINK("https://www.dasschnelle.at/wt-eder-steuerberatung-gmbh-vöcklabruck-graben","Website")</f>
        <v>Website</v>
      </c>
      <c r="C5360" t="str">
        <f>HYPERLINK("http://www.eder-stb.at","Website")</f>
        <v>Website</v>
      </c>
      <c r="D5360" t="str">
        <f>HYPERLINK("http://www.google.com/maps/place/48.00934,13.65636","Location")</f>
        <v>Location</v>
      </c>
      <c r="E5360" t="s">
        <v>45543</v>
      </c>
      <c r="F5360" t="s">
        <v>45544</v>
      </c>
      <c r="G5360" t="s">
        <v>3749</v>
      </c>
      <c r="H5360" t="s">
        <v>3750</v>
      </c>
      <c r="I5360" t="s">
        <v>85</v>
      </c>
      <c r="J5360" t="s">
        <v>22</v>
      </c>
      <c r="K5360" t="s">
        <v>45545</v>
      </c>
      <c r="L5360" t="s">
        <v>45548</v>
      </c>
      <c r="M5360" t="s">
        <v>25</v>
      </c>
      <c r="N5360" t="s">
        <v>45549</v>
      </c>
      <c r="O5360" t="s">
        <v>25</v>
      </c>
      <c r="P5360" t="s">
        <v>45550</v>
      </c>
      <c r="Q5360" t="s">
        <v>29</v>
      </c>
      <c r="R5360" t="s">
        <v>45546</v>
      </c>
      <c r="S5360" t="s">
        <v>45547</v>
      </c>
    </row>
    <row r="5361" spans="1:19" x14ac:dyDescent="0.25">
      <c r="A5361" s="1">
        <v>5359</v>
      </c>
      <c r="B5361" t="str">
        <f>HYPERLINK("https://www.dasschnelle.at/drolle-horst-sonnrain-ossiacher-bundesstraße","Website")</f>
        <v>Website</v>
      </c>
      <c r="C5361" t="str">
        <f>HYPERLINK("http://www.schluesseldienst-drolle.at","Website")</f>
        <v>Website</v>
      </c>
      <c r="D5361" t="str">
        <f>HYPERLINK("http://www.google.com/maps/place/46.7205,14.08409","Location")</f>
        <v>Location</v>
      </c>
      <c r="E5361" t="s">
        <v>45551</v>
      </c>
      <c r="F5361" t="s">
        <v>45552</v>
      </c>
      <c r="G5361" t="s">
        <v>8498</v>
      </c>
      <c r="H5361" t="s">
        <v>45554</v>
      </c>
      <c r="I5361" t="s">
        <v>4130</v>
      </c>
      <c r="J5361" t="s">
        <v>22</v>
      </c>
      <c r="K5361" t="s">
        <v>45553</v>
      </c>
      <c r="L5361" t="s">
        <v>45557</v>
      </c>
      <c r="M5361" t="s">
        <v>25</v>
      </c>
      <c r="N5361" t="s">
        <v>45558</v>
      </c>
      <c r="O5361" t="s">
        <v>25</v>
      </c>
      <c r="P5361" t="s">
        <v>45559</v>
      </c>
      <c r="Q5361" t="s">
        <v>29</v>
      </c>
      <c r="R5361" t="s">
        <v>45555</v>
      </c>
      <c r="S5361" t="s">
        <v>45556</v>
      </c>
    </row>
    <row r="5362" spans="1:19" x14ac:dyDescent="0.25">
      <c r="A5362" s="1">
        <v>5360</v>
      </c>
      <c r="B5362" t="str">
        <f>HYPERLINK("https://www.dasschnelle.at/haidegger-richard-gries-am-brenner-bundesstraße","Website")</f>
        <v>Website</v>
      </c>
      <c r="C5362" t="str">
        <f>HYPERLINK("http://www.kfz-haidegger.at","Website")</f>
        <v>Website</v>
      </c>
      <c r="D5362" t="str">
        <f>HYPERLINK("http://www.google.com/maps/place/47.0431597,11.4824862","Location")</f>
        <v>Location</v>
      </c>
      <c r="E5362" t="s">
        <v>45560</v>
      </c>
      <c r="F5362" t="s">
        <v>45561</v>
      </c>
      <c r="G5362" t="s">
        <v>5363</v>
      </c>
      <c r="H5362" t="s">
        <v>5364</v>
      </c>
      <c r="I5362" t="s">
        <v>21</v>
      </c>
      <c r="J5362" t="s">
        <v>22</v>
      </c>
      <c r="K5362" t="s">
        <v>29776</v>
      </c>
      <c r="L5362" t="s">
        <v>45564</v>
      </c>
      <c r="M5362" t="s">
        <v>25</v>
      </c>
      <c r="N5362" t="s">
        <v>45565</v>
      </c>
      <c r="O5362" t="s">
        <v>25</v>
      </c>
      <c r="P5362" t="s">
        <v>45566</v>
      </c>
      <c r="Q5362" t="s">
        <v>29</v>
      </c>
      <c r="R5362" t="s">
        <v>45562</v>
      </c>
      <c r="S5362" t="s">
        <v>45563</v>
      </c>
    </row>
    <row r="5363" spans="1:19" x14ac:dyDescent="0.25">
      <c r="A5363" s="1">
        <v>5361</v>
      </c>
      <c r="B5363" t="str">
        <f>HYPERLINK("https://www.dasschnelle.at/eppel-franz-jun-zell-am-moos-abt-haberl-weg","Website")</f>
        <v>Website</v>
      </c>
      <c r="C5363" t="str">
        <f>HYPERLINK("https://www.dasschnelle.at/eppel-franz-jun-zell-am-moos-abt-haberl-weg","Website")</f>
        <v>Website</v>
      </c>
      <c r="D5363" t="str">
        <f>HYPERLINK("http://www.google.com/maps/place/47.90211,13.32069","Location")</f>
        <v>Location</v>
      </c>
      <c r="E5363" t="s">
        <v>45567</v>
      </c>
      <c r="F5363" t="s">
        <v>45568</v>
      </c>
      <c r="G5363" t="s">
        <v>32852</v>
      </c>
      <c r="H5363" t="s">
        <v>32853</v>
      </c>
      <c r="I5363" t="s">
        <v>85</v>
      </c>
      <c r="J5363" t="s">
        <v>22</v>
      </c>
      <c r="K5363" t="s">
        <v>45569</v>
      </c>
      <c r="L5363" t="s">
        <v>45572</v>
      </c>
      <c r="M5363" t="s">
        <v>25</v>
      </c>
      <c r="N5363" t="s">
        <v>45573</v>
      </c>
      <c r="O5363" t="s">
        <v>25</v>
      </c>
      <c r="P5363" t="s">
        <v>45574</v>
      </c>
      <c r="Q5363" t="s">
        <v>29</v>
      </c>
      <c r="R5363" t="s">
        <v>45570</v>
      </c>
      <c r="S5363" t="s">
        <v>45571</v>
      </c>
    </row>
    <row r="5364" spans="1:19" x14ac:dyDescent="0.25">
      <c r="A5364" s="1">
        <v>5362</v>
      </c>
      <c r="B5364" t="str">
        <f>HYPERLINK("https://www.dasschnelle.at/cicek-eunice-hainfeld-hüffelstraße","Website")</f>
        <v>Website</v>
      </c>
      <c r="C5364" t="str">
        <f>HYPERLINK("http://www.tapezierer-cicek.at","Website")</f>
        <v>Website</v>
      </c>
      <c r="D5364" t="str">
        <f>HYPERLINK("http://www.google.com/maps/place/48.03976,15.76245","Location")</f>
        <v>Location</v>
      </c>
      <c r="E5364" t="s">
        <v>45575</v>
      </c>
      <c r="F5364" t="s">
        <v>45576</v>
      </c>
      <c r="G5364" t="s">
        <v>13419</v>
      </c>
      <c r="H5364" t="s">
        <v>13420</v>
      </c>
      <c r="I5364" t="s">
        <v>177</v>
      </c>
      <c r="J5364" t="s">
        <v>22</v>
      </c>
      <c r="K5364" t="s">
        <v>45577</v>
      </c>
      <c r="L5364" t="s">
        <v>45580</v>
      </c>
      <c r="M5364" t="s">
        <v>25</v>
      </c>
      <c r="N5364" t="s">
        <v>45581</v>
      </c>
      <c r="O5364" t="s">
        <v>25</v>
      </c>
      <c r="P5364" t="s">
        <v>45582</v>
      </c>
      <c r="Q5364" t="s">
        <v>29</v>
      </c>
      <c r="R5364" t="s">
        <v>45578</v>
      </c>
      <c r="S5364" t="s">
        <v>45579</v>
      </c>
    </row>
    <row r="5365" spans="1:19" x14ac:dyDescent="0.25">
      <c r="A5365" s="1">
        <v>5363</v>
      </c>
      <c r="B5365" t="str">
        <f>HYPERLINK("https://www.dasschnelle.at/reisecker-mike-peuerbach-hauptstraße","Website")</f>
        <v>Website</v>
      </c>
      <c r="C5365" t="str">
        <f>HYPERLINK("http://www.rip.at","Website")</f>
        <v>Website</v>
      </c>
      <c r="D5365" t="str">
        <f>HYPERLINK("http://www.google.com/maps/place/48.3570311,13.6445478","Location")</f>
        <v>Location</v>
      </c>
      <c r="E5365" t="s">
        <v>45583</v>
      </c>
      <c r="F5365" t="s">
        <v>45584</v>
      </c>
      <c r="G5365" t="s">
        <v>7303</v>
      </c>
      <c r="H5365" t="s">
        <v>7304</v>
      </c>
      <c r="I5365" t="s">
        <v>85</v>
      </c>
      <c r="J5365" t="s">
        <v>22</v>
      </c>
      <c r="K5365" t="s">
        <v>18414</v>
      </c>
      <c r="L5365" t="s">
        <v>45587</v>
      </c>
      <c r="M5365" t="s">
        <v>25</v>
      </c>
      <c r="N5365" t="s">
        <v>28288</v>
      </c>
      <c r="O5365" t="s">
        <v>25</v>
      </c>
      <c r="P5365" t="s">
        <v>45588</v>
      </c>
      <c r="Q5365" t="s">
        <v>29</v>
      </c>
      <c r="R5365" t="s">
        <v>45585</v>
      </c>
      <c r="S5365" t="s">
        <v>45586</v>
      </c>
    </row>
    <row r="5366" spans="1:19" x14ac:dyDescent="0.25">
      <c r="A5366" s="1">
        <v>5364</v>
      </c>
      <c r="B5366" t="str">
        <f>HYPERLINK("https://www.dasschnelle.at/penn-list-helene-freistadt-stelzhamerstraße","Website")</f>
        <v>Website</v>
      </c>
      <c r="C5366" t="str">
        <f>HYPERLINK("https://www.dasschnelle.at/penn-list-helene-freistadt-stelzhamerstra%C3%9Fe","Website")</f>
        <v>Website</v>
      </c>
      <c r="D5366" t="str">
        <f>HYPERLINK("http://www.google.com/maps/place/48.50073,14.49997","Location")</f>
        <v>Location</v>
      </c>
      <c r="E5366" t="s">
        <v>45589</v>
      </c>
      <c r="F5366" t="s">
        <v>45590</v>
      </c>
      <c r="G5366" t="s">
        <v>6891</v>
      </c>
      <c r="H5366" t="s">
        <v>6892</v>
      </c>
      <c r="I5366" t="s">
        <v>85</v>
      </c>
      <c r="J5366" t="s">
        <v>22</v>
      </c>
      <c r="K5366" t="s">
        <v>45591</v>
      </c>
      <c r="L5366" t="s">
        <v>45594</v>
      </c>
      <c r="M5366" t="s">
        <v>25</v>
      </c>
      <c r="N5366" t="s">
        <v>45595</v>
      </c>
      <c r="O5366" t="s">
        <v>25</v>
      </c>
      <c r="P5366" t="s">
        <v>45596</v>
      </c>
      <c r="Q5366" t="s">
        <v>29</v>
      </c>
      <c r="R5366" t="s">
        <v>45592</v>
      </c>
      <c r="S5366" t="s">
        <v>45593</v>
      </c>
    </row>
    <row r="5367" spans="1:19" x14ac:dyDescent="0.25">
      <c r="A5367" s="1">
        <v>5365</v>
      </c>
      <c r="B5367" t="str">
        <f>HYPERLINK("https://www.dasschnelle.at/podstatzky-lichtenstein-leopold-dr-wels-wagner-jauregg-straße","Website")</f>
        <v>Website</v>
      </c>
      <c r="C5367" t="str">
        <f>HYPERLINK("https://www.dasschnelle.at/podstatzky-lichtenstein-leopold-dr-wels-wagner-jauregg-stra%C3%9Fe","Website")</f>
        <v>Website</v>
      </c>
      <c r="D5367" t="str">
        <f>HYPERLINK("http://www.google.com/maps/place/48.16348,14.01655","Location")</f>
        <v>Location</v>
      </c>
      <c r="E5367" t="s">
        <v>45597</v>
      </c>
      <c r="F5367" t="s">
        <v>45598</v>
      </c>
      <c r="G5367" t="s">
        <v>4725</v>
      </c>
      <c r="H5367" t="s">
        <v>4754</v>
      </c>
      <c r="I5367" t="s">
        <v>85</v>
      </c>
      <c r="J5367" t="s">
        <v>22</v>
      </c>
      <c r="K5367" t="s">
        <v>45599</v>
      </c>
      <c r="L5367" t="s">
        <v>45602</v>
      </c>
      <c r="M5367" t="s">
        <v>25</v>
      </c>
      <c r="N5367" t="s">
        <v>45603</v>
      </c>
      <c r="O5367" t="s">
        <v>25</v>
      </c>
      <c r="P5367" t="s">
        <v>45604</v>
      </c>
      <c r="Q5367" t="s">
        <v>29</v>
      </c>
      <c r="R5367" t="s">
        <v>45600</v>
      </c>
      <c r="S5367" t="s">
        <v>45601</v>
      </c>
    </row>
    <row r="5368" spans="1:19" x14ac:dyDescent="0.25">
      <c r="A5368" s="1">
        <v>5366</v>
      </c>
      <c r="B5368" t="str">
        <f>HYPERLINK("https://www.dasschnelle.at/weirer-franz-st-aegyd-am-neuwalde-badweg","Website")</f>
        <v>Website</v>
      </c>
      <c r="C5368" t="str">
        <f>HYPERLINK("http://www.tischlerei-weirer.at","Website")</f>
        <v>Website</v>
      </c>
      <c r="D5368" t="str">
        <f>HYPERLINK("http://www.google.com/maps/place/47.85456,15.5668","Location")</f>
        <v>Location</v>
      </c>
      <c r="E5368" t="s">
        <v>45605</v>
      </c>
      <c r="F5368" t="s">
        <v>45606</v>
      </c>
      <c r="G5368" t="s">
        <v>29450</v>
      </c>
      <c r="H5368" t="s">
        <v>29451</v>
      </c>
      <c r="I5368" t="s">
        <v>177</v>
      </c>
      <c r="J5368" t="s">
        <v>22</v>
      </c>
      <c r="K5368" t="s">
        <v>45607</v>
      </c>
      <c r="L5368" t="s">
        <v>45610</v>
      </c>
      <c r="M5368" t="s">
        <v>25</v>
      </c>
      <c r="N5368" t="s">
        <v>45611</v>
      </c>
      <c r="O5368" t="s">
        <v>25</v>
      </c>
      <c r="P5368" t="s">
        <v>45612</v>
      </c>
      <c r="Q5368" t="s">
        <v>29</v>
      </c>
      <c r="R5368" t="s">
        <v>45608</v>
      </c>
      <c r="S5368" t="s">
        <v>45609</v>
      </c>
    </row>
    <row r="5369" spans="1:19" x14ac:dyDescent="0.25">
      <c r="A5369" s="1">
        <v>5367</v>
      </c>
      <c r="B5369" t="str">
        <f>HYPERLINK("https://www.dasschnelle.at/eurospar-emanuel-krieg-ulrichsberg-dreisesselbergstraße","Website")</f>
        <v>Website</v>
      </c>
      <c r="C5369" t="str">
        <f>HYPERLINK("http://www.eurospar-krieg.at","Website")</f>
        <v>Website</v>
      </c>
      <c r="D5369" t="str">
        <f>HYPERLINK("http://www.google.com/maps/place/48.67758,13.911","Location")</f>
        <v>Location</v>
      </c>
      <c r="E5369" t="s">
        <v>45613</v>
      </c>
      <c r="F5369" t="s">
        <v>45614</v>
      </c>
      <c r="G5369" t="s">
        <v>8779</v>
      </c>
      <c r="H5369" t="s">
        <v>8780</v>
      </c>
      <c r="I5369" t="s">
        <v>85</v>
      </c>
      <c r="J5369" t="s">
        <v>22</v>
      </c>
      <c r="K5369" t="s">
        <v>45615</v>
      </c>
      <c r="L5369" t="s">
        <v>45618</v>
      </c>
      <c r="M5369" t="s">
        <v>25</v>
      </c>
      <c r="N5369" t="s">
        <v>45619</v>
      </c>
      <c r="O5369" t="s">
        <v>25</v>
      </c>
      <c r="P5369" t="s">
        <v>45620</v>
      </c>
      <c r="Q5369" t="s">
        <v>29</v>
      </c>
      <c r="R5369" t="s">
        <v>45616</v>
      </c>
      <c r="S5369" t="s">
        <v>45617</v>
      </c>
    </row>
    <row r="5370" spans="1:19" x14ac:dyDescent="0.25">
      <c r="A5370" s="1">
        <v>5368</v>
      </c>
      <c r="B5370" t="str">
        <f>HYPERLINK("https://www.dasschnelle.at/hödl-josef-gleisdorf-schubertgasse","Website")</f>
        <v>Website</v>
      </c>
      <c r="C5370" t="str">
        <f>HYPERLINK("http://www.maler-hoedl.at","Website")</f>
        <v>Website</v>
      </c>
      <c r="D5370" t="str">
        <f>HYPERLINK("http://www.google.com/maps/place/47.1059405,15.7023652","Location")</f>
        <v>Location</v>
      </c>
      <c r="E5370" t="s">
        <v>45621</v>
      </c>
      <c r="F5370" t="s">
        <v>45622</v>
      </c>
      <c r="G5370" t="s">
        <v>3466</v>
      </c>
      <c r="H5370" t="s">
        <v>3467</v>
      </c>
      <c r="I5370" t="s">
        <v>451</v>
      </c>
      <c r="J5370" t="s">
        <v>22</v>
      </c>
      <c r="K5370" t="s">
        <v>45623</v>
      </c>
      <c r="L5370" t="s">
        <v>45626</v>
      </c>
      <c r="M5370" t="s">
        <v>25</v>
      </c>
      <c r="N5370" t="s">
        <v>45627</v>
      </c>
      <c r="O5370" t="s">
        <v>25</v>
      </c>
      <c r="P5370" t="s">
        <v>45628</v>
      </c>
      <c r="Q5370" t="s">
        <v>29</v>
      </c>
      <c r="R5370" t="s">
        <v>45624</v>
      </c>
      <c r="S5370" t="s">
        <v>45625</v>
      </c>
    </row>
    <row r="5371" spans="1:19" x14ac:dyDescent="0.25">
      <c r="A5371" s="1">
        <v>5369</v>
      </c>
      <c r="B5371" t="str">
        <f>HYPERLINK("https://www.dasschnelle.at/narobe-tamsweg-jakob-ferner-straße","Website")</f>
        <v>Website</v>
      </c>
      <c r="C5371" t="str">
        <f>HYPERLINK("http://www.bestattung-narobe.at","Website")</f>
        <v>Website</v>
      </c>
      <c r="D5371" t="str">
        <f>HYPERLINK("http://www.google.com/maps/place/47.13304,13.80621","Location")</f>
        <v>Location</v>
      </c>
      <c r="E5371" t="s">
        <v>45629</v>
      </c>
      <c r="F5371" t="s">
        <v>45630</v>
      </c>
      <c r="G5371" t="s">
        <v>11522</v>
      </c>
      <c r="H5371" t="s">
        <v>11523</v>
      </c>
      <c r="I5371" t="s">
        <v>2239</v>
      </c>
      <c r="J5371" t="s">
        <v>22</v>
      </c>
      <c r="K5371" t="s">
        <v>45631</v>
      </c>
      <c r="L5371" t="s">
        <v>45634</v>
      </c>
      <c r="M5371" t="s">
        <v>45635</v>
      </c>
      <c r="N5371" t="s">
        <v>45636</v>
      </c>
      <c r="O5371" t="s">
        <v>25</v>
      </c>
      <c r="P5371" t="s">
        <v>45637</v>
      </c>
      <c r="Q5371" t="s">
        <v>29</v>
      </c>
      <c r="R5371" t="s">
        <v>45632</v>
      </c>
      <c r="S5371" t="s">
        <v>45633</v>
      </c>
    </row>
    <row r="5372" spans="1:19" x14ac:dyDescent="0.25">
      <c r="A5372" s="1">
        <v>5370</v>
      </c>
      <c r="B5372" t="str">
        <f>HYPERLINK("https://www.dasschnelle.at/klein-heinrich-rohr-im-kremstal-linzer-straße","Website")</f>
        <v>Website</v>
      </c>
      <c r="C5372" t="str">
        <f>HYPERLINK("http://www.gasthof-klein.at","Website")</f>
        <v>Website</v>
      </c>
      <c r="D5372" t="str">
        <f>HYPERLINK("http://www.google.com/maps/place/48.06879,14.19098","Location")</f>
        <v>Location</v>
      </c>
      <c r="E5372" t="s">
        <v>45638</v>
      </c>
      <c r="F5372" t="s">
        <v>45639</v>
      </c>
      <c r="G5372" t="s">
        <v>36651</v>
      </c>
      <c r="H5372" t="s">
        <v>36652</v>
      </c>
      <c r="I5372" t="s">
        <v>85</v>
      </c>
      <c r="J5372" t="s">
        <v>22</v>
      </c>
      <c r="K5372" t="s">
        <v>45640</v>
      </c>
      <c r="L5372" t="s">
        <v>45643</v>
      </c>
      <c r="M5372" t="s">
        <v>25</v>
      </c>
      <c r="N5372" t="s">
        <v>45644</v>
      </c>
      <c r="O5372" t="s">
        <v>25</v>
      </c>
      <c r="P5372" t="s">
        <v>45645</v>
      </c>
      <c r="Q5372" t="s">
        <v>29</v>
      </c>
      <c r="R5372" t="s">
        <v>45641</v>
      </c>
      <c r="S5372" t="s">
        <v>45642</v>
      </c>
    </row>
    <row r="5373" spans="1:19" x14ac:dyDescent="0.25">
      <c r="A5373" s="1">
        <v>5371</v>
      </c>
      <c r="B5373" t="str">
        <f>HYPERLINK("https://www.dasschnelle.at/roch-martin-dr-schwechat-franz-schubert-straße","Website")</f>
        <v>Website</v>
      </c>
      <c r="C5373" t="str">
        <f>HYPERLINK("http://www.1anotar.at","Website")</f>
        <v>Website</v>
      </c>
      <c r="D5373" t="str">
        <f>HYPERLINK("http://www.google.com/maps/place/48.1385300,16.4765500","Location")</f>
        <v>Location</v>
      </c>
      <c r="E5373" t="s">
        <v>45646</v>
      </c>
      <c r="F5373" t="s">
        <v>45647</v>
      </c>
      <c r="G5373" t="s">
        <v>9769</v>
      </c>
      <c r="H5373" t="s">
        <v>9770</v>
      </c>
      <c r="I5373" t="s">
        <v>177</v>
      </c>
      <c r="J5373" t="s">
        <v>22</v>
      </c>
      <c r="K5373" t="s">
        <v>45648</v>
      </c>
      <c r="L5373" t="s">
        <v>45651</v>
      </c>
      <c r="M5373" t="s">
        <v>25</v>
      </c>
      <c r="N5373" t="s">
        <v>45652</v>
      </c>
      <c r="O5373" t="s">
        <v>45653</v>
      </c>
      <c r="P5373" t="s">
        <v>45654</v>
      </c>
      <c r="Q5373" t="s">
        <v>29</v>
      </c>
      <c r="R5373" t="s">
        <v>45649</v>
      </c>
      <c r="S5373" t="s">
        <v>45650</v>
      </c>
    </row>
    <row r="5374" spans="1:19" x14ac:dyDescent="0.25">
      <c r="A5374" s="1">
        <v>5372</v>
      </c>
      <c r="B5374" t="str">
        <f>HYPERLINK("https://www.dasschnelle.at/rzt-pflaster-spezialisten-gmbh-mehrnbach-ringweg","Website")</f>
        <v>Website</v>
      </c>
      <c r="C5374" t="str">
        <f>HYPERLINK("http://www.pflaster-spezialisten.com","Website")</f>
        <v>Website</v>
      </c>
      <c r="D5374" t="str">
        <f>HYPERLINK("http://www.google.com/maps/place/48.2081163,13.4357329","Location")</f>
        <v>Location</v>
      </c>
      <c r="E5374" t="s">
        <v>45655</v>
      </c>
      <c r="F5374" t="s">
        <v>45656</v>
      </c>
      <c r="G5374" t="s">
        <v>6256</v>
      </c>
      <c r="H5374" t="s">
        <v>6257</v>
      </c>
      <c r="I5374" t="s">
        <v>85</v>
      </c>
      <c r="J5374" t="s">
        <v>22</v>
      </c>
      <c r="K5374" t="s">
        <v>45657</v>
      </c>
      <c r="L5374" t="s">
        <v>45660</v>
      </c>
      <c r="M5374" t="s">
        <v>25</v>
      </c>
      <c r="N5374" t="s">
        <v>45661</v>
      </c>
      <c r="O5374" t="s">
        <v>25</v>
      </c>
      <c r="P5374" t="s">
        <v>45662</v>
      </c>
      <c r="Q5374" t="s">
        <v>29</v>
      </c>
      <c r="R5374" t="s">
        <v>45658</v>
      </c>
      <c r="S5374" t="s">
        <v>45659</v>
      </c>
    </row>
    <row r="5375" spans="1:19" x14ac:dyDescent="0.25">
      <c r="A5375" s="1">
        <v>5373</v>
      </c>
      <c r="B5375" t="str">
        <f>HYPERLINK("https://www.dasschnelle.at/wenger-bernhard-mag-bleiburg-schloßgasse","Website")</f>
        <v>Website</v>
      </c>
      <c r="C5375" t="str">
        <f>HYPERLINK("https://www.dasschnelle.at/wenger-bernhard-mag-bleiburg-schlo%C3%9Fgasse","Website")</f>
        <v>Website</v>
      </c>
      <c r="D5375" t="str">
        <f>HYPERLINK("http://www.google.com/maps/place/46.59032,14.80033","Location")</f>
        <v>Location</v>
      </c>
      <c r="E5375" t="s">
        <v>45663</v>
      </c>
      <c r="F5375" t="s">
        <v>45664</v>
      </c>
      <c r="G5375" t="s">
        <v>5113</v>
      </c>
      <c r="H5375" t="s">
        <v>5114</v>
      </c>
      <c r="I5375" t="s">
        <v>4130</v>
      </c>
      <c r="J5375" t="s">
        <v>22</v>
      </c>
      <c r="K5375" t="s">
        <v>45665</v>
      </c>
      <c r="L5375" t="s">
        <v>45668</v>
      </c>
      <c r="M5375" t="s">
        <v>45669</v>
      </c>
      <c r="N5375" t="s">
        <v>45670</v>
      </c>
      <c r="O5375" t="s">
        <v>25</v>
      </c>
      <c r="P5375" t="s">
        <v>45671</v>
      </c>
      <c r="Q5375" t="s">
        <v>29</v>
      </c>
      <c r="R5375" t="s">
        <v>45666</v>
      </c>
      <c r="S5375" t="s">
        <v>45667</v>
      </c>
    </row>
    <row r="5376" spans="1:19" x14ac:dyDescent="0.25">
      <c r="A5376" s="1">
        <v>5374</v>
      </c>
      <c r="B5376" t="str">
        <f>HYPERLINK("https://www.dasschnelle.at/bredschneider-rudolf-bleiburg-dammweg","Website")</f>
        <v>Website</v>
      </c>
      <c r="C5376" t="str">
        <f>HYPERLINK("http://www.bredschneider.at","Website")</f>
        <v>Website</v>
      </c>
      <c r="D5376" t="str">
        <f>HYPERLINK("http://www.google.com/maps/place/46.5839000,14.7953100","Location")</f>
        <v>Location</v>
      </c>
      <c r="E5376" t="s">
        <v>45672</v>
      </c>
      <c r="F5376" t="s">
        <v>45673</v>
      </c>
      <c r="G5376" t="s">
        <v>5113</v>
      </c>
      <c r="H5376" t="s">
        <v>5114</v>
      </c>
      <c r="I5376" t="s">
        <v>4130</v>
      </c>
      <c r="J5376" t="s">
        <v>22</v>
      </c>
      <c r="K5376" t="s">
        <v>45674</v>
      </c>
      <c r="L5376" t="s">
        <v>45677</v>
      </c>
      <c r="M5376" t="s">
        <v>45678</v>
      </c>
      <c r="N5376" t="s">
        <v>45679</v>
      </c>
      <c r="O5376" t="s">
        <v>45680</v>
      </c>
      <c r="P5376" t="s">
        <v>45681</v>
      </c>
      <c r="Q5376" t="s">
        <v>29</v>
      </c>
      <c r="R5376" t="s">
        <v>45675</v>
      </c>
      <c r="S5376" t="s">
        <v>45676</v>
      </c>
    </row>
    <row r="5377" spans="1:19" x14ac:dyDescent="0.25">
      <c r="A5377" s="1">
        <v>5375</v>
      </c>
      <c r="B5377" t="str">
        <f>HYPERLINK("https://www.dasschnelle.at/langreiter-robert-erpfendorf-dorf","Website")</f>
        <v>Website</v>
      </c>
      <c r="C5377" t="str">
        <f>HYPERLINK("https://www.dasschnelle.at/langreiter-robert-erpfendorf-dorf","Website")</f>
        <v>Website</v>
      </c>
      <c r="D5377" t="str">
        <f>HYPERLINK("http://www.google.com/maps/place/47.5661,12.46822","Location")</f>
        <v>Location</v>
      </c>
      <c r="E5377" t="s">
        <v>45682</v>
      </c>
      <c r="F5377" t="s">
        <v>45683</v>
      </c>
      <c r="G5377" t="s">
        <v>20033</v>
      </c>
      <c r="H5377" t="s">
        <v>20034</v>
      </c>
      <c r="I5377" t="s">
        <v>21</v>
      </c>
      <c r="J5377" t="s">
        <v>22</v>
      </c>
      <c r="K5377" t="s">
        <v>45684</v>
      </c>
      <c r="L5377" t="s">
        <v>45687</v>
      </c>
      <c r="M5377" t="s">
        <v>25</v>
      </c>
      <c r="N5377" t="s">
        <v>45688</v>
      </c>
      <c r="O5377" t="s">
        <v>25</v>
      </c>
      <c r="P5377" t="s">
        <v>45689</v>
      </c>
      <c r="Q5377" t="s">
        <v>29</v>
      </c>
      <c r="R5377" t="s">
        <v>45685</v>
      </c>
      <c r="S5377" t="s">
        <v>45686</v>
      </c>
    </row>
    <row r="5378" spans="1:19" x14ac:dyDescent="0.25">
      <c r="A5378" s="1">
        <v>5376</v>
      </c>
      <c r="B5378" t="str">
        <f>HYPERLINK("https://www.dasschnelle.at/hohenrainer-hannes-reutte-wiesenweg","Website")</f>
        <v>Website</v>
      </c>
      <c r="C5378" t="str">
        <f>HYPERLINK("https://www.dasschnelle.at/hohenrainer-hannes-reutte-wiesenweg","Website")</f>
        <v>Website</v>
      </c>
      <c r="D5378" t="str">
        <f>HYPERLINK("http://www.google.com/maps/place/47.49844,10.72917","Location")</f>
        <v>Location</v>
      </c>
      <c r="E5378" t="s">
        <v>45690</v>
      </c>
      <c r="F5378" t="s">
        <v>45691</v>
      </c>
      <c r="G5378" t="s">
        <v>6823</v>
      </c>
      <c r="H5378" t="s">
        <v>6824</v>
      </c>
      <c r="I5378" t="s">
        <v>21</v>
      </c>
      <c r="J5378" t="s">
        <v>22</v>
      </c>
      <c r="K5378" t="s">
        <v>45692</v>
      </c>
      <c r="L5378" t="s">
        <v>45695</v>
      </c>
      <c r="M5378" t="s">
        <v>25</v>
      </c>
      <c r="N5378" t="s">
        <v>45696</v>
      </c>
      <c r="O5378" t="s">
        <v>25</v>
      </c>
      <c r="P5378" t="s">
        <v>45697</v>
      </c>
      <c r="Q5378" t="s">
        <v>29</v>
      </c>
      <c r="R5378" t="s">
        <v>45693</v>
      </c>
      <c r="S5378" t="s">
        <v>45694</v>
      </c>
    </row>
    <row r="5379" spans="1:19" x14ac:dyDescent="0.25">
      <c r="A5379" s="1">
        <v>5377</v>
      </c>
      <c r="B5379" t="str">
        <f>HYPERLINK("https://www.dasschnelle.at/pfeiffer-leopold-steinmetzgesmbh-schrems-industriestraße","Website")</f>
        <v>Website</v>
      </c>
      <c r="C5379" t="str">
        <f>HYPERLINK("http://www.natursteine-pfeiffer.at","Website")</f>
        <v>Website</v>
      </c>
      <c r="D5379" t="str">
        <f>HYPERLINK("http://www.google.com/maps/place/48.80416,15.05205","Location")</f>
        <v>Location</v>
      </c>
      <c r="E5379" t="s">
        <v>45698</v>
      </c>
      <c r="F5379" t="s">
        <v>45699</v>
      </c>
      <c r="G5379" t="s">
        <v>7200</v>
      </c>
      <c r="H5379" t="s">
        <v>7201</v>
      </c>
      <c r="I5379" t="s">
        <v>177</v>
      </c>
      <c r="J5379" t="s">
        <v>22</v>
      </c>
      <c r="K5379" t="s">
        <v>33098</v>
      </c>
      <c r="L5379" t="s">
        <v>45702</v>
      </c>
      <c r="M5379" t="s">
        <v>25</v>
      </c>
      <c r="N5379" t="s">
        <v>45703</v>
      </c>
      <c r="O5379" t="s">
        <v>25</v>
      </c>
      <c r="P5379" t="s">
        <v>45704</v>
      </c>
      <c r="Q5379" t="s">
        <v>29</v>
      </c>
      <c r="R5379" t="s">
        <v>45700</v>
      </c>
      <c r="S5379" t="s">
        <v>45701</v>
      </c>
    </row>
    <row r="5380" spans="1:19" x14ac:dyDescent="0.25">
      <c r="A5380" s="1">
        <v>5378</v>
      </c>
      <c r="B5380" t="str">
        <f>HYPERLINK("https://www.dasschnelle.at/wirfairsichern-wirfairsichern-gratwein-straßengel-rein","Website")</f>
        <v>Website</v>
      </c>
      <c r="C5380" t="str">
        <f>HYPERLINK("http://www.wirfairsichern.at","Website")</f>
        <v>Website</v>
      </c>
      <c r="D5380" t="str">
        <f>HYPERLINK("http://www.google.com/maps/place/47.1364800,15.2850000","Location")</f>
        <v>Location</v>
      </c>
      <c r="E5380" t="s">
        <v>45705</v>
      </c>
      <c r="F5380" t="s">
        <v>45706</v>
      </c>
      <c r="G5380" t="s">
        <v>33108</v>
      </c>
      <c r="H5380" t="s">
        <v>9287</v>
      </c>
      <c r="I5380" t="s">
        <v>451</v>
      </c>
      <c r="J5380" t="s">
        <v>22</v>
      </c>
      <c r="K5380" t="s">
        <v>45707</v>
      </c>
      <c r="L5380" t="s">
        <v>45710</v>
      </c>
      <c r="M5380" t="s">
        <v>25</v>
      </c>
      <c r="N5380" t="s">
        <v>45711</v>
      </c>
      <c r="O5380" t="s">
        <v>45712</v>
      </c>
      <c r="P5380" t="s">
        <v>45713</v>
      </c>
      <c r="Q5380" t="s">
        <v>29</v>
      </c>
      <c r="R5380" t="s">
        <v>45708</v>
      </c>
      <c r="S5380" t="s">
        <v>45709</v>
      </c>
    </row>
    <row r="5381" spans="1:19" x14ac:dyDescent="0.25">
      <c r="A5381" s="1">
        <v>5379</v>
      </c>
      <c r="B5381" t="str">
        <f>HYPERLINK("https://www.dasschnelle.at/elektrotechnik-robert-spannlang-zell-an-der-pram-wiesing","Website")</f>
        <v>Website</v>
      </c>
      <c r="C5381" t="str">
        <f>HYPERLINK("http://www.spannlang.at","Website")</f>
        <v>Website</v>
      </c>
      <c r="D5381" t="str">
        <f>HYPERLINK("http://www.google.com/maps/place/48.3178126,13.5948776","Location")</f>
        <v>Location</v>
      </c>
      <c r="E5381" t="s">
        <v>45714</v>
      </c>
      <c r="F5381" t="s">
        <v>45715</v>
      </c>
      <c r="G5381" t="s">
        <v>24500</v>
      </c>
      <c r="H5381" t="s">
        <v>24501</v>
      </c>
      <c r="I5381" t="s">
        <v>85</v>
      </c>
      <c r="J5381" t="s">
        <v>22</v>
      </c>
      <c r="K5381" t="s">
        <v>45716</v>
      </c>
      <c r="L5381" t="s">
        <v>45719</v>
      </c>
      <c r="M5381" t="s">
        <v>25</v>
      </c>
      <c r="N5381" t="s">
        <v>45720</v>
      </c>
      <c r="O5381" t="s">
        <v>25</v>
      </c>
      <c r="P5381" t="s">
        <v>45721</v>
      </c>
      <c r="Q5381" t="s">
        <v>29</v>
      </c>
      <c r="R5381" t="s">
        <v>45717</v>
      </c>
      <c r="S5381" t="s">
        <v>45718</v>
      </c>
    </row>
    <row r="5382" spans="1:19" x14ac:dyDescent="0.25">
      <c r="A5382" s="1">
        <v>5380</v>
      </c>
      <c r="B5382" t="str">
        <f>HYPERLINK("https://www.dasschnelle.at/alchanow-ibragim-freistadt-leonfeldner-straße","Website")</f>
        <v>Website</v>
      </c>
      <c r="C5382" t="str">
        <f>HYPERLINK("http://www.alchanow-demontage.com","Website")</f>
        <v>Website</v>
      </c>
      <c r="D5382" t="str">
        <f>HYPERLINK("http://www.google.com/maps/place/48.5009200,14.5015900","Location")</f>
        <v>Location</v>
      </c>
      <c r="E5382" t="s">
        <v>45722</v>
      </c>
      <c r="F5382" t="s">
        <v>45723</v>
      </c>
      <c r="G5382" t="s">
        <v>6891</v>
      </c>
      <c r="H5382" t="s">
        <v>6892</v>
      </c>
      <c r="I5382" t="s">
        <v>85</v>
      </c>
      <c r="J5382" t="s">
        <v>22</v>
      </c>
      <c r="K5382" t="s">
        <v>45724</v>
      </c>
      <c r="L5382" t="s">
        <v>45727</v>
      </c>
      <c r="M5382" t="s">
        <v>25</v>
      </c>
      <c r="N5382" t="s">
        <v>45728</v>
      </c>
      <c r="O5382" t="s">
        <v>25</v>
      </c>
      <c r="P5382" t="s">
        <v>45729</v>
      </c>
      <c r="Q5382" t="s">
        <v>29</v>
      </c>
      <c r="R5382" t="s">
        <v>45725</v>
      </c>
      <c r="S5382" t="s">
        <v>45726</v>
      </c>
    </row>
    <row r="5383" spans="1:19" x14ac:dyDescent="0.25">
      <c r="A5383" s="1">
        <v>5381</v>
      </c>
      <c r="B5383" t="str">
        <f>HYPERLINK("https://www.dasschnelle.at/mag-roland-luger-ll-m-und-mag-paul-schöffl-partnerschaft-freistadt-pfarrgasse","Website")</f>
        <v>Website</v>
      </c>
      <c r="C5383" t="str">
        <f>HYPERLINK("http://www.notariat-freistadt.at","Website")</f>
        <v>Website</v>
      </c>
      <c r="D5383" t="str">
        <f>HYPERLINK("http://www.google.com/maps/place/48.51106,14.50213","Location")</f>
        <v>Location</v>
      </c>
      <c r="E5383" t="s">
        <v>45730</v>
      </c>
      <c r="F5383" t="s">
        <v>45731</v>
      </c>
      <c r="G5383" t="s">
        <v>6891</v>
      </c>
      <c r="H5383" t="s">
        <v>6892</v>
      </c>
      <c r="I5383" t="s">
        <v>85</v>
      </c>
      <c r="J5383" t="s">
        <v>22</v>
      </c>
      <c r="K5383" t="s">
        <v>45732</v>
      </c>
      <c r="L5383" t="s">
        <v>45735</v>
      </c>
      <c r="M5383" t="s">
        <v>25</v>
      </c>
      <c r="N5383" t="s">
        <v>45736</v>
      </c>
      <c r="O5383" t="s">
        <v>25</v>
      </c>
      <c r="P5383" t="s">
        <v>45737</v>
      </c>
      <c r="Q5383" t="s">
        <v>29</v>
      </c>
      <c r="R5383" t="s">
        <v>45733</v>
      </c>
      <c r="S5383" t="s">
        <v>45734</v>
      </c>
    </row>
    <row r="5384" spans="1:19" x14ac:dyDescent="0.25">
      <c r="A5384" s="1">
        <v>5382</v>
      </c>
      <c r="B5384" t="str">
        <f>HYPERLINK("https://www.dasschnelle.at/klang-rainer-allentsteig-zwettlerstraße","Website")</f>
        <v>Website</v>
      </c>
      <c r="C5384" t="str">
        <f>HYPERLINK("http://www.klang-knoedel.at","Website")</f>
        <v>Website</v>
      </c>
      <c r="D5384" t="str">
        <f>HYPERLINK("http://www.google.com/maps/place/48.69885,15.32005","Location")</f>
        <v>Location</v>
      </c>
      <c r="E5384" t="s">
        <v>45738</v>
      </c>
      <c r="F5384" t="s">
        <v>45739</v>
      </c>
      <c r="G5384" t="s">
        <v>34486</v>
      </c>
      <c r="H5384" t="s">
        <v>34487</v>
      </c>
      <c r="I5384" t="s">
        <v>177</v>
      </c>
      <c r="J5384" t="s">
        <v>22</v>
      </c>
      <c r="K5384" t="s">
        <v>45740</v>
      </c>
      <c r="L5384" t="s">
        <v>45743</v>
      </c>
      <c r="M5384" t="s">
        <v>25</v>
      </c>
      <c r="N5384" t="s">
        <v>45744</v>
      </c>
      <c r="O5384" t="s">
        <v>25</v>
      </c>
      <c r="P5384" t="s">
        <v>45745</v>
      </c>
      <c r="Q5384" t="s">
        <v>29</v>
      </c>
      <c r="R5384" t="s">
        <v>45741</v>
      </c>
      <c r="S5384" t="s">
        <v>45742</v>
      </c>
    </row>
    <row r="5385" spans="1:19" x14ac:dyDescent="0.25">
      <c r="A5385" s="1">
        <v>5383</v>
      </c>
      <c r="B5385" t="str">
        <f>HYPERLINK("https://www.dasschnelle.at/hebel-peter-dr-graz-grieskai","Website")</f>
        <v>Website</v>
      </c>
      <c r="C5385" t="str">
        <f>HYPERLINK("http://www.urologe-hebel.at","Website")</f>
        <v>Website</v>
      </c>
      <c r="D5385" t="str">
        <f>HYPERLINK("http://www.google.com/maps/place/47.0707500,15.4343100","Location")</f>
        <v>Location</v>
      </c>
      <c r="E5385" t="s">
        <v>45746</v>
      </c>
      <c r="F5385" t="s">
        <v>45747</v>
      </c>
      <c r="G5385" t="s">
        <v>20285</v>
      </c>
      <c r="H5385" t="s">
        <v>13542</v>
      </c>
      <c r="I5385" t="s">
        <v>451</v>
      </c>
      <c r="J5385" t="s">
        <v>22</v>
      </c>
      <c r="K5385" t="s">
        <v>45748</v>
      </c>
      <c r="L5385" t="s">
        <v>45751</v>
      </c>
      <c r="M5385" t="s">
        <v>25</v>
      </c>
      <c r="N5385" t="s">
        <v>45752</v>
      </c>
      <c r="O5385" t="s">
        <v>25</v>
      </c>
      <c r="P5385" t="s">
        <v>697</v>
      </c>
      <c r="Q5385" t="s">
        <v>29</v>
      </c>
      <c r="R5385" t="s">
        <v>45749</v>
      </c>
      <c r="S5385" t="s">
        <v>45750</v>
      </c>
    </row>
    <row r="5386" spans="1:19" x14ac:dyDescent="0.25">
      <c r="A5386" s="1">
        <v>5384</v>
      </c>
      <c r="B5386" t="str">
        <f>HYPERLINK("https://www.dasschnelle.at/argyropoulos-rafaela-dr-frohnleiten-brucker-straße","Website")</f>
        <v>Website</v>
      </c>
      <c r="C5386" t="str">
        <f>HYPERLINK("http://www.zahnarzt-frohnleiten.at","Website")</f>
        <v>Website</v>
      </c>
      <c r="D5386" t="str">
        <f>HYPERLINK("http://www.google.com/maps/place/47.27193,15.32862","Location")</f>
        <v>Location</v>
      </c>
      <c r="E5386" t="s">
        <v>45753</v>
      </c>
      <c r="F5386" t="s">
        <v>45754</v>
      </c>
      <c r="G5386" t="s">
        <v>7874</v>
      </c>
      <c r="H5386" t="s">
        <v>7875</v>
      </c>
      <c r="I5386" t="s">
        <v>451</v>
      </c>
      <c r="J5386" t="s">
        <v>22</v>
      </c>
      <c r="K5386" t="s">
        <v>45755</v>
      </c>
      <c r="L5386" t="s">
        <v>45758</v>
      </c>
      <c r="M5386" t="s">
        <v>25</v>
      </c>
      <c r="N5386" t="s">
        <v>45759</v>
      </c>
      <c r="O5386" t="s">
        <v>25</v>
      </c>
      <c r="P5386" t="s">
        <v>45760</v>
      </c>
      <c r="Q5386" t="s">
        <v>29</v>
      </c>
      <c r="R5386" t="s">
        <v>45756</v>
      </c>
      <c r="S5386" t="s">
        <v>45757</v>
      </c>
    </row>
    <row r="5387" spans="1:19" x14ac:dyDescent="0.25">
      <c r="A5387" s="1">
        <v>5385</v>
      </c>
      <c r="B5387" t="str">
        <f>HYPERLINK("https://www.dasschnelle.at/reiter-hermann-dr-med-univ-gmünd-conrathstraße","Website")</f>
        <v>Website</v>
      </c>
      <c r="C5387" t="str">
        <f>HYPERLINK("https://www.dasschnelle.at/reiter-hermann-dr-med-univ-gm%C3%BCnd-conrathstra%C3%9Fe","Website")</f>
        <v>Website</v>
      </c>
      <c r="D5387" t="str">
        <f>HYPERLINK("http://www.google.com/maps/place/48.7625500,14.9758800","Location")</f>
        <v>Location</v>
      </c>
      <c r="E5387" t="s">
        <v>45761</v>
      </c>
      <c r="F5387" t="s">
        <v>45762</v>
      </c>
      <c r="G5387" t="s">
        <v>13116</v>
      </c>
      <c r="H5387" t="s">
        <v>13117</v>
      </c>
      <c r="I5387" t="s">
        <v>177</v>
      </c>
      <c r="J5387" t="s">
        <v>22</v>
      </c>
      <c r="K5387" t="s">
        <v>13115</v>
      </c>
      <c r="L5387" t="s">
        <v>45765</v>
      </c>
      <c r="M5387" t="s">
        <v>25</v>
      </c>
      <c r="N5387" t="s">
        <v>45766</v>
      </c>
      <c r="O5387" t="s">
        <v>25</v>
      </c>
      <c r="P5387" t="s">
        <v>45767</v>
      </c>
      <c r="Q5387" t="s">
        <v>29</v>
      </c>
      <c r="R5387" t="s">
        <v>45763</v>
      </c>
      <c r="S5387" t="s">
        <v>45764</v>
      </c>
    </row>
    <row r="5388" spans="1:19" x14ac:dyDescent="0.25">
      <c r="A5388" s="1">
        <v>5386</v>
      </c>
      <c r="B5388" t="str">
        <f>HYPERLINK("https://www.dasschnelle.at/tierärztinnen-w-und-m-og-weissenbach-an-der-triesting-gartengasse","Website")</f>
        <v>Website</v>
      </c>
      <c r="C5388" t="str">
        <f>HYPERLINK("http://www.tieraerztinnen.at","Website")</f>
        <v>Website</v>
      </c>
      <c r="D5388" t="str">
        <f>HYPERLINK("http://www.google.com/maps/place/47.98246,16.03681","Location")</f>
        <v>Location</v>
      </c>
      <c r="E5388" t="s">
        <v>45768</v>
      </c>
      <c r="F5388" t="s">
        <v>45769</v>
      </c>
      <c r="G5388" t="s">
        <v>43545</v>
      </c>
      <c r="H5388" t="s">
        <v>43546</v>
      </c>
      <c r="I5388" t="s">
        <v>177</v>
      </c>
      <c r="J5388" t="s">
        <v>22</v>
      </c>
      <c r="K5388" t="s">
        <v>45770</v>
      </c>
      <c r="L5388" t="s">
        <v>45773</v>
      </c>
      <c r="M5388" t="s">
        <v>25</v>
      </c>
      <c r="N5388" t="s">
        <v>45774</v>
      </c>
      <c r="O5388" t="s">
        <v>25</v>
      </c>
      <c r="P5388" t="s">
        <v>45775</v>
      </c>
      <c r="Q5388" t="s">
        <v>29</v>
      </c>
      <c r="R5388" t="s">
        <v>45771</v>
      </c>
      <c r="S5388" t="s">
        <v>45772</v>
      </c>
    </row>
    <row r="5389" spans="1:19" x14ac:dyDescent="0.25">
      <c r="A5389" s="1">
        <v>5387</v>
      </c>
      <c r="B5389" t="str">
        <f>HYPERLINK("https://www.dasschnelle.at/fischers-weinheuriger-michael-hitzinger-st-florian-am-inn-bubing","Website")</f>
        <v>Website</v>
      </c>
      <c r="C5389" t="str">
        <f>HYPERLINK("http://www.fischersweinheuriger.at","Website")</f>
        <v>Website</v>
      </c>
      <c r="D5389" t="str">
        <f>HYPERLINK("http://www.google.com/maps/place/48.454,13.45872","Location")</f>
        <v>Location</v>
      </c>
      <c r="E5389" t="s">
        <v>45776</v>
      </c>
      <c r="F5389" t="s">
        <v>45777</v>
      </c>
      <c r="G5389" t="s">
        <v>24520</v>
      </c>
      <c r="H5389" t="s">
        <v>24521</v>
      </c>
      <c r="I5389" t="s">
        <v>85</v>
      </c>
      <c r="J5389" t="s">
        <v>22</v>
      </c>
      <c r="K5389" t="s">
        <v>24529</v>
      </c>
      <c r="L5389" t="s">
        <v>24532</v>
      </c>
      <c r="M5389" t="s">
        <v>25</v>
      </c>
      <c r="N5389" t="s">
        <v>24533</v>
      </c>
      <c r="O5389" t="s">
        <v>25</v>
      </c>
      <c r="P5389" t="s">
        <v>45778</v>
      </c>
      <c r="Q5389" t="s">
        <v>29</v>
      </c>
      <c r="R5389" t="s">
        <v>24530</v>
      </c>
      <c r="S5389" t="s">
        <v>24531</v>
      </c>
    </row>
    <row r="5390" spans="1:19" x14ac:dyDescent="0.25">
      <c r="A5390" s="1">
        <v>5388</v>
      </c>
      <c r="B5390" t="str">
        <f>HYPERLINK("https://www.dasschnelle.at/weikl-erdbau-transporte-sand-u-kies-gmbh-hintersee-hintersee","Website")</f>
        <v>Website</v>
      </c>
      <c r="C5390" t="str">
        <f>HYPERLINK("http://www.weikl.at","Website")</f>
        <v>Website</v>
      </c>
      <c r="D5390" t="str">
        <f>HYPERLINK("http://www.google.com/maps/place/47.7235526,13.2822901","Location")</f>
        <v>Location</v>
      </c>
      <c r="E5390" t="s">
        <v>45779</v>
      </c>
      <c r="F5390" t="s">
        <v>45780</v>
      </c>
      <c r="G5390" t="s">
        <v>45782</v>
      </c>
      <c r="H5390" t="s">
        <v>45783</v>
      </c>
      <c r="I5390" t="s">
        <v>2239</v>
      </c>
      <c r="J5390" t="s">
        <v>22</v>
      </c>
      <c r="K5390" t="s">
        <v>45781</v>
      </c>
      <c r="L5390" t="s">
        <v>45786</v>
      </c>
      <c r="M5390" t="s">
        <v>25</v>
      </c>
      <c r="N5390" t="s">
        <v>45787</v>
      </c>
      <c r="O5390" t="s">
        <v>25</v>
      </c>
      <c r="P5390" t="s">
        <v>697</v>
      </c>
      <c r="Q5390" t="s">
        <v>29</v>
      </c>
      <c r="R5390" t="s">
        <v>45784</v>
      </c>
      <c r="S5390" t="s">
        <v>45785</v>
      </c>
    </row>
    <row r="5391" spans="1:19" x14ac:dyDescent="0.25">
      <c r="A5391" s="1">
        <v>5389</v>
      </c>
      <c r="B5391" t="str">
        <f>HYPERLINK("https://www.dasschnelle.at/diethelm-wendling-hermagor-guggenberger-straße","Website")</f>
        <v>Website</v>
      </c>
      <c r="C5391" t="str">
        <f>HYPERLINK("http://www.kachelofen-wendling.at","Website")</f>
        <v>Website</v>
      </c>
      <c r="D5391" t="str">
        <f>HYPERLINK("http://www.google.com/maps/place/46.6273000,13.3617100","Location")</f>
        <v>Location</v>
      </c>
      <c r="E5391" t="s">
        <v>45788</v>
      </c>
      <c r="F5391" t="s">
        <v>45789</v>
      </c>
      <c r="G5391" t="s">
        <v>9153</v>
      </c>
      <c r="H5391" t="s">
        <v>9154</v>
      </c>
      <c r="I5391" t="s">
        <v>4130</v>
      </c>
      <c r="J5391" t="s">
        <v>22</v>
      </c>
      <c r="K5391" t="s">
        <v>45790</v>
      </c>
      <c r="L5391" t="s">
        <v>45793</v>
      </c>
      <c r="M5391" t="s">
        <v>25</v>
      </c>
      <c r="N5391" t="s">
        <v>45794</v>
      </c>
      <c r="O5391" t="s">
        <v>25</v>
      </c>
      <c r="P5391" t="s">
        <v>697</v>
      </c>
      <c r="Q5391" t="s">
        <v>29</v>
      </c>
      <c r="R5391" t="s">
        <v>45791</v>
      </c>
      <c r="S5391" t="s">
        <v>45792</v>
      </c>
    </row>
    <row r="5392" spans="1:19" x14ac:dyDescent="0.25">
      <c r="A5392" s="1">
        <v>5390</v>
      </c>
      <c r="B5392" t="str">
        <f>HYPERLINK("https://www.dasschnelle.at/imser-gerhard-neumarkt-am-wallersee-hauptstraße","Website")</f>
        <v>Website</v>
      </c>
      <c r="C5392" t="str">
        <f>HYPERLINK("https://installationen-imser-gmbh.business.site","Website")</f>
        <v>Website</v>
      </c>
      <c r="D5392" t="str">
        <f>HYPERLINK("http://www.google.com/maps/place/47.9482,13.22551","Location")</f>
        <v>Location</v>
      </c>
      <c r="E5392" t="s">
        <v>45795</v>
      </c>
      <c r="F5392" t="s">
        <v>45796</v>
      </c>
      <c r="G5392" t="s">
        <v>10564</v>
      </c>
      <c r="H5392" t="s">
        <v>10565</v>
      </c>
      <c r="I5392" t="s">
        <v>2239</v>
      </c>
      <c r="J5392" t="s">
        <v>22</v>
      </c>
      <c r="K5392" t="s">
        <v>45797</v>
      </c>
      <c r="L5392" t="s">
        <v>45800</v>
      </c>
      <c r="M5392" t="s">
        <v>25</v>
      </c>
      <c r="N5392" t="s">
        <v>45801</v>
      </c>
      <c r="O5392" t="s">
        <v>45802</v>
      </c>
      <c r="P5392" t="s">
        <v>45803</v>
      </c>
      <c r="Q5392" t="s">
        <v>29</v>
      </c>
      <c r="R5392" t="s">
        <v>45798</v>
      </c>
      <c r="S5392" t="s">
        <v>45799</v>
      </c>
    </row>
    <row r="5393" spans="1:19" x14ac:dyDescent="0.25">
      <c r="A5393" s="1">
        <v>5391</v>
      </c>
      <c r="B5393" t="str">
        <f>HYPERLINK("https://www.dasschnelle.at/cafe-rauch-semriach-markt","Website")</f>
        <v>Website</v>
      </c>
      <c r="C5393" t="str">
        <f>HYPERLINK("http://www.caferauch.at","Website")</f>
        <v>Website</v>
      </c>
      <c r="D5393" t="str">
        <f>HYPERLINK("http://www.google.com/maps/place/47.2171405,15.4030752","Location")</f>
        <v>Location</v>
      </c>
      <c r="E5393" t="s">
        <v>45804</v>
      </c>
      <c r="F5393" t="s">
        <v>45805</v>
      </c>
      <c r="G5393" t="s">
        <v>7920</v>
      </c>
      <c r="H5393" t="s">
        <v>32685</v>
      </c>
      <c r="I5393" t="s">
        <v>451</v>
      </c>
      <c r="J5393" t="s">
        <v>22</v>
      </c>
      <c r="K5393" t="s">
        <v>28629</v>
      </c>
      <c r="L5393" t="s">
        <v>45808</v>
      </c>
      <c r="M5393" t="s">
        <v>25</v>
      </c>
      <c r="N5393" t="s">
        <v>45809</v>
      </c>
      <c r="O5393" t="s">
        <v>25</v>
      </c>
      <c r="P5393" t="s">
        <v>45810</v>
      </c>
      <c r="Q5393" t="s">
        <v>29</v>
      </c>
      <c r="R5393" t="s">
        <v>45806</v>
      </c>
      <c r="S5393" t="s">
        <v>45807</v>
      </c>
    </row>
    <row r="5394" spans="1:19" x14ac:dyDescent="0.25">
      <c r="A5394" s="1">
        <v>5392</v>
      </c>
      <c r="B5394" t="str">
        <f>HYPERLINK("https://www.dasschnelle.at/ertl-thomas-st-valentin-hauptplatz","Website")</f>
        <v>Website</v>
      </c>
      <c r="C5394" t="str">
        <f>HYPERLINK("http://www.herbert-ertl.at","Website")</f>
        <v>Website</v>
      </c>
      <c r="D5394" t="str">
        <f>HYPERLINK("http://www.google.com/maps/place/48.1743500,14.5334900","Location")</f>
        <v>Location</v>
      </c>
      <c r="E5394" t="s">
        <v>45811</v>
      </c>
      <c r="F5394" t="s">
        <v>45812</v>
      </c>
      <c r="G5394" t="s">
        <v>1484</v>
      </c>
      <c r="H5394" t="s">
        <v>1485</v>
      </c>
      <c r="I5394" t="s">
        <v>177</v>
      </c>
      <c r="J5394" t="s">
        <v>22</v>
      </c>
      <c r="K5394" t="s">
        <v>1204</v>
      </c>
      <c r="L5394" t="s">
        <v>45815</v>
      </c>
      <c r="M5394" t="s">
        <v>25</v>
      </c>
      <c r="N5394" t="s">
        <v>45816</v>
      </c>
      <c r="O5394" t="s">
        <v>25</v>
      </c>
      <c r="P5394" t="s">
        <v>45817</v>
      </c>
      <c r="Q5394" t="s">
        <v>29</v>
      </c>
      <c r="R5394" t="s">
        <v>45813</v>
      </c>
      <c r="S5394" t="s">
        <v>45814</v>
      </c>
    </row>
    <row r="5395" spans="1:19" x14ac:dyDescent="0.25">
      <c r="A5395" s="1">
        <v>5393</v>
      </c>
      <c r="B5395" t="str">
        <f>HYPERLINK("https://www.dasschnelle.at/wallner-thomas-dr-med-bad-ischl-kreuzplatz","Website")</f>
        <v>Website</v>
      </c>
      <c r="C5395" t="str">
        <f>HYPERLINK("https://www.dasschnelle.at/wallner-thomas-dr-med-bad-ischl-kreuzplatz","Website")</f>
        <v>Website</v>
      </c>
      <c r="D5395" t="str">
        <f>HYPERLINK("http://www.google.com/maps/place/47.71296,13.62225","Location")</f>
        <v>Location</v>
      </c>
      <c r="E5395" t="s">
        <v>45818</v>
      </c>
      <c r="F5395" t="s">
        <v>45819</v>
      </c>
      <c r="G5395" t="s">
        <v>2377</v>
      </c>
      <c r="H5395" t="s">
        <v>2378</v>
      </c>
      <c r="I5395" t="s">
        <v>85</v>
      </c>
      <c r="J5395" t="s">
        <v>22</v>
      </c>
      <c r="K5395" t="s">
        <v>45820</v>
      </c>
      <c r="L5395" t="s">
        <v>45822</v>
      </c>
      <c r="M5395" t="s">
        <v>25</v>
      </c>
      <c r="N5395" t="s">
        <v>25</v>
      </c>
      <c r="O5395" t="s">
        <v>25</v>
      </c>
      <c r="P5395" t="s">
        <v>45823</v>
      </c>
      <c r="Q5395" t="s">
        <v>29</v>
      </c>
      <c r="R5395" t="s">
        <v>45821</v>
      </c>
      <c r="S5395" t="s">
        <v>23534</v>
      </c>
    </row>
    <row r="5396" spans="1:19" x14ac:dyDescent="0.25">
      <c r="A5396" s="1">
        <v>5394</v>
      </c>
      <c r="B5396" t="str">
        <f>HYPERLINK("https://www.dasschnelle.at/hofbauer-und-nokaj-rechtsanwalts-gmbh-wieselburg-bartensteingasse","Website")</f>
        <v>Website</v>
      </c>
      <c r="C5396" t="str">
        <f>HYPERLINK("http://www.rechtsanwalt-hofbauer-nokaj.at","Website")</f>
        <v>Website</v>
      </c>
      <c r="D5396" t="str">
        <f>HYPERLINK("http://www.google.com/maps/place/48.13147,15.13606","Location")</f>
        <v>Location</v>
      </c>
      <c r="E5396" t="s">
        <v>45824</v>
      </c>
      <c r="F5396" t="s">
        <v>45825</v>
      </c>
      <c r="G5396" t="s">
        <v>9881</v>
      </c>
      <c r="H5396" t="s">
        <v>10007</v>
      </c>
      <c r="I5396" t="s">
        <v>177</v>
      </c>
      <c r="J5396" t="s">
        <v>22</v>
      </c>
      <c r="K5396" t="s">
        <v>45826</v>
      </c>
      <c r="L5396" t="s">
        <v>45829</v>
      </c>
      <c r="M5396" t="s">
        <v>25</v>
      </c>
      <c r="N5396" t="s">
        <v>45830</v>
      </c>
      <c r="O5396" t="s">
        <v>25</v>
      </c>
      <c r="P5396" t="s">
        <v>45831</v>
      </c>
      <c r="Q5396" t="s">
        <v>29</v>
      </c>
      <c r="R5396" t="s">
        <v>45827</v>
      </c>
      <c r="S5396" t="s">
        <v>45828</v>
      </c>
    </row>
    <row r="5397" spans="1:19" x14ac:dyDescent="0.25">
      <c r="A5397" s="1">
        <v>5395</v>
      </c>
      <c r="B5397" t="str">
        <f>HYPERLINK("https://www.dasschnelle.at/wagner-virtbauer-rechtsanwälte-gmbh-schärding-wieningerstraße","Website")</f>
        <v>Website</v>
      </c>
      <c r="C5397" t="str">
        <f>HYPERLINK("http://www.wagner-virtbauer.at","Website")</f>
        <v>Website</v>
      </c>
      <c r="D5397" t="str">
        <f>HYPERLINK("http://www.google.com/maps/place/48.4584300,13.4295800","Location")</f>
        <v>Location</v>
      </c>
      <c r="E5397" t="s">
        <v>45832</v>
      </c>
      <c r="F5397" t="s">
        <v>45833</v>
      </c>
      <c r="G5397" t="s">
        <v>8850</v>
      </c>
      <c r="H5397" t="s">
        <v>8851</v>
      </c>
      <c r="I5397" t="s">
        <v>85</v>
      </c>
      <c r="J5397" t="s">
        <v>22</v>
      </c>
      <c r="K5397" t="s">
        <v>45834</v>
      </c>
      <c r="L5397" t="s">
        <v>45837</v>
      </c>
      <c r="M5397" t="s">
        <v>25</v>
      </c>
      <c r="N5397" t="s">
        <v>45838</v>
      </c>
      <c r="O5397" t="s">
        <v>25</v>
      </c>
      <c r="P5397" t="s">
        <v>45839</v>
      </c>
      <c r="Q5397" t="s">
        <v>29</v>
      </c>
      <c r="R5397" t="s">
        <v>45835</v>
      </c>
      <c r="S5397" t="s">
        <v>45836</v>
      </c>
    </row>
    <row r="5398" spans="1:19" x14ac:dyDescent="0.25">
      <c r="A5398" s="1">
        <v>5396</v>
      </c>
      <c r="B5398" t="str">
        <f>HYPERLINK("https://www.dasschnelle.at/bestattung-mörtl-kötschach-mauthen-hauptplatz","Website")</f>
        <v>Website</v>
      </c>
      <c r="C5398" t="str">
        <f>HYPERLINK("http://www.bestattung-moertl.at","Website")</f>
        <v>Website</v>
      </c>
      <c r="D5398" t="str">
        <f>HYPERLINK("http://www.google.com/maps/place/46.7426400,12.9691000","Location")</f>
        <v>Location</v>
      </c>
      <c r="E5398" t="s">
        <v>45840</v>
      </c>
      <c r="F5398" t="s">
        <v>45841</v>
      </c>
      <c r="G5398" t="s">
        <v>9163</v>
      </c>
      <c r="H5398" t="s">
        <v>9164</v>
      </c>
      <c r="I5398" t="s">
        <v>4130</v>
      </c>
      <c r="J5398" t="s">
        <v>22</v>
      </c>
      <c r="K5398" t="s">
        <v>5078</v>
      </c>
      <c r="L5398" t="s">
        <v>45844</v>
      </c>
      <c r="M5398" t="s">
        <v>25</v>
      </c>
      <c r="N5398" t="s">
        <v>45845</v>
      </c>
      <c r="O5398" t="s">
        <v>25</v>
      </c>
      <c r="P5398" t="s">
        <v>45846</v>
      </c>
      <c r="Q5398" t="s">
        <v>29</v>
      </c>
      <c r="R5398" t="s">
        <v>45842</v>
      </c>
      <c r="S5398" t="s">
        <v>45843</v>
      </c>
    </row>
    <row r="5399" spans="1:19" x14ac:dyDescent="0.25">
      <c r="A5399" s="1">
        <v>5397</v>
      </c>
      <c r="B5399" t="str">
        <f>HYPERLINK("https://www.dasschnelle.at/spitzer-installationen-gmbh-feldkirchen-in-kärnten-bahnhofstraße","Website")</f>
        <v>Website</v>
      </c>
      <c r="C5399" t="str">
        <f>HYPERLINK("http://www.spitzer-installationen.at","Website")</f>
        <v>Website</v>
      </c>
      <c r="D5399" t="str">
        <f>HYPERLINK("http://www.google.com/maps/place/46.7236056,14.0946484","Location")</f>
        <v>Location</v>
      </c>
      <c r="E5399" t="s">
        <v>45847</v>
      </c>
      <c r="F5399" t="s">
        <v>45848</v>
      </c>
      <c r="G5399" t="s">
        <v>8498</v>
      </c>
      <c r="H5399" t="s">
        <v>8499</v>
      </c>
      <c r="I5399" t="s">
        <v>4130</v>
      </c>
      <c r="J5399" t="s">
        <v>22</v>
      </c>
      <c r="K5399" t="s">
        <v>8273</v>
      </c>
      <c r="L5399" t="s">
        <v>45851</v>
      </c>
      <c r="M5399" t="s">
        <v>45852</v>
      </c>
      <c r="N5399" t="s">
        <v>45853</v>
      </c>
      <c r="O5399" t="s">
        <v>25</v>
      </c>
      <c r="P5399" t="s">
        <v>45854</v>
      </c>
      <c r="Q5399" t="s">
        <v>29</v>
      </c>
      <c r="R5399" t="s">
        <v>45849</v>
      </c>
      <c r="S5399" t="s">
        <v>45850</v>
      </c>
    </row>
    <row r="5400" spans="1:19" x14ac:dyDescent="0.25">
      <c r="A5400" s="1">
        <v>5398</v>
      </c>
      <c r="B5400" t="str">
        <f>HYPERLINK("https://www.dasschnelle.at/schafferer-alois-jun-gschnitz-gschnitz","Website")</f>
        <v>Website</v>
      </c>
      <c r="C5400" t="str">
        <f>HYPERLINK("https://www.dasschnelle.at/schafferer-alois-jun-gschnitz-gschnitz","Website")</f>
        <v>Website</v>
      </c>
      <c r="D5400" t="str">
        <f>HYPERLINK("http://www.google.com/maps/place/47.0469485,11.3584802","Location")</f>
        <v>Location</v>
      </c>
      <c r="E5400" t="s">
        <v>45855</v>
      </c>
      <c r="F5400" t="s">
        <v>45856</v>
      </c>
      <c r="G5400" t="s">
        <v>5245</v>
      </c>
      <c r="H5400" t="s">
        <v>45858</v>
      </c>
      <c r="I5400" t="s">
        <v>21</v>
      </c>
      <c r="J5400" t="s">
        <v>22</v>
      </c>
      <c r="K5400" t="s">
        <v>45857</v>
      </c>
      <c r="L5400" t="s">
        <v>45861</v>
      </c>
      <c r="M5400" t="s">
        <v>25</v>
      </c>
      <c r="N5400" t="s">
        <v>45862</v>
      </c>
      <c r="O5400" t="s">
        <v>25</v>
      </c>
      <c r="P5400" t="s">
        <v>45863</v>
      </c>
      <c r="Q5400" t="s">
        <v>29</v>
      </c>
      <c r="R5400" t="s">
        <v>45859</v>
      </c>
      <c r="S5400" t="s">
        <v>45860</v>
      </c>
    </row>
    <row r="5401" spans="1:19" x14ac:dyDescent="0.25">
      <c r="A5401" s="1">
        <v>5399</v>
      </c>
      <c r="B5401" t="str">
        <f>HYPERLINK("https://www.dasschnelle.at/oberaigner-johann-gesmbh-rohrbach-am-binderhügel","Website")</f>
        <v>Website</v>
      </c>
      <c r="C5401" t="str">
        <f>HYPERLINK("http://www.odec.co.at","Website")</f>
        <v>Website</v>
      </c>
      <c r="D5401" t="str">
        <f>HYPERLINK("http://www.google.com/maps/place/48.5671101,13.9840211","Location")</f>
        <v>Location</v>
      </c>
      <c r="E5401" t="s">
        <v>45864</v>
      </c>
      <c r="F5401" t="s">
        <v>45865</v>
      </c>
      <c r="G5401" t="s">
        <v>8561</v>
      </c>
      <c r="H5401" t="s">
        <v>8562</v>
      </c>
      <c r="I5401" t="s">
        <v>85</v>
      </c>
      <c r="J5401" t="s">
        <v>22</v>
      </c>
      <c r="K5401" t="s">
        <v>45866</v>
      </c>
      <c r="L5401" t="s">
        <v>45869</v>
      </c>
      <c r="M5401" t="s">
        <v>25</v>
      </c>
      <c r="N5401" t="s">
        <v>45870</v>
      </c>
      <c r="O5401" t="s">
        <v>25</v>
      </c>
      <c r="P5401" t="s">
        <v>45871</v>
      </c>
      <c r="Q5401" t="s">
        <v>29</v>
      </c>
      <c r="R5401" t="s">
        <v>45867</v>
      </c>
      <c r="S5401" t="s">
        <v>45868</v>
      </c>
    </row>
    <row r="5402" spans="1:19" x14ac:dyDescent="0.25">
      <c r="A5402" s="1">
        <v>5400</v>
      </c>
      <c r="B5402" t="str">
        <f>HYPERLINK("https://www.dasschnelle.at/kriegner-peter-rohrbach-berg-sprinzenstein","Website")</f>
        <v>Website</v>
      </c>
      <c r="C5402" t="str">
        <f>HYPERLINK("http://www.kps-sonnenschutz.at","Website")</f>
        <v>Website</v>
      </c>
      <c r="D5402" t="str">
        <f>HYPERLINK("http://www.google.com/maps/place/48.5503296,13.9482326","Location")</f>
        <v>Location</v>
      </c>
      <c r="E5402" t="s">
        <v>45872</v>
      </c>
      <c r="F5402" t="s">
        <v>45873</v>
      </c>
      <c r="G5402" t="s">
        <v>8561</v>
      </c>
      <c r="H5402" t="s">
        <v>8660</v>
      </c>
      <c r="I5402" t="s">
        <v>85</v>
      </c>
      <c r="J5402" t="s">
        <v>22</v>
      </c>
      <c r="K5402" t="s">
        <v>45874</v>
      </c>
      <c r="L5402" t="s">
        <v>45877</v>
      </c>
      <c r="M5402" t="s">
        <v>25</v>
      </c>
      <c r="N5402" t="s">
        <v>45878</v>
      </c>
      <c r="O5402" t="s">
        <v>25</v>
      </c>
      <c r="P5402" t="s">
        <v>45879</v>
      </c>
      <c r="Q5402" t="s">
        <v>29</v>
      </c>
      <c r="R5402" t="s">
        <v>45875</v>
      </c>
      <c r="S5402" t="s">
        <v>45876</v>
      </c>
    </row>
    <row r="5403" spans="1:19" x14ac:dyDescent="0.25">
      <c r="A5403" s="1">
        <v>5401</v>
      </c>
      <c r="B5403" t="str">
        <f>HYPERLINK("https://www.dasschnelle.at/mader-franz-gschnitz-gschnitz","Website")</f>
        <v>Website</v>
      </c>
      <c r="C5403" t="str">
        <f>HYPERLINK("http://www.erdbau-mader.at","Website")</f>
        <v>Website</v>
      </c>
      <c r="D5403" t="str">
        <f>HYPERLINK("http://www.google.com/maps/place/47.0495877,11.3697918","Location")</f>
        <v>Location</v>
      </c>
      <c r="E5403" t="s">
        <v>45880</v>
      </c>
      <c r="F5403" t="s">
        <v>45881</v>
      </c>
      <c r="G5403" t="s">
        <v>5245</v>
      </c>
      <c r="H5403" t="s">
        <v>45858</v>
      </c>
      <c r="I5403" t="s">
        <v>21</v>
      </c>
      <c r="J5403" t="s">
        <v>22</v>
      </c>
      <c r="K5403" t="s">
        <v>45882</v>
      </c>
      <c r="L5403" t="s">
        <v>45885</v>
      </c>
      <c r="M5403" t="s">
        <v>45886</v>
      </c>
      <c r="N5403" t="s">
        <v>45887</v>
      </c>
      <c r="O5403" t="s">
        <v>25</v>
      </c>
      <c r="P5403" t="s">
        <v>45888</v>
      </c>
      <c r="Q5403" t="s">
        <v>29</v>
      </c>
      <c r="R5403" t="s">
        <v>45883</v>
      </c>
      <c r="S5403" t="s">
        <v>45884</v>
      </c>
    </row>
    <row r="5404" spans="1:19" x14ac:dyDescent="0.25">
      <c r="A5404" s="1">
        <v>5402</v>
      </c>
      <c r="B5404" t="str">
        <f>HYPERLINK("https://www.dasschnelle.at/schüller-robert-e-u-hainfeld-wiener-straße","Website")</f>
        <v>Website</v>
      </c>
      <c r="C5404" t="str">
        <f>HYPERLINK("http://www.zumschueller.eu","Website")</f>
        <v>Website</v>
      </c>
      <c r="D5404" t="str">
        <f>HYPERLINK("http://www.google.com/maps/place/48.03593,15.7942","Location")</f>
        <v>Location</v>
      </c>
      <c r="E5404" t="s">
        <v>45889</v>
      </c>
      <c r="F5404" t="s">
        <v>45890</v>
      </c>
      <c r="G5404" t="s">
        <v>13419</v>
      </c>
      <c r="H5404" t="s">
        <v>13420</v>
      </c>
      <c r="I5404" t="s">
        <v>177</v>
      </c>
      <c r="J5404" t="s">
        <v>22</v>
      </c>
      <c r="K5404" t="s">
        <v>45891</v>
      </c>
      <c r="L5404" t="s">
        <v>45894</v>
      </c>
      <c r="M5404" t="s">
        <v>25</v>
      </c>
      <c r="N5404" t="s">
        <v>45895</v>
      </c>
      <c r="O5404" t="s">
        <v>25</v>
      </c>
      <c r="P5404" t="s">
        <v>45896</v>
      </c>
      <c r="Q5404" t="s">
        <v>29</v>
      </c>
      <c r="R5404" t="s">
        <v>45892</v>
      </c>
      <c r="S5404" t="s">
        <v>45893</v>
      </c>
    </row>
    <row r="5405" spans="1:19" x14ac:dyDescent="0.25">
      <c r="A5405" s="1">
        <v>5403</v>
      </c>
      <c r="B5405" t="str">
        <f>HYPERLINK("https://www.dasschnelle.at/vorreither-bruno-gesmbh-hainfeld-wiener-straße","Website")</f>
        <v>Website</v>
      </c>
      <c r="C5405" t="str">
        <f>HYPERLINK("http://www.vorreither.at","Website")</f>
        <v>Website</v>
      </c>
      <c r="D5405" t="str">
        <f>HYPERLINK("http://www.google.com/maps/place/48.03454,15.7859","Location")</f>
        <v>Location</v>
      </c>
      <c r="E5405" t="s">
        <v>45897</v>
      </c>
      <c r="F5405" t="s">
        <v>45898</v>
      </c>
      <c r="G5405" t="s">
        <v>13419</v>
      </c>
      <c r="H5405" t="s">
        <v>13420</v>
      </c>
      <c r="I5405" t="s">
        <v>177</v>
      </c>
      <c r="J5405" t="s">
        <v>22</v>
      </c>
      <c r="K5405" t="s">
        <v>6028</v>
      </c>
      <c r="L5405" t="s">
        <v>45901</v>
      </c>
      <c r="M5405" t="s">
        <v>25</v>
      </c>
      <c r="N5405" t="s">
        <v>45902</v>
      </c>
      <c r="O5405" t="s">
        <v>25</v>
      </c>
      <c r="P5405" t="s">
        <v>45903</v>
      </c>
      <c r="Q5405" t="s">
        <v>29</v>
      </c>
      <c r="R5405" t="s">
        <v>45899</v>
      </c>
      <c r="S5405" t="s">
        <v>45900</v>
      </c>
    </row>
    <row r="5406" spans="1:19" x14ac:dyDescent="0.25">
      <c r="A5406" s="1">
        <v>5404</v>
      </c>
      <c r="B5406" t="str">
        <f>HYPERLINK("https://www.dasschnelle.at/wagner-maria-lilienfeld-mariazeller-straße","Website")</f>
        <v>Website</v>
      </c>
      <c r="C5406" t="str">
        <f>HYPERLINK("http://www.wa-ma.at","Website")</f>
        <v>Website</v>
      </c>
      <c r="D5406" t="str">
        <f>HYPERLINK("http://www.google.com/maps/place/48.01397,15.59307","Location")</f>
        <v>Location</v>
      </c>
      <c r="E5406" t="s">
        <v>45904</v>
      </c>
      <c r="F5406" t="s">
        <v>45905</v>
      </c>
      <c r="G5406" t="s">
        <v>11860</v>
      </c>
      <c r="H5406" t="s">
        <v>11861</v>
      </c>
      <c r="I5406" t="s">
        <v>177</v>
      </c>
      <c r="J5406" t="s">
        <v>22</v>
      </c>
      <c r="K5406" t="s">
        <v>45906</v>
      </c>
      <c r="L5406" t="s">
        <v>45909</v>
      </c>
      <c r="M5406" t="s">
        <v>25</v>
      </c>
      <c r="N5406" t="s">
        <v>45910</v>
      </c>
      <c r="O5406" t="s">
        <v>25</v>
      </c>
      <c r="P5406" t="s">
        <v>45911</v>
      </c>
      <c r="Q5406" t="s">
        <v>29</v>
      </c>
      <c r="R5406" t="s">
        <v>45907</v>
      </c>
      <c r="S5406" t="s">
        <v>45908</v>
      </c>
    </row>
    <row r="5407" spans="1:19" x14ac:dyDescent="0.25">
      <c r="A5407" s="1">
        <v>5405</v>
      </c>
      <c r="B5407" t="str">
        <f>HYPERLINK("https://www.dasschnelle.at/gh-sonnenschutz-gerauer-herbert-schardenberg-asing","Website")</f>
        <v>Website</v>
      </c>
      <c r="C5407" t="str">
        <f>HYPERLINK("http://www.gerauer.at","Website")</f>
        <v>Website</v>
      </c>
      <c r="D5407" t="str">
        <f>HYPERLINK("http://www.google.com/maps/place/48.5302952,13.5280815","Location")</f>
        <v>Location</v>
      </c>
      <c r="E5407" t="s">
        <v>45912</v>
      </c>
      <c r="F5407" t="s">
        <v>45913</v>
      </c>
      <c r="G5407" t="s">
        <v>10951</v>
      </c>
      <c r="H5407" t="s">
        <v>10952</v>
      </c>
      <c r="I5407" t="s">
        <v>85</v>
      </c>
      <c r="J5407" t="s">
        <v>22</v>
      </c>
      <c r="K5407" t="s">
        <v>45914</v>
      </c>
      <c r="L5407" t="s">
        <v>45917</v>
      </c>
      <c r="M5407" t="s">
        <v>25</v>
      </c>
      <c r="N5407" t="s">
        <v>45918</v>
      </c>
      <c r="O5407" t="s">
        <v>25</v>
      </c>
      <c r="P5407" t="s">
        <v>45919</v>
      </c>
      <c r="Q5407" t="s">
        <v>29</v>
      </c>
      <c r="R5407" t="s">
        <v>45915</v>
      </c>
      <c r="S5407" t="s">
        <v>45916</v>
      </c>
    </row>
    <row r="5408" spans="1:19" x14ac:dyDescent="0.25">
      <c r="A5408" s="1">
        <v>5406</v>
      </c>
      <c r="B5408" t="str">
        <f>HYPERLINK("https://www.dasschnelle.at/leichtfried-friedrich-gmbh-und-co-keg-weyer-pichl","Website")</f>
        <v>Website</v>
      </c>
      <c r="C5408" t="str">
        <f>HYPERLINK("http://www.leichtfried.co.at","Website")</f>
        <v>Website</v>
      </c>
      <c r="D5408" t="str">
        <f>HYPERLINK("http://www.google.com/maps/place/47.83861,14.71821","Location")</f>
        <v>Location</v>
      </c>
      <c r="E5408" t="s">
        <v>45920</v>
      </c>
      <c r="F5408" t="s">
        <v>45921</v>
      </c>
      <c r="G5408" t="s">
        <v>156</v>
      </c>
      <c r="H5408" t="s">
        <v>157</v>
      </c>
      <c r="I5408" t="s">
        <v>85</v>
      </c>
      <c r="J5408" t="s">
        <v>22</v>
      </c>
      <c r="K5408" t="s">
        <v>45922</v>
      </c>
      <c r="L5408" t="s">
        <v>45925</v>
      </c>
      <c r="M5408" t="s">
        <v>25</v>
      </c>
      <c r="N5408" t="s">
        <v>45926</v>
      </c>
      <c r="O5408" t="s">
        <v>45927</v>
      </c>
      <c r="P5408" t="s">
        <v>45928</v>
      </c>
      <c r="Q5408" t="s">
        <v>29</v>
      </c>
      <c r="R5408" t="s">
        <v>45923</v>
      </c>
      <c r="S5408" t="s">
        <v>45924</v>
      </c>
    </row>
    <row r="5409" spans="1:19" x14ac:dyDescent="0.25">
      <c r="A5409" s="1">
        <v>5407</v>
      </c>
      <c r="B5409" t="str">
        <f>HYPERLINK("https://www.dasschnelle.at/lengauer-michaela-freistadt-stadtbergstraße","Website")</f>
        <v>Website</v>
      </c>
      <c r="C5409" t="str">
        <f>HYPERLINK("http://www.psychotherapie-lengauer.at","Website")</f>
        <v>Website</v>
      </c>
      <c r="D5409" t="str">
        <f>HYPERLINK("http://www.google.com/maps/place/48.51348,14.51158","Location")</f>
        <v>Location</v>
      </c>
      <c r="E5409" t="s">
        <v>45929</v>
      </c>
      <c r="F5409" t="s">
        <v>45930</v>
      </c>
      <c r="G5409" t="s">
        <v>6891</v>
      </c>
      <c r="H5409" t="s">
        <v>6892</v>
      </c>
      <c r="I5409" t="s">
        <v>85</v>
      </c>
      <c r="J5409" t="s">
        <v>22</v>
      </c>
      <c r="K5409" t="s">
        <v>45931</v>
      </c>
      <c r="L5409" t="s">
        <v>45934</v>
      </c>
      <c r="M5409" t="s">
        <v>25</v>
      </c>
      <c r="N5409" t="s">
        <v>45935</v>
      </c>
      <c r="O5409" t="s">
        <v>25</v>
      </c>
      <c r="P5409" t="s">
        <v>45936</v>
      </c>
      <c r="Q5409" t="s">
        <v>29</v>
      </c>
      <c r="R5409" t="s">
        <v>45932</v>
      </c>
      <c r="S5409" t="s">
        <v>45933</v>
      </c>
    </row>
    <row r="5410" spans="1:19" x14ac:dyDescent="0.25">
      <c r="A5410" s="1">
        <v>5408</v>
      </c>
      <c r="B5410" t="str">
        <f>HYPERLINK("https://www.dasschnelle.at/münch-marion-klosterneuburg-albrechtstraße","Website")</f>
        <v>Website</v>
      </c>
      <c r="C5410" t="str">
        <f>HYPERLINK("https://www.dasschnelle.at/m%C3%BCnch-marion-klosterneuburg-albrechtstra%C3%9Fe","Website")</f>
        <v>Website</v>
      </c>
      <c r="D5410" t="str">
        <f>HYPERLINK("http://www.google.com/maps/place/48.30894,16.32126","Location")</f>
        <v>Location</v>
      </c>
      <c r="E5410" t="s">
        <v>45937</v>
      </c>
      <c r="F5410" t="s">
        <v>45938</v>
      </c>
      <c r="G5410" t="s">
        <v>10308</v>
      </c>
      <c r="H5410" t="s">
        <v>10317</v>
      </c>
      <c r="I5410" t="s">
        <v>177</v>
      </c>
      <c r="J5410" t="s">
        <v>22</v>
      </c>
      <c r="K5410" t="s">
        <v>45939</v>
      </c>
      <c r="L5410" t="s">
        <v>45942</v>
      </c>
      <c r="M5410" t="s">
        <v>25</v>
      </c>
      <c r="N5410" t="s">
        <v>45943</v>
      </c>
      <c r="O5410" t="s">
        <v>25</v>
      </c>
      <c r="P5410" t="s">
        <v>45944</v>
      </c>
      <c r="Q5410" t="s">
        <v>29</v>
      </c>
      <c r="R5410" t="s">
        <v>45940</v>
      </c>
      <c r="S5410" t="s">
        <v>45941</v>
      </c>
    </row>
    <row r="5411" spans="1:19" x14ac:dyDescent="0.25">
      <c r="A5411" s="1">
        <v>5409</v>
      </c>
      <c r="B5411" t="str">
        <f>HYPERLINK("https://www.dasschnelle.at/teppich-moser-feistritz-an-der-gail-achomitz","Website")</f>
        <v>Website</v>
      </c>
      <c r="C5411" t="str">
        <f>HYPERLINK("http://www.teppich-moser.at","Website")</f>
        <v>Website</v>
      </c>
      <c r="D5411" t="str">
        <f>HYPERLINK("http://www.google.com/maps/place/46.5752192,13.6043283","Location")</f>
        <v>Location</v>
      </c>
      <c r="E5411" t="s">
        <v>45945</v>
      </c>
      <c r="F5411" t="s">
        <v>45946</v>
      </c>
      <c r="G5411" t="s">
        <v>45519</v>
      </c>
      <c r="H5411" t="s">
        <v>45520</v>
      </c>
      <c r="I5411" t="s">
        <v>4130</v>
      </c>
      <c r="J5411" t="s">
        <v>22</v>
      </c>
      <c r="K5411" t="s">
        <v>45518</v>
      </c>
      <c r="L5411" t="s">
        <v>45949</v>
      </c>
      <c r="M5411" t="s">
        <v>25</v>
      </c>
      <c r="N5411" t="s">
        <v>45524</v>
      </c>
      <c r="O5411" t="s">
        <v>25</v>
      </c>
      <c r="P5411" t="s">
        <v>45950</v>
      </c>
      <c r="Q5411" t="s">
        <v>29</v>
      </c>
      <c r="R5411" t="s">
        <v>45947</v>
      </c>
      <c r="S5411" t="s">
        <v>45948</v>
      </c>
    </row>
    <row r="5412" spans="1:19" x14ac:dyDescent="0.25">
      <c r="A5412" s="1">
        <v>5410</v>
      </c>
      <c r="B5412" t="str">
        <f>HYPERLINK("https://www.dasschnelle.at/installationen-steiner-gmbh-dellach-dellach","Website")</f>
        <v>Website</v>
      </c>
      <c r="C5412" t="str">
        <f>HYPERLINK("http://www.steiner-dellach.at","Website")</f>
        <v>Website</v>
      </c>
      <c r="D5412" t="str">
        <f>HYPERLINK("http://www.google.com/maps/place/46.6602944,13.0796385","Location")</f>
        <v>Location</v>
      </c>
      <c r="E5412" t="s">
        <v>45951</v>
      </c>
      <c r="F5412" t="s">
        <v>45952</v>
      </c>
      <c r="G5412" t="s">
        <v>9134</v>
      </c>
      <c r="H5412" t="s">
        <v>9135</v>
      </c>
      <c r="I5412" t="s">
        <v>4130</v>
      </c>
      <c r="J5412" t="s">
        <v>22</v>
      </c>
      <c r="K5412" t="s">
        <v>45953</v>
      </c>
      <c r="L5412" t="s">
        <v>45956</v>
      </c>
      <c r="M5412" t="s">
        <v>25</v>
      </c>
      <c r="N5412" t="s">
        <v>45957</v>
      </c>
      <c r="O5412" t="s">
        <v>25</v>
      </c>
      <c r="P5412" t="s">
        <v>45958</v>
      </c>
      <c r="Q5412" t="s">
        <v>29</v>
      </c>
      <c r="R5412" t="s">
        <v>45954</v>
      </c>
      <c r="S5412" t="s">
        <v>45955</v>
      </c>
    </row>
    <row r="5413" spans="1:19" x14ac:dyDescent="0.25">
      <c r="A5413" s="1">
        <v>5411</v>
      </c>
      <c r="B5413" t="str">
        <f>HYPERLINK("https://www.dasschnelle.at/sallam-same-bogdan-dr-groß-gerungs-zwettler-straße","Website")</f>
        <v>Website</v>
      </c>
      <c r="C5413" t="str">
        <f>HYPERLINK("http://www.zahnarztsallam.at","Website")</f>
        <v>Website</v>
      </c>
      <c r="D5413" t="str">
        <f>HYPERLINK("http://www.google.com/maps/place/48.57362,14.96073","Location")</f>
        <v>Location</v>
      </c>
      <c r="E5413" t="s">
        <v>45959</v>
      </c>
      <c r="F5413" t="s">
        <v>45960</v>
      </c>
      <c r="G5413" t="s">
        <v>11242</v>
      </c>
      <c r="H5413" t="s">
        <v>11252</v>
      </c>
      <c r="I5413" t="s">
        <v>177</v>
      </c>
      <c r="J5413" t="s">
        <v>22</v>
      </c>
      <c r="K5413" t="s">
        <v>45961</v>
      </c>
      <c r="L5413" t="s">
        <v>45964</v>
      </c>
      <c r="M5413" t="s">
        <v>25</v>
      </c>
      <c r="N5413" t="s">
        <v>45965</v>
      </c>
      <c r="O5413" t="s">
        <v>45966</v>
      </c>
      <c r="P5413" t="s">
        <v>45967</v>
      </c>
      <c r="Q5413" t="s">
        <v>29</v>
      </c>
      <c r="R5413" t="s">
        <v>45962</v>
      </c>
      <c r="S5413" t="s">
        <v>45963</v>
      </c>
    </row>
    <row r="5414" spans="1:19" x14ac:dyDescent="0.25">
      <c r="A5414" s="1">
        <v>5412</v>
      </c>
      <c r="B5414" t="str">
        <f>HYPERLINK("https://www.dasschnelle.at/lederer-margit-dr-mag-klosterneuburg-kierlinger-straße","Website")</f>
        <v>Website</v>
      </c>
      <c r="C5414" t="str">
        <f>HYPERLINK("https://www.dasschnelle.at/lederer-margit-dr-mag-klosterneuburg-kierlinger-stra%C3%9Fe","Website")</f>
        <v>Website</v>
      </c>
      <c r="D5414" t="str">
        <f>HYPERLINK("http://www.google.com/maps/place/48.3073100,16.3193600","Location")</f>
        <v>Location</v>
      </c>
      <c r="E5414" t="s">
        <v>45968</v>
      </c>
      <c r="F5414" t="s">
        <v>45969</v>
      </c>
      <c r="G5414" t="s">
        <v>10308</v>
      </c>
      <c r="H5414" t="s">
        <v>10317</v>
      </c>
      <c r="I5414" t="s">
        <v>177</v>
      </c>
      <c r="J5414" t="s">
        <v>22</v>
      </c>
      <c r="K5414" t="s">
        <v>45970</v>
      </c>
      <c r="L5414" t="s">
        <v>45973</v>
      </c>
      <c r="M5414" t="s">
        <v>25</v>
      </c>
      <c r="N5414" t="s">
        <v>45974</v>
      </c>
      <c r="O5414" t="s">
        <v>25</v>
      </c>
      <c r="P5414" t="s">
        <v>45975</v>
      </c>
      <c r="Q5414" t="s">
        <v>29</v>
      </c>
      <c r="R5414" t="s">
        <v>45971</v>
      </c>
      <c r="S5414" t="s">
        <v>45972</v>
      </c>
    </row>
    <row r="5415" spans="1:19" x14ac:dyDescent="0.25">
      <c r="A5415" s="1">
        <v>5413</v>
      </c>
      <c r="B5415" t="str">
        <f>HYPERLINK("https://www.dasschnelle.at/etr-elektrotechnik-aigen-im-mühlkreis-schachlingstraße","Website")</f>
        <v>Website</v>
      </c>
      <c r="C5415" t="str">
        <f>HYPERLINK("http://www.etr.co.at","Website")</f>
        <v>Website</v>
      </c>
      <c r="D5415" t="str">
        <f>HYPERLINK("http://www.google.com/maps/place/48.63729,13.95764","Location")</f>
        <v>Location</v>
      </c>
      <c r="E5415" t="s">
        <v>45976</v>
      </c>
      <c r="F5415" t="s">
        <v>45977</v>
      </c>
      <c r="G5415" t="s">
        <v>8581</v>
      </c>
      <c r="H5415" t="s">
        <v>35257</v>
      </c>
      <c r="I5415" t="s">
        <v>85</v>
      </c>
      <c r="J5415" t="s">
        <v>22</v>
      </c>
      <c r="K5415" t="s">
        <v>45978</v>
      </c>
      <c r="L5415" t="s">
        <v>45981</v>
      </c>
      <c r="M5415" t="s">
        <v>25</v>
      </c>
      <c r="N5415" t="s">
        <v>45982</v>
      </c>
      <c r="O5415" t="s">
        <v>25</v>
      </c>
      <c r="P5415" t="s">
        <v>45983</v>
      </c>
      <c r="Q5415" t="s">
        <v>29</v>
      </c>
      <c r="R5415" t="s">
        <v>45979</v>
      </c>
      <c r="S5415" t="s">
        <v>45980</v>
      </c>
    </row>
    <row r="5416" spans="1:19" x14ac:dyDescent="0.25">
      <c r="A5416" s="1">
        <v>5414</v>
      </c>
      <c r="B5416" t="str">
        <f>HYPERLINK("https://www.dasschnelle.at/reiter-harald-aigen-schlägl-schachlingstraße","Website")</f>
        <v>Website</v>
      </c>
      <c r="C5416" t="str">
        <f>HYPERLINK("http://www.malereireiter.at","Website")</f>
        <v>Website</v>
      </c>
      <c r="D5416" t="str">
        <f>HYPERLINK("http://www.google.com/maps/place/48.63694,13.95788","Location")</f>
        <v>Location</v>
      </c>
      <c r="E5416" t="s">
        <v>45984</v>
      </c>
      <c r="F5416" t="s">
        <v>45985</v>
      </c>
      <c r="G5416" t="s">
        <v>8581</v>
      </c>
      <c r="H5416" t="s">
        <v>8582</v>
      </c>
      <c r="I5416" t="s">
        <v>85</v>
      </c>
      <c r="J5416" t="s">
        <v>22</v>
      </c>
      <c r="K5416" t="s">
        <v>45986</v>
      </c>
      <c r="L5416" t="s">
        <v>45989</v>
      </c>
      <c r="M5416" t="s">
        <v>45990</v>
      </c>
      <c r="N5416" t="s">
        <v>45991</v>
      </c>
      <c r="O5416" t="s">
        <v>25</v>
      </c>
      <c r="P5416" t="s">
        <v>45992</v>
      </c>
      <c r="Q5416" t="s">
        <v>29</v>
      </c>
      <c r="R5416" t="s">
        <v>45987</v>
      </c>
      <c r="S5416" t="s">
        <v>45988</v>
      </c>
    </row>
    <row r="5417" spans="1:19" x14ac:dyDescent="0.25">
      <c r="A5417" s="1">
        <v>5415</v>
      </c>
      <c r="B5417" t="str">
        <f>HYPERLINK("https://www.dasschnelle.at/gschwandtner-robnik-stephanie-sankt-johann-im-pongau-kasernenstraße","Website")</f>
        <v>Website</v>
      </c>
      <c r="C5417" t="str">
        <f>HYPERLINK("http://www.stephanie.style","Website")</f>
        <v>Website</v>
      </c>
      <c r="D5417" t="str">
        <f>HYPERLINK("http://www.google.com/maps/place/47.35105,13.1998","Location")</f>
        <v>Location</v>
      </c>
      <c r="E5417" t="s">
        <v>45993</v>
      </c>
      <c r="F5417" t="s">
        <v>45994</v>
      </c>
      <c r="G5417" t="s">
        <v>24837</v>
      </c>
      <c r="H5417" t="s">
        <v>24838</v>
      </c>
      <c r="I5417" t="s">
        <v>2239</v>
      </c>
      <c r="J5417" t="s">
        <v>22</v>
      </c>
      <c r="K5417" t="s">
        <v>45995</v>
      </c>
      <c r="L5417" t="s">
        <v>45998</v>
      </c>
      <c r="M5417" t="s">
        <v>25</v>
      </c>
      <c r="N5417" t="s">
        <v>45999</v>
      </c>
      <c r="O5417" t="s">
        <v>25</v>
      </c>
      <c r="P5417" t="s">
        <v>46000</v>
      </c>
      <c r="Q5417" t="s">
        <v>29</v>
      </c>
      <c r="R5417" t="s">
        <v>45996</v>
      </c>
      <c r="S5417" t="s">
        <v>45997</v>
      </c>
    </row>
    <row r="5418" spans="1:19" x14ac:dyDescent="0.25">
      <c r="A5418" s="1">
        <v>5416</v>
      </c>
      <c r="B5418" t="str">
        <f>HYPERLINK("https://www.dasschnelle.at/danler-wolfgang-neustift-im-stubaital-stubaitalstraße","Website")</f>
        <v>Website</v>
      </c>
      <c r="C5418" t="str">
        <f>HYPERLINK("http://www.danler-raumgefuehl.at","Website")</f>
        <v>Website</v>
      </c>
      <c r="D5418" t="str">
        <f>HYPERLINK("http://www.google.com/maps/place/47.11097,11.30906","Location")</f>
        <v>Location</v>
      </c>
      <c r="E5418" t="s">
        <v>46001</v>
      </c>
      <c r="F5418" t="s">
        <v>46002</v>
      </c>
      <c r="G5418" t="s">
        <v>5283</v>
      </c>
      <c r="H5418" t="s">
        <v>5284</v>
      </c>
      <c r="I5418" t="s">
        <v>21</v>
      </c>
      <c r="J5418" t="s">
        <v>22</v>
      </c>
      <c r="K5418" t="s">
        <v>46003</v>
      </c>
      <c r="L5418" t="s">
        <v>46006</v>
      </c>
      <c r="M5418" t="s">
        <v>46007</v>
      </c>
      <c r="N5418" t="s">
        <v>46008</v>
      </c>
      <c r="O5418" t="s">
        <v>25</v>
      </c>
      <c r="P5418" t="s">
        <v>46009</v>
      </c>
      <c r="Q5418" t="s">
        <v>29</v>
      </c>
      <c r="R5418" t="s">
        <v>46004</v>
      </c>
      <c r="S5418" t="s">
        <v>46005</v>
      </c>
    </row>
    <row r="5419" spans="1:19" x14ac:dyDescent="0.25">
      <c r="A5419" s="1">
        <v>5417</v>
      </c>
      <c r="B5419" t="str">
        <f>HYPERLINK("https://www.dasschnelle.at/stubaier-wohndesign-haas-volderauer-tischlerei-gesmbh-neustift-im-stubaital-franz-senn-straße","Website")</f>
        <v>Website</v>
      </c>
      <c r="C5419" t="str">
        <f>HYPERLINK("http://www.stubaier-wohndesign.at","Website")</f>
        <v>Website</v>
      </c>
      <c r="D5419" t="str">
        <f>HYPERLINK("http://www.google.com/maps/place/47.09477,11.28001","Location")</f>
        <v>Location</v>
      </c>
      <c r="E5419" t="s">
        <v>46010</v>
      </c>
      <c r="F5419" t="s">
        <v>46011</v>
      </c>
      <c r="G5419" t="s">
        <v>5283</v>
      </c>
      <c r="H5419" t="s">
        <v>5284</v>
      </c>
      <c r="I5419" t="s">
        <v>21</v>
      </c>
      <c r="J5419" t="s">
        <v>22</v>
      </c>
      <c r="K5419" t="s">
        <v>46012</v>
      </c>
      <c r="L5419" t="s">
        <v>46015</v>
      </c>
      <c r="M5419" t="s">
        <v>25</v>
      </c>
      <c r="N5419" t="s">
        <v>46016</v>
      </c>
      <c r="O5419" t="s">
        <v>25</v>
      </c>
      <c r="P5419" t="s">
        <v>46017</v>
      </c>
      <c r="Q5419" t="s">
        <v>29</v>
      </c>
      <c r="R5419" t="s">
        <v>46013</v>
      </c>
      <c r="S5419" t="s">
        <v>46014</v>
      </c>
    </row>
    <row r="5420" spans="1:19" x14ac:dyDescent="0.25">
      <c r="A5420" s="1">
        <v>5418</v>
      </c>
      <c r="B5420" t="str">
        <f>HYPERLINK("https://www.dasschnelle.at/raumausstattung-rainer-johannes-neustift-im-stubaital-scheibe","Website")</f>
        <v>Website</v>
      </c>
      <c r="C5420" t="str">
        <f>HYPERLINK("https://www.dasschnelle.at/raumausstattung-rainer-johannes-neustift-im-stubaital-scheibe","Website")</f>
        <v>Website</v>
      </c>
      <c r="D5420" t="str">
        <f>HYPERLINK("http://www.google.com/maps/place/47.10875,11.3017","Location")</f>
        <v>Location</v>
      </c>
      <c r="E5420" t="s">
        <v>46018</v>
      </c>
      <c r="F5420" t="s">
        <v>46019</v>
      </c>
      <c r="G5420" t="s">
        <v>5283</v>
      </c>
      <c r="H5420" t="s">
        <v>5284</v>
      </c>
      <c r="I5420" t="s">
        <v>21</v>
      </c>
      <c r="J5420" t="s">
        <v>22</v>
      </c>
      <c r="K5420" t="s">
        <v>46020</v>
      </c>
      <c r="L5420" t="s">
        <v>46023</v>
      </c>
      <c r="M5420" t="s">
        <v>25</v>
      </c>
      <c r="N5420" t="s">
        <v>46024</v>
      </c>
      <c r="O5420" t="s">
        <v>25</v>
      </c>
      <c r="P5420" t="s">
        <v>46025</v>
      </c>
      <c r="Q5420" t="s">
        <v>29</v>
      </c>
      <c r="R5420" t="s">
        <v>46021</v>
      </c>
      <c r="S5420" t="s">
        <v>46022</v>
      </c>
    </row>
    <row r="5421" spans="1:19" x14ac:dyDescent="0.25">
      <c r="A5421" s="1">
        <v>5419</v>
      </c>
      <c r="B5421" t="str">
        <f>HYPERLINK("https://www.dasschnelle.at/könig-bernhard-lilienfeld-sankt-pöltener-straße","Website")</f>
        <v>Website</v>
      </c>
      <c r="C5421" t="str">
        <f>HYPERLINK("http://stadtausstellung.at/lilienfeld/die-malerei/","Website")</f>
        <v>Website</v>
      </c>
      <c r="D5421" t="str">
        <f>HYPERLINK("http://www.google.com/maps/place/48.02765,15.60137","Location")</f>
        <v>Location</v>
      </c>
      <c r="E5421" t="s">
        <v>46026</v>
      </c>
      <c r="F5421" t="s">
        <v>46027</v>
      </c>
      <c r="G5421" t="s">
        <v>11860</v>
      </c>
      <c r="H5421" t="s">
        <v>11861</v>
      </c>
      <c r="I5421" t="s">
        <v>177</v>
      </c>
      <c r="J5421" t="s">
        <v>22</v>
      </c>
      <c r="K5421" t="s">
        <v>46028</v>
      </c>
      <c r="L5421" t="s">
        <v>46031</v>
      </c>
      <c r="M5421" t="s">
        <v>25</v>
      </c>
      <c r="N5421" t="s">
        <v>46032</v>
      </c>
      <c r="O5421" t="s">
        <v>25</v>
      </c>
      <c r="P5421" t="s">
        <v>46033</v>
      </c>
      <c r="Q5421" t="s">
        <v>29</v>
      </c>
      <c r="R5421" t="s">
        <v>46029</v>
      </c>
      <c r="S5421" t="s">
        <v>46030</v>
      </c>
    </row>
    <row r="5422" spans="1:19" x14ac:dyDescent="0.25">
      <c r="A5422" s="1">
        <v>5420</v>
      </c>
      <c r="B5422" t="str">
        <f>HYPERLINK("https://www.dasschnelle.at/bio-entsorgung-bachschweller-gesmbh-andorf-pimpfing","Website")</f>
        <v>Website</v>
      </c>
      <c r="C5422" t="str">
        <f>HYPERLINK("https://www.dasschnelle.at/bio-entsorgung-bachschweller-gesmbh-andorf-pimpfing","Website")</f>
        <v>Website</v>
      </c>
      <c r="D5422" t="str">
        <f>HYPERLINK("http://www.google.com/maps/place/48.3429828,13.5527312","Location")</f>
        <v>Location</v>
      </c>
      <c r="E5422" t="s">
        <v>46034</v>
      </c>
      <c r="F5422" t="s">
        <v>46035</v>
      </c>
      <c r="G5422" t="s">
        <v>26299</v>
      </c>
      <c r="H5422" t="s">
        <v>26300</v>
      </c>
      <c r="I5422" t="s">
        <v>85</v>
      </c>
      <c r="J5422" t="s">
        <v>22</v>
      </c>
      <c r="K5422" t="s">
        <v>46036</v>
      </c>
      <c r="L5422" t="s">
        <v>46039</v>
      </c>
      <c r="M5422" t="s">
        <v>25</v>
      </c>
      <c r="N5422" t="s">
        <v>46040</v>
      </c>
      <c r="O5422" t="s">
        <v>25</v>
      </c>
      <c r="P5422" t="s">
        <v>46041</v>
      </c>
      <c r="Q5422" t="s">
        <v>29</v>
      </c>
      <c r="R5422" t="s">
        <v>46037</v>
      </c>
      <c r="S5422" t="s">
        <v>46038</v>
      </c>
    </row>
    <row r="5423" spans="1:19" x14ac:dyDescent="0.25">
      <c r="A5423" s="1">
        <v>5421</v>
      </c>
      <c r="B5423" t="str">
        <f>HYPERLINK("https://www.dasschnelle.at/bio-entsorgung-bachschweller-gesmbh-bio-entsorgung-andorf-pimpfing","Website")</f>
        <v>Website</v>
      </c>
      <c r="C5423" t="str">
        <f>HYPERLINK("https://www.dasschnelle.at/bio-entsorgung-bachschweller-gesmbh-bio-entsorgung-andorf-pimpfing","Website")</f>
        <v>Website</v>
      </c>
      <c r="D5423" t="str">
        <f>HYPERLINK("http://www.google.com/maps/place/48.3429828,13.5527312","Location")</f>
        <v>Location</v>
      </c>
      <c r="E5423" t="s">
        <v>46034</v>
      </c>
      <c r="F5423" t="s">
        <v>46042</v>
      </c>
      <c r="G5423" t="s">
        <v>26299</v>
      </c>
      <c r="H5423" t="s">
        <v>26300</v>
      </c>
      <c r="I5423" t="s">
        <v>85</v>
      </c>
      <c r="J5423" t="s">
        <v>22</v>
      </c>
      <c r="K5423" t="s">
        <v>46036</v>
      </c>
      <c r="L5423" t="s">
        <v>46039</v>
      </c>
      <c r="M5423" t="s">
        <v>25</v>
      </c>
      <c r="N5423" t="s">
        <v>46040</v>
      </c>
      <c r="O5423" t="s">
        <v>25</v>
      </c>
      <c r="P5423" t="s">
        <v>46043</v>
      </c>
      <c r="Q5423" t="s">
        <v>29</v>
      </c>
      <c r="R5423" t="s">
        <v>46037</v>
      </c>
      <c r="S5423" t="s">
        <v>46038</v>
      </c>
    </row>
    <row r="5424" spans="1:19" x14ac:dyDescent="0.25">
      <c r="A5424" s="1">
        <v>5422</v>
      </c>
      <c r="B5424" t="str">
        <f>HYPERLINK("https://www.dasschnelle.at/säge-u-hobelwerk-lohmühle-gmbh-faistenau-lohmühle","Website")</f>
        <v>Website</v>
      </c>
      <c r="C5424" t="str">
        <f>HYPERLINK("http://www.lohmuehle.at","Website")</f>
        <v>Website</v>
      </c>
      <c r="D5424" t="str">
        <f>HYPERLINK("http://www.google.com/maps/place/47.76551,13.24219","Location")</f>
        <v>Location</v>
      </c>
      <c r="E5424" t="s">
        <v>46044</v>
      </c>
      <c r="F5424" t="s">
        <v>46045</v>
      </c>
      <c r="G5424" t="s">
        <v>45782</v>
      </c>
      <c r="H5424" t="s">
        <v>46047</v>
      </c>
      <c r="I5424" t="s">
        <v>2239</v>
      </c>
      <c r="J5424" t="s">
        <v>22</v>
      </c>
      <c r="K5424" t="s">
        <v>46046</v>
      </c>
      <c r="L5424" t="s">
        <v>46050</v>
      </c>
      <c r="M5424" t="s">
        <v>46051</v>
      </c>
      <c r="N5424" t="s">
        <v>46052</v>
      </c>
      <c r="O5424" t="s">
        <v>25</v>
      </c>
      <c r="P5424" t="s">
        <v>46053</v>
      </c>
      <c r="Q5424" t="s">
        <v>29</v>
      </c>
      <c r="R5424" t="s">
        <v>46048</v>
      </c>
      <c r="S5424" t="s">
        <v>46049</v>
      </c>
    </row>
    <row r="5425" spans="1:19" x14ac:dyDescent="0.25">
      <c r="A5425" s="1">
        <v>5423</v>
      </c>
      <c r="B5425" t="str">
        <f>HYPERLINK("https://www.dasschnelle.at/mitter-regina-freistadt-pfarrgasse","Website")</f>
        <v>Website</v>
      </c>
      <c r="C5425" t="str">
        <f>HYPERLINK("https://www.dasschnelle.at/mitter-regina-freistadt-pfarrgasse","Website")</f>
        <v>Website</v>
      </c>
      <c r="D5425" t="str">
        <f>HYPERLINK("http://www.google.com/maps/place/48.51122,14.50207","Location")</f>
        <v>Location</v>
      </c>
      <c r="E5425" t="s">
        <v>46054</v>
      </c>
      <c r="F5425" t="s">
        <v>46055</v>
      </c>
      <c r="G5425" t="s">
        <v>6891</v>
      </c>
      <c r="H5425" t="s">
        <v>6892</v>
      </c>
      <c r="I5425" t="s">
        <v>85</v>
      </c>
      <c r="J5425" t="s">
        <v>22</v>
      </c>
      <c r="K5425" t="s">
        <v>29938</v>
      </c>
      <c r="L5425" t="s">
        <v>46058</v>
      </c>
      <c r="M5425" t="s">
        <v>25</v>
      </c>
      <c r="N5425" t="s">
        <v>25</v>
      </c>
      <c r="O5425" t="s">
        <v>25</v>
      </c>
      <c r="P5425" t="s">
        <v>46059</v>
      </c>
      <c r="Q5425" t="s">
        <v>29</v>
      </c>
      <c r="R5425" t="s">
        <v>46056</v>
      </c>
      <c r="S5425" t="s">
        <v>46057</v>
      </c>
    </row>
    <row r="5426" spans="1:19" x14ac:dyDescent="0.25">
      <c r="A5426" s="1">
        <v>5424</v>
      </c>
      <c r="B5426" t="str">
        <f>HYPERLINK("https://www.dasschnelle.at/egger-und-freidorfer-steuerberatungs-og-bruck-an-der-mur-koloman-wallisch-platz","Website")</f>
        <v>Website</v>
      </c>
      <c r="C5426" t="str">
        <f>HYPERLINK("http://www.wt-ef.at","Website")</f>
        <v>Website</v>
      </c>
      <c r="D5426" t="str">
        <f>HYPERLINK("http://www.google.com/maps/place/47.4107393,15.2689710","Location")</f>
        <v>Location</v>
      </c>
      <c r="E5426" t="s">
        <v>46060</v>
      </c>
      <c r="F5426" t="s">
        <v>46061</v>
      </c>
      <c r="G5426" t="s">
        <v>3052</v>
      </c>
      <c r="H5426" t="s">
        <v>3053</v>
      </c>
      <c r="I5426" t="s">
        <v>451</v>
      </c>
      <c r="J5426" t="s">
        <v>22</v>
      </c>
      <c r="K5426" t="s">
        <v>46062</v>
      </c>
      <c r="L5426" t="s">
        <v>46065</v>
      </c>
      <c r="M5426" t="s">
        <v>25</v>
      </c>
      <c r="N5426" t="s">
        <v>46066</v>
      </c>
      <c r="O5426" t="s">
        <v>25</v>
      </c>
      <c r="P5426" t="s">
        <v>46067</v>
      </c>
      <c r="Q5426" t="s">
        <v>29</v>
      </c>
      <c r="R5426" t="s">
        <v>46063</v>
      </c>
      <c r="S5426" t="s">
        <v>46064</v>
      </c>
    </row>
    <row r="5427" spans="1:19" x14ac:dyDescent="0.25">
      <c r="A5427" s="1">
        <v>5425</v>
      </c>
      <c r="B5427" t="str">
        <f>HYPERLINK("https://www.dasschnelle.at/fuchs-christian-pfunds-stuben","Website")</f>
        <v>Website</v>
      </c>
      <c r="C5427" t="str">
        <f>HYPERLINK("http://www.pension-fuchs.at","Website")</f>
        <v>Website</v>
      </c>
      <c r="D5427" t="str">
        <f>HYPERLINK("http://www.google.com/maps/place/46.9695616,10.5345769","Location")</f>
        <v>Location</v>
      </c>
      <c r="E5427" t="s">
        <v>46068</v>
      </c>
      <c r="F5427" t="s">
        <v>46069</v>
      </c>
      <c r="G5427" t="s">
        <v>27119</v>
      </c>
      <c r="H5427" t="s">
        <v>27120</v>
      </c>
      <c r="I5427" t="s">
        <v>21</v>
      </c>
      <c r="J5427" t="s">
        <v>22</v>
      </c>
      <c r="K5427" t="s">
        <v>46070</v>
      </c>
      <c r="L5427" t="s">
        <v>46073</v>
      </c>
      <c r="M5427" t="s">
        <v>25</v>
      </c>
      <c r="N5427" t="s">
        <v>46074</v>
      </c>
      <c r="O5427" t="s">
        <v>25</v>
      </c>
      <c r="P5427" t="s">
        <v>46075</v>
      </c>
      <c r="Q5427" t="s">
        <v>29</v>
      </c>
      <c r="R5427" t="s">
        <v>46071</v>
      </c>
      <c r="S5427" t="s">
        <v>46072</v>
      </c>
    </row>
    <row r="5428" spans="1:19" x14ac:dyDescent="0.25">
      <c r="A5428" s="1">
        <v>5426</v>
      </c>
      <c r="B5428" t="str">
        <f>HYPERLINK("https://www.dasschnelle.at/ebert-pflaster-gmbh-tribuswinkel-hartfeldgasse","Website")</f>
        <v>Website</v>
      </c>
      <c r="C5428" t="str">
        <f>HYPERLINK("http://www.ebertpflaster.at","Website")</f>
        <v>Website</v>
      </c>
      <c r="D5428" t="str">
        <f>HYPERLINK("http://www.google.com/maps/place/47.99916,16.26956","Location")</f>
        <v>Location</v>
      </c>
      <c r="E5428" t="s">
        <v>46076</v>
      </c>
      <c r="F5428" t="s">
        <v>46077</v>
      </c>
      <c r="G5428" t="s">
        <v>2032</v>
      </c>
      <c r="H5428" t="s">
        <v>2033</v>
      </c>
      <c r="I5428" t="s">
        <v>177</v>
      </c>
      <c r="J5428" t="s">
        <v>22</v>
      </c>
      <c r="K5428" t="s">
        <v>46078</v>
      </c>
      <c r="L5428" t="s">
        <v>46081</v>
      </c>
      <c r="M5428" t="s">
        <v>46082</v>
      </c>
      <c r="N5428" t="s">
        <v>46083</v>
      </c>
      <c r="O5428" t="s">
        <v>25</v>
      </c>
      <c r="P5428" t="s">
        <v>46084</v>
      </c>
      <c r="Q5428" t="s">
        <v>29</v>
      </c>
      <c r="R5428" t="s">
        <v>46079</v>
      </c>
      <c r="S5428" t="s">
        <v>46080</v>
      </c>
    </row>
    <row r="5429" spans="1:19" x14ac:dyDescent="0.25">
      <c r="A5429" s="1">
        <v>5427</v>
      </c>
      <c r="B5429" t="str">
        <f>HYPERLINK("https://www.dasschnelle.at/holzbau-gema-og-tannheim-gewerbegebiet","Website")</f>
        <v>Website</v>
      </c>
      <c r="C5429" t="str">
        <f>HYPERLINK("https://www.holzbau-gema.at","Website")</f>
        <v>Website</v>
      </c>
      <c r="D5429" t="str">
        <f>HYPERLINK("http://www.google.com/maps/place/47.50659,10.5009","Location")</f>
        <v>Location</v>
      </c>
      <c r="E5429" t="s">
        <v>46085</v>
      </c>
      <c r="F5429" t="s">
        <v>46086</v>
      </c>
      <c r="G5429" t="s">
        <v>15275</v>
      </c>
      <c r="H5429" t="s">
        <v>15276</v>
      </c>
      <c r="I5429" t="s">
        <v>21</v>
      </c>
      <c r="J5429" t="s">
        <v>22</v>
      </c>
      <c r="K5429" t="s">
        <v>46087</v>
      </c>
      <c r="L5429" t="s">
        <v>46088</v>
      </c>
      <c r="M5429" t="s">
        <v>25</v>
      </c>
      <c r="N5429" t="s">
        <v>25</v>
      </c>
      <c r="O5429" t="s">
        <v>25</v>
      </c>
      <c r="P5429" t="s">
        <v>697</v>
      </c>
      <c r="Q5429" t="s">
        <v>29</v>
      </c>
      <c r="R5429" t="s">
        <v>15277</v>
      </c>
      <c r="S5429" t="s">
        <v>15278</v>
      </c>
    </row>
    <row r="5430" spans="1:19" x14ac:dyDescent="0.25">
      <c r="A5430" s="1">
        <v>5428</v>
      </c>
      <c r="B5430" t="str">
        <f>HYPERLINK("https://www.dasschnelle.at/stadtgemeinde-klosterneuburg-klosterneuburg-rathausplatz","Website")</f>
        <v>Website</v>
      </c>
      <c r="C5430" t="str">
        <f>HYPERLINK("http://www.klosterneuburg.at","Website")</f>
        <v>Website</v>
      </c>
      <c r="D5430" t="str">
        <f>HYPERLINK("http://www.google.com/maps/place/48.3048000,16.3255700","Location")</f>
        <v>Location</v>
      </c>
      <c r="E5430" t="s">
        <v>46089</v>
      </c>
      <c r="F5430" t="s">
        <v>46090</v>
      </c>
      <c r="G5430" t="s">
        <v>10308</v>
      </c>
      <c r="H5430" t="s">
        <v>10317</v>
      </c>
      <c r="I5430" t="s">
        <v>177</v>
      </c>
      <c r="J5430" t="s">
        <v>22</v>
      </c>
      <c r="K5430" t="s">
        <v>29657</v>
      </c>
      <c r="L5430" t="s">
        <v>46093</v>
      </c>
      <c r="M5430" t="s">
        <v>25</v>
      </c>
      <c r="N5430" t="s">
        <v>46094</v>
      </c>
      <c r="O5430" t="s">
        <v>25</v>
      </c>
      <c r="P5430" t="s">
        <v>46095</v>
      </c>
      <c r="Q5430" t="s">
        <v>29</v>
      </c>
      <c r="R5430" t="s">
        <v>46091</v>
      </c>
      <c r="S5430" t="s">
        <v>46092</v>
      </c>
    </row>
    <row r="5431" spans="1:19" x14ac:dyDescent="0.25">
      <c r="A5431" s="1">
        <v>5429</v>
      </c>
      <c r="B5431" t="str">
        <f>HYPERLINK("https://www.dasschnelle.at/fahrngruber-alexandra-lilienfeld-babenbergerstraße","Website")</f>
        <v>Website</v>
      </c>
      <c r="C5431" t="str">
        <f>HYPERLINK("https://www.dasschnelle.at/fahrngruber-alexandra-lilienfeld-babenbergerstra%C3%9Fe","Website")</f>
        <v>Website</v>
      </c>
      <c r="D5431" t="str">
        <f>HYPERLINK("http://www.google.com/maps/place/48.0162400,15.5962500","Location")</f>
        <v>Location</v>
      </c>
      <c r="E5431" t="s">
        <v>46096</v>
      </c>
      <c r="F5431" t="s">
        <v>46097</v>
      </c>
      <c r="G5431" t="s">
        <v>11860</v>
      </c>
      <c r="H5431" t="s">
        <v>11861</v>
      </c>
      <c r="I5431" t="s">
        <v>177</v>
      </c>
      <c r="J5431" t="s">
        <v>22</v>
      </c>
      <c r="K5431" t="s">
        <v>46098</v>
      </c>
      <c r="L5431" t="s">
        <v>46101</v>
      </c>
      <c r="M5431" t="s">
        <v>25</v>
      </c>
      <c r="N5431" t="s">
        <v>46102</v>
      </c>
      <c r="O5431" t="s">
        <v>25</v>
      </c>
      <c r="P5431" t="s">
        <v>46103</v>
      </c>
      <c r="Q5431" t="s">
        <v>29</v>
      </c>
      <c r="R5431" t="s">
        <v>46099</v>
      </c>
      <c r="S5431" t="s">
        <v>46100</v>
      </c>
    </row>
    <row r="5432" spans="1:19" x14ac:dyDescent="0.25">
      <c r="A5432" s="1">
        <v>5430</v>
      </c>
      <c r="B5432" t="str">
        <f>HYPERLINK("https://www.dasschnelle.at/huber-s-kfz-klinik-leopold-rosenau-am-sonntagberg-waidhofnerstraße","Website")</f>
        <v>Website</v>
      </c>
      <c r="C5432" t="str">
        <f>HYPERLINK("http://www.huberskfz-klinik.plusservice.at","Website")</f>
        <v>Website</v>
      </c>
      <c r="D5432" t="str">
        <f>HYPERLINK("http://www.google.com/maps/place/48.01236,14.74501","Location")</f>
        <v>Location</v>
      </c>
      <c r="E5432" t="s">
        <v>46104</v>
      </c>
      <c r="F5432" t="s">
        <v>46105</v>
      </c>
      <c r="G5432" t="s">
        <v>46107</v>
      </c>
      <c r="H5432" t="s">
        <v>46108</v>
      </c>
      <c r="I5432" t="s">
        <v>177</v>
      </c>
      <c r="J5432" t="s">
        <v>22</v>
      </c>
      <c r="K5432" t="s">
        <v>46106</v>
      </c>
      <c r="L5432" t="s">
        <v>46111</v>
      </c>
      <c r="M5432" t="s">
        <v>25</v>
      </c>
      <c r="N5432" t="s">
        <v>46112</v>
      </c>
      <c r="O5432" t="s">
        <v>25</v>
      </c>
      <c r="P5432" t="s">
        <v>46113</v>
      </c>
      <c r="Q5432" t="s">
        <v>29</v>
      </c>
      <c r="R5432" t="s">
        <v>46109</v>
      </c>
      <c r="S5432" t="s">
        <v>46110</v>
      </c>
    </row>
    <row r="5433" spans="1:19" x14ac:dyDescent="0.25">
      <c r="A5433" s="1">
        <v>5431</v>
      </c>
      <c r="B5433" t="str">
        <f>HYPERLINK("https://www.dasschnelle.at/fensterbau-salzburg-gesmbh-heuberger-fenster-thalgau-salzburger-straße","Website")</f>
        <v>Website</v>
      </c>
      <c r="C5433" t="str">
        <f>HYPERLINK("http://www.heuberger-fenster.at","Website")</f>
        <v>Website</v>
      </c>
      <c r="D5433" t="str">
        <f>HYPERLINK("http://www.google.com/maps/place/47.84206,13.23266","Location")</f>
        <v>Location</v>
      </c>
      <c r="E5433" t="s">
        <v>46114</v>
      </c>
      <c r="F5433" t="s">
        <v>46115</v>
      </c>
      <c r="G5433" t="s">
        <v>26904</v>
      </c>
      <c r="H5433" t="s">
        <v>26905</v>
      </c>
      <c r="I5433" t="s">
        <v>2239</v>
      </c>
      <c r="J5433" t="s">
        <v>22</v>
      </c>
      <c r="K5433" t="s">
        <v>2652</v>
      </c>
      <c r="L5433" t="s">
        <v>46118</v>
      </c>
      <c r="M5433" t="s">
        <v>25</v>
      </c>
      <c r="N5433" t="s">
        <v>46119</v>
      </c>
      <c r="O5433" t="s">
        <v>46120</v>
      </c>
      <c r="P5433" t="s">
        <v>46121</v>
      </c>
      <c r="Q5433" t="s">
        <v>29</v>
      </c>
      <c r="R5433" t="s">
        <v>46116</v>
      </c>
      <c r="S5433" t="s">
        <v>46117</v>
      </c>
    </row>
    <row r="5434" spans="1:19" x14ac:dyDescent="0.25">
      <c r="A5434" s="1">
        <v>5432</v>
      </c>
      <c r="B5434" t="str">
        <f>HYPERLINK("https://www.dasschnelle.at/pötzelsberger-und-thonhofer-service-gmbh-eugendorf-bahnweg","Website")</f>
        <v>Website</v>
      </c>
      <c r="C5434" t="str">
        <f>HYPERLINK("http://www.pt-service.at","Website")</f>
        <v>Website</v>
      </c>
      <c r="D5434" t="str">
        <f>HYPERLINK("http://www.google.com/maps/place/47.8698700,13.1198500","Location")</f>
        <v>Location</v>
      </c>
      <c r="E5434" t="s">
        <v>46122</v>
      </c>
      <c r="F5434" t="s">
        <v>46123</v>
      </c>
      <c r="G5434" t="s">
        <v>10439</v>
      </c>
      <c r="H5434" t="s">
        <v>10440</v>
      </c>
      <c r="I5434" t="s">
        <v>2239</v>
      </c>
      <c r="J5434" t="s">
        <v>22</v>
      </c>
      <c r="K5434" t="s">
        <v>46124</v>
      </c>
      <c r="L5434" t="s">
        <v>46127</v>
      </c>
      <c r="M5434" t="s">
        <v>46128</v>
      </c>
      <c r="N5434" t="s">
        <v>46129</v>
      </c>
      <c r="O5434" t="s">
        <v>46130</v>
      </c>
      <c r="P5434" t="s">
        <v>46131</v>
      </c>
      <c r="Q5434" t="s">
        <v>29</v>
      </c>
      <c r="R5434" t="s">
        <v>46125</v>
      </c>
      <c r="S5434" t="s">
        <v>46126</v>
      </c>
    </row>
    <row r="5435" spans="1:19" x14ac:dyDescent="0.25">
      <c r="A5435" s="1">
        <v>5433</v>
      </c>
      <c r="B5435" t="str">
        <f>HYPERLINK("https://www.dasschnelle.at/hofer-manuela-hartkirchen-karling","Website")</f>
        <v>Website</v>
      </c>
      <c r="C5435" t="str">
        <f>HYPERLINK("https://www.dasschnelle.at/hofer-manuela-hartkirchen-karling","Website")</f>
        <v>Website</v>
      </c>
      <c r="D5435" t="str">
        <f>HYPERLINK("http://www.google.com/maps/place/48.3609900,13.9945000","Location")</f>
        <v>Location</v>
      </c>
      <c r="E5435" t="s">
        <v>46132</v>
      </c>
      <c r="F5435" t="s">
        <v>46133</v>
      </c>
      <c r="G5435" t="s">
        <v>3111</v>
      </c>
      <c r="H5435" t="s">
        <v>3112</v>
      </c>
      <c r="I5435" t="s">
        <v>85</v>
      </c>
      <c r="J5435" t="s">
        <v>22</v>
      </c>
      <c r="K5435" t="s">
        <v>46134</v>
      </c>
      <c r="L5435" t="s">
        <v>46137</v>
      </c>
      <c r="M5435" t="s">
        <v>25</v>
      </c>
      <c r="N5435" t="s">
        <v>46138</v>
      </c>
      <c r="O5435" t="s">
        <v>25</v>
      </c>
      <c r="P5435" t="s">
        <v>46139</v>
      </c>
      <c r="Q5435" t="s">
        <v>29</v>
      </c>
      <c r="R5435" t="s">
        <v>46135</v>
      </c>
      <c r="S5435" t="s">
        <v>46136</v>
      </c>
    </row>
    <row r="5436" spans="1:19" x14ac:dyDescent="0.25">
      <c r="A5436" s="1">
        <v>5434</v>
      </c>
      <c r="B5436" t="str">
        <f>HYPERLINK("https://www.dasschnelle.at/putz-anita-bad-ischl-rettenbachwaldstraße","Website")</f>
        <v>Website</v>
      </c>
      <c r="C5436" t="str">
        <f>HYPERLINK("http://www.taxi-putz.at","Website")</f>
        <v>Website</v>
      </c>
      <c r="D5436" t="str">
        <f>HYPERLINK("http://www.google.com/maps/place/47.71262,13.63395","Location")</f>
        <v>Location</v>
      </c>
      <c r="E5436" t="s">
        <v>46140</v>
      </c>
      <c r="F5436" t="s">
        <v>46141</v>
      </c>
      <c r="G5436" t="s">
        <v>2377</v>
      </c>
      <c r="H5436" t="s">
        <v>2378</v>
      </c>
      <c r="I5436" t="s">
        <v>85</v>
      </c>
      <c r="J5436" t="s">
        <v>22</v>
      </c>
      <c r="K5436" t="s">
        <v>46142</v>
      </c>
      <c r="L5436" t="s">
        <v>46145</v>
      </c>
      <c r="M5436" t="s">
        <v>25</v>
      </c>
      <c r="N5436" t="s">
        <v>46146</v>
      </c>
      <c r="O5436" t="s">
        <v>25</v>
      </c>
      <c r="P5436" t="s">
        <v>46147</v>
      </c>
      <c r="Q5436" t="s">
        <v>29</v>
      </c>
      <c r="R5436" t="s">
        <v>46143</v>
      </c>
      <c r="S5436" t="s">
        <v>46144</v>
      </c>
    </row>
    <row r="5437" spans="1:19" x14ac:dyDescent="0.25">
      <c r="A5437" s="1">
        <v>5435</v>
      </c>
      <c r="B5437" t="str">
        <f>HYPERLINK("https://www.dasschnelle.at/haslinger-rudolf-gesmbh-heidenreichstein-bahnhofstraße","Website")</f>
        <v>Website</v>
      </c>
      <c r="C5437" t="str">
        <f>HYPERLINK("http://www.haslinger-maler.at","Website")</f>
        <v>Website</v>
      </c>
      <c r="D5437" t="str">
        <f>HYPERLINK("http://www.google.com/maps/place/48.8640900,15.1171200","Location")</f>
        <v>Location</v>
      </c>
      <c r="E5437" t="s">
        <v>46148</v>
      </c>
      <c r="F5437" t="s">
        <v>46149</v>
      </c>
      <c r="G5437" t="s">
        <v>24771</v>
      </c>
      <c r="H5437" t="s">
        <v>24772</v>
      </c>
      <c r="I5437" t="s">
        <v>177</v>
      </c>
      <c r="J5437" t="s">
        <v>22</v>
      </c>
      <c r="K5437" t="s">
        <v>46150</v>
      </c>
      <c r="L5437" t="s">
        <v>46153</v>
      </c>
      <c r="M5437" t="s">
        <v>25</v>
      </c>
      <c r="N5437" t="s">
        <v>46154</v>
      </c>
      <c r="O5437" t="s">
        <v>25</v>
      </c>
      <c r="P5437" t="s">
        <v>46155</v>
      </c>
      <c r="Q5437" t="s">
        <v>29</v>
      </c>
      <c r="R5437" t="s">
        <v>46151</v>
      </c>
      <c r="S5437" t="s">
        <v>46152</v>
      </c>
    </row>
    <row r="5438" spans="1:19" x14ac:dyDescent="0.25">
      <c r="A5438" s="1">
        <v>5436</v>
      </c>
      <c r="B5438" t="str">
        <f>HYPERLINK("https://www.dasschnelle.at/hausruck-dach-gmbh-ampflwang-bahnhofstraße","Website")</f>
        <v>Website</v>
      </c>
      <c r="C5438" t="str">
        <f>HYPERLINK("http://www.hausruck-dach.at","Website")</f>
        <v>Website</v>
      </c>
      <c r="D5438" t="str">
        <f>HYPERLINK("http://www.google.com/maps/place/48.0887300,13.5610200","Location")</f>
        <v>Location</v>
      </c>
      <c r="E5438" t="s">
        <v>46156</v>
      </c>
      <c r="F5438" t="s">
        <v>46157</v>
      </c>
      <c r="G5438" t="s">
        <v>3805</v>
      </c>
      <c r="H5438" t="s">
        <v>3806</v>
      </c>
      <c r="I5438" t="s">
        <v>85</v>
      </c>
      <c r="J5438" t="s">
        <v>22</v>
      </c>
      <c r="K5438" t="s">
        <v>19283</v>
      </c>
      <c r="L5438" t="s">
        <v>46160</v>
      </c>
      <c r="M5438" t="s">
        <v>25</v>
      </c>
      <c r="N5438" t="s">
        <v>46161</v>
      </c>
      <c r="O5438" t="s">
        <v>46162</v>
      </c>
      <c r="P5438" t="s">
        <v>46163</v>
      </c>
      <c r="Q5438" t="s">
        <v>29</v>
      </c>
      <c r="R5438" t="s">
        <v>46158</v>
      </c>
      <c r="S5438" t="s">
        <v>46159</v>
      </c>
    </row>
    <row r="5439" spans="1:19" x14ac:dyDescent="0.25">
      <c r="A5439" s="1">
        <v>5437</v>
      </c>
      <c r="B5439" t="str">
        <f>HYPERLINK("https://www.dasschnelle.at/nagele-handelsgesmbh-und-co-kg-steinach-bahnhofstraße","Website")</f>
        <v>Website</v>
      </c>
      <c r="C5439" t="str">
        <f>HYPERLINK("http://www.vinothek-nagele.at","Website")</f>
        <v>Website</v>
      </c>
      <c r="D5439" t="str">
        <f>HYPERLINK("http://www.google.com/maps/place/47.0909200,11.4684300","Location")</f>
        <v>Location</v>
      </c>
      <c r="E5439" t="s">
        <v>46164</v>
      </c>
      <c r="F5439" t="s">
        <v>46165</v>
      </c>
      <c r="G5439" t="s">
        <v>5245</v>
      </c>
      <c r="H5439" t="s">
        <v>5255</v>
      </c>
      <c r="I5439" t="s">
        <v>21</v>
      </c>
      <c r="J5439" t="s">
        <v>22</v>
      </c>
      <c r="K5439" t="s">
        <v>46166</v>
      </c>
      <c r="L5439" t="s">
        <v>46169</v>
      </c>
      <c r="M5439" t="s">
        <v>46170</v>
      </c>
      <c r="N5439" t="s">
        <v>46171</v>
      </c>
      <c r="O5439" t="s">
        <v>25</v>
      </c>
      <c r="P5439" t="s">
        <v>46172</v>
      </c>
      <c r="Q5439" t="s">
        <v>29</v>
      </c>
      <c r="R5439" t="s">
        <v>46167</v>
      </c>
      <c r="S5439" t="s">
        <v>46168</v>
      </c>
    </row>
    <row r="5440" spans="1:19" x14ac:dyDescent="0.25">
      <c r="A5440" s="1">
        <v>5438</v>
      </c>
      <c r="B5440" t="str">
        <f>HYPERLINK("https://www.dasschnelle.at/konlechner-gerhard-e-u-wilhelmsburg-obere-hauptstraße","Website")</f>
        <v>Website</v>
      </c>
      <c r="C5440" t="str">
        <f>HYPERLINK("http://www.optikkonlechner.at","Website")</f>
        <v>Website</v>
      </c>
      <c r="D5440" t="str">
        <f>HYPERLINK("http://www.google.com/maps/place/48.10428,15.60509","Location")</f>
        <v>Location</v>
      </c>
      <c r="E5440" t="s">
        <v>46173</v>
      </c>
      <c r="F5440" t="s">
        <v>46174</v>
      </c>
      <c r="G5440" t="s">
        <v>28274</v>
      </c>
      <c r="H5440" t="s">
        <v>28275</v>
      </c>
      <c r="I5440" t="s">
        <v>177</v>
      </c>
      <c r="J5440" t="s">
        <v>22</v>
      </c>
      <c r="K5440" t="s">
        <v>46175</v>
      </c>
      <c r="L5440" t="s">
        <v>46178</v>
      </c>
      <c r="M5440" t="s">
        <v>25</v>
      </c>
      <c r="N5440" t="s">
        <v>46179</v>
      </c>
      <c r="O5440" t="s">
        <v>25</v>
      </c>
      <c r="P5440" t="s">
        <v>46180</v>
      </c>
      <c r="Q5440" t="s">
        <v>29</v>
      </c>
      <c r="R5440" t="s">
        <v>46176</v>
      </c>
      <c r="S5440" t="s">
        <v>46177</v>
      </c>
    </row>
    <row r="5441" spans="1:19" x14ac:dyDescent="0.25">
      <c r="A5441" s="1">
        <v>5439</v>
      </c>
      <c r="B5441" t="str">
        <f>HYPERLINK("https://www.dasschnelle.at/werner-klaus-hainfeld-ramsauer-straße","Website")</f>
        <v>Website</v>
      </c>
      <c r="C5441" t="str">
        <f>HYPERLINK("http://www.installateur-werner.sta.io","Website")</f>
        <v>Website</v>
      </c>
      <c r="D5441" t="str">
        <f>HYPERLINK("http://www.google.com/maps/place/48.0326,15.774","Location")</f>
        <v>Location</v>
      </c>
      <c r="E5441" t="s">
        <v>46181</v>
      </c>
      <c r="F5441" t="s">
        <v>46182</v>
      </c>
      <c r="G5441" t="s">
        <v>13419</v>
      </c>
      <c r="H5441" t="s">
        <v>13420</v>
      </c>
      <c r="I5441" t="s">
        <v>177</v>
      </c>
      <c r="J5441" t="s">
        <v>22</v>
      </c>
      <c r="K5441" t="s">
        <v>46183</v>
      </c>
      <c r="L5441" t="s">
        <v>46186</v>
      </c>
      <c r="M5441" t="s">
        <v>25</v>
      </c>
      <c r="N5441" t="s">
        <v>46187</v>
      </c>
      <c r="O5441" t="s">
        <v>25</v>
      </c>
      <c r="P5441" t="s">
        <v>46188</v>
      </c>
      <c r="Q5441" t="s">
        <v>29</v>
      </c>
      <c r="R5441" t="s">
        <v>46184</v>
      </c>
      <c r="S5441" t="s">
        <v>46185</v>
      </c>
    </row>
    <row r="5442" spans="1:19" x14ac:dyDescent="0.25">
      <c r="A5442" s="1">
        <v>5440</v>
      </c>
      <c r="B5442" t="str">
        <f>HYPERLINK("https://www.dasschnelle.at/hager-versicherungs-gmbh-badhöring-badhöring","Website")</f>
        <v>Website</v>
      </c>
      <c r="C5442" t="str">
        <f>HYPERLINK("https://www.dasschnelle.at/hager-versicherungs-gmbh-badh%C3%B6ring-badh%C3%B6ring","Website")</f>
        <v>Website</v>
      </c>
      <c r="D5442" t="str">
        <f>HYPERLINK("http://www.google.com/maps/place/48.4328204,13.4449926","Location")</f>
        <v>Location</v>
      </c>
      <c r="E5442" t="s">
        <v>46189</v>
      </c>
      <c r="F5442" t="s">
        <v>46190</v>
      </c>
      <c r="G5442" t="s">
        <v>24520</v>
      </c>
      <c r="H5442" t="s">
        <v>46192</v>
      </c>
      <c r="I5442" t="s">
        <v>85</v>
      </c>
      <c r="J5442" t="s">
        <v>22</v>
      </c>
      <c r="K5442" t="s">
        <v>46191</v>
      </c>
      <c r="L5442" t="s">
        <v>46195</v>
      </c>
      <c r="M5442" t="s">
        <v>25</v>
      </c>
      <c r="N5442" t="s">
        <v>46196</v>
      </c>
      <c r="O5442" t="s">
        <v>25</v>
      </c>
      <c r="P5442" t="s">
        <v>46197</v>
      </c>
      <c r="Q5442" t="s">
        <v>29</v>
      </c>
      <c r="R5442" t="s">
        <v>46193</v>
      </c>
      <c r="S5442" t="s">
        <v>46194</v>
      </c>
    </row>
    <row r="5443" spans="1:19" x14ac:dyDescent="0.25">
      <c r="A5443" s="1">
        <v>5441</v>
      </c>
      <c r="B5443" t="str">
        <f>HYPERLINK("https://www.dasschnelle.at/forstenlechner-installationstechnik-gesmbh-perg-kramelsbergstraße","Website")</f>
        <v>Website</v>
      </c>
      <c r="C5443" t="str">
        <f>HYPERLINK("http://www.forstenlechner.at","Website")</f>
        <v>Website</v>
      </c>
      <c r="D5443" t="str">
        <f>HYPERLINK("http://www.google.com/maps/place/48.23881,14.62002","Location")</f>
        <v>Location</v>
      </c>
      <c r="E5443" t="s">
        <v>46198</v>
      </c>
      <c r="F5443" t="s">
        <v>46199</v>
      </c>
      <c r="G5443" t="s">
        <v>6379</v>
      </c>
      <c r="H5443" t="s">
        <v>6380</v>
      </c>
      <c r="I5443" t="s">
        <v>85</v>
      </c>
      <c r="J5443" t="s">
        <v>22</v>
      </c>
      <c r="K5443" t="s">
        <v>46200</v>
      </c>
      <c r="L5443" t="s">
        <v>46203</v>
      </c>
      <c r="M5443" t="s">
        <v>25</v>
      </c>
      <c r="N5443" t="s">
        <v>46204</v>
      </c>
      <c r="O5443" t="s">
        <v>25</v>
      </c>
      <c r="P5443" t="s">
        <v>46205</v>
      </c>
      <c r="Q5443" t="s">
        <v>29</v>
      </c>
      <c r="R5443" t="s">
        <v>46201</v>
      </c>
      <c r="S5443" t="s">
        <v>46202</v>
      </c>
    </row>
    <row r="5444" spans="1:19" x14ac:dyDescent="0.25">
      <c r="A5444" s="1">
        <v>5442</v>
      </c>
      <c r="B5444" t="str">
        <f>HYPERLINK("https://www.dasschnelle.at/mayr-c-dr-oa-hagenberg-im-mühlkreis-raiffeisenstraße","Website")</f>
        <v>Website</v>
      </c>
      <c r="C5444" t="str">
        <f>HYPERLINK("http://www.urologie-hagenberg.at","Website")</f>
        <v>Website</v>
      </c>
      <c r="D5444" t="str">
        <f>HYPERLINK("http://www.google.com/maps/place/48.3678780,14.5172175","Location")</f>
        <v>Location</v>
      </c>
      <c r="E5444" t="s">
        <v>46206</v>
      </c>
      <c r="F5444" t="s">
        <v>46207</v>
      </c>
      <c r="G5444" t="s">
        <v>33812</v>
      </c>
      <c r="H5444" t="s">
        <v>34841</v>
      </c>
      <c r="I5444" t="s">
        <v>85</v>
      </c>
      <c r="J5444" t="s">
        <v>22</v>
      </c>
      <c r="K5444" t="s">
        <v>34840</v>
      </c>
      <c r="L5444" t="s">
        <v>46208</v>
      </c>
      <c r="M5444" t="s">
        <v>25</v>
      </c>
      <c r="N5444" t="s">
        <v>46209</v>
      </c>
      <c r="O5444" t="s">
        <v>25</v>
      </c>
      <c r="P5444" t="s">
        <v>46210</v>
      </c>
      <c r="Q5444" t="s">
        <v>29</v>
      </c>
      <c r="R5444" t="s">
        <v>34842</v>
      </c>
      <c r="S5444" t="s">
        <v>34843</v>
      </c>
    </row>
    <row r="5445" spans="1:19" x14ac:dyDescent="0.25">
      <c r="A5445" s="1">
        <v>5443</v>
      </c>
      <c r="B5445" t="str">
        <f>HYPERLINK("https://www.dasschnelle.at/grünzweil-gmbh-st-johann-am-wimberg-petersberg","Website")</f>
        <v>Website</v>
      </c>
      <c r="C5445" t="str">
        <f>HYPERLINK("http://www.gruenzweil-alteisen.at","Website")</f>
        <v>Website</v>
      </c>
      <c r="D5445" t="str">
        <f>HYPERLINK("http://www.google.com/maps/place/48.5047943,14.1330104","Location")</f>
        <v>Location</v>
      </c>
      <c r="E5445" t="s">
        <v>46211</v>
      </c>
      <c r="F5445" t="s">
        <v>46212</v>
      </c>
      <c r="G5445" t="s">
        <v>8723</v>
      </c>
      <c r="H5445" t="s">
        <v>46214</v>
      </c>
      <c r="I5445" t="s">
        <v>85</v>
      </c>
      <c r="J5445" t="s">
        <v>22</v>
      </c>
      <c r="K5445" t="s">
        <v>46213</v>
      </c>
      <c r="L5445" t="s">
        <v>46217</v>
      </c>
      <c r="M5445" t="s">
        <v>25</v>
      </c>
      <c r="N5445" t="s">
        <v>46218</v>
      </c>
      <c r="O5445" t="s">
        <v>46219</v>
      </c>
      <c r="P5445" t="s">
        <v>46220</v>
      </c>
      <c r="Q5445" t="s">
        <v>29</v>
      </c>
      <c r="R5445" t="s">
        <v>46215</v>
      </c>
      <c r="S5445" t="s">
        <v>46216</v>
      </c>
    </row>
    <row r="5446" spans="1:19" x14ac:dyDescent="0.25">
      <c r="A5446" s="1">
        <v>5444</v>
      </c>
      <c r="B5446" t="str">
        <f>HYPERLINK("https://www.dasschnelle.at/stockhammer-gerhard-obernberg-am-inn-vormarkt-nonsbach","Website")</f>
        <v>Website</v>
      </c>
      <c r="C5446" t="str">
        <f>HYPERLINK("http://www.malerei-stockhammer.at","Website")</f>
        <v>Website</v>
      </c>
      <c r="D5446" t="str">
        <f>HYPERLINK("http://www.google.com/maps/place/48.31901,13.33473","Location")</f>
        <v>Location</v>
      </c>
      <c r="E5446" t="s">
        <v>46221</v>
      </c>
      <c r="F5446" t="s">
        <v>46222</v>
      </c>
      <c r="G5446" t="s">
        <v>6276</v>
      </c>
      <c r="H5446" t="s">
        <v>36741</v>
      </c>
      <c r="I5446" t="s">
        <v>85</v>
      </c>
      <c r="J5446" t="s">
        <v>22</v>
      </c>
      <c r="K5446" t="s">
        <v>46223</v>
      </c>
      <c r="L5446" t="s">
        <v>46226</v>
      </c>
      <c r="M5446" t="s">
        <v>25</v>
      </c>
      <c r="N5446" t="s">
        <v>46227</v>
      </c>
      <c r="O5446" t="s">
        <v>25</v>
      </c>
      <c r="P5446" t="s">
        <v>46228</v>
      </c>
      <c r="Q5446" t="s">
        <v>29</v>
      </c>
      <c r="R5446" t="s">
        <v>46224</v>
      </c>
      <c r="S5446" t="s">
        <v>46225</v>
      </c>
    </row>
    <row r="5447" spans="1:19" x14ac:dyDescent="0.25">
      <c r="A5447" s="1">
        <v>5445</v>
      </c>
      <c r="B5447" t="str">
        <f>HYPERLINK("https://www.dasschnelle.at/medved-ing-und-troll-gmbh-elektroinstallationen-himberg-josef-kainzgasse","Website")</f>
        <v>Website</v>
      </c>
      <c r="C5447" t="str">
        <f>HYPERLINK("http://www.medved-troll.at/","Website")</f>
        <v>Website</v>
      </c>
      <c r="D5447" t="str">
        <f>HYPERLINK("http://www.google.com/maps/place/48.08491,16.43359","Location")</f>
        <v>Location</v>
      </c>
      <c r="E5447" t="s">
        <v>46229</v>
      </c>
      <c r="F5447" t="s">
        <v>46230</v>
      </c>
      <c r="G5447" t="s">
        <v>9710</v>
      </c>
      <c r="H5447" t="s">
        <v>9711</v>
      </c>
      <c r="I5447" t="s">
        <v>177</v>
      </c>
      <c r="J5447" t="s">
        <v>22</v>
      </c>
      <c r="K5447" t="s">
        <v>46231</v>
      </c>
      <c r="L5447" t="s">
        <v>46233</v>
      </c>
      <c r="M5447" t="s">
        <v>46234</v>
      </c>
      <c r="N5447" t="s">
        <v>46235</v>
      </c>
      <c r="O5447" t="s">
        <v>25</v>
      </c>
      <c r="P5447" t="s">
        <v>46236</v>
      </c>
      <c r="Q5447" t="s">
        <v>29</v>
      </c>
      <c r="R5447" t="s">
        <v>21679</v>
      </c>
      <c r="S5447" t="s">
        <v>46232</v>
      </c>
    </row>
    <row r="5448" spans="1:19" x14ac:dyDescent="0.25">
      <c r="A5448" s="1">
        <v>5446</v>
      </c>
      <c r="B5448" t="str">
        <f>HYPERLINK("https://www.dasschnelle.at/brunner-max-gmbh-schwaz-bergwerkstraße","Website")</f>
        <v>Website</v>
      </c>
      <c r="C5448" t="str">
        <f>HYPERLINK("http://www.haustechnik-brunner.at","Website")</f>
        <v>Website</v>
      </c>
      <c r="D5448" t="str">
        <f>HYPERLINK("http://www.google.com/maps/place/47.35691,11.728","Location")</f>
        <v>Location</v>
      </c>
      <c r="E5448" t="s">
        <v>46237</v>
      </c>
      <c r="F5448" t="s">
        <v>46238</v>
      </c>
      <c r="G5448" t="s">
        <v>4200</v>
      </c>
      <c r="H5448" t="s">
        <v>4201</v>
      </c>
      <c r="I5448" t="s">
        <v>21</v>
      </c>
      <c r="J5448" t="s">
        <v>22</v>
      </c>
      <c r="K5448" t="s">
        <v>46239</v>
      </c>
      <c r="L5448" t="s">
        <v>46242</v>
      </c>
      <c r="M5448" t="s">
        <v>46243</v>
      </c>
      <c r="N5448" t="s">
        <v>46244</v>
      </c>
      <c r="O5448" t="s">
        <v>25</v>
      </c>
      <c r="P5448" t="s">
        <v>46245</v>
      </c>
      <c r="Q5448" t="s">
        <v>29</v>
      </c>
      <c r="R5448" t="s">
        <v>46240</v>
      </c>
      <c r="S5448" t="s">
        <v>46241</v>
      </c>
    </row>
    <row r="5449" spans="1:19" x14ac:dyDescent="0.25">
      <c r="A5449" s="1">
        <v>5447</v>
      </c>
      <c r="B5449" t="str">
        <f>HYPERLINK("https://www.dasschnelle.at/schöpp-gmbh-kuchl-garnei","Website")</f>
        <v>Website</v>
      </c>
      <c r="C5449" t="str">
        <f>HYPERLINK("https://www.dasschnelle.at/sch%C3%B6pp-gmbh-kuchl-garnei","Website")</f>
        <v>Website</v>
      </c>
      <c r="D5449" t="str">
        <f>HYPERLINK("http://www.google.com/maps/place/47.6414987,13.1344524","Location")</f>
        <v>Location</v>
      </c>
      <c r="E5449" t="s">
        <v>46246</v>
      </c>
      <c r="F5449" t="s">
        <v>46247</v>
      </c>
      <c r="G5449" t="s">
        <v>7697</v>
      </c>
      <c r="H5449" t="s">
        <v>7698</v>
      </c>
      <c r="I5449" t="s">
        <v>2239</v>
      </c>
      <c r="J5449" t="s">
        <v>22</v>
      </c>
      <c r="K5449" t="s">
        <v>46248</v>
      </c>
      <c r="L5449" t="s">
        <v>46251</v>
      </c>
      <c r="M5449" t="s">
        <v>25</v>
      </c>
      <c r="N5449" t="s">
        <v>46252</v>
      </c>
      <c r="O5449" t="s">
        <v>25</v>
      </c>
      <c r="P5449" t="s">
        <v>46253</v>
      </c>
      <c r="Q5449" t="s">
        <v>29</v>
      </c>
      <c r="R5449" t="s">
        <v>46249</v>
      </c>
      <c r="S5449" t="s">
        <v>46250</v>
      </c>
    </row>
    <row r="5450" spans="1:19" x14ac:dyDescent="0.25">
      <c r="A5450" s="1">
        <v>5448</v>
      </c>
      <c r="B5450" t="str">
        <f>HYPERLINK("https://www.dasschnelle.at/ihr-poolspezialist-ennsdorf-mauthausner-strasse","Website")</f>
        <v>Website</v>
      </c>
      <c r="C5450" t="str">
        <f>HYPERLINK("http://www.pool-spezialist.at","Website")</f>
        <v>Website</v>
      </c>
      <c r="D5450" t="str">
        <f>HYPERLINK("http://www.google.com/maps/place/48.22479,14.52032","Location")</f>
        <v>Location</v>
      </c>
      <c r="E5450" t="s">
        <v>46254</v>
      </c>
      <c r="F5450" t="s">
        <v>46255</v>
      </c>
      <c r="G5450" t="s">
        <v>46257</v>
      </c>
      <c r="H5450" t="s">
        <v>46258</v>
      </c>
      <c r="I5450" t="s">
        <v>177</v>
      </c>
      <c r="J5450" t="s">
        <v>22</v>
      </c>
      <c r="K5450" t="s">
        <v>46256</v>
      </c>
      <c r="L5450" t="s">
        <v>46261</v>
      </c>
      <c r="M5450" t="s">
        <v>25</v>
      </c>
      <c r="N5450" t="s">
        <v>46262</v>
      </c>
      <c r="O5450" t="s">
        <v>46263</v>
      </c>
      <c r="P5450" t="s">
        <v>46264</v>
      </c>
      <c r="Q5450" t="s">
        <v>29</v>
      </c>
      <c r="R5450" t="s">
        <v>46259</v>
      </c>
      <c r="S5450" t="s">
        <v>46260</v>
      </c>
    </row>
    <row r="5451" spans="1:19" x14ac:dyDescent="0.25">
      <c r="A5451" s="1">
        <v>5449</v>
      </c>
      <c r="B5451" t="str">
        <f>HYPERLINK("https://www.dasschnelle.at/hoendervangers-edwin-haiming-siedlungsstraße","Website")</f>
        <v>Website</v>
      </c>
      <c r="C5451" t="str">
        <f>HYPERLINK("http://www.physio-therapeut.at","Website")</f>
        <v>Website</v>
      </c>
      <c r="D5451" t="str">
        <f>HYPERLINK("http://www.google.com/maps/place/47.2559400,10.8845200","Location")</f>
        <v>Location</v>
      </c>
      <c r="E5451" t="s">
        <v>46265</v>
      </c>
      <c r="F5451" t="s">
        <v>46266</v>
      </c>
      <c r="G5451" t="s">
        <v>15829</v>
      </c>
      <c r="H5451" t="s">
        <v>15830</v>
      </c>
      <c r="I5451" t="s">
        <v>21</v>
      </c>
      <c r="J5451" t="s">
        <v>22</v>
      </c>
      <c r="K5451" t="s">
        <v>46267</v>
      </c>
      <c r="L5451" t="s">
        <v>46270</v>
      </c>
      <c r="M5451" t="s">
        <v>25</v>
      </c>
      <c r="N5451" t="s">
        <v>46271</v>
      </c>
      <c r="O5451" t="s">
        <v>25</v>
      </c>
      <c r="P5451" t="s">
        <v>46272</v>
      </c>
      <c r="Q5451" t="s">
        <v>29</v>
      </c>
      <c r="R5451" t="s">
        <v>46268</v>
      </c>
      <c r="S5451" t="s">
        <v>46269</v>
      </c>
    </row>
    <row r="5452" spans="1:19" x14ac:dyDescent="0.25">
      <c r="A5452" s="1">
        <v>5450</v>
      </c>
      <c r="B5452" t="str">
        <f>HYPERLINK("https://www.dasschnelle.at/bichelhuber-andreas-kirchdorf-an-der-krems-krankenhausstraße","Website")</f>
        <v>Website</v>
      </c>
      <c r="C5452" t="str">
        <f>HYPERLINK("http://www.bichelhuber-schuhe.at","Website")</f>
        <v>Website</v>
      </c>
      <c r="D5452" t="str">
        <f>HYPERLINK("http://www.google.com/maps/place/47.90714,14.12215","Location")</f>
        <v>Location</v>
      </c>
      <c r="E5452" t="s">
        <v>46273</v>
      </c>
      <c r="F5452" t="s">
        <v>46274</v>
      </c>
      <c r="G5452" t="s">
        <v>12306</v>
      </c>
      <c r="H5452" t="s">
        <v>12307</v>
      </c>
      <c r="I5452" t="s">
        <v>85</v>
      </c>
      <c r="J5452" t="s">
        <v>22</v>
      </c>
      <c r="K5452" t="s">
        <v>46275</v>
      </c>
      <c r="L5452" t="s">
        <v>46278</v>
      </c>
      <c r="M5452" t="s">
        <v>25</v>
      </c>
      <c r="N5452" t="s">
        <v>46279</v>
      </c>
      <c r="O5452" t="s">
        <v>25</v>
      </c>
      <c r="P5452" t="s">
        <v>46280</v>
      </c>
      <c r="Q5452" t="s">
        <v>29</v>
      </c>
      <c r="R5452" t="s">
        <v>46276</v>
      </c>
      <c r="S5452" t="s">
        <v>46277</v>
      </c>
    </row>
    <row r="5453" spans="1:19" x14ac:dyDescent="0.25">
      <c r="A5453" s="1">
        <v>5451</v>
      </c>
      <c r="B5453" t="str">
        <f>HYPERLINK("https://www.dasschnelle.at/gärtnerei-schmollgruber-mauerkirchen-biburgerstraße","Website")</f>
        <v>Website</v>
      </c>
      <c r="C5453" t="str">
        <f>HYPERLINK("http://www.gaertnerei.cc","Website")</f>
        <v>Website</v>
      </c>
      <c r="D5453" t="str">
        <f>HYPERLINK("http://www.google.com/maps/place/48.1886900,13.1293700","Location")</f>
        <v>Location</v>
      </c>
      <c r="E5453" t="s">
        <v>46281</v>
      </c>
      <c r="F5453" t="s">
        <v>46282</v>
      </c>
      <c r="G5453" t="s">
        <v>1422</v>
      </c>
      <c r="H5453" t="s">
        <v>1423</v>
      </c>
      <c r="I5453" t="s">
        <v>85</v>
      </c>
      <c r="J5453" t="s">
        <v>22</v>
      </c>
      <c r="K5453" t="s">
        <v>46283</v>
      </c>
      <c r="L5453" t="s">
        <v>46286</v>
      </c>
      <c r="M5453" t="s">
        <v>25</v>
      </c>
      <c r="N5453" t="s">
        <v>46287</v>
      </c>
      <c r="O5453" t="s">
        <v>25</v>
      </c>
      <c r="P5453" t="s">
        <v>46288</v>
      </c>
      <c r="Q5453" t="s">
        <v>29</v>
      </c>
      <c r="R5453" t="s">
        <v>46284</v>
      </c>
      <c r="S5453" t="s">
        <v>46285</v>
      </c>
    </row>
    <row r="5454" spans="1:19" x14ac:dyDescent="0.25">
      <c r="A5454" s="1">
        <v>5452</v>
      </c>
      <c r="B5454" t="str">
        <f>HYPERLINK("https://www.dasschnelle.at/ordination-dr-phillip-vedi-großpetersdorf-ungarnstraße","Website")</f>
        <v>Website</v>
      </c>
      <c r="C5454" t="str">
        <f>HYPERLINK("http://www.ordination-verdi.at","Website")</f>
        <v>Website</v>
      </c>
      <c r="D5454" t="str">
        <f>HYPERLINK("http://www.google.com/maps/place/47.2406627,16.3169312","Location")</f>
        <v>Location</v>
      </c>
      <c r="E5454" t="s">
        <v>46289</v>
      </c>
      <c r="F5454" t="s">
        <v>46290</v>
      </c>
      <c r="G5454" t="s">
        <v>19901</v>
      </c>
      <c r="H5454" t="s">
        <v>19902</v>
      </c>
      <c r="I5454" t="s">
        <v>1834</v>
      </c>
      <c r="J5454" t="s">
        <v>22</v>
      </c>
      <c r="K5454" t="s">
        <v>46291</v>
      </c>
      <c r="L5454" t="s">
        <v>46294</v>
      </c>
      <c r="M5454" t="s">
        <v>25</v>
      </c>
      <c r="N5454" t="s">
        <v>46295</v>
      </c>
      <c r="O5454" t="s">
        <v>25</v>
      </c>
      <c r="P5454" t="s">
        <v>46296</v>
      </c>
      <c r="Q5454" t="s">
        <v>29</v>
      </c>
      <c r="R5454" t="s">
        <v>46292</v>
      </c>
      <c r="S5454" t="s">
        <v>46293</v>
      </c>
    </row>
    <row r="5455" spans="1:19" x14ac:dyDescent="0.25">
      <c r="A5455" s="1">
        <v>5453</v>
      </c>
      <c r="B5455" t="str">
        <f>HYPERLINK("https://www.dasschnelle.at/steinbauer-manfred-altmelon-altmelon","Website")</f>
        <v>Website</v>
      </c>
      <c r="C5455" t="str">
        <f>HYPERLINK("http://www.steinbauer-kfzwerkstatt-tankstelle.at","Website")</f>
        <v>Website</v>
      </c>
      <c r="D5455" t="str">
        <f>HYPERLINK("http://www.google.com/maps/place/48.4628625,14.9673527","Location")</f>
        <v>Location</v>
      </c>
      <c r="E5455" t="s">
        <v>46297</v>
      </c>
      <c r="F5455" t="s">
        <v>46298</v>
      </c>
      <c r="G5455" t="s">
        <v>25525</v>
      </c>
      <c r="H5455" t="s">
        <v>46300</v>
      </c>
      <c r="I5455" t="s">
        <v>177</v>
      </c>
      <c r="J5455" t="s">
        <v>22</v>
      </c>
      <c r="K5455" t="s">
        <v>46299</v>
      </c>
      <c r="L5455" t="s">
        <v>46303</v>
      </c>
      <c r="M5455" t="s">
        <v>25</v>
      </c>
      <c r="N5455" t="s">
        <v>46304</v>
      </c>
      <c r="O5455" t="s">
        <v>25</v>
      </c>
      <c r="P5455" t="s">
        <v>46305</v>
      </c>
      <c r="Q5455" t="s">
        <v>29</v>
      </c>
      <c r="R5455" t="s">
        <v>46301</v>
      </c>
      <c r="S5455" t="s">
        <v>46302</v>
      </c>
    </row>
    <row r="5456" spans="1:19" x14ac:dyDescent="0.25">
      <c r="A5456" s="1">
        <v>5454</v>
      </c>
      <c r="B5456" t="str">
        <f>HYPERLINK("https://www.dasschnelle.at/schindler-andreas-gmbh-zissersdorf-lindenweg","Website")</f>
        <v>Website</v>
      </c>
      <c r="C5456" t="str">
        <f>HYPERLINK("http://www.stein-schindler.at","Website")</f>
        <v>Website</v>
      </c>
      <c r="D5456" t="str">
        <f>HYPERLINK("http://www.google.com/maps/place/48.39999,16.14082","Location")</f>
        <v>Location</v>
      </c>
      <c r="E5456" t="s">
        <v>46306</v>
      </c>
      <c r="F5456" t="s">
        <v>46307</v>
      </c>
      <c r="G5456" t="s">
        <v>13026</v>
      </c>
      <c r="H5456" t="s">
        <v>46309</v>
      </c>
      <c r="I5456" t="s">
        <v>177</v>
      </c>
      <c r="J5456" t="s">
        <v>22</v>
      </c>
      <c r="K5456" t="s">
        <v>46308</v>
      </c>
      <c r="L5456" t="s">
        <v>46312</v>
      </c>
      <c r="M5456" t="s">
        <v>25</v>
      </c>
      <c r="N5456" t="s">
        <v>46313</v>
      </c>
      <c r="O5456" t="s">
        <v>46314</v>
      </c>
      <c r="P5456" t="s">
        <v>46315</v>
      </c>
      <c r="Q5456" t="s">
        <v>29</v>
      </c>
      <c r="R5456" t="s">
        <v>46310</v>
      </c>
      <c r="S5456" t="s">
        <v>46311</v>
      </c>
    </row>
    <row r="5457" spans="1:19" x14ac:dyDescent="0.25">
      <c r="A5457" s="1">
        <v>5455</v>
      </c>
      <c r="B5457" t="str">
        <f>HYPERLINK("https://www.dasschnelle.at/moser-sarina-nötsch-im-gailtal-saak","Website")</f>
        <v>Website</v>
      </c>
      <c r="C5457" t="str">
        <f>HYPERLINK("http://www.sarinamoser.at","Website")</f>
        <v>Website</v>
      </c>
      <c r="D5457" t="str">
        <f>HYPERLINK("http://www.google.com/maps/place/46.5885521,13.6316069","Location")</f>
        <v>Location</v>
      </c>
      <c r="E5457" t="s">
        <v>46316</v>
      </c>
      <c r="F5457" t="s">
        <v>46317</v>
      </c>
      <c r="G5457" t="s">
        <v>46319</v>
      </c>
      <c r="H5457" t="s">
        <v>46320</v>
      </c>
      <c r="I5457" t="s">
        <v>4130</v>
      </c>
      <c r="J5457" t="s">
        <v>22</v>
      </c>
      <c r="K5457" t="s">
        <v>46318</v>
      </c>
      <c r="L5457" t="s">
        <v>46323</v>
      </c>
      <c r="M5457" t="s">
        <v>25</v>
      </c>
      <c r="N5457" t="s">
        <v>46324</v>
      </c>
      <c r="O5457" t="s">
        <v>25</v>
      </c>
      <c r="P5457" t="s">
        <v>697</v>
      </c>
      <c r="Q5457" t="s">
        <v>29</v>
      </c>
      <c r="R5457" t="s">
        <v>46321</v>
      </c>
      <c r="S5457" t="s">
        <v>46322</v>
      </c>
    </row>
    <row r="5458" spans="1:19" x14ac:dyDescent="0.25">
      <c r="A5458" s="1">
        <v>5456</v>
      </c>
      <c r="B5458" t="str">
        <f>HYPERLINK("https://www.dasschnelle.at/wallner-restaurant-hotel-gmbh-st-valentin-westbahnstraße","Website")</f>
        <v>Website</v>
      </c>
      <c r="C5458" t="str">
        <f>HYPERLINK("http://www.zum-gruenen-baum.at","Website")</f>
        <v>Website</v>
      </c>
      <c r="D5458" t="str">
        <f>HYPERLINK("http://www.google.com/maps/place/48.1810200,14.5217400","Location")</f>
        <v>Location</v>
      </c>
      <c r="E5458" t="s">
        <v>46325</v>
      </c>
      <c r="F5458" t="s">
        <v>46326</v>
      </c>
      <c r="G5458" t="s">
        <v>1484</v>
      </c>
      <c r="H5458" t="s">
        <v>1485</v>
      </c>
      <c r="I5458" t="s">
        <v>177</v>
      </c>
      <c r="J5458" t="s">
        <v>22</v>
      </c>
      <c r="K5458" t="s">
        <v>46327</v>
      </c>
      <c r="L5458" t="s">
        <v>46330</v>
      </c>
      <c r="M5458" t="s">
        <v>46331</v>
      </c>
      <c r="N5458" t="s">
        <v>46332</v>
      </c>
      <c r="O5458" t="s">
        <v>25</v>
      </c>
      <c r="P5458" t="s">
        <v>46333</v>
      </c>
      <c r="Q5458" t="s">
        <v>29</v>
      </c>
      <c r="R5458" t="s">
        <v>46328</v>
      </c>
      <c r="S5458" t="s">
        <v>46329</v>
      </c>
    </row>
    <row r="5459" spans="1:19" x14ac:dyDescent="0.25">
      <c r="A5459" s="1">
        <v>5457</v>
      </c>
      <c r="B5459" t="str">
        <f>HYPERLINK("https://www.dasschnelle.at/mörtl-bestattung-kötschach-mauthen-kötschach","Website")</f>
        <v>Website</v>
      </c>
      <c r="C5459" t="str">
        <f>HYPERLINK("http://www.bestattung-moertl.at","Website")</f>
        <v>Website</v>
      </c>
      <c r="D5459" t="str">
        <f>HYPERLINK("http://www.google.com/maps/place/46.6775079,13.0046252","Location")</f>
        <v>Location</v>
      </c>
      <c r="E5459" t="s">
        <v>46334</v>
      </c>
      <c r="F5459" t="s">
        <v>46335</v>
      </c>
      <c r="G5459" t="s">
        <v>9163</v>
      </c>
      <c r="H5459" t="s">
        <v>9164</v>
      </c>
      <c r="I5459" t="s">
        <v>4130</v>
      </c>
      <c r="J5459" t="s">
        <v>22</v>
      </c>
      <c r="K5459" t="s">
        <v>46336</v>
      </c>
      <c r="L5459" t="s">
        <v>46339</v>
      </c>
      <c r="M5459" t="s">
        <v>25</v>
      </c>
      <c r="N5459" t="s">
        <v>45845</v>
      </c>
      <c r="O5459" t="s">
        <v>25</v>
      </c>
      <c r="P5459" t="s">
        <v>697</v>
      </c>
      <c r="Q5459" t="s">
        <v>29</v>
      </c>
      <c r="R5459" t="s">
        <v>46337</v>
      </c>
      <c r="S5459" t="s">
        <v>46338</v>
      </c>
    </row>
    <row r="5460" spans="1:19" x14ac:dyDescent="0.25">
      <c r="A5460" s="1">
        <v>5458</v>
      </c>
      <c r="B5460" t="str">
        <f>HYPERLINK("https://www.dasschnelle.at/schudigu-gmbh-frankenmarkt-hauptstraße","Website")</f>
        <v>Website</v>
      </c>
      <c r="C5460" t="str">
        <f>HYPERLINK("https://www.dasschnelle.at/schudigu-gmbh-frankenmarkt-hauptstra%C3%9Fe","Website")</f>
        <v>Website</v>
      </c>
      <c r="D5460" t="str">
        <f>HYPERLINK("http://www.google.com/maps/place/47.9854636,13.4179449","Location")</f>
        <v>Location</v>
      </c>
      <c r="E5460" t="s">
        <v>46340</v>
      </c>
      <c r="F5460" t="s">
        <v>46341</v>
      </c>
      <c r="G5460" t="s">
        <v>13301</v>
      </c>
      <c r="H5460" t="s">
        <v>13311</v>
      </c>
      <c r="I5460" t="s">
        <v>85</v>
      </c>
      <c r="J5460" t="s">
        <v>22</v>
      </c>
      <c r="K5460" t="s">
        <v>46342</v>
      </c>
      <c r="L5460" t="s">
        <v>46345</v>
      </c>
      <c r="M5460" t="s">
        <v>25</v>
      </c>
      <c r="N5460" t="s">
        <v>25</v>
      </c>
      <c r="O5460" t="s">
        <v>25</v>
      </c>
      <c r="P5460" t="s">
        <v>697</v>
      </c>
      <c r="Q5460" t="s">
        <v>29</v>
      </c>
      <c r="R5460" t="s">
        <v>46343</v>
      </c>
      <c r="S5460" t="s">
        <v>46344</v>
      </c>
    </row>
    <row r="5461" spans="1:19" x14ac:dyDescent="0.25">
      <c r="A5461" s="1">
        <v>5459</v>
      </c>
      <c r="B5461" t="str">
        <f>HYPERLINK("https://www.dasschnelle.at/edi-manuela-schärding-pramhöhe","Website")</f>
        <v>Website</v>
      </c>
      <c r="C5461" t="str">
        <f>HYPERLINK("https://www.dasschnelle.at/edi-manuela-sch%C3%A4rding-pramh%C3%B6he","Website")</f>
        <v>Website</v>
      </c>
      <c r="D5461" t="str">
        <f>HYPERLINK("http://www.google.com/maps/place/48.4566300,13.4375700","Location")</f>
        <v>Location</v>
      </c>
      <c r="E5461" t="s">
        <v>46346</v>
      </c>
      <c r="F5461" t="s">
        <v>46347</v>
      </c>
      <c r="G5461" t="s">
        <v>8850</v>
      </c>
      <c r="H5461" t="s">
        <v>8851</v>
      </c>
      <c r="I5461" t="s">
        <v>85</v>
      </c>
      <c r="J5461" t="s">
        <v>22</v>
      </c>
      <c r="K5461" t="s">
        <v>33000</v>
      </c>
      <c r="L5461" t="s">
        <v>46350</v>
      </c>
      <c r="M5461" t="s">
        <v>25</v>
      </c>
      <c r="N5461" t="s">
        <v>46351</v>
      </c>
      <c r="O5461" t="s">
        <v>25</v>
      </c>
      <c r="P5461" t="s">
        <v>46352</v>
      </c>
      <c r="Q5461" t="s">
        <v>29</v>
      </c>
      <c r="R5461" t="s">
        <v>46348</v>
      </c>
      <c r="S5461" t="s">
        <v>46349</v>
      </c>
    </row>
    <row r="5462" spans="1:19" x14ac:dyDescent="0.25">
      <c r="A5462" s="1">
        <v>5460</v>
      </c>
      <c r="B5462" t="str">
        <f>HYPERLINK("https://www.dasschnelle.at/schnabl-peter-mattsee-passauer-straße","Website")</f>
        <v>Website</v>
      </c>
      <c r="C5462" t="str">
        <f>HYPERLINK("http://www.glas-schnabl.at","Website")</f>
        <v>Website</v>
      </c>
      <c r="D5462" t="str">
        <f>HYPERLINK("http://www.google.com/maps/place/47.9713600,13.1037500","Location")</f>
        <v>Location</v>
      </c>
      <c r="E5462" t="s">
        <v>46353</v>
      </c>
      <c r="F5462" t="s">
        <v>46354</v>
      </c>
      <c r="G5462" t="s">
        <v>10394</v>
      </c>
      <c r="H5462" t="s">
        <v>10395</v>
      </c>
      <c r="I5462" t="s">
        <v>2239</v>
      </c>
      <c r="J5462" t="s">
        <v>22</v>
      </c>
      <c r="K5462" t="s">
        <v>46355</v>
      </c>
      <c r="L5462" t="s">
        <v>46358</v>
      </c>
      <c r="M5462" t="s">
        <v>25</v>
      </c>
      <c r="N5462" t="s">
        <v>46359</v>
      </c>
      <c r="O5462" t="s">
        <v>46360</v>
      </c>
      <c r="P5462" t="s">
        <v>46361</v>
      </c>
      <c r="Q5462" t="s">
        <v>29</v>
      </c>
      <c r="R5462" t="s">
        <v>46356</v>
      </c>
      <c r="S5462" t="s">
        <v>46357</v>
      </c>
    </row>
    <row r="5463" spans="1:19" x14ac:dyDescent="0.25">
      <c r="A5463" s="1">
        <v>5461</v>
      </c>
      <c r="B5463" t="str">
        <f>HYPERLINK("https://www.dasschnelle.at/tratter-christian-dr-seekirchen-am-wallersee-hauptstraße","Website")</f>
        <v>Website</v>
      </c>
      <c r="C5463" t="str">
        <f>HYPERLINK("http://www.ordination-tratter.at","Website")</f>
        <v>Website</v>
      </c>
      <c r="D5463" t="str">
        <f>HYPERLINK("http://www.google.com/maps/place/47.8929100,13.1259800","Location")</f>
        <v>Location</v>
      </c>
      <c r="E5463" t="s">
        <v>46362</v>
      </c>
      <c r="F5463" t="s">
        <v>46363</v>
      </c>
      <c r="G5463" t="s">
        <v>1412</v>
      </c>
      <c r="H5463" t="s">
        <v>10367</v>
      </c>
      <c r="I5463" t="s">
        <v>2239</v>
      </c>
      <c r="J5463" t="s">
        <v>22</v>
      </c>
      <c r="K5463" t="s">
        <v>13133</v>
      </c>
      <c r="L5463" t="s">
        <v>46366</v>
      </c>
      <c r="M5463" t="s">
        <v>46367</v>
      </c>
      <c r="N5463" t="s">
        <v>46368</v>
      </c>
      <c r="O5463" t="s">
        <v>25</v>
      </c>
      <c r="P5463" t="s">
        <v>46369</v>
      </c>
      <c r="Q5463" t="s">
        <v>29</v>
      </c>
      <c r="R5463" t="s">
        <v>46364</v>
      </c>
      <c r="S5463" t="s">
        <v>46365</v>
      </c>
    </row>
    <row r="5464" spans="1:19" x14ac:dyDescent="0.25">
      <c r="A5464" s="1">
        <v>5462</v>
      </c>
      <c r="B5464" t="str">
        <f>HYPERLINK("https://www.dasschnelle.at/kreßl-markus-gosau-schlierwaag","Website")</f>
        <v>Website</v>
      </c>
      <c r="C5464" t="str">
        <f>HYPERLINK("http://www.erdbewegungen-kressl.at","Website")</f>
        <v>Website</v>
      </c>
      <c r="D5464" t="str">
        <f>HYPERLINK("http://www.google.com/maps/place/47.57628,13.52467","Location")</f>
        <v>Location</v>
      </c>
      <c r="E5464" t="s">
        <v>46370</v>
      </c>
      <c r="F5464" t="s">
        <v>46371</v>
      </c>
      <c r="G5464" t="s">
        <v>2668</v>
      </c>
      <c r="H5464" t="s">
        <v>2669</v>
      </c>
      <c r="I5464" t="s">
        <v>85</v>
      </c>
      <c r="J5464" t="s">
        <v>22</v>
      </c>
      <c r="K5464" t="s">
        <v>46372</v>
      </c>
      <c r="L5464" t="s">
        <v>46375</v>
      </c>
      <c r="M5464" t="s">
        <v>25</v>
      </c>
      <c r="N5464" t="s">
        <v>46376</v>
      </c>
      <c r="O5464" t="s">
        <v>25</v>
      </c>
      <c r="P5464" t="s">
        <v>46377</v>
      </c>
      <c r="Q5464" t="s">
        <v>29</v>
      </c>
      <c r="R5464" t="s">
        <v>46373</v>
      </c>
      <c r="S5464" t="s">
        <v>46374</v>
      </c>
    </row>
    <row r="5465" spans="1:19" x14ac:dyDescent="0.25">
      <c r="A5465" s="1">
        <v>5463</v>
      </c>
      <c r="B5465" t="str">
        <f>HYPERLINK("https://www.dasschnelle.at/postl-gesmbh-miesenbach-miesenbach","Website")</f>
        <v>Website</v>
      </c>
      <c r="C5465" t="str">
        <f>HYPERLINK("http://www.postl.at","Website")</f>
        <v>Website</v>
      </c>
      <c r="D5465" t="str">
        <f>HYPERLINK("http://www.google.com/maps/place/47.8487693,15.9931928","Location")</f>
        <v>Location</v>
      </c>
      <c r="E5465" t="s">
        <v>46378</v>
      </c>
      <c r="F5465" t="s">
        <v>46379</v>
      </c>
      <c r="G5465" t="s">
        <v>4049</v>
      </c>
      <c r="H5465" t="s">
        <v>4050</v>
      </c>
      <c r="I5465" t="s">
        <v>177</v>
      </c>
      <c r="J5465" t="s">
        <v>22</v>
      </c>
      <c r="K5465" t="s">
        <v>46380</v>
      </c>
      <c r="L5465" t="s">
        <v>46383</v>
      </c>
      <c r="M5465" t="s">
        <v>25</v>
      </c>
      <c r="N5465" t="s">
        <v>46384</v>
      </c>
      <c r="O5465" t="s">
        <v>25</v>
      </c>
      <c r="P5465" t="s">
        <v>46385</v>
      </c>
      <c r="Q5465" t="s">
        <v>29</v>
      </c>
      <c r="R5465" t="s">
        <v>46381</v>
      </c>
      <c r="S5465" t="s">
        <v>46382</v>
      </c>
    </row>
    <row r="5466" spans="1:19" x14ac:dyDescent="0.25">
      <c r="A5466" s="1">
        <v>5464</v>
      </c>
      <c r="B5466" t="str">
        <f>HYPERLINK("https://www.dasschnelle.at/frey-katharina-schwaz-gilmstraße","Website")</f>
        <v>Website</v>
      </c>
      <c r="C5466" t="str">
        <f>HYPERLINK("https://www.dasschnelle.at/frey-katharina-schwaz-gilmstra%C3%9Fe","Website")</f>
        <v>Website</v>
      </c>
      <c r="D5466" t="str">
        <f>HYPERLINK("http://www.google.com/maps/place/47.34404,11.71024","Location")</f>
        <v>Location</v>
      </c>
      <c r="E5466" t="s">
        <v>46386</v>
      </c>
      <c r="F5466" t="s">
        <v>46387</v>
      </c>
      <c r="G5466" t="s">
        <v>4200</v>
      </c>
      <c r="H5466" t="s">
        <v>4201</v>
      </c>
      <c r="I5466" t="s">
        <v>21</v>
      </c>
      <c r="J5466" t="s">
        <v>22</v>
      </c>
      <c r="K5466" t="s">
        <v>13447</v>
      </c>
      <c r="L5466" t="s">
        <v>46390</v>
      </c>
      <c r="M5466" t="s">
        <v>46391</v>
      </c>
      <c r="N5466" t="s">
        <v>46392</v>
      </c>
      <c r="O5466" t="s">
        <v>25</v>
      </c>
      <c r="P5466" t="s">
        <v>46393</v>
      </c>
      <c r="Q5466" t="s">
        <v>29</v>
      </c>
      <c r="R5466" t="s">
        <v>46388</v>
      </c>
      <c r="S5466" t="s">
        <v>46389</v>
      </c>
    </row>
    <row r="5467" spans="1:19" x14ac:dyDescent="0.25">
      <c r="A5467" s="1">
        <v>5465</v>
      </c>
      <c r="B5467" t="str">
        <f>HYPERLINK("https://www.dasschnelle.at/horny-jürgen-bikesport-horny-gmbh-micheldorf-kollingerfeld","Website")</f>
        <v>Website</v>
      </c>
      <c r="C5467" t="str">
        <f>HYPERLINK("http://www.bike-sport.at","Website")</f>
        <v>Website</v>
      </c>
      <c r="D5467" t="str">
        <f>HYPERLINK("http://www.google.com/maps/place/47.8816962,14.1302535","Location")</f>
        <v>Location</v>
      </c>
      <c r="E5467" t="s">
        <v>46394</v>
      </c>
      <c r="F5467" t="s">
        <v>46395</v>
      </c>
      <c r="G5467" t="s">
        <v>12399</v>
      </c>
      <c r="H5467" t="s">
        <v>12400</v>
      </c>
      <c r="I5467" t="s">
        <v>85</v>
      </c>
      <c r="J5467" t="s">
        <v>22</v>
      </c>
      <c r="K5467" t="s">
        <v>46396</v>
      </c>
      <c r="L5467" t="s">
        <v>46399</v>
      </c>
      <c r="M5467" t="s">
        <v>25</v>
      </c>
      <c r="N5467" t="s">
        <v>46400</v>
      </c>
      <c r="O5467" t="s">
        <v>25</v>
      </c>
      <c r="P5467" t="s">
        <v>46401</v>
      </c>
      <c r="Q5467" t="s">
        <v>29</v>
      </c>
      <c r="R5467" t="s">
        <v>46397</v>
      </c>
      <c r="S5467" t="s">
        <v>46398</v>
      </c>
    </row>
    <row r="5468" spans="1:19" x14ac:dyDescent="0.25">
      <c r="A5468" s="1">
        <v>5466</v>
      </c>
      <c r="B5468" t="str">
        <f>HYPERLINK("https://www.dasschnelle.at/robert-ganisl-mondsee-gaisbergstraße","Website")</f>
        <v>Website</v>
      </c>
      <c r="C5468" t="str">
        <f>HYPERLINK("http://www.robertganisl.at","Website")</f>
        <v>Website</v>
      </c>
      <c r="D5468" t="str">
        <f>HYPERLINK("http://www.google.com/maps/place/47.85178,13.33887","Location")</f>
        <v>Location</v>
      </c>
      <c r="E5468" t="s">
        <v>46402</v>
      </c>
      <c r="F5468" t="s">
        <v>46403</v>
      </c>
      <c r="G5468" t="s">
        <v>6543</v>
      </c>
      <c r="H5468" t="s">
        <v>6544</v>
      </c>
      <c r="I5468" t="s">
        <v>85</v>
      </c>
      <c r="J5468" t="s">
        <v>22</v>
      </c>
      <c r="K5468" t="s">
        <v>46404</v>
      </c>
      <c r="L5468" t="s">
        <v>46407</v>
      </c>
      <c r="M5468" t="s">
        <v>25</v>
      </c>
      <c r="N5468" t="s">
        <v>46408</v>
      </c>
      <c r="O5468" t="s">
        <v>25</v>
      </c>
      <c r="P5468" t="s">
        <v>46409</v>
      </c>
      <c r="Q5468" t="s">
        <v>29</v>
      </c>
      <c r="R5468" t="s">
        <v>46405</v>
      </c>
      <c r="S5468" t="s">
        <v>46406</v>
      </c>
    </row>
    <row r="5469" spans="1:19" x14ac:dyDescent="0.25">
      <c r="A5469" s="1">
        <v>5467</v>
      </c>
      <c r="B5469" t="str">
        <f>HYPERLINK("https://www.dasschnelle.at/haarstudio-marianne-hainfeld-hauptstraße","Website")</f>
        <v>Website</v>
      </c>
      <c r="C5469" t="str">
        <f>HYPERLINK("http://www.haarstudio-marianne.sta.io","Website")</f>
        <v>Website</v>
      </c>
      <c r="D5469" t="str">
        <f>HYPERLINK("http://www.google.com/maps/place/48.03662,15.76949","Location")</f>
        <v>Location</v>
      </c>
      <c r="E5469" t="s">
        <v>46410</v>
      </c>
      <c r="F5469" t="s">
        <v>46411</v>
      </c>
      <c r="G5469" t="s">
        <v>13419</v>
      </c>
      <c r="H5469" t="s">
        <v>13420</v>
      </c>
      <c r="I5469" t="s">
        <v>177</v>
      </c>
      <c r="J5469" t="s">
        <v>22</v>
      </c>
      <c r="K5469" t="s">
        <v>43800</v>
      </c>
      <c r="L5469" t="s">
        <v>46414</v>
      </c>
      <c r="M5469" t="s">
        <v>25</v>
      </c>
      <c r="N5469" t="s">
        <v>46415</v>
      </c>
      <c r="O5469" t="s">
        <v>25</v>
      </c>
      <c r="P5469" t="s">
        <v>46416</v>
      </c>
      <c r="Q5469" t="s">
        <v>29</v>
      </c>
      <c r="R5469" t="s">
        <v>46412</v>
      </c>
      <c r="S5469" t="s">
        <v>46413</v>
      </c>
    </row>
    <row r="5470" spans="1:19" x14ac:dyDescent="0.25">
      <c r="A5470" s="1">
        <v>5468</v>
      </c>
      <c r="B5470" t="str">
        <f>HYPERLINK("https://www.dasschnelle.at/hg-glasbau-gmbh-herzogsdorf-hauptstraße","Website")</f>
        <v>Website</v>
      </c>
      <c r="C5470" t="str">
        <f>HYPERLINK("https://www.dasschnelle.at/hg-glasbau-gmbh-herzogsdorf-hauptstra%C3%9Fe","Website")</f>
        <v>Website</v>
      </c>
      <c r="D5470" t="str">
        <f>HYPERLINK("http://www.google.com/maps/place/48.4354205,14.1157435","Location")</f>
        <v>Location</v>
      </c>
      <c r="E5470" t="s">
        <v>46417</v>
      </c>
      <c r="F5470" t="s">
        <v>46418</v>
      </c>
      <c r="G5470" t="s">
        <v>46419</v>
      </c>
      <c r="H5470" t="s">
        <v>46420</v>
      </c>
      <c r="I5470" t="s">
        <v>85</v>
      </c>
      <c r="J5470" t="s">
        <v>22</v>
      </c>
      <c r="K5470" t="s">
        <v>37219</v>
      </c>
      <c r="L5470" t="s">
        <v>46422</v>
      </c>
      <c r="M5470" t="s">
        <v>25</v>
      </c>
      <c r="N5470" t="s">
        <v>46423</v>
      </c>
      <c r="O5470" t="s">
        <v>25</v>
      </c>
      <c r="P5470" t="s">
        <v>46424</v>
      </c>
      <c r="Q5470" t="s">
        <v>29</v>
      </c>
      <c r="R5470" t="s">
        <v>46421</v>
      </c>
      <c r="S5470" t="s">
        <v>12384</v>
      </c>
    </row>
    <row r="5471" spans="1:19" x14ac:dyDescent="0.25">
      <c r="A5471" s="1">
        <v>5469</v>
      </c>
      <c r="B5471" t="str">
        <f>HYPERLINK("https://www.dasschnelle.at/berger-tore-mühring-mühring","Website")</f>
        <v>Website</v>
      </c>
      <c r="C5471" t="str">
        <f>HYPERLINK("http://www.berger-tore.at","Website")</f>
        <v>Website</v>
      </c>
      <c r="D5471" t="str">
        <f>HYPERLINK("http://www.google.com/maps/place/48.1523523,13.5572451","Location")</f>
        <v>Location</v>
      </c>
      <c r="E5471" t="s">
        <v>46425</v>
      </c>
      <c r="F5471" t="s">
        <v>46426</v>
      </c>
      <c r="G5471" t="s">
        <v>6316</v>
      </c>
      <c r="H5471" t="s">
        <v>46428</v>
      </c>
      <c r="I5471" t="s">
        <v>85</v>
      </c>
      <c r="J5471" t="s">
        <v>22</v>
      </c>
      <c r="K5471" t="s">
        <v>46427</v>
      </c>
      <c r="L5471" t="s">
        <v>46431</v>
      </c>
      <c r="M5471" t="s">
        <v>25</v>
      </c>
      <c r="N5471" t="s">
        <v>46432</v>
      </c>
      <c r="O5471" t="s">
        <v>25</v>
      </c>
      <c r="P5471" t="s">
        <v>46433</v>
      </c>
      <c r="Q5471" t="s">
        <v>29</v>
      </c>
      <c r="R5471" t="s">
        <v>46429</v>
      </c>
      <c r="S5471" t="s">
        <v>46430</v>
      </c>
    </row>
    <row r="5472" spans="1:19" x14ac:dyDescent="0.25">
      <c r="A5472" s="1">
        <v>5470</v>
      </c>
      <c r="B5472" t="str">
        <f>HYPERLINK("https://www.dasschnelle.at/hagendorfer-franz-kg-bad-hall-grünburger-straße","Website")</f>
        <v>Website</v>
      </c>
      <c r="C5472" t="str">
        <f>HYPERLINK("http://www.hagendorfer.at","Website")</f>
        <v>Website</v>
      </c>
      <c r="D5472" t="str">
        <f>HYPERLINK("http://www.google.com/maps/place/48.02688,14.22304","Location")</f>
        <v>Location</v>
      </c>
      <c r="E5472" t="s">
        <v>46434</v>
      </c>
      <c r="F5472" t="s">
        <v>46435</v>
      </c>
      <c r="G5472" t="s">
        <v>2280</v>
      </c>
      <c r="H5472" t="s">
        <v>2281</v>
      </c>
      <c r="I5472" t="s">
        <v>85</v>
      </c>
      <c r="J5472" t="s">
        <v>22</v>
      </c>
      <c r="K5472" t="s">
        <v>46436</v>
      </c>
      <c r="L5472" t="s">
        <v>46439</v>
      </c>
      <c r="M5472" t="s">
        <v>25</v>
      </c>
      <c r="N5472" t="s">
        <v>46440</v>
      </c>
      <c r="O5472" t="s">
        <v>46441</v>
      </c>
      <c r="P5472" t="s">
        <v>46442</v>
      </c>
      <c r="Q5472" t="s">
        <v>29</v>
      </c>
      <c r="R5472" t="s">
        <v>46437</v>
      </c>
      <c r="S5472" t="s">
        <v>46438</v>
      </c>
    </row>
    <row r="5473" spans="1:19" x14ac:dyDescent="0.25">
      <c r="A5473" s="1">
        <v>5471</v>
      </c>
      <c r="B5473" t="str">
        <f>HYPERLINK("https://www.dasschnelle.at/holzknecht-herbert-längenfeld-bruggen","Website")</f>
        <v>Website</v>
      </c>
      <c r="C5473" t="str">
        <f>HYPERLINK("http://www.hlm-holzknecht.at","Website")</f>
        <v>Website</v>
      </c>
      <c r="D5473" t="str">
        <f>HYPERLINK("http://www.google.com/maps/place/47.0258800,10.9944700","Location")</f>
        <v>Location</v>
      </c>
      <c r="E5473" t="s">
        <v>46443</v>
      </c>
      <c r="F5473" t="s">
        <v>46444</v>
      </c>
      <c r="G5473" t="s">
        <v>8043</v>
      </c>
      <c r="H5473" t="s">
        <v>8044</v>
      </c>
      <c r="I5473" t="s">
        <v>21</v>
      </c>
      <c r="J5473" t="s">
        <v>22</v>
      </c>
      <c r="K5473" t="s">
        <v>46445</v>
      </c>
      <c r="L5473" t="s">
        <v>46448</v>
      </c>
      <c r="M5473" t="s">
        <v>25</v>
      </c>
      <c r="N5473" t="s">
        <v>46449</v>
      </c>
      <c r="O5473" t="s">
        <v>25</v>
      </c>
      <c r="P5473" t="s">
        <v>46450</v>
      </c>
      <c r="Q5473" t="s">
        <v>29</v>
      </c>
      <c r="R5473" t="s">
        <v>46446</v>
      </c>
      <c r="S5473" t="s">
        <v>46447</v>
      </c>
    </row>
    <row r="5474" spans="1:19" x14ac:dyDescent="0.25">
      <c r="A5474" s="1">
        <v>5472</v>
      </c>
      <c r="B5474" t="str">
        <f>HYPERLINK("https://www.dasschnelle.at/neuberger-alfred-gmbh-ehrwald-schmiede","Website")</f>
        <v>Website</v>
      </c>
      <c r="C5474" t="str">
        <f>HYPERLINK("http://www.neuberger.cc","Website")</f>
        <v>Website</v>
      </c>
      <c r="D5474" t="str">
        <f>HYPERLINK("http://www.google.com/maps/place/47.41366,10.91608","Location")</f>
        <v>Location</v>
      </c>
      <c r="E5474" t="s">
        <v>46451</v>
      </c>
      <c r="F5474" t="s">
        <v>46452</v>
      </c>
      <c r="G5474" t="s">
        <v>14930</v>
      </c>
      <c r="H5474" t="s">
        <v>14931</v>
      </c>
      <c r="I5474" t="s">
        <v>21</v>
      </c>
      <c r="J5474" t="s">
        <v>22</v>
      </c>
      <c r="K5474" t="s">
        <v>46453</v>
      </c>
      <c r="L5474" t="s">
        <v>46456</v>
      </c>
      <c r="M5474" t="s">
        <v>46457</v>
      </c>
      <c r="N5474" t="s">
        <v>46458</v>
      </c>
      <c r="O5474" t="s">
        <v>25</v>
      </c>
      <c r="P5474" t="s">
        <v>46459</v>
      </c>
      <c r="Q5474" t="s">
        <v>29</v>
      </c>
      <c r="R5474" t="s">
        <v>46454</v>
      </c>
      <c r="S5474" t="s">
        <v>46455</v>
      </c>
    </row>
    <row r="5475" spans="1:19" x14ac:dyDescent="0.25">
      <c r="A5475" s="1">
        <v>5473</v>
      </c>
      <c r="B5475" t="str">
        <f>HYPERLINK("https://www.dasschnelle.at/geru-handelsgmbh-martinsberg-markt","Website")</f>
        <v>Website</v>
      </c>
      <c r="C5475" t="str">
        <f>HYPERLINK("http://www.geru.at","Website")</f>
        <v>Website</v>
      </c>
      <c r="D5475" t="str">
        <f>HYPERLINK("http://www.google.com/maps/place/48.37529,15.15077","Location")</f>
        <v>Location</v>
      </c>
      <c r="E5475" t="s">
        <v>46460</v>
      </c>
      <c r="F5475" t="s">
        <v>46461</v>
      </c>
      <c r="G5475" t="s">
        <v>46463</v>
      </c>
      <c r="H5475" t="s">
        <v>46464</v>
      </c>
      <c r="I5475" t="s">
        <v>177</v>
      </c>
      <c r="J5475" t="s">
        <v>22</v>
      </c>
      <c r="K5475" t="s">
        <v>46462</v>
      </c>
      <c r="L5475" t="s">
        <v>46467</v>
      </c>
      <c r="M5475" t="s">
        <v>46468</v>
      </c>
      <c r="N5475" t="s">
        <v>46469</v>
      </c>
      <c r="O5475" t="s">
        <v>25</v>
      </c>
      <c r="P5475" t="s">
        <v>46470</v>
      </c>
      <c r="Q5475" t="s">
        <v>29</v>
      </c>
      <c r="R5475" t="s">
        <v>46465</v>
      </c>
      <c r="S5475" t="s">
        <v>46466</v>
      </c>
    </row>
    <row r="5476" spans="1:19" x14ac:dyDescent="0.25">
      <c r="A5476" s="1">
        <v>5474</v>
      </c>
      <c r="B5476" t="str">
        <f>HYPERLINK("https://www.dasschnelle.at/gradenegger-udo-dr-freistadt-neuhoferstraße","Website")</f>
        <v>Website</v>
      </c>
      <c r="C5476" t="str">
        <f>HYPERLINK("https://www.dasschnelle.at/gradenegger-udo-dr-freistadt-neuhoferstra%C3%9Fe","Website")</f>
        <v>Website</v>
      </c>
      <c r="D5476" t="str">
        <f>HYPERLINK("http://www.google.com/maps/place/48.50467,14.50169","Location")</f>
        <v>Location</v>
      </c>
      <c r="E5476" t="s">
        <v>46471</v>
      </c>
      <c r="F5476" t="s">
        <v>46472</v>
      </c>
      <c r="G5476" t="s">
        <v>6891</v>
      </c>
      <c r="H5476" t="s">
        <v>6892</v>
      </c>
      <c r="I5476" t="s">
        <v>85</v>
      </c>
      <c r="J5476" t="s">
        <v>22</v>
      </c>
      <c r="K5476" t="s">
        <v>46473</v>
      </c>
      <c r="L5476" t="s">
        <v>46476</v>
      </c>
      <c r="M5476" t="s">
        <v>25</v>
      </c>
      <c r="N5476" t="s">
        <v>46477</v>
      </c>
      <c r="O5476" t="s">
        <v>25</v>
      </c>
      <c r="P5476" t="s">
        <v>46478</v>
      </c>
      <c r="Q5476" t="s">
        <v>29</v>
      </c>
      <c r="R5476" t="s">
        <v>46474</v>
      </c>
      <c r="S5476" t="s">
        <v>46475</v>
      </c>
    </row>
    <row r="5477" spans="1:19" x14ac:dyDescent="0.25">
      <c r="A5477" s="1">
        <v>5475</v>
      </c>
      <c r="B5477" t="str">
        <f>HYPERLINK("https://www.dasschnelle.at/gastronomiecenter-technology-haumer-gmbh-korneuburg-stockerauer-straße","Website")</f>
        <v>Website</v>
      </c>
      <c r="C5477" t="str">
        <f>HYPERLINK("http://www.h-g-m.at","Website")</f>
        <v>Website</v>
      </c>
      <c r="D5477" t="str">
        <f>HYPERLINK("http://www.google.com/maps/place/48.37295,16.31311","Location")</f>
        <v>Location</v>
      </c>
      <c r="E5477" t="s">
        <v>46479</v>
      </c>
      <c r="F5477" t="s">
        <v>46480</v>
      </c>
      <c r="G5477" t="s">
        <v>440</v>
      </c>
      <c r="H5477" t="s">
        <v>441</v>
      </c>
      <c r="I5477" t="s">
        <v>177</v>
      </c>
      <c r="J5477" t="s">
        <v>22</v>
      </c>
      <c r="K5477" t="s">
        <v>46481</v>
      </c>
      <c r="L5477" t="s">
        <v>46484</v>
      </c>
      <c r="M5477" t="s">
        <v>46485</v>
      </c>
      <c r="N5477" t="s">
        <v>46486</v>
      </c>
      <c r="O5477" t="s">
        <v>25</v>
      </c>
      <c r="P5477" t="s">
        <v>46487</v>
      </c>
      <c r="Q5477" t="s">
        <v>29</v>
      </c>
      <c r="R5477" t="s">
        <v>46482</v>
      </c>
      <c r="S5477" t="s">
        <v>46483</v>
      </c>
    </row>
    <row r="5478" spans="1:19" x14ac:dyDescent="0.25">
      <c r="A5478" s="1">
        <v>5476</v>
      </c>
      <c r="B5478" t="str">
        <f>HYPERLINK("https://www.dasschnelle.at/achenrainer-ferdinand-tösens-gewerbestr","Website")</f>
        <v>Website</v>
      </c>
      <c r="C5478" t="str">
        <f>HYPERLINK("http://www.achenrainer.com","Website")</f>
        <v>Website</v>
      </c>
      <c r="D5478" t="str">
        <f>HYPERLINK("http://www.google.com/maps/place/47.0180230,10.6085244","Location")</f>
        <v>Location</v>
      </c>
      <c r="E5478" t="s">
        <v>46488</v>
      </c>
      <c r="F5478" t="s">
        <v>46489</v>
      </c>
      <c r="G5478" t="s">
        <v>46491</v>
      </c>
      <c r="H5478" t="s">
        <v>46492</v>
      </c>
      <c r="I5478" t="s">
        <v>21</v>
      </c>
      <c r="J5478" t="s">
        <v>22</v>
      </c>
      <c r="K5478" t="s">
        <v>46490</v>
      </c>
      <c r="L5478" t="s">
        <v>46495</v>
      </c>
      <c r="M5478" t="s">
        <v>46496</v>
      </c>
      <c r="N5478" t="s">
        <v>46497</v>
      </c>
      <c r="O5478" t="s">
        <v>25</v>
      </c>
      <c r="P5478" t="s">
        <v>46498</v>
      </c>
      <c r="Q5478" t="s">
        <v>29</v>
      </c>
      <c r="R5478" t="s">
        <v>46493</v>
      </c>
      <c r="S5478" t="s">
        <v>46494</v>
      </c>
    </row>
    <row r="5479" spans="1:19" x14ac:dyDescent="0.25">
      <c r="A5479" s="1">
        <v>5477</v>
      </c>
      <c r="B5479" t="str">
        <f>HYPERLINK("https://www.dasschnelle.at/klambauer-hans-peter-dr-neumarkt-im-mühlkreis-linzer-straße","Website")</f>
        <v>Website</v>
      </c>
      <c r="C5479" t="str">
        <f>HYPERLINK("http://www.zahnarzt-klambauer.at","Website")</f>
        <v>Website</v>
      </c>
      <c r="D5479" t="str">
        <f>HYPERLINK("http://www.google.com/maps/place/48.4272053,14.4867226","Location")</f>
        <v>Location</v>
      </c>
      <c r="E5479" t="s">
        <v>46499</v>
      </c>
      <c r="F5479" t="s">
        <v>46500</v>
      </c>
      <c r="G5479" t="s">
        <v>6910</v>
      </c>
      <c r="H5479" t="s">
        <v>6911</v>
      </c>
      <c r="I5479" t="s">
        <v>85</v>
      </c>
      <c r="J5479" t="s">
        <v>22</v>
      </c>
      <c r="K5479" t="s">
        <v>46501</v>
      </c>
      <c r="L5479" t="s">
        <v>46504</v>
      </c>
      <c r="M5479" t="s">
        <v>25</v>
      </c>
      <c r="N5479" t="s">
        <v>46505</v>
      </c>
      <c r="O5479" t="s">
        <v>25</v>
      </c>
      <c r="P5479" t="s">
        <v>46506</v>
      </c>
      <c r="Q5479" t="s">
        <v>29</v>
      </c>
      <c r="R5479" t="s">
        <v>46502</v>
      </c>
      <c r="S5479" t="s">
        <v>46503</v>
      </c>
    </row>
    <row r="5480" spans="1:19" x14ac:dyDescent="0.25">
      <c r="A5480" s="1">
        <v>5478</v>
      </c>
      <c r="B5480" t="str">
        <f>HYPERLINK("https://www.dasschnelle.at/vet-praxis-reichinger-kg-rainbach-im-mühlkreis-summerauer-straße","Website")</f>
        <v>Website</v>
      </c>
      <c r="C5480" t="str">
        <f>HYPERLINK("http://www.vet-praxis-reichinger.at","Website")</f>
        <v>Website</v>
      </c>
      <c r="D5480" t="str">
        <f>HYPERLINK("http://www.google.com/maps/place/48.5588700,14.4735400","Location")</f>
        <v>Location</v>
      </c>
      <c r="E5480" t="s">
        <v>46507</v>
      </c>
      <c r="F5480" t="s">
        <v>46508</v>
      </c>
      <c r="G5480" t="s">
        <v>10800</v>
      </c>
      <c r="H5480" t="s">
        <v>10801</v>
      </c>
      <c r="I5480" t="s">
        <v>85</v>
      </c>
      <c r="J5480" t="s">
        <v>22</v>
      </c>
      <c r="K5480" t="s">
        <v>46509</v>
      </c>
      <c r="L5480" t="s">
        <v>46512</v>
      </c>
      <c r="M5480" t="s">
        <v>46513</v>
      </c>
      <c r="N5480" t="s">
        <v>46514</v>
      </c>
      <c r="O5480" t="s">
        <v>25</v>
      </c>
      <c r="P5480" t="s">
        <v>46515</v>
      </c>
      <c r="Q5480" t="s">
        <v>29</v>
      </c>
      <c r="R5480" t="s">
        <v>46510</v>
      </c>
      <c r="S5480" t="s">
        <v>46511</v>
      </c>
    </row>
    <row r="5481" spans="1:19" x14ac:dyDescent="0.25">
      <c r="A5481" s="1">
        <v>5479</v>
      </c>
      <c r="B5481" t="str">
        <f>HYPERLINK("https://www.dasschnelle.at/eurocon-wirtschaftstreuhand-steuerberatungsgesmbh-andorf-teuflau","Website")</f>
        <v>Website</v>
      </c>
      <c r="C5481" t="str">
        <f>HYPERLINK("http://www.eurocon.at","Website")</f>
        <v>Website</v>
      </c>
      <c r="D5481" t="str">
        <f>HYPERLINK("http://www.google.com/maps/place/48.3727664,13.5423989","Location")</f>
        <v>Location</v>
      </c>
      <c r="E5481" t="s">
        <v>46516</v>
      </c>
      <c r="F5481" t="s">
        <v>46517</v>
      </c>
      <c r="G5481" t="s">
        <v>26299</v>
      </c>
      <c r="H5481" t="s">
        <v>26300</v>
      </c>
      <c r="I5481" t="s">
        <v>85</v>
      </c>
      <c r="J5481" t="s">
        <v>22</v>
      </c>
      <c r="K5481" t="s">
        <v>46518</v>
      </c>
      <c r="L5481" t="s">
        <v>46521</v>
      </c>
      <c r="M5481" t="s">
        <v>25</v>
      </c>
      <c r="N5481" t="s">
        <v>46522</v>
      </c>
      <c r="O5481" t="s">
        <v>25</v>
      </c>
      <c r="P5481" t="s">
        <v>46523</v>
      </c>
      <c r="Q5481" t="s">
        <v>29</v>
      </c>
      <c r="R5481" t="s">
        <v>46519</v>
      </c>
      <c r="S5481" t="s">
        <v>46520</v>
      </c>
    </row>
    <row r="5482" spans="1:19" x14ac:dyDescent="0.25">
      <c r="A5482" s="1">
        <v>5480</v>
      </c>
      <c r="B5482" t="str">
        <f>HYPERLINK("https://www.dasschnelle.at/payer-steuerberatung-gmbh-wartberg-ob-der-aist-consento-vision-park","Website")</f>
        <v>Website</v>
      </c>
      <c r="C5482" t="str">
        <f>HYPERLINK("http://www.payer-stb.at","Website")</f>
        <v>Website</v>
      </c>
      <c r="D5482" t="str">
        <f>HYPERLINK("http://www.google.com/maps/place/48.3560656,14.5169067","Location")</f>
        <v>Location</v>
      </c>
      <c r="E5482" t="s">
        <v>46524</v>
      </c>
      <c r="F5482" t="s">
        <v>46525</v>
      </c>
      <c r="G5482" t="s">
        <v>11973</v>
      </c>
      <c r="H5482" t="s">
        <v>27171</v>
      </c>
      <c r="I5482" t="s">
        <v>85</v>
      </c>
      <c r="J5482" t="s">
        <v>22</v>
      </c>
      <c r="K5482" t="s">
        <v>46526</v>
      </c>
      <c r="L5482" t="s">
        <v>46529</v>
      </c>
      <c r="M5482" t="s">
        <v>25</v>
      </c>
      <c r="N5482" t="s">
        <v>46530</v>
      </c>
      <c r="O5482" t="s">
        <v>25</v>
      </c>
      <c r="P5482" t="s">
        <v>46531</v>
      </c>
      <c r="Q5482" t="s">
        <v>29</v>
      </c>
      <c r="R5482" t="s">
        <v>46527</v>
      </c>
      <c r="S5482" t="s">
        <v>46528</v>
      </c>
    </row>
    <row r="5483" spans="1:19" x14ac:dyDescent="0.25">
      <c r="A5483" s="1">
        <v>5481</v>
      </c>
      <c r="B5483" t="str">
        <f>HYPERLINK("https://www.dasschnelle.at/payer-steuerberatung-gmbh-freistadt-hauptplatz","Website")</f>
        <v>Website</v>
      </c>
      <c r="C5483" t="str">
        <f>HYPERLINK("http://www.payer-stb.at","Website")</f>
        <v>Website</v>
      </c>
      <c r="D5483" t="str">
        <f>HYPERLINK("http://www.google.com/maps/place/48.3560656,14.5169067","Location")</f>
        <v>Location</v>
      </c>
      <c r="E5483" t="s">
        <v>46532</v>
      </c>
      <c r="F5483" t="s">
        <v>46533</v>
      </c>
      <c r="G5483" t="s">
        <v>6891</v>
      </c>
      <c r="H5483" t="s">
        <v>6892</v>
      </c>
      <c r="I5483" t="s">
        <v>85</v>
      </c>
      <c r="J5483" t="s">
        <v>22</v>
      </c>
      <c r="K5483" t="s">
        <v>46534</v>
      </c>
      <c r="L5483" t="s">
        <v>46535</v>
      </c>
      <c r="M5483" t="s">
        <v>25</v>
      </c>
      <c r="N5483" t="s">
        <v>46530</v>
      </c>
      <c r="O5483" t="s">
        <v>25</v>
      </c>
      <c r="P5483" t="s">
        <v>46536</v>
      </c>
      <c r="Q5483" t="s">
        <v>29</v>
      </c>
      <c r="R5483" t="s">
        <v>46527</v>
      </c>
      <c r="S5483" t="s">
        <v>46528</v>
      </c>
    </row>
    <row r="5484" spans="1:19" x14ac:dyDescent="0.25">
      <c r="A5484" s="1">
        <v>5482</v>
      </c>
      <c r="B5484" t="str">
        <f>HYPERLINK("https://www.dasschnelle.at/kfz-technik-ullrich-gerhard-st-andrä-wördern-tullnerstraße","Website")</f>
        <v>Website</v>
      </c>
      <c r="C5484" t="str">
        <f>HYPERLINK("http://www.autotechnik-ullrich.at","Website")</f>
        <v>Website</v>
      </c>
      <c r="D5484" t="str">
        <f>HYPERLINK("http://www.google.com/maps/place/48.3218416,16.2059380","Location")</f>
        <v>Location</v>
      </c>
      <c r="E5484" t="s">
        <v>46537</v>
      </c>
      <c r="F5484" t="s">
        <v>46538</v>
      </c>
      <c r="G5484" t="s">
        <v>27899</v>
      </c>
      <c r="H5484" t="s">
        <v>27900</v>
      </c>
      <c r="I5484" t="s">
        <v>177</v>
      </c>
      <c r="J5484" t="s">
        <v>22</v>
      </c>
      <c r="K5484" t="s">
        <v>46539</v>
      </c>
      <c r="L5484" t="s">
        <v>46542</v>
      </c>
      <c r="M5484" t="s">
        <v>25</v>
      </c>
      <c r="N5484" t="s">
        <v>46543</v>
      </c>
      <c r="O5484" t="s">
        <v>25</v>
      </c>
      <c r="P5484" t="s">
        <v>46544</v>
      </c>
      <c r="Q5484" t="s">
        <v>29</v>
      </c>
      <c r="R5484" t="s">
        <v>46540</v>
      </c>
      <c r="S5484" t="s">
        <v>46541</v>
      </c>
    </row>
    <row r="5485" spans="1:19" x14ac:dyDescent="0.25">
      <c r="A5485" s="1">
        <v>5483</v>
      </c>
      <c r="B5485" t="str">
        <f>HYPERLINK("https://www.dasschnelle.at/fassl-peter-installationsgmbh-kierling-hauptstraße","Website")</f>
        <v>Website</v>
      </c>
      <c r="C5485" t="str">
        <f>HYPERLINK("http://www.installationen-fassl.at","Website")</f>
        <v>Website</v>
      </c>
      <c r="D5485" t="str">
        <f>HYPERLINK("http://www.google.com/maps/place/48.30864,16.26951","Location")</f>
        <v>Location</v>
      </c>
      <c r="E5485" t="s">
        <v>46545</v>
      </c>
      <c r="F5485" t="s">
        <v>46546</v>
      </c>
      <c r="G5485" t="s">
        <v>10308</v>
      </c>
      <c r="H5485" t="s">
        <v>13335</v>
      </c>
      <c r="I5485" t="s">
        <v>177</v>
      </c>
      <c r="J5485" t="s">
        <v>22</v>
      </c>
      <c r="K5485" t="s">
        <v>46547</v>
      </c>
      <c r="L5485" t="s">
        <v>46549</v>
      </c>
      <c r="M5485" t="s">
        <v>25</v>
      </c>
      <c r="N5485" t="s">
        <v>46550</v>
      </c>
      <c r="O5485" t="s">
        <v>25</v>
      </c>
      <c r="P5485" t="s">
        <v>46551</v>
      </c>
      <c r="Q5485" t="s">
        <v>29</v>
      </c>
      <c r="R5485" t="s">
        <v>34614</v>
      </c>
      <c r="S5485" t="s">
        <v>46548</v>
      </c>
    </row>
    <row r="5486" spans="1:19" x14ac:dyDescent="0.25">
      <c r="A5486" s="1">
        <v>5484</v>
      </c>
      <c r="B5486" t="str">
        <f>HYPERLINK("https://www.dasschnelle.at/blumen-steininger-mondsee-rainerstraße","Website")</f>
        <v>Website</v>
      </c>
      <c r="C5486" t="str">
        <f>HYPERLINK("http://www.blumensteininger.com","Website")</f>
        <v>Website</v>
      </c>
      <c r="D5486" t="str">
        <f>HYPERLINK("http://www.google.com/maps/place/47.85323,13.34596","Location")</f>
        <v>Location</v>
      </c>
      <c r="E5486" t="s">
        <v>46552</v>
      </c>
      <c r="F5486" t="s">
        <v>46553</v>
      </c>
      <c r="G5486" t="s">
        <v>6543</v>
      </c>
      <c r="H5486" t="s">
        <v>6544</v>
      </c>
      <c r="I5486" t="s">
        <v>85</v>
      </c>
      <c r="J5486" t="s">
        <v>22</v>
      </c>
      <c r="K5486" t="s">
        <v>46554</v>
      </c>
      <c r="L5486" t="s">
        <v>46557</v>
      </c>
      <c r="M5486" t="s">
        <v>25</v>
      </c>
      <c r="N5486" t="s">
        <v>46558</v>
      </c>
      <c r="O5486" t="s">
        <v>25</v>
      </c>
      <c r="P5486" t="s">
        <v>697</v>
      </c>
      <c r="Q5486" t="s">
        <v>29</v>
      </c>
      <c r="R5486" t="s">
        <v>46555</v>
      </c>
      <c r="S5486" t="s">
        <v>46556</v>
      </c>
    </row>
    <row r="5487" spans="1:19" x14ac:dyDescent="0.25">
      <c r="A5487" s="1">
        <v>5485</v>
      </c>
      <c r="B5487" t="str">
        <f>HYPERLINK("https://www.dasschnelle.at/ganisl-robert-mondsee-gaisbergstraße","Website")</f>
        <v>Website</v>
      </c>
      <c r="C5487" t="str">
        <f>HYPERLINK("http://www.robertganisl.at","Website")</f>
        <v>Website</v>
      </c>
      <c r="D5487" t="str">
        <f>HYPERLINK("http://www.google.com/maps/place/47.85178,13.33887","Location")</f>
        <v>Location</v>
      </c>
      <c r="E5487" t="s">
        <v>46559</v>
      </c>
      <c r="F5487" t="s">
        <v>46560</v>
      </c>
      <c r="G5487" t="s">
        <v>6543</v>
      </c>
      <c r="H5487" t="s">
        <v>6544</v>
      </c>
      <c r="I5487" t="s">
        <v>85</v>
      </c>
      <c r="J5487" t="s">
        <v>22</v>
      </c>
      <c r="K5487" t="s">
        <v>46404</v>
      </c>
      <c r="L5487" t="s">
        <v>46407</v>
      </c>
      <c r="M5487" t="s">
        <v>25</v>
      </c>
      <c r="N5487" t="s">
        <v>46408</v>
      </c>
      <c r="O5487" t="s">
        <v>25</v>
      </c>
      <c r="P5487" t="s">
        <v>46561</v>
      </c>
      <c r="Q5487" t="s">
        <v>29</v>
      </c>
      <c r="R5487" t="s">
        <v>46405</v>
      </c>
      <c r="S5487" t="s">
        <v>46406</v>
      </c>
    </row>
    <row r="5488" spans="1:19" x14ac:dyDescent="0.25">
      <c r="A5488" s="1">
        <v>5486</v>
      </c>
      <c r="B5488" t="str">
        <f>HYPERLINK("https://www.dasschnelle.at/dan-küchen-mondseeland-mondsee-salzburger-straße","Website")</f>
        <v>Website</v>
      </c>
      <c r="C5488" t="str">
        <f>HYPERLINK("http://www.dk-mondseeland.at","Website")</f>
        <v>Website</v>
      </c>
      <c r="D5488" t="str">
        <f>HYPERLINK("http://www.google.com/maps/place/47.85752,13.34191","Location")</f>
        <v>Location</v>
      </c>
      <c r="E5488" t="s">
        <v>46562</v>
      </c>
      <c r="F5488" t="s">
        <v>46563</v>
      </c>
      <c r="G5488" t="s">
        <v>6543</v>
      </c>
      <c r="H5488" t="s">
        <v>6544</v>
      </c>
      <c r="I5488" t="s">
        <v>85</v>
      </c>
      <c r="J5488" t="s">
        <v>22</v>
      </c>
      <c r="K5488" t="s">
        <v>21874</v>
      </c>
      <c r="L5488" t="s">
        <v>46566</v>
      </c>
      <c r="M5488" t="s">
        <v>25</v>
      </c>
      <c r="N5488" t="s">
        <v>46567</v>
      </c>
      <c r="O5488" t="s">
        <v>46568</v>
      </c>
      <c r="P5488" t="s">
        <v>46569</v>
      </c>
      <c r="Q5488" t="s">
        <v>29</v>
      </c>
      <c r="R5488" t="s">
        <v>46564</v>
      </c>
      <c r="S5488" t="s">
        <v>46565</v>
      </c>
    </row>
    <row r="5489" spans="1:19" x14ac:dyDescent="0.25">
      <c r="A5489" s="1">
        <v>5487</v>
      </c>
      <c r="B5489" t="str">
        <f>HYPERLINK("https://www.dasschnelle.at/hurnaus-johann-mag-unterweißenbach-markt","Website")</f>
        <v>Website</v>
      </c>
      <c r="C5489" t="str">
        <f>HYPERLINK("http://www.notar-hurnaus.at","Website")</f>
        <v>Website</v>
      </c>
      <c r="D5489" t="str">
        <f>HYPERLINK("http://www.google.com/maps/place/48.4327111,14.7819852","Location")</f>
        <v>Location</v>
      </c>
      <c r="E5489" t="s">
        <v>46570</v>
      </c>
      <c r="F5489" t="s">
        <v>46571</v>
      </c>
      <c r="G5489" t="s">
        <v>26623</v>
      </c>
      <c r="H5489" t="s">
        <v>26735</v>
      </c>
      <c r="I5489" t="s">
        <v>85</v>
      </c>
      <c r="J5489" t="s">
        <v>22</v>
      </c>
      <c r="K5489" t="s">
        <v>46572</v>
      </c>
      <c r="L5489" t="s">
        <v>46575</v>
      </c>
      <c r="M5489" t="s">
        <v>25</v>
      </c>
      <c r="N5489" t="s">
        <v>46576</v>
      </c>
      <c r="O5489" t="s">
        <v>46577</v>
      </c>
      <c r="P5489" t="s">
        <v>46578</v>
      </c>
      <c r="Q5489" t="s">
        <v>29</v>
      </c>
      <c r="R5489" t="s">
        <v>46573</v>
      </c>
      <c r="S5489" t="s">
        <v>46574</v>
      </c>
    </row>
    <row r="5490" spans="1:19" x14ac:dyDescent="0.25">
      <c r="A5490" s="1">
        <v>5488</v>
      </c>
      <c r="B5490" t="str">
        <f>HYPERLINK("https://www.dasschnelle.at/lamprecht-bernd-kötschach-mauthen-kötschach","Website")</f>
        <v>Website</v>
      </c>
      <c r="C5490" t="str">
        <f>HYPERLINK("https://www.dasschnelle.at/lamprecht-bernd-k%C3%B6tschach-mauthen-k%C3%B6tschach","Website")</f>
        <v>Website</v>
      </c>
      <c r="D5490" t="str">
        <f>HYPERLINK("http://www.google.com/maps/place/46.6717700,12.9949500","Location")</f>
        <v>Location</v>
      </c>
      <c r="E5490" t="s">
        <v>46579</v>
      </c>
      <c r="F5490" t="s">
        <v>46580</v>
      </c>
      <c r="G5490" t="s">
        <v>9163</v>
      </c>
      <c r="H5490" t="s">
        <v>9164</v>
      </c>
      <c r="I5490" t="s">
        <v>4130</v>
      </c>
      <c r="J5490" t="s">
        <v>22</v>
      </c>
      <c r="K5490" t="s">
        <v>46581</v>
      </c>
      <c r="L5490" t="s">
        <v>46584</v>
      </c>
      <c r="M5490" t="s">
        <v>25</v>
      </c>
      <c r="N5490" t="s">
        <v>46585</v>
      </c>
      <c r="O5490" t="s">
        <v>25</v>
      </c>
      <c r="P5490" t="s">
        <v>697</v>
      </c>
      <c r="Q5490" t="s">
        <v>29</v>
      </c>
      <c r="R5490" t="s">
        <v>46582</v>
      </c>
      <c r="S5490" t="s">
        <v>46583</v>
      </c>
    </row>
    <row r="5491" spans="1:19" x14ac:dyDescent="0.25">
      <c r="A5491" s="1">
        <v>5489</v>
      </c>
      <c r="B5491" t="str">
        <f>HYPERLINK("https://www.dasschnelle.at/obauer-gotthard-sankt-gilgen-steinklüftstraße","Website")</f>
        <v>Website</v>
      </c>
      <c r="C5491" t="str">
        <f>HYPERLINK("http://www.obauer-brot.at","Website")</f>
        <v>Website</v>
      </c>
      <c r="D5491" t="str">
        <f>HYPERLINK("http://www.google.com/maps/place/47.76752,13.36386","Location")</f>
        <v>Location</v>
      </c>
      <c r="E5491" t="s">
        <v>46586</v>
      </c>
      <c r="F5491" t="s">
        <v>46587</v>
      </c>
      <c r="G5491" t="s">
        <v>2326</v>
      </c>
      <c r="H5491" t="s">
        <v>2327</v>
      </c>
      <c r="I5491" t="s">
        <v>2239</v>
      </c>
      <c r="J5491" t="s">
        <v>22</v>
      </c>
      <c r="K5491" t="s">
        <v>14035</v>
      </c>
      <c r="L5491" t="s">
        <v>14038</v>
      </c>
      <c r="M5491" t="s">
        <v>25</v>
      </c>
      <c r="N5491" t="s">
        <v>14039</v>
      </c>
      <c r="O5491" t="s">
        <v>25</v>
      </c>
      <c r="P5491" t="s">
        <v>46588</v>
      </c>
      <c r="Q5491" t="s">
        <v>29</v>
      </c>
      <c r="R5491" t="s">
        <v>14036</v>
      </c>
      <c r="S5491" t="s">
        <v>14037</v>
      </c>
    </row>
    <row r="5492" spans="1:19" x14ac:dyDescent="0.25">
      <c r="A5492" s="1">
        <v>5490</v>
      </c>
      <c r="B5492" t="str">
        <f>HYPERLINK("https://www.dasschnelle.at/wernireisen-gmbh-feldkirchen-in-kärnten-kirchgasse","Website")</f>
        <v>Website</v>
      </c>
      <c r="C5492" t="str">
        <f>HYPERLINK("http://www.wernireisen.at","Website")</f>
        <v>Website</v>
      </c>
      <c r="D5492" t="str">
        <f>HYPERLINK("http://www.google.com/maps/place/46.7256534,14.0931301","Location")</f>
        <v>Location</v>
      </c>
      <c r="E5492" t="s">
        <v>46589</v>
      </c>
      <c r="F5492" t="s">
        <v>46590</v>
      </c>
      <c r="G5492" t="s">
        <v>8498</v>
      </c>
      <c r="H5492" t="s">
        <v>8499</v>
      </c>
      <c r="I5492" t="s">
        <v>4130</v>
      </c>
      <c r="J5492" t="s">
        <v>22</v>
      </c>
      <c r="K5492" t="s">
        <v>46591</v>
      </c>
      <c r="L5492" t="s">
        <v>46594</v>
      </c>
      <c r="M5492" t="s">
        <v>25</v>
      </c>
      <c r="N5492" t="s">
        <v>46595</v>
      </c>
      <c r="O5492" t="s">
        <v>25</v>
      </c>
      <c r="P5492" t="s">
        <v>46596</v>
      </c>
      <c r="Q5492" t="s">
        <v>29</v>
      </c>
      <c r="R5492" t="s">
        <v>46592</v>
      </c>
      <c r="S5492" t="s">
        <v>46593</v>
      </c>
    </row>
    <row r="5493" spans="1:19" x14ac:dyDescent="0.25">
      <c r="A5493" s="1">
        <v>5491</v>
      </c>
      <c r="B5493" t="str">
        <f>HYPERLINK("https://www.dasschnelle.at/stadtgemeinde-baden-baden-hauptplatz","Website")</f>
        <v>Website</v>
      </c>
      <c r="C5493" t="str">
        <f>HYPERLINK("http://www.baden.at","Website")</f>
        <v>Website</v>
      </c>
      <c r="D5493" t="str">
        <f>HYPERLINK("http://www.google.com/maps/place/48.00801,16.23302","Location")</f>
        <v>Location</v>
      </c>
      <c r="E5493" t="s">
        <v>46597</v>
      </c>
      <c r="F5493" t="s">
        <v>46598</v>
      </c>
      <c r="G5493" t="s">
        <v>1979</v>
      </c>
      <c r="H5493" t="s">
        <v>1980</v>
      </c>
      <c r="I5493" t="s">
        <v>177</v>
      </c>
      <c r="J5493" t="s">
        <v>22</v>
      </c>
      <c r="K5493" t="s">
        <v>1778</v>
      </c>
      <c r="L5493" t="s">
        <v>46601</v>
      </c>
      <c r="M5493" t="s">
        <v>46602</v>
      </c>
      <c r="N5493" t="s">
        <v>46603</v>
      </c>
      <c r="O5493" t="s">
        <v>25</v>
      </c>
      <c r="P5493" t="s">
        <v>46604</v>
      </c>
      <c r="Q5493" t="s">
        <v>29</v>
      </c>
      <c r="R5493" t="s">
        <v>46599</v>
      </c>
      <c r="S5493" t="s">
        <v>46600</v>
      </c>
    </row>
    <row r="5494" spans="1:19" x14ac:dyDescent="0.25">
      <c r="A5494" s="1">
        <v>5492</v>
      </c>
      <c r="B5494" t="str">
        <f>HYPERLINK("https://www.dasschnelle.at/mag-claudia-schmidt-psychotherapeutin-i-a-u-s-bad-ischl-wiesingerstraße","Website")</f>
        <v>Website</v>
      </c>
      <c r="C5494" t="str">
        <f>HYPERLINK("https://www.dasschnelle.at/mag-claudia-schmidt-psychotherapeutin-i-a-u-s-bad-ischl-wiesingerstra%C3%9Fe","Website")</f>
        <v>Website</v>
      </c>
      <c r="D5494" t="str">
        <f t="shared" ref="D5494:D5501" si="0">HYPERLINK("http://www.google.com/maps/place/-,-","Location")</f>
        <v>Location</v>
      </c>
      <c r="E5494" t="s">
        <v>46605</v>
      </c>
      <c r="F5494" t="s">
        <v>46606</v>
      </c>
      <c r="G5494" t="s">
        <v>2377</v>
      </c>
      <c r="H5494" t="s">
        <v>2378</v>
      </c>
      <c r="I5494" t="s">
        <v>85</v>
      </c>
      <c r="J5494" t="s">
        <v>22</v>
      </c>
      <c r="K5494" t="s">
        <v>46607</v>
      </c>
      <c r="L5494" t="s">
        <v>46608</v>
      </c>
      <c r="M5494" t="s">
        <v>25</v>
      </c>
      <c r="N5494" t="s">
        <v>46609</v>
      </c>
      <c r="O5494" t="s">
        <v>25</v>
      </c>
      <c r="P5494" t="s">
        <v>46610</v>
      </c>
      <c r="Q5494" t="s">
        <v>29</v>
      </c>
      <c r="R5494" t="s">
        <v>25</v>
      </c>
      <c r="S5494" t="s">
        <v>25</v>
      </c>
    </row>
    <row r="5495" spans="1:19" x14ac:dyDescent="0.25">
      <c r="A5495" s="1">
        <v>5493</v>
      </c>
      <c r="B5495" t="str">
        <f>HYPERLINK("https://www.dasschnelle.at/freizeitanlage-schlögen-e-u-pächter-andrea-winkler-moos-mitterberg","Website")</f>
        <v>Website</v>
      </c>
      <c r="C5495" t="str">
        <f>HYPERLINK("https://www.dasschnelle.at/freizeitanlage-schl%C3%B6gen-e-u-p%C3%A4chter-andrea-winkler-moos-mitterberg","Website")</f>
        <v>Website</v>
      </c>
      <c r="D5495" t="str">
        <f t="shared" si="0"/>
        <v>Location</v>
      </c>
      <c r="E5495" t="s">
        <v>46611</v>
      </c>
      <c r="F5495" t="s">
        <v>46612</v>
      </c>
      <c r="G5495" t="s">
        <v>3156</v>
      </c>
      <c r="H5495" t="s">
        <v>46614</v>
      </c>
      <c r="I5495" t="s">
        <v>85</v>
      </c>
      <c r="J5495" t="s">
        <v>22</v>
      </c>
      <c r="K5495" t="s">
        <v>46613</v>
      </c>
      <c r="L5495" t="s">
        <v>46615</v>
      </c>
      <c r="M5495" t="s">
        <v>25</v>
      </c>
      <c r="N5495" t="s">
        <v>46616</v>
      </c>
      <c r="O5495" t="s">
        <v>25</v>
      </c>
      <c r="P5495" t="s">
        <v>46617</v>
      </c>
      <c r="Q5495" t="s">
        <v>29</v>
      </c>
      <c r="R5495" t="s">
        <v>25</v>
      </c>
      <c r="S5495" t="s">
        <v>25</v>
      </c>
    </row>
    <row r="5496" spans="1:19" x14ac:dyDescent="0.25">
      <c r="A5496" s="1">
        <v>5494</v>
      </c>
      <c r="B5496" t="str">
        <f>HYPERLINK("https://www.dasschnelle.at/saringer-gmbh-schwaz-gewerbepark-einfang","Website")</f>
        <v>Website</v>
      </c>
      <c r="C5496" t="str">
        <f>HYPERLINK("http://www.spenglerei-saringer.at","Website")</f>
        <v>Website</v>
      </c>
      <c r="D5496" t="str">
        <f t="shared" si="0"/>
        <v>Location</v>
      </c>
      <c r="E5496" t="s">
        <v>46618</v>
      </c>
      <c r="F5496" t="s">
        <v>46619</v>
      </c>
      <c r="G5496" t="s">
        <v>4200</v>
      </c>
      <c r="H5496" t="s">
        <v>4201</v>
      </c>
      <c r="I5496" t="s">
        <v>21</v>
      </c>
      <c r="J5496" t="s">
        <v>22</v>
      </c>
      <c r="K5496" t="s">
        <v>46620</v>
      </c>
      <c r="L5496" t="s">
        <v>46621</v>
      </c>
      <c r="M5496" t="s">
        <v>25</v>
      </c>
      <c r="N5496" t="s">
        <v>46622</v>
      </c>
      <c r="O5496" t="s">
        <v>25</v>
      </c>
      <c r="P5496" t="s">
        <v>46623</v>
      </c>
      <c r="Q5496" t="s">
        <v>29</v>
      </c>
      <c r="R5496" t="s">
        <v>25</v>
      </c>
      <c r="S5496" t="s">
        <v>25</v>
      </c>
    </row>
    <row r="5497" spans="1:19" x14ac:dyDescent="0.25">
      <c r="A5497" s="1">
        <v>5495</v>
      </c>
      <c r="B5497" t="str">
        <f>HYPERLINK("https://www.dasschnelle.at/rauch-steuerberatung-gesmbh-steinach-zirmweg","Website")</f>
        <v>Website</v>
      </c>
      <c r="C5497" t="str">
        <f>HYPERLINK("http://www.rauch-steuerberatung.at","Website")</f>
        <v>Website</v>
      </c>
      <c r="D5497" t="str">
        <f t="shared" si="0"/>
        <v>Location</v>
      </c>
      <c r="E5497" t="s">
        <v>46624</v>
      </c>
      <c r="F5497" t="s">
        <v>46625</v>
      </c>
      <c r="G5497" t="s">
        <v>5245</v>
      </c>
      <c r="H5497" t="s">
        <v>5255</v>
      </c>
      <c r="I5497" t="s">
        <v>21</v>
      </c>
      <c r="J5497" t="s">
        <v>22</v>
      </c>
      <c r="K5497" t="s">
        <v>46626</v>
      </c>
      <c r="L5497" t="s">
        <v>46627</v>
      </c>
      <c r="M5497" t="s">
        <v>46628</v>
      </c>
      <c r="N5497" t="s">
        <v>46629</v>
      </c>
      <c r="O5497" t="s">
        <v>25</v>
      </c>
      <c r="P5497" t="s">
        <v>46630</v>
      </c>
      <c r="Q5497" t="s">
        <v>29</v>
      </c>
      <c r="R5497" t="s">
        <v>25</v>
      </c>
      <c r="S5497" t="s">
        <v>25</v>
      </c>
    </row>
    <row r="5498" spans="1:19" x14ac:dyDescent="0.25">
      <c r="A5498" s="1">
        <v>5496</v>
      </c>
      <c r="B5498" t="str">
        <f>HYPERLINK("https://www.dasschnelle.at/a-hechenblaikner-versicherungsmakler-gmbh-reutte-planseestraße","Website")</f>
        <v>Website</v>
      </c>
      <c r="C5498" t="str">
        <f>HYPERLINK("https://www.dasschnelle.at","Website")</f>
        <v>Website</v>
      </c>
      <c r="D5498" t="str">
        <f t="shared" si="0"/>
        <v>Location</v>
      </c>
      <c r="E5498" t="s">
        <v>46631</v>
      </c>
      <c r="F5498" t="s">
        <v>25</v>
      </c>
      <c r="G5498" t="s">
        <v>4725</v>
      </c>
      <c r="H5498" t="s">
        <v>46632</v>
      </c>
      <c r="I5498" t="s">
        <v>85</v>
      </c>
      <c r="J5498" t="s">
        <v>22</v>
      </c>
      <c r="K5498" t="s">
        <v>4861</v>
      </c>
      <c r="L5498" t="s">
        <v>25</v>
      </c>
      <c r="M5498" t="s">
        <v>25</v>
      </c>
      <c r="N5498" t="s">
        <v>25</v>
      </c>
      <c r="O5498" t="s">
        <v>697</v>
      </c>
      <c r="P5498" t="s">
        <v>25</v>
      </c>
      <c r="Q5498" t="s">
        <v>25</v>
      </c>
      <c r="R5498" t="s">
        <v>25</v>
      </c>
      <c r="S5498" t="s">
        <v>25</v>
      </c>
    </row>
    <row r="5499" spans="1:19" x14ac:dyDescent="0.25">
      <c r="A5499" s="1">
        <v>5497</v>
      </c>
      <c r="B5499" t="str">
        <f>HYPERLINK("https://www.dasschnelle.at/haselsberger-markus-lähn-unterdorf","Website")</f>
        <v>Website</v>
      </c>
      <c r="C5499" t="str">
        <f>HYPERLINK("https://www.dasschnelle.at","Website")</f>
        <v>Website</v>
      </c>
      <c r="D5499" t="str">
        <f t="shared" si="0"/>
        <v>Location</v>
      </c>
      <c r="E5499" t="s">
        <v>46631</v>
      </c>
      <c r="F5499" t="s">
        <v>25</v>
      </c>
      <c r="G5499" t="s">
        <v>4725</v>
      </c>
      <c r="H5499" t="s">
        <v>46632</v>
      </c>
      <c r="I5499" t="s">
        <v>85</v>
      </c>
      <c r="J5499" t="s">
        <v>22</v>
      </c>
      <c r="K5499" t="s">
        <v>4861</v>
      </c>
      <c r="L5499" t="s">
        <v>25</v>
      </c>
      <c r="M5499" t="s">
        <v>25</v>
      </c>
      <c r="N5499" t="s">
        <v>25</v>
      </c>
      <c r="O5499" t="s">
        <v>697</v>
      </c>
      <c r="P5499" t="s">
        <v>25</v>
      </c>
      <c r="Q5499" t="s">
        <v>25</v>
      </c>
      <c r="R5499" t="s">
        <v>25</v>
      </c>
      <c r="S5499" t="s">
        <v>25</v>
      </c>
    </row>
    <row r="5500" spans="1:19" x14ac:dyDescent="0.25">
      <c r="A5500" s="1">
        <v>5498</v>
      </c>
      <c r="B5500" t="str">
        <f>HYPERLINK("https://www.dasschnelle.at/entfeuchtungstechnik-gruber-breitenwang-unterried","Website")</f>
        <v>Website</v>
      </c>
      <c r="C5500" t="str">
        <f>HYPERLINK("https://www.dasschnelle.at","Website")</f>
        <v>Website</v>
      </c>
      <c r="D5500" t="str">
        <f t="shared" si="0"/>
        <v>Location</v>
      </c>
      <c r="E5500" t="s">
        <v>46631</v>
      </c>
      <c r="F5500" t="s">
        <v>25</v>
      </c>
      <c r="G5500" t="s">
        <v>4725</v>
      </c>
      <c r="H5500" t="s">
        <v>46632</v>
      </c>
      <c r="I5500" t="s">
        <v>85</v>
      </c>
      <c r="J5500" t="s">
        <v>22</v>
      </c>
      <c r="K5500" t="s">
        <v>4861</v>
      </c>
      <c r="L5500" t="s">
        <v>25</v>
      </c>
      <c r="M5500" t="s">
        <v>25</v>
      </c>
      <c r="N5500" t="s">
        <v>25</v>
      </c>
      <c r="O5500" t="s">
        <v>697</v>
      </c>
      <c r="P5500" t="s">
        <v>25</v>
      </c>
      <c r="Q5500" t="s">
        <v>25</v>
      </c>
      <c r="R5500" t="s">
        <v>25</v>
      </c>
      <c r="S5500" t="s">
        <v>25</v>
      </c>
    </row>
    <row r="5501" spans="1:19" x14ac:dyDescent="0.25">
      <c r="A5501" s="1">
        <v>5499</v>
      </c>
      <c r="B5501" t="str">
        <f>HYPERLINK("https://www.dasschnelle.at/wegmann-wolfgang-dr-ehrwald-kirchplatz","Website")</f>
        <v>Website</v>
      </c>
      <c r="C5501" t="str">
        <f>HYPERLINK("https://www.dasschnelle.at","Website")</f>
        <v>Website</v>
      </c>
      <c r="D5501" t="str">
        <f t="shared" si="0"/>
        <v>Location</v>
      </c>
      <c r="E5501" t="s">
        <v>46631</v>
      </c>
      <c r="F5501" t="s">
        <v>25</v>
      </c>
      <c r="G5501" t="s">
        <v>4725</v>
      </c>
      <c r="H5501" t="s">
        <v>46632</v>
      </c>
      <c r="I5501" t="s">
        <v>85</v>
      </c>
      <c r="J5501" t="s">
        <v>22</v>
      </c>
      <c r="K5501" t="s">
        <v>4861</v>
      </c>
      <c r="L5501" t="s">
        <v>25</v>
      </c>
      <c r="M5501" t="s">
        <v>25</v>
      </c>
      <c r="N5501" t="s">
        <v>25</v>
      </c>
      <c r="O5501" t="s">
        <v>697</v>
      </c>
      <c r="P5501" t="s">
        <v>25</v>
      </c>
      <c r="Q5501" t="s">
        <v>25</v>
      </c>
      <c r="R5501" t="s">
        <v>25</v>
      </c>
      <c r="S5501" t="s">
        <v>25</v>
      </c>
    </row>
    <row r="5502" spans="1:19" x14ac:dyDescent="0.25">
      <c r="A5502" s="1">
        <v>5500</v>
      </c>
      <c r="B5502" t="str">
        <f>HYPERLINK("https://www.dasschnelle.at/unser-lagerhaus-warenhandelsgesmbh-ötztal-bahnhof-handelsweg","Website")</f>
        <v>Website</v>
      </c>
      <c r="C5502" t="str">
        <f>HYPERLINK("http://www.unser-lagerhaus.at","Website")</f>
        <v>Website</v>
      </c>
      <c r="D5502" t="str">
        <f>HYPERLINK("http://www.google.com/maps/place/47.23797,10.85626","Location")</f>
        <v>Location</v>
      </c>
      <c r="E5502" t="s">
        <v>46633</v>
      </c>
      <c r="F5502" t="s">
        <v>46634</v>
      </c>
      <c r="G5502" t="s">
        <v>8088</v>
      </c>
      <c r="H5502" t="s">
        <v>8089</v>
      </c>
      <c r="I5502" t="s">
        <v>21</v>
      </c>
      <c r="J5502" t="s">
        <v>22</v>
      </c>
      <c r="K5502" t="s">
        <v>46635</v>
      </c>
      <c r="L5502" t="s">
        <v>46638</v>
      </c>
      <c r="M5502" t="s">
        <v>46639</v>
      </c>
      <c r="N5502" t="s">
        <v>46640</v>
      </c>
      <c r="O5502" t="s">
        <v>46641</v>
      </c>
      <c r="P5502" t="s">
        <v>46642</v>
      </c>
      <c r="Q5502" t="s">
        <v>29</v>
      </c>
      <c r="R5502" t="s">
        <v>46636</v>
      </c>
      <c r="S5502" t="s">
        <v>46637</v>
      </c>
    </row>
    <row r="5503" spans="1:19" x14ac:dyDescent="0.25">
      <c r="A5503" s="1">
        <v>5501</v>
      </c>
      <c r="B5503" t="str">
        <f>HYPERLINK("https://www.dasschnelle.at/hassel-peter-ötztal-bahnhof-bahnrain","Website")</f>
        <v>Website</v>
      </c>
      <c r="C5503" t="str">
        <f>HYPERLINK("https://www.dasschnelle.at/hassel-peter-%C3%B6tztal-bahnhof-bahnrain","Website")</f>
        <v>Website</v>
      </c>
      <c r="D5503" t="str">
        <f>HYPERLINK("http://www.google.com/maps/place/-,-","Location")</f>
        <v>Location</v>
      </c>
      <c r="E5503" t="s">
        <v>46643</v>
      </c>
      <c r="F5503" t="s">
        <v>46644</v>
      </c>
      <c r="G5503" t="s">
        <v>8088</v>
      </c>
      <c r="H5503" t="s">
        <v>8089</v>
      </c>
      <c r="I5503" t="s">
        <v>21</v>
      </c>
      <c r="J5503" t="s">
        <v>22</v>
      </c>
      <c r="K5503" t="s">
        <v>46645</v>
      </c>
      <c r="L5503" t="s">
        <v>46646</v>
      </c>
      <c r="M5503" t="s">
        <v>25</v>
      </c>
      <c r="N5503" t="s">
        <v>46647</v>
      </c>
      <c r="O5503" t="s">
        <v>25</v>
      </c>
      <c r="P5503" t="s">
        <v>46648</v>
      </c>
      <c r="Q5503" t="s">
        <v>29</v>
      </c>
      <c r="R5503" t="s">
        <v>25</v>
      </c>
      <c r="S5503" t="s">
        <v>25</v>
      </c>
    </row>
    <row r="5504" spans="1:19" x14ac:dyDescent="0.25">
      <c r="A5504" s="1">
        <v>5502</v>
      </c>
      <c r="B5504" t="str">
        <f>HYPERLINK("https://www.dasschnelle.at/architec-zt-gesmbh-wolfsberg-johann-offner-straße","Website")</f>
        <v>Website</v>
      </c>
      <c r="C5504" t="str">
        <f>HYPERLINK("http://www.architec-zt.at","Website")</f>
        <v>Website</v>
      </c>
      <c r="D5504" t="str">
        <f>HYPERLINK("http://www.google.com/maps/place/-,-","Location")</f>
        <v>Location</v>
      </c>
      <c r="E5504" t="s">
        <v>46649</v>
      </c>
      <c r="F5504" t="s">
        <v>46650</v>
      </c>
      <c r="G5504" t="s">
        <v>11363</v>
      </c>
      <c r="H5504" t="s">
        <v>11391</v>
      </c>
      <c r="I5504" t="s">
        <v>4130</v>
      </c>
      <c r="J5504" t="s">
        <v>22</v>
      </c>
      <c r="K5504" t="s">
        <v>46651</v>
      </c>
      <c r="L5504" t="s">
        <v>46652</v>
      </c>
      <c r="M5504" t="s">
        <v>25</v>
      </c>
      <c r="N5504" t="s">
        <v>46653</v>
      </c>
      <c r="O5504" t="s">
        <v>46654</v>
      </c>
      <c r="P5504" t="s">
        <v>46655</v>
      </c>
      <c r="Q5504" t="s">
        <v>29</v>
      </c>
      <c r="R5504" t="s">
        <v>25</v>
      </c>
      <c r="S5504" t="s">
        <v>25</v>
      </c>
    </row>
    <row r="5505" spans="1:19" x14ac:dyDescent="0.25">
      <c r="A5505" s="1">
        <v>5503</v>
      </c>
      <c r="B5505" t="str">
        <f>HYPERLINK("https://www.dasschnelle.at/schneeberger-gmbh-atzbach-hauptstraße","Website")</f>
        <v>Website</v>
      </c>
      <c r="C5505" t="str">
        <f>HYPERLINK("http://www.expert-schneeberger.at","Website")</f>
        <v>Website</v>
      </c>
      <c r="D5505" t="str">
        <f>HYPERLINK("http://www.google.com/maps/place/-,-","Location")</f>
        <v>Location</v>
      </c>
      <c r="E5505" t="s">
        <v>46656</v>
      </c>
      <c r="F5505" t="s">
        <v>46657</v>
      </c>
      <c r="G5505" t="s">
        <v>31071</v>
      </c>
      <c r="H5505" t="s">
        <v>31072</v>
      </c>
      <c r="I5505" t="s">
        <v>85</v>
      </c>
      <c r="J5505" t="s">
        <v>22</v>
      </c>
      <c r="K5505" t="s">
        <v>14440</v>
      </c>
      <c r="L5505" t="s">
        <v>46658</v>
      </c>
      <c r="M5505" t="s">
        <v>25</v>
      </c>
      <c r="N5505" t="s">
        <v>46659</v>
      </c>
      <c r="O5505" t="s">
        <v>25</v>
      </c>
      <c r="P5505" t="s">
        <v>46660</v>
      </c>
      <c r="Q5505" t="s">
        <v>29</v>
      </c>
      <c r="R5505" t="s">
        <v>25</v>
      </c>
      <c r="S5505" t="s">
        <v>25</v>
      </c>
    </row>
    <row r="5506" spans="1:19" x14ac:dyDescent="0.25">
      <c r="A5506" s="1">
        <v>5504</v>
      </c>
      <c r="B5506" t="str">
        <f>HYPERLINK("https://www.dasschnelle.at/hölblinger-und-zefferer-hoch-u-tiefbau-gesmbh-mariazell-bundesstraße","Website")</f>
        <v>Website</v>
      </c>
      <c r="C5506" t="str">
        <f>HYPERLINK("http://www.hoze-bau.at","Website")</f>
        <v>Website</v>
      </c>
      <c r="D5506" t="str">
        <f>HYPERLINK("http://www.google.com/maps/place/47.7741627,15.3152423","Location")</f>
        <v>Location</v>
      </c>
      <c r="E5506" t="s">
        <v>46661</v>
      </c>
      <c r="F5506" t="s">
        <v>46662</v>
      </c>
      <c r="G5506" t="s">
        <v>12529</v>
      </c>
      <c r="H5506" t="s">
        <v>24696</v>
      </c>
      <c r="I5506" t="s">
        <v>451</v>
      </c>
      <c r="J5506" t="s">
        <v>22</v>
      </c>
      <c r="K5506" t="s">
        <v>46663</v>
      </c>
      <c r="L5506" t="s">
        <v>46664</v>
      </c>
      <c r="M5506" t="s">
        <v>46665</v>
      </c>
      <c r="N5506" t="s">
        <v>46666</v>
      </c>
      <c r="O5506" t="s">
        <v>25</v>
      </c>
      <c r="P5506" t="s">
        <v>46667</v>
      </c>
      <c r="Q5506" t="s">
        <v>29</v>
      </c>
      <c r="R5506" t="s">
        <v>29778</v>
      </c>
      <c r="S5506" t="s">
        <v>29779</v>
      </c>
    </row>
    <row r="5507" spans="1:19" x14ac:dyDescent="0.25">
      <c r="A5507" s="1">
        <v>5505</v>
      </c>
      <c r="B5507" t="str">
        <f>HYPERLINK("https://www.dasschnelle.at/stadtgemeinde-bruck-an-der-mur-bruck-an-der-mur-koloman-wallisch-platz","Website")</f>
        <v>Website</v>
      </c>
      <c r="C5507" t="str">
        <f>HYPERLINK("http://www.bruckmur.at","Website")</f>
        <v>Website</v>
      </c>
      <c r="D5507" t="str">
        <f>HYPERLINK("http://www.google.com/maps/place/47.41046,15.26891","Location")</f>
        <v>Location</v>
      </c>
      <c r="E5507" t="s">
        <v>46668</v>
      </c>
      <c r="F5507" t="s">
        <v>46669</v>
      </c>
      <c r="G5507" t="s">
        <v>3052</v>
      </c>
      <c r="H5507" t="s">
        <v>3053</v>
      </c>
      <c r="I5507" t="s">
        <v>451</v>
      </c>
      <c r="J5507" t="s">
        <v>22</v>
      </c>
      <c r="K5507" t="s">
        <v>14675</v>
      </c>
      <c r="L5507" t="s">
        <v>46672</v>
      </c>
      <c r="M5507" t="s">
        <v>46673</v>
      </c>
      <c r="N5507" t="s">
        <v>46674</v>
      </c>
      <c r="O5507" t="s">
        <v>25</v>
      </c>
      <c r="P5507" t="s">
        <v>46675</v>
      </c>
      <c r="Q5507" t="s">
        <v>29</v>
      </c>
      <c r="R5507" t="s">
        <v>46670</v>
      </c>
      <c r="S5507" t="s">
        <v>46671</v>
      </c>
    </row>
    <row r="5508" spans="1:19" x14ac:dyDescent="0.25">
      <c r="A5508" s="1">
        <v>5506</v>
      </c>
      <c r="B5508" t="str">
        <f>HYPERLINK("https://www.dasschnelle.at/kaiblinger-rechtsanwalts-gmbh-gunskirchen-marktplatz","Website")</f>
        <v>Website</v>
      </c>
      <c r="C5508" t="str">
        <f>HYPERLINK("http://www.kanzlei-kaiblinger.at","Website")</f>
        <v>Website</v>
      </c>
      <c r="D5508" t="str">
        <f>HYPERLINK("http://www.google.com/maps/place/-,-","Location")</f>
        <v>Location</v>
      </c>
      <c r="E5508" t="s">
        <v>46676</v>
      </c>
      <c r="F5508" t="s">
        <v>46677</v>
      </c>
      <c r="G5508" t="s">
        <v>4780</v>
      </c>
      <c r="H5508" t="s">
        <v>4781</v>
      </c>
      <c r="I5508" t="s">
        <v>85</v>
      </c>
      <c r="J5508" t="s">
        <v>22</v>
      </c>
      <c r="K5508" t="s">
        <v>5885</v>
      </c>
      <c r="L5508" t="s">
        <v>46678</v>
      </c>
      <c r="M5508" t="s">
        <v>25</v>
      </c>
      <c r="N5508" t="s">
        <v>46679</v>
      </c>
      <c r="O5508" t="s">
        <v>46680</v>
      </c>
      <c r="P5508" t="s">
        <v>46681</v>
      </c>
      <c r="Q5508" t="s">
        <v>29</v>
      </c>
      <c r="R5508" t="s">
        <v>25</v>
      </c>
      <c r="S5508" t="s">
        <v>25</v>
      </c>
    </row>
    <row r="5509" spans="1:19" x14ac:dyDescent="0.25">
      <c r="A5509" s="1">
        <v>5507</v>
      </c>
      <c r="B5509" t="str">
        <f>HYPERLINK("https://www.dasschnelle.at/umlauft-schuhhaus-neumarkt-am-wallersee-hauptstraße","Website")</f>
        <v>Website</v>
      </c>
      <c r="C5509" t="str">
        <f>HYPERLINK("http://www.schuhhaus-umlauft.at","Website")</f>
        <v>Website</v>
      </c>
      <c r="D5509" t="str">
        <f>HYPERLINK("http://www.google.com/maps/place/-,-","Location")</f>
        <v>Location</v>
      </c>
      <c r="E5509" t="s">
        <v>46682</v>
      </c>
      <c r="F5509" t="s">
        <v>46683</v>
      </c>
      <c r="G5509" t="s">
        <v>10564</v>
      </c>
      <c r="H5509" t="s">
        <v>10565</v>
      </c>
      <c r="I5509" t="s">
        <v>2239</v>
      </c>
      <c r="J5509" t="s">
        <v>22</v>
      </c>
      <c r="K5509" t="s">
        <v>14573</v>
      </c>
      <c r="L5509" t="s">
        <v>46684</v>
      </c>
      <c r="M5509" t="s">
        <v>25</v>
      </c>
      <c r="N5509" t="s">
        <v>46685</v>
      </c>
      <c r="O5509" t="s">
        <v>25</v>
      </c>
      <c r="P5509" t="s">
        <v>46686</v>
      </c>
      <c r="Q5509" t="s">
        <v>29</v>
      </c>
      <c r="R5509" t="s">
        <v>25</v>
      </c>
      <c r="S5509" t="s">
        <v>25</v>
      </c>
    </row>
    <row r="5510" spans="1:19" x14ac:dyDescent="0.25">
      <c r="A5510" s="1">
        <v>5508</v>
      </c>
      <c r="B5510" t="str">
        <f>HYPERLINK("https://www.dasschnelle.at/apotheke-st-mang-füssen-reichenstr","Website")</f>
        <v>Website</v>
      </c>
      <c r="C5510" t="str">
        <f>HYPERLINK("http://www.mang-apotheke.de","Website")</f>
        <v>Website</v>
      </c>
      <c r="D5510" t="str">
        <f>HYPERLINK("http://www.google.com/maps/place/-,-","Location")</f>
        <v>Location</v>
      </c>
      <c r="E5510" t="s">
        <v>46687</v>
      </c>
      <c r="F5510" t="s">
        <v>46688</v>
      </c>
      <c r="G5510" t="s">
        <v>42739</v>
      </c>
      <c r="H5510" t="s">
        <v>42740</v>
      </c>
      <c r="I5510" t="s">
        <v>25</v>
      </c>
      <c r="J5510" t="s">
        <v>22</v>
      </c>
      <c r="K5510" t="s">
        <v>46689</v>
      </c>
      <c r="L5510" t="s">
        <v>46690</v>
      </c>
      <c r="M5510" t="s">
        <v>25</v>
      </c>
      <c r="N5510" t="s">
        <v>46691</v>
      </c>
      <c r="O5510" t="s">
        <v>25</v>
      </c>
      <c r="P5510" t="s">
        <v>46692</v>
      </c>
      <c r="Q5510" t="s">
        <v>29</v>
      </c>
      <c r="R5510" t="s">
        <v>25</v>
      </c>
      <c r="S5510" t="s">
        <v>25</v>
      </c>
    </row>
    <row r="5511" spans="1:19" x14ac:dyDescent="0.25">
      <c r="A5511" s="1">
        <v>5509</v>
      </c>
      <c r="B5511" t="str">
        <f>HYPERLINK("https://www.dasschnelle.at/ausbildungszentrum-braunau-braunau-industriezeile","Website")</f>
        <v>Website</v>
      </c>
      <c r="C5511" t="str">
        <f>HYPERLINK("http://www.abz-braunau.at","Website")</f>
        <v>Website</v>
      </c>
      <c r="D5511" t="str">
        <f>HYPERLINK("http://www.google.com/maps/place/-,-","Location")</f>
        <v>Location</v>
      </c>
      <c r="E5511" t="s">
        <v>46693</v>
      </c>
      <c r="F5511" t="s">
        <v>46694</v>
      </c>
      <c r="G5511" t="s">
        <v>1289</v>
      </c>
      <c r="H5511" t="s">
        <v>1290</v>
      </c>
      <c r="I5511" t="s">
        <v>85</v>
      </c>
      <c r="J5511" t="s">
        <v>22</v>
      </c>
      <c r="K5511" t="s">
        <v>46695</v>
      </c>
      <c r="L5511" t="s">
        <v>46696</v>
      </c>
      <c r="M5511" t="s">
        <v>25</v>
      </c>
      <c r="N5511" t="s">
        <v>46697</v>
      </c>
      <c r="O5511" t="s">
        <v>25</v>
      </c>
      <c r="P5511" t="s">
        <v>46698</v>
      </c>
      <c r="Q5511" t="s">
        <v>29</v>
      </c>
      <c r="R5511" t="s">
        <v>25</v>
      </c>
      <c r="S5511" t="s">
        <v>25</v>
      </c>
    </row>
    <row r="5512" spans="1:19" x14ac:dyDescent="0.25">
      <c r="A5512" s="1">
        <v>5510</v>
      </c>
      <c r="B5512" t="str">
        <f>HYPERLINK("https://www.dasschnelle.at/hohner-sabrina-traun-hauptplatz","Website")</f>
        <v>Website</v>
      </c>
      <c r="C5512" t="str">
        <f>HYPERLINK("http://www.schnitt-styling.at","Website")</f>
        <v>Website</v>
      </c>
      <c r="D5512" t="str">
        <f>HYPERLINK("http://www.google.com/maps/place/-,-","Location")</f>
        <v>Location</v>
      </c>
      <c r="E5512" t="s">
        <v>46699</v>
      </c>
      <c r="F5512" t="s">
        <v>46700</v>
      </c>
      <c r="G5512" t="s">
        <v>10227</v>
      </c>
      <c r="H5512" t="s">
        <v>10228</v>
      </c>
      <c r="I5512" t="s">
        <v>85</v>
      </c>
      <c r="J5512" t="s">
        <v>22</v>
      </c>
      <c r="K5512" t="s">
        <v>1150</v>
      </c>
      <c r="L5512" t="s">
        <v>46701</v>
      </c>
      <c r="M5512" t="s">
        <v>25</v>
      </c>
      <c r="N5512" t="s">
        <v>46702</v>
      </c>
      <c r="O5512" t="s">
        <v>25</v>
      </c>
      <c r="P5512" t="s">
        <v>46703</v>
      </c>
      <c r="Q5512" t="s">
        <v>29</v>
      </c>
      <c r="R5512" t="s">
        <v>25</v>
      </c>
      <c r="S5512" t="s">
        <v>25</v>
      </c>
    </row>
    <row r="5513" spans="1:19" x14ac:dyDescent="0.25">
      <c r="A5513" s="1">
        <v>5511</v>
      </c>
      <c r="B5513" t="str">
        <f>HYPERLINK("https://www.dasschnelle.at/schloss-traun-traun-schlossstraße","Website")</f>
        <v>Website</v>
      </c>
      <c r="C5513" t="str">
        <f>HYPERLINK("http://www.schlosstraun.at","Website")</f>
        <v>Website</v>
      </c>
      <c r="D5513" t="str">
        <f>HYPERLINK("http://www.google.com/maps/place/48.21898,14.23727","Location")</f>
        <v>Location</v>
      </c>
      <c r="E5513" t="s">
        <v>46704</v>
      </c>
      <c r="F5513" t="s">
        <v>46705</v>
      </c>
      <c r="G5513" t="s">
        <v>10227</v>
      </c>
      <c r="H5513" t="s">
        <v>10228</v>
      </c>
      <c r="I5513" t="s">
        <v>85</v>
      </c>
      <c r="J5513" t="s">
        <v>22</v>
      </c>
      <c r="K5513" t="s">
        <v>46706</v>
      </c>
      <c r="L5513" t="s">
        <v>46709</v>
      </c>
      <c r="M5513" t="s">
        <v>46710</v>
      </c>
      <c r="N5513" t="s">
        <v>46711</v>
      </c>
      <c r="O5513" t="s">
        <v>25</v>
      </c>
      <c r="P5513" t="s">
        <v>46712</v>
      </c>
      <c r="Q5513" t="s">
        <v>29</v>
      </c>
      <c r="R5513" t="s">
        <v>46707</v>
      </c>
      <c r="S5513" t="s">
        <v>46708</v>
      </c>
    </row>
    <row r="5514" spans="1:19" x14ac:dyDescent="0.25">
      <c r="A5514" s="1">
        <v>5512</v>
      </c>
      <c r="B5514" t="str">
        <f>HYPERLINK("https://www.dasschnelle.at/tscharnuter-bau-gmbh-verputzarbeiten-ehrwald-schanz","Website")</f>
        <v>Website</v>
      </c>
      <c r="C5514" t="str">
        <f>HYPERLINK("http://www.tscharnuterbau.at","Website")</f>
        <v>Website</v>
      </c>
      <c r="D5514" t="str">
        <f t="shared" ref="D5514:D5521" si="1">HYPERLINK("http://www.google.com/maps/place/-,-","Location")</f>
        <v>Location</v>
      </c>
      <c r="E5514" t="s">
        <v>46713</v>
      </c>
      <c r="F5514" t="s">
        <v>46714</v>
      </c>
      <c r="G5514" t="s">
        <v>14930</v>
      </c>
      <c r="H5514" t="s">
        <v>14931</v>
      </c>
      <c r="I5514" t="s">
        <v>25</v>
      </c>
      <c r="J5514" t="s">
        <v>22</v>
      </c>
      <c r="K5514" t="s">
        <v>46715</v>
      </c>
      <c r="L5514" t="s">
        <v>46716</v>
      </c>
      <c r="M5514" t="s">
        <v>25</v>
      </c>
      <c r="N5514" t="s">
        <v>46717</v>
      </c>
      <c r="O5514" t="s">
        <v>25</v>
      </c>
      <c r="P5514" t="s">
        <v>46718</v>
      </c>
      <c r="Q5514" t="s">
        <v>29</v>
      </c>
      <c r="R5514" t="s">
        <v>25</v>
      </c>
      <c r="S5514" t="s">
        <v>25</v>
      </c>
    </row>
    <row r="5515" spans="1:19" x14ac:dyDescent="0.25">
      <c r="A5515" s="1">
        <v>5513</v>
      </c>
      <c r="B5515" t="str">
        <f>HYPERLINK("https://www.dasschnelle.at/mobile-säge-florian-haas-kitzbühel-fichterfeld","Website")</f>
        <v>Website</v>
      </c>
      <c r="C5515" t="str">
        <f>HYPERLINK("https://www.dasschnelle.at/mobile-s%C3%A4ge-florian-haas-kitzb%C3%BChel-fichterfeld","Website")</f>
        <v>Website</v>
      </c>
      <c r="D5515" t="str">
        <f t="shared" si="1"/>
        <v>Location</v>
      </c>
      <c r="E5515" t="s">
        <v>46719</v>
      </c>
      <c r="F5515" t="s">
        <v>46720</v>
      </c>
      <c r="G5515" t="s">
        <v>833</v>
      </c>
      <c r="H5515" t="s">
        <v>834</v>
      </c>
      <c r="I5515" t="s">
        <v>21</v>
      </c>
      <c r="J5515" t="s">
        <v>22</v>
      </c>
      <c r="K5515" t="s">
        <v>46721</v>
      </c>
      <c r="L5515" t="s">
        <v>46722</v>
      </c>
      <c r="M5515" t="s">
        <v>25</v>
      </c>
      <c r="N5515" t="s">
        <v>46723</v>
      </c>
      <c r="O5515" t="s">
        <v>25</v>
      </c>
      <c r="P5515" t="s">
        <v>697</v>
      </c>
      <c r="Q5515" t="s">
        <v>29</v>
      </c>
      <c r="R5515" t="s">
        <v>25</v>
      </c>
      <c r="S5515" t="s">
        <v>25</v>
      </c>
    </row>
    <row r="5516" spans="1:19" x14ac:dyDescent="0.25">
      <c r="A5516" s="1">
        <v>5514</v>
      </c>
      <c r="B5516" t="str">
        <f>HYPERLINK("https://www.dasschnelle.at/nagler-bau-gmbh-ternberg-dürnbachstraße","Website")</f>
        <v>Website</v>
      </c>
      <c r="C5516" t="str">
        <f>HYPERLINK("http://www.nagler-bau.at","Website")</f>
        <v>Website</v>
      </c>
      <c r="D5516" t="str">
        <f t="shared" si="1"/>
        <v>Location</v>
      </c>
      <c r="E5516" t="s">
        <v>46724</v>
      </c>
      <c r="F5516" t="s">
        <v>46725</v>
      </c>
      <c r="G5516" t="s">
        <v>9064</v>
      </c>
      <c r="H5516" t="s">
        <v>9065</v>
      </c>
      <c r="I5516" t="s">
        <v>85</v>
      </c>
      <c r="J5516" t="s">
        <v>22</v>
      </c>
      <c r="K5516" t="s">
        <v>46726</v>
      </c>
      <c r="L5516" t="s">
        <v>46727</v>
      </c>
      <c r="M5516" t="s">
        <v>25</v>
      </c>
      <c r="N5516" t="s">
        <v>46728</v>
      </c>
      <c r="O5516" t="s">
        <v>46729</v>
      </c>
      <c r="P5516" t="s">
        <v>46730</v>
      </c>
      <c r="Q5516" t="s">
        <v>29</v>
      </c>
      <c r="R5516" t="s">
        <v>25</v>
      </c>
      <c r="S5516" t="s">
        <v>25</v>
      </c>
    </row>
    <row r="5517" spans="1:19" x14ac:dyDescent="0.25">
      <c r="A5517" s="1">
        <v>5515</v>
      </c>
      <c r="B5517" t="str">
        <f>HYPERLINK("https://www.dasschnelle.at/as-installationen-braunau-am-inn-mattighofner-straße","Website")</f>
        <v>Website</v>
      </c>
      <c r="C5517" t="str">
        <f>HYPERLINK("http://www.as-installationen.at","Website")</f>
        <v>Website</v>
      </c>
      <c r="D5517" t="str">
        <f t="shared" si="1"/>
        <v>Location</v>
      </c>
      <c r="E5517" t="s">
        <v>46731</v>
      </c>
      <c r="F5517" t="s">
        <v>46732</v>
      </c>
      <c r="G5517" t="s">
        <v>1289</v>
      </c>
      <c r="H5517" t="s">
        <v>1310</v>
      </c>
      <c r="I5517" t="s">
        <v>85</v>
      </c>
      <c r="J5517" t="s">
        <v>22</v>
      </c>
      <c r="K5517" t="s">
        <v>46733</v>
      </c>
      <c r="L5517" t="s">
        <v>46734</v>
      </c>
      <c r="M5517" t="s">
        <v>25</v>
      </c>
      <c r="N5517" t="s">
        <v>46735</v>
      </c>
      <c r="O5517" t="s">
        <v>25</v>
      </c>
      <c r="P5517" t="s">
        <v>46736</v>
      </c>
      <c r="Q5517" t="s">
        <v>29</v>
      </c>
      <c r="R5517" t="s">
        <v>25</v>
      </c>
      <c r="S5517" t="s">
        <v>25</v>
      </c>
    </row>
    <row r="5518" spans="1:19" x14ac:dyDescent="0.25">
      <c r="A5518" s="1">
        <v>5516</v>
      </c>
      <c r="B5518" t="str">
        <f>HYPERLINK("https://www.dasschnelle.at/arnaut-alma-braunau-am-inn-mattighofner-straße","Website")</f>
        <v>Website</v>
      </c>
      <c r="C5518" t="str">
        <f>HYPERLINK("http://www.as-installationen.at","Website")</f>
        <v>Website</v>
      </c>
      <c r="D5518" t="str">
        <f t="shared" si="1"/>
        <v>Location</v>
      </c>
      <c r="E5518" t="s">
        <v>46737</v>
      </c>
      <c r="F5518" t="s">
        <v>46738</v>
      </c>
      <c r="G5518" t="s">
        <v>1289</v>
      </c>
      <c r="H5518" t="s">
        <v>1310</v>
      </c>
      <c r="I5518" t="s">
        <v>85</v>
      </c>
      <c r="J5518" t="s">
        <v>22</v>
      </c>
      <c r="K5518" t="s">
        <v>46733</v>
      </c>
      <c r="L5518" t="s">
        <v>46734</v>
      </c>
      <c r="M5518" t="s">
        <v>25</v>
      </c>
      <c r="N5518" t="s">
        <v>46735</v>
      </c>
      <c r="O5518" t="s">
        <v>46739</v>
      </c>
      <c r="P5518" t="s">
        <v>46740</v>
      </c>
      <c r="Q5518" t="s">
        <v>29</v>
      </c>
      <c r="R5518" t="s">
        <v>25</v>
      </c>
      <c r="S5518" t="s">
        <v>25</v>
      </c>
    </row>
    <row r="5519" spans="1:19" x14ac:dyDescent="0.25">
      <c r="A5519" s="1">
        <v>5517</v>
      </c>
      <c r="B5519" t="str">
        <f>HYPERLINK("https://www.dasschnelle.at/check-er-fitness-gmbh-simbach-kreuzberger-weg","Website")</f>
        <v>Website</v>
      </c>
      <c r="C5519" t="str">
        <f>HYPERLINK("https://www.dasschnelle.at/check-er-fitness-gmbh-simbach-kreuzberger-weg","Website")</f>
        <v>Website</v>
      </c>
      <c r="D5519" t="str">
        <f t="shared" si="1"/>
        <v>Location</v>
      </c>
      <c r="E5519" t="s">
        <v>46741</v>
      </c>
      <c r="F5519" t="s">
        <v>46742</v>
      </c>
      <c r="G5519" t="s">
        <v>17593</v>
      </c>
      <c r="H5519" t="s">
        <v>17594</v>
      </c>
      <c r="I5519" t="s">
        <v>25</v>
      </c>
      <c r="J5519" t="s">
        <v>22</v>
      </c>
      <c r="K5519" t="s">
        <v>46743</v>
      </c>
      <c r="L5519" t="s">
        <v>46744</v>
      </c>
      <c r="M5519" t="s">
        <v>25</v>
      </c>
      <c r="N5519" t="s">
        <v>46745</v>
      </c>
      <c r="O5519" t="s">
        <v>25</v>
      </c>
      <c r="P5519" t="s">
        <v>46746</v>
      </c>
      <c r="Q5519" t="s">
        <v>29</v>
      </c>
      <c r="R5519" t="s">
        <v>25</v>
      </c>
      <c r="S5519" t="s">
        <v>25</v>
      </c>
    </row>
    <row r="5520" spans="1:19" x14ac:dyDescent="0.25">
      <c r="A5520" s="1">
        <v>5518</v>
      </c>
      <c r="B5520" t="str">
        <f>HYPERLINK("https://www.dasschnelle.at/schmidhammer-wolfgang-salzburg-vogelweiderstraße","Website")</f>
        <v>Website</v>
      </c>
      <c r="C5520" t="str">
        <f>HYPERLINK("http://www.schluessel1.at","Website")</f>
        <v>Website</v>
      </c>
      <c r="D5520" t="str">
        <f t="shared" si="1"/>
        <v>Location</v>
      </c>
      <c r="E5520" t="s">
        <v>46747</v>
      </c>
      <c r="F5520" t="s">
        <v>46748</v>
      </c>
      <c r="G5520" t="s">
        <v>24937</v>
      </c>
      <c r="H5520" t="s">
        <v>2239</v>
      </c>
      <c r="I5520" t="s">
        <v>2239</v>
      </c>
      <c r="J5520" t="s">
        <v>22</v>
      </c>
      <c r="K5520" t="s">
        <v>46749</v>
      </c>
      <c r="L5520" t="s">
        <v>46750</v>
      </c>
      <c r="M5520" t="s">
        <v>25</v>
      </c>
      <c r="N5520" t="s">
        <v>46751</v>
      </c>
      <c r="O5520" t="s">
        <v>25</v>
      </c>
      <c r="P5520" t="s">
        <v>46752</v>
      </c>
      <c r="Q5520" t="s">
        <v>29</v>
      </c>
      <c r="R5520" t="s">
        <v>25</v>
      </c>
      <c r="S5520" t="s">
        <v>25</v>
      </c>
    </row>
    <row r="5521" spans="1:19" x14ac:dyDescent="0.25">
      <c r="A5521" s="1">
        <v>5519</v>
      </c>
      <c r="B5521" t="str">
        <f>HYPERLINK("https://www.dasschnelle.at/kink-erich-baden-kaiser-franz-joseph-ring","Website")</f>
        <v>Website</v>
      </c>
      <c r="C5521" t="str">
        <f>HYPERLINK("http://www.kink-raumdesign.at","Website")</f>
        <v>Website</v>
      </c>
      <c r="D5521" t="str">
        <f t="shared" si="1"/>
        <v>Location</v>
      </c>
      <c r="E5521" t="s">
        <v>46753</v>
      </c>
      <c r="F5521" t="s">
        <v>46754</v>
      </c>
      <c r="G5521" t="s">
        <v>1979</v>
      </c>
      <c r="H5521" t="s">
        <v>1980</v>
      </c>
      <c r="I5521" t="s">
        <v>177</v>
      </c>
      <c r="J5521" t="s">
        <v>22</v>
      </c>
      <c r="K5521" t="s">
        <v>46755</v>
      </c>
      <c r="L5521" t="s">
        <v>46756</v>
      </c>
      <c r="M5521" t="s">
        <v>46757</v>
      </c>
      <c r="N5521" t="s">
        <v>46758</v>
      </c>
      <c r="O5521" t="s">
        <v>25</v>
      </c>
      <c r="P5521" t="s">
        <v>46759</v>
      </c>
      <c r="Q5521" t="s">
        <v>29</v>
      </c>
      <c r="R5521" t="s">
        <v>25</v>
      </c>
      <c r="S5521" t="s">
        <v>25</v>
      </c>
    </row>
    <row r="5522" spans="1:19" x14ac:dyDescent="0.25">
      <c r="A5522" s="1">
        <v>5520</v>
      </c>
      <c r="B5522" t="str">
        <f>HYPERLINK("https://www.dasschnelle.at/stadtgemeinde-baden-baden-neustiftgasse","Website")</f>
        <v>Website</v>
      </c>
      <c r="C5522" t="str">
        <f>HYPERLINK("http://www.bestattung-baden.at","Website")</f>
        <v>Website</v>
      </c>
      <c r="D5522" t="str">
        <f>HYPERLINK("http://www.google.com/maps/place/48.0078000,16.2337600","Location")</f>
        <v>Location</v>
      </c>
      <c r="E5522" t="s">
        <v>46760</v>
      </c>
      <c r="F5522" t="s">
        <v>46761</v>
      </c>
      <c r="G5522" t="s">
        <v>1979</v>
      </c>
      <c r="H5522" t="s">
        <v>1980</v>
      </c>
      <c r="I5522" t="s">
        <v>177</v>
      </c>
      <c r="J5522" t="s">
        <v>22</v>
      </c>
      <c r="K5522" t="s">
        <v>46762</v>
      </c>
      <c r="L5522" t="s">
        <v>46765</v>
      </c>
      <c r="M5522" t="s">
        <v>46766</v>
      </c>
      <c r="N5522" t="s">
        <v>46767</v>
      </c>
      <c r="O5522" t="s">
        <v>46768</v>
      </c>
      <c r="P5522" t="s">
        <v>46769</v>
      </c>
      <c r="Q5522" t="s">
        <v>29</v>
      </c>
      <c r="R5522" t="s">
        <v>46763</v>
      </c>
      <c r="S5522" t="s">
        <v>46764</v>
      </c>
    </row>
    <row r="5523" spans="1:19" x14ac:dyDescent="0.25">
      <c r="A5523" s="1">
        <v>5521</v>
      </c>
      <c r="B5523" t="str">
        <f>HYPERLINK("https://www.dasschnelle.at/ahammer-karl-altmünster-maria-theresiastr","Website")</f>
        <v>Website</v>
      </c>
      <c r="C5523" t="str">
        <f>HYPERLINK("https://www.dasschnelle.at/ahammer-karl-altm%C3%BCnster-maria-theresiastr","Website")</f>
        <v>Website</v>
      </c>
      <c r="D5523" t="str">
        <f>HYPERLINK("http://www.google.com/maps/place/-,-","Location")</f>
        <v>Location</v>
      </c>
      <c r="E5523" t="s">
        <v>46770</v>
      </c>
      <c r="F5523" t="s">
        <v>46771</v>
      </c>
      <c r="G5523" t="s">
        <v>7000</v>
      </c>
      <c r="H5523" t="s">
        <v>7001</v>
      </c>
      <c r="I5523" t="s">
        <v>85</v>
      </c>
      <c r="J5523" t="s">
        <v>22</v>
      </c>
      <c r="K5523" t="s">
        <v>46772</v>
      </c>
      <c r="L5523" t="s">
        <v>46773</v>
      </c>
      <c r="M5523" t="s">
        <v>25</v>
      </c>
      <c r="N5523" t="s">
        <v>46774</v>
      </c>
      <c r="O5523" t="s">
        <v>25</v>
      </c>
      <c r="P5523" t="s">
        <v>697</v>
      </c>
      <c r="Q5523" t="s">
        <v>29</v>
      </c>
      <c r="R5523" t="s">
        <v>25</v>
      </c>
      <c r="S5523" t="s">
        <v>25</v>
      </c>
    </row>
    <row r="5524" spans="1:19" x14ac:dyDescent="0.25">
      <c r="A5524" s="1">
        <v>5522</v>
      </c>
      <c r="B5524" t="str">
        <f>HYPERLINK("https://www.dasschnelle.at/frauenhaus-ried-ried-im-innkreis-postfach","Website")</f>
        <v>Website</v>
      </c>
      <c r="C5524" t="str">
        <f>HYPERLINK("https://www.dasschnelle.at/frauenhaus-ried-ried-im-innkreis-postfach","Website")</f>
        <v>Website</v>
      </c>
      <c r="D5524" t="str">
        <f>HYPERLINK("http://www.google.com/maps/place/-,-","Location")</f>
        <v>Location</v>
      </c>
      <c r="E5524" t="s">
        <v>46775</v>
      </c>
      <c r="F5524" t="s">
        <v>46776</v>
      </c>
      <c r="G5524" t="s">
        <v>6245</v>
      </c>
      <c r="H5524" t="s">
        <v>6267</v>
      </c>
      <c r="I5524" t="s">
        <v>25</v>
      </c>
      <c r="J5524" t="s">
        <v>22</v>
      </c>
      <c r="K5524" t="s">
        <v>46777</v>
      </c>
      <c r="L5524" t="s">
        <v>46778</v>
      </c>
      <c r="M5524" t="s">
        <v>25</v>
      </c>
      <c r="N5524" t="s">
        <v>46779</v>
      </c>
      <c r="O5524" t="s">
        <v>25</v>
      </c>
      <c r="P5524" t="s">
        <v>697</v>
      </c>
      <c r="Q5524" t="s">
        <v>29</v>
      </c>
      <c r="R5524" t="s">
        <v>25</v>
      </c>
      <c r="S5524" t="s">
        <v>25</v>
      </c>
    </row>
    <row r="5525" spans="1:19" x14ac:dyDescent="0.25">
      <c r="A5525" s="1">
        <v>5523</v>
      </c>
      <c r="B5525" t="str">
        <f>HYPERLINK("https://www.dasschnelle.at/pacher-wolfgang-gmünd-dornbach","Website")</f>
        <v>Website</v>
      </c>
      <c r="C5525" t="str">
        <f>HYPERLINK("https://www.dasschnelle.at/pacher-wolfgang-gm%C3%BCnd-dornbach","Website")</f>
        <v>Website</v>
      </c>
      <c r="D5525" t="str">
        <f>HYPERLINK("http://www.google.com/maps/place/-,-","Location")</f>
        <v>Location</v>
      </c>
      <c r="E5525" t="s">
        <v>46780</v>
      </c>
      <c r="F5525" t="s">
        <v>46781</v>
      </c>
      <c r="G5525" t="s">
        <v>46783</v>
      </c>
      <c r="H5525" t="s">
        <v>13117</v>
      </c>
      <c r="I5525" t="s">
        <v>4130</v>
      </c>
      <c r="J5525" t="s">
        <v>22</v>
      </c>
      <c r="K5525" t="s">
        <v>46782</v>
      </c>
      <c r="L5525" t="s">
        <v>46784</v>
      </c>
      <c r="M5525" t="s">
        <v>25</v>
      </c>
      <c r="N5525" t="s">
        <v>46785</v>
      </c>
      <c r="O5525" t="s">
        <v>25</v>
      </c>
      <c r="P5525" t="s">
        <v>46786</v>
      </c>
      <c r="Q5525" t="s">
        <v>29</v>
      </c>
      <c r="R5525" t="s">
        <v>25</v>
      </c>
      <c r="S5525" t="s">
        <v>25</v>
      </c>
    </row>
    <row r="5526" spans="1:19" x14ac:dyDescent="0.25">
      <c r="A5526" s="1">
        <v>5524</v>
      </c>
      <c r="B5526" t="str">
        <f>HYPERLINK("https://www.dasschnelle.at/leitner-günter-öhling-im-reith","Website")</f>
        <v>Website</v>
      </c>
      <c r="C5526" t="str">
        <f>HYPERLINK("http://www.steinmetz-leitner.at","Website")</f>
        <v>Website</v>
      </c>
      <c r="D5526" t="str">
        <f>HYPERLINK("http://www.google.com/maps/place/48.1014350,14.7989904","Location")</f>
        <v>Location</v>
      </c>
      <c r="E5526" t="s">
        <v>46787</v>
      </c>
      <c r="F5526" t="s">
        <v>46788</v>
      </c>
      <c r="G5526" t="s">
        <v>25140</v>
      </c>
      <c r="H5526" t="s">
        <v>46790</v>
      </c>
      <c r="I5526" t="s">
        <v>177</v>
      </c>
      <c r="J5526" t="s">
        <v>22</v>
      </c>
      <c r="K5526" t="s">
        <v>46789</v>
      </c>
      <c r="L5526" t="s">
        <v>46793</v>
      </c>
      <c r="M5526" t="s">
        <v>46794</v>
      </c>
      <c r="N5526" t="s">
        <v>46795</v>
      </c>
      <c r="O5526" t="s">
        <v>25</v>
      </c>
      <c r="P5526" t="s">
        <v>46796</v>
      </c>
      <c r="Q5526" t="s">
        <v>29</v>
      </c>
      <c r="R5526" t="s">
        <v>46791</v>
      </c>
      <c r="S5526" t="s">
        <v>46792</v>
      </c>
    </row>
    <row r="5527" spans="1:19" x14ac:dyDescent="0.25">
      <c r="A5527" s="1">
        <v>5525</v>
      </c>
      <c r="B5527" t="str">
        <f>HYPERLINK("https://www.dasschnelle.at/haider-klemens-dr-attnang-puchheim-römerstraße","Website")</f>
        <v>Website</v>
      </c>
      <c r="C5527" t="str">
        <f>HYPERLINK("http://www.dr-haider.at","Website")</f>
        <v>Website</v>
      </c>
      <c r="D5527" t="str">
        <f t="shared" ref="D5527:D5535" si="2">HYPERLINK("http://www.google.com/maps/place/-,-","Location")</f>
        <v>Location</v>
      </c>
      <c r="E5527" t="s">
        <v>46797</v>
      </c>
      <c r="F5527" t="s">
        <v>46798</v>
      </c>
      <c r="G5527" t="s">
        <v>3728</v>
      </c>
      <c r="H5527" t="s">
        <v>3729</v>
      </c>
      <c r="I5527" t="s">
        <v>85</v>
      </c>
      <c r="J5527" t="s">
        <v>22</v>
      </c>
      <c r="K5527" t="s">
        <v>46799</v>
      </c>
      <c r="L5527" t="s">
        <v>46800</v>
      </c>
      <c r="M5527" t="s">
        <v>25</v>
      </c>
      <c r="N5527" t="s">
        <v>46801</v>
      </c>
      <c r="O5527" t="s">
        <v>25</v>
      </c>
      <c r="P5527" t="s">
        <v>46802</v>
      </c>
      <c r="Q5527" t="s">
        <v>29</v>
      </c>
      <c r="R5527" t="s">
        <v>25</v>
      </c>
      <c r="S5527" t="s">
        <v>25</v>
      </c>
    </row>
    <row r="5528" spans="1:19" x14ac:dyDescent="0.25">
      <c r="A5528" s="1">
        <v>5526</v>
      </c>
      <c r="B5528" t="str">
        <f>HYPERLINK("https://www.dasschnelle.at/kaspar-gudrun-dr-klosterneuburg-hauptstraße","Website")</f>
        <v>Website</v>
      </c>
      <c r="C5528" t="str">
        <f>HYPERLINK("https://www.dasschnelle.at","Website")</f>
        <v>Website</v>
      </c>
      <c r="D5528" t="str">
        <f t="shared" si="2"/>
        <v>Location</v>
      </c>
      <c r="E5528" t="s">
        <v>46631</v>
      </c>
      <c r="F5528" t="s">
        <v>25</v>
      </c>
      <c r="G5528" t="s">
        <v>4725</v>
      </c>
      <c r="H5528" t="s">
        <v>46632</v>
      </c>
      <c r="I5528" t="s">
        <v>85</v>
      </c>
      <c r="J5528" t="s">
        <v>22</v>
      </c>
      <c r="K5528" t="s">
        <v>4861</v>
      </c>
      <c r="L5528" t="s">
        <v>25</v>
      </c>
      <c r="M5528" t="s">
        <v>25</v>
      </c>
      <c r="N5528" t="s">
        <v>25</v>
      </c>
      <c r="O5528" t="s">
        <v>697</v>
      </c>
      <c r="P5528" t="s">
        <v>25</v>
      </c>
      <c r="Q5528" t="s">
        <v>25</v>
      </c>
      <c r="R5528" t="s">
        <v>25</v>
      </c>
      <c r="S5528" t="s">
        <v>25</v>
      </c>
    </row>
    <row r="5529" spans="1:19" x14ac:dyDescent="0.25">
      <c r="A5529" s="1">
        <v>5527</v>
      </c>
      <c r="B5529" t="str">
        <f>HYPERLINK("https://www.dasschnelle.at/strauss-c-dr-vöcklamarkt-hauptstraße","Website")</f>
        <v>Website</v>
      </c>
      <c r="C5529" t="str">
        <f>HYPERLINK("https://www.dasschnelle.at/strauss-c-dr-v%C3%B6cklamarkt-hauptstra%C3%9Fe","Website")</f>
        <v>Website</v>
      </c>
      <c r="D5529" t="str">
        <f t="shared" si="2"/>
        <v>Location</v>
      </c>
      <c r="E5529" t="s">
        <v>46803</v>
      </c>
      <c r="F5529" t="s">
        <v>46804</v>
      </c>
      <c r="G5529" t="s">
        <v>3823</v>
      </c>
      <c r="H5529" t="s">
        <v>3824</v>
      </c>
      <c r="I5529" t="s">
        <v>85</v>
      </c>
      <c r="J5529" t="s">
        <v>22</v>
      </c>
      <c r="K5529" t="s">
        <v>3090</v>
      </c>
      <c r="L5529" t="s">
        <v>46805</v>
      </c>
      <c r="M5529" t="s">
        <v>25</v>
      </c>
      <c r="N5529" t="s">
        <v>46806</v>
      </c>
      <c r="O5529" t="s">
        <v>25</v>
      </c>
      <c r="P5529" t="s">
        <v>46807</v>
      </c>
      <c r="Q5529" t="s">
        <v>29</v>
      </c>
      <c r="R5529" t="s">
        <v>25</v>
      </c>
      <c r="S5529" t="s">
        <v>25</v>
      </c>
    </row>
    <row r="5530" spans="1:19" x14ac:dyDescent="0.25">
      <c r="A5530" s="1">
        <v>5528</v>
      </c>
      <c r="B5530" t="str">
        <f>HYPERLINK("https://www.dasschnelle.at/der-steinacher-ramsau-hoferstraße","Website")</f>
        <v>Website</v>
      </c>
      <c r="C5530" t="str">
        <f>HYPERLINK("http://www.dersteinacher.at","Website")</f>
        <v>Website</v>
      </c>
      <c r="D5530" t="str">
        <f t="shared" si="2"/>
        <v>Location</v>
      </c>
      <c r="E5530" t="s">
        <v>46808</v>
      </c>
      <c r="F5530" t="s">
        <v>46809</v>
      </c>
      <c r="G5530" t="s">
        <v>12489</v>
      </c>
      <c r="H5530" t="s">
        <v>12490</v>
      </c>
      <c r="I5530" t="s">
        <v>25</v>
      </c>
      <c r="J5530" t="s">
        <v>22</v>
      </c>
      <c r="K5530" t="s">
        <v>46810</v>
      </c>
      <c r="L5530" t="s">
        <v>46811</v>
      </c>
      <c r="M5530" t="s">
        <v>25</v>
      </c>
      <c r="N5530" t="s">
        <v>46812</v>
      </c>
      <c r="O5530" t="s">
        <v>46813</v>
      </c>
      <c r="P5530" t="s">
        <v>46814</v>
      </c>
      <c r="Q5530" t="s">
        <v>29</v>
      </c>
      <c r="R5530" t="s">
        <v>25</v>
      </c>
      <c r="S5530" t="s">
        <v>25</v>
      </c>
    </row>
    <row r="5531" spans="1:19" x14ac:dyDescent="0.25">
      <c r="A5531" s="1">
        <v>5529</v>
      </c>
      <c r="B5531" t="str">
        <f>HYPERLINK("https://www.dasschnelle.at/ddr-peter-zwittnig-straßengel-plankenwartherstraße","Website")</f>
        <v>Website</v>
      </c>
      <c r="C5531" t="str">
        <f>HYPERLINK("https://www.dasschnelle.at/ddr-peter-zwittnig-stra%C3%9Fengel-plankenwartherstra%C3%9Fe","Website")</f>
        <v>Website</v>
      </c>
      <c r="D5531" t="str">
        <f t="shared" si="2"/>
        <v>Location</v>
      </c>
      <c r="E5531" t="s">
        <v>46815</v>
      </c>
      <c r="F5531" t="s">
        <v>46816</v>
      </c>
      <c r="G5531" t="s">
        <v>7854</v>
      </c>
      <c r="H5531" t="s">
        <v>24510</v>
      </c>
      <c r="I5531" t="s">
        <v>25</v>
      </c>
      <c r="J5531" t="s">
        <v>22</v>
      </c>
      <c r="K5531" t="s">
        <v>30366</v>
      </c>
      <c r="L5531" t="s">
        <v>46817</v>
      </c>
      <c r="M5531" t="s">
        <v>25</v>
      </c>
      <c r="N5531" t="s">
        <v>25</v>
      </c>
      <c r="O5531" t="s">
        <v>25</v>
      </c>
      <c r="P5531" t="s">
        <v>46818</v>
      </c>
      <c r="Q5531" t="s">
        <v>29</v>
      </c>
      <c r="R5531" t="s">
        <v>25</v>
      </c>
      <c r="S5531" t="s">
        <v>25</v>
      </c>
    </row>
    <row r="5532" spans="1:19" x14ac:dyDescent="0.25">
      <c r="A5532" s="1">
        <v>5530</v>
      </c>
      <c r="B5532" t="str">
        <f>HYPERLINK("https://www.dasschnelle.at/oä-dr-waltraud-stromer-horn-ing-karl-proksch-gasse","Website")</f>
        <v>Website</v>
      </c>
      <c r="C5532" t="str">
        <f>HYPERLINK("http://www.waltraud-stromer.at","Website")</f>
        <v>Website</v>
      </c>
      <c r="D5532" t="str">
        <f t="shared" si="2"/>
        <v>Location</v>
      </c>
      <c r="E5532" t="s">
        <v>46819</v>
      </c>
      <c r="F5532" t="s">
        <v>46820</v>
      </c>
      <c r="G5532" t="s">
        <v>12616</v>
      </c>
      <c r="H5532" t="s">
        <v>12625</v>
      </c>
      <c r="I5532" t="s">
        <v>177</v>
      </c>
      <c r="J5532" t="s">
        <v>22</v>
      </c>
      <c r="K5532" t="s">
        <v>46821</v>
      </c>
      <c r="L5532" t="s">
        <v>46822</v>
      </c>
      <c r="M5532" t="s">
        <v>25</v>
      </c>
      <c r="N5532" t="s">
        <v>46823</v>
      </c>
      <c r="O5532" t="s">
        <v>46824</v>
      </c>
      <c r="P5532" t="s">
        <v>46825</v>
      </c>
      <c r="Q5532" t="s">
        <v>29</v>
      </c>
      <c r="R5532" t="s">
        <v>25</v>
      </c>
      <c r="S5532" t="s">
        <v>25</v>
      </c>
    </row>
    <row r="5533" spans="1:19" x14ac:dyDescent="0.25">
      <c r="A5533" s="1">
        <v>5531</v>
      </c>
      <c r="B5533" t="str">
        <f>HYPERLINK("https://www.dasschnelle.at/dr-peter-vlasak-3-cz-studanky-cz-studanky","Website")</f>
        <v>Website</v>
      </c>
      <c r="C5533" t="str">
        <f>HYPERLINK("http://www.dr-vlasak.at","Website")</f>
        <v>Website</v>
      </c>
      <c r="D5533" t="str">
        <f t="shared" si="2"/>
        <v>Location</v>
      </c>
      <c r="E5533" t="s">
        <v>46826</v>
      </c>
      <c r="F5533" t="s">
        <v>46827</v>
      </c>
      <c r="G5533" t="s">
        <v>46829</v>
      </c>
      <c r="H5533" t="s">
        <v>46830</v>
      </c>
      <c r="I5533" t="s">
        <v>25</v>
      </c>
      <c r="J5533" t="s">
        <v>22</v>
      </c>
      <c r="K5533" t="s">
        <v>46828</v>
      </c>
      <c r="L5533" t="s">
        <v>46831</v>
      </c>
      <c r="M5533" t="s">
        <v>25</v>
      </c>
      <c r="N5533" t="s">
        <v>46832</v>
      </c>
      <c r="O5533" t="s">
        <v>25</v>
      </c>
      <c r="P5533" t="s">
        <v>46833</v>
      </c>
      <c r="Q5533" t="s">
        <v>29</v>
      </c>
      <c r="R5533" t="s">
        <v>25</v>
      </c>
      <c r="S5533" t="s">
        <v>25</v>
      </c>
    </row>
    <row r="5534" spans="1:19" x14ac:dyDescent="0.25">
      <c r="A5534" s="1">
        <v>5532</v>
      </c>
      <c r="B5534" t="str">
        <f>HYPERLINK("https://www.dasschnelle.at/carta-büro-u-kopiertechnik-gmbh-sankt-johann-im-pongau-hauptstraße","Website")</f>
        <v>Website</v>
      </c>
      <c r="C5534" t="str">
        <f>HYPERLINK("https://www.dasschnelle.at/carta-b%C3%BCro-u-kopiertechnik-gmbh-sankt-johann-im-pongau-hauptstra%C3%9Fe","Website")</f>
        <v>Website</v>
      </c>
      <c r="D5534" t="str">
        <f t="shared" si="2"/>
        <v>Location</v>
      </c>
      <c r="E5534" t="s">
        <v>46834</v>
      </c>
      <c r="F5534" t="s">
        <v>46835</v>
      </c>
      <c r="G5534" t="s">
        <v>24837</v>
      </c>
      <c r="H5534" t="s">
        <v>24838</v>
      </c>
      <c r="I5534" t="s">
        <v>25</v>
      </c>
      <c r="J5534" t="s">
        <v>22</v>
      </c>
      <c r="K5534" t="s">
        <v>12380</v>
      </c>
      <c r="L5534" t="s">
        <v>46836</v>
      </c>
      <c r="M5534" t="s">
        <v>25</v>
      </c>
      <c r="N5534" t="s">
        <v>46837</v>
      </c>
      <c r="O5534" t="s">
        <v>46838</v>
      </c>
      <c r="P5534" t="s">
        <v>46839</v>
      </c>
      <c r="Q5534" t="s">
        <v>29</v>
      </c>
      <c r="R5534" t="s">
        <v>25</v>
      </c>
      <c r="S5534" t="s">
        <v>25</v>
      </c>
    </row>
    <row r="5535" spans="1:19" x14ac:dyDescent="0.25">
      <c r="A5535" s="1">
        <v>5533</v>
      </c>
      <c r="B5535" t="str">
        <f>HYPERLINK("https://www.dasschnelle.at/mag-katharina-höchtl-kronheim-ottensheim-hostauerstraße","Website")</f>
        <v>Website</v>
      </c>
      <c r="C5535" t="str">
        <f>HYPERLINK("https://www.dasschnelle.at/mag-katharina-h%C3%B6chtl-kronheim-ottensheim-hostauerstra%C3%9Fe","Website")</f>
        <v>Website</v>
      </c>
      <c r="D5535" t="str">
        <f t="shared" si="2"/>
        <v>Location</v>
      </c>
      <c r="E5535" t="s">
        <v>46840</v>
      </c>
      <c r="F5535" t="s">
        <v>46841</v>
      </c>
      <c r="G5535" t="s">
        <v>28603</v>
      </c>
      <c r="H5535" t="s">
        <v>28604</v>
      </c>
      <c r="I5535" t="s">
        <v>25</v>
      </c>
      <c r="J5535" t="s">
        <v>22</v>
      </c>
      <c r="K5535" t="s">
        <v>46842</v>
      </c>
      <c r="L5535" t="s">
        <v>46843</v>
      </c>
      <c r="M5535" t="s">
        <v>25</v>
      </c>
      <c r="N5535" t="s">
        <v>46844</v>
      </c>
      <c r="O5535" t="s">
        <v>25</v>
      </c>
      <c r="P5535" t="s">
        <v>46845</v>
      </c>
      <c r="Q5535" t="s">
        <v>29</v>
      </c>
      <c r="R5535" t="s">
        <v>25</v>
      </c>
      <c r="S5535" t="s">
        <v>25</v>
      </c>
    </row>
    <row r="5536" spans="1:19" x14ac:dyDescent="0.25">
      <c r="A5536" s="1">
        <v>5534</v>
      </c>
      <c r="B5536" t="str">
        <f>HYPERLINK("https://www.dasschnelle.at/raiffeisen-lagerhaus-lavanttal-reggenmbh-wolfsberg-tanglstraße","Website")</f>
        <v>Website</v>
      </c>
      <c r="C5536" t="str">
        <f>HYPERLINK("http://www.lagerhaus-lavanttal.at","Website")</f>
        <v>Website</v>
      </c>
      <c r="D5536" t="str">
        <f>HYPERLINK("http://www.google.com/maps/place/46.84404,14.8407","Location")</f>
        <v>Location</v>
      </c>
      <c r="E5536" t="s">
        <v>46846</v>
      </c>
      <c r="F5536" t="s">
        <v>46847</v>
      </c>
      <c r="G5536" t="s">
        <v>11363</v>
      </c>
      <c r="H5536" t="s">
        <v>11391</v>
      </c>
      <c r="I5536" t="s">
        <v>4130</v>
      </c>
      <c r="J5536" t="s">
        <v>22</v>
      </c>
      <c r="K5536" t="s">
        <v>46848</v>
      </c>
      <c r="L5536" t="s">
        <v>46851</v>
      </c>
      <c r="M5536" t="s">
        <v>46852</v>
      </c>
      <c r="N5536" t="s">
        <v>46853</v>
      </c>
      <c r="O5536" t="s">
        <v>25</v>
      </c>
      <c r="P5536" t="s">
        <v>46854</v>
      </c>
      <c r="Q5536" t="s">
        <v>29</v>
      </c>
      <c r="R5536" t="s">
        <v>46849</v>
      </c>
      <c r="S5536" t="s">
        <v>46850</v>
      </c>
    </row>
    <row r="5537" spans="1:19" x14ac:dyDescent="0.25">
      <c r="A5537" s="1">
        <v>5535</v>
      </c>
      <c r="B5537" t="str">
        <f>HYPERLINK("https://www.dasschnelle.at/maschinenring-hollabrunn-horn-mold-mold","Website")</f>
        <v>Website</v>
      </c>
      <c r="C5537" t="str">
        <f>HYPERLINK("http://www.maschinenring.at/hollabrunn-horn","Website")</f>
        <v>Website</v>
      </c>
      <c r="D5537" t="str">
        <f>HYPERLINK("http://www.google.com/maps/place/-,-","Location")</f>
        <v>Location</v>
      </c>
      <c r="E5537" t="s">
        <v>46855</v>
      </c>
      <c r="F5537" t="s">
        <v>46856</v>
      </c>
      <c r="G5537" t="s">
        <v>12616</v>
      </c>
      <c r="H5537" t="s">
        <v>12651</v>
      </c>
      <c r="I5537" t="s">
        <v>25</v>
      </c>
      <c r="J5537" t="s">
        <v>22</v>
      </c>
      <c r="K5537" t="s">
        <v>46857</v>
      </c>
      <c r="L5537" t="s">
        <v>46858</v>
      </c>
      <c r="M5537" t="s">
        <v>25</v>
      </c>
      <c r="N5537" t="s">
        <v>46859</v>
      </c>
      <c r="O5537" t="s">
        <v>25</v>
      </c>
      <c r="P5537" t="s">
        <v>46860</v>
      </c>
      <c r="Q5537" t="s">
        <v>29</v>
      </c>
      <c r="R5537" t="s">
        <v>25</v>
      </c>
      <c r="S5537" t="s">
        <v>25</v>
      </c>
    </row>
    <row r="5538" spans="1:19" x14ac:dyDescent="0.25">
      <c r="A5538" s="1">
        <v>5536</v>
      </c>
      <c r="B5538" t="str">
        <f>HYPERLINK("https://www.dasschnelle.at/klingelbrunner-ernst-jun-baumgarten-am-tullnerfeld-hauptstraße","Website")</f>
        <v>Website</v>
      </c>
      <c r="C5538" t="str">
        <f>HYPERLINK("https://www.dasschnelle.at","Website")</f>
        <v>Website</v>
      </c>
      <c r="D5538" t="str">
        <f>HYPERLINK("http://www.google.com/maps/place/-,-","Location")</f>
        <v>Location</v>
      </c>
      <c r="E5538" t="s">
        <v>46631</v>
      </c>
      <c r="F5538" t="s">
        <v>25</v>
      </c>
      <c r="G5538" t="s">
        <v>4725</v>
      </c>
      <c r="H5538" t="s">
        <v>46632</v>
      </c>
      <c r="I5538" t="s">
        <v>85</v>
      </c>
      <c r="J5538" t="s">
        <v>22</v>
      </c>
      <c r="K5538" t="s">
        <v>4861</v>
      </c>
      <c r="L5538" t="s">
        <v>25</v>
      </c>
      <c r="M5538" t="s">
        <v>25</v>
      </c>
      <c r="N5538" t="s">
        <v>25</v>
      </c>
      <c r="O5538" t="s">
        <v>697</v>
      </c>
      <c r="P5538" t="s">
        <v>25</v>
      </c>
      <c r="Q5538" t="s">
        <v>25</v>
      </c>
      <c r="R5538" t="s">
        <v>25</v>
      </c>
      <c r="S5538" t="s">
        <v>25</v>
      </c>
    </row>
    <row r="5539" spans="1:19" x14ac:dyDescent="0.25">
      <c r="A5539" s="1">
        <v>5537</v>
      </c>
      <c r="B5539" t="str">
        <f>HYPERLINK("https://www.dasschnelle.at/robert-köppel-fenster-türen-sonnenschutz-gmbh-gratwein-straßengel-murfeldstraße","Website")</f>
        <v>Website</v>
      </c>
      <c r="C5539" t="str">
        <f>HYPERLINK("http://www.rk-fenster.at","Website")</f>
        <v>Website</v>
      </c>
      <c r="D5539" t="str">
        <f>HYPERLINK("http://www.google.com/maps/place/-,-","Location")</f>
        <v>Location</v>
      </c>
      <c r="E5539" t="s">
        <v>46861</v>
      </c>
      <c r="F5539" t="s">
        <v>46862</v>
      </c>
      <c r="G5539" t="s">
        <v>7864</v>
      </c>
      <c r="H5539" t="s">
        <v>9287</v>
      </c>
      <c r="I5539" t="s">
        <v>25</v>
      </c>
      <c r="J5539" t="s">
        <v>22</v>
      </c>
      <c r="K5539" t="s">
        <v>42383</v>
      </c>
      <c r="L5539" t="s">
        <v>46863</v>
      </c>
      <c r="M5539" t="s">
        <v>25</v>
      </c>
      <c r="N5539" t="s">
        <v>46864</v>
      </c>
      <c r="O5539" t="s">
        <v>46865</v>
      </c>
      <c r="P5539" t="s">
        <v>46866</v>
      </c>
      <c r="Q5539" t="s">
        <v>29</v>
      </c>
      <c r="R5539" t="s">
        <v>25</v>
      </c>
      <c r="S5539" t="s">
        <v>25</v>
      </c>
    </row>
    <row r="5540" spans="1:19" x14ac:dyDescent="0.25">
      <c r="A5540" s="1">
        <v>5538</v>
      </c>
      <c r="B5540" t="str">
        <f>HYPERLINK("https://www.dasschnelle.at/innenbau-peschel-gmbh-groß-siegharts-reiterweg","Website")</f>
        <v>Website</v>
      </c>
      <c r="C5540" t="str">
        <f>HYPERLINK("http://www.innenbau-peschel.at","Website")</f>
        <v>Website</v>
      </c>
      <c r="D5540" t="str">
        <f>HYPERLINK("http://www.google.com/maps/place/-,-","Location")</f>
        <v>Location</v>
      </c>
      <c r="E5540" t="s">
        <v>46867</v>
      </c>
      <c r="F5540" t="s">
        <v>46868</v>
      </c>
      <c r="G5540" t="s">
        <v>24538</v>
      </c>
      <c r="H5540" t="s">
        <v>24539</v>
      </c>
      <c r="I5540" t="s">
        <v>177</v>
      </c>
      <c r="J5540" t="s">
        <v>22</v>
      </c>
      <c r="K5540" t="s">
        <v>46869</v>
      </c>
      <c r="L5540" t="s">
        <v>46870</v>
      </c>
      <c r="M5540" t="s">
        <v>25</v>
      </c>
      <c r="N5540" t="s">
        <v>46871</v>
      </c>
      <c r="O5540" t="s">
        <v>25</v>
      </c>
      <c r="P5540" t="s">
        <v>46872</v>
      </c>
      <c r="Q5540" t="s">
        <v>29</v>
      </c>
      <c r="R5540" t="s">
        <v>25</v>
      </c>
      <c r="S5540" t="s">
        <v>25</v>
      </c>
    </row>
    <row r="5541" spans="1:19" x14ac:dyDescent="0.25">
      <c r="A5541" s="1">
        <v>5539</v>
      </c>
      <c r="B5541" t="str">
        <f>HYPERLINK("https://www.dasschnelle.at/aigner-optiker-gmbh-grieskirchen-oberer-stadtplatz","Website")</f>
        <v>Website</v>
      </c>
      <c r="C5541" t="str">
        <f>HYPERLINK("http://www.optiker-aigner.at","Website")</f>
        <v>Website</v>
      </c>
      <c r="D5541" t="str">
        <f>HYPERLINK("http://www.google.com/maps/place/48.23485,13.83115","Location")</f>
        <v>Location</v>
      </c>
      <c r="E5541" t="s">
        <v>46873</v>
      </c>
      <c r="F5541" t="s">
        <v>46874</v>
      </c>
      <c r="G5541" t="s">
        <v>4826</v>
      </c>
      <c r="H5541" t="s">
        <v>4827</v>
      </c>
      <c r="I5541" t="s">
        <v>85</v>
      </c>
      <c r="J5541" t="s">
        <v>22</v>
      </c>
      <c r="K5541" t="s">
        <v>46875</v>
      </c>
      <c r="L5541" t="s">
        <v>46877</v>
      </c>
      <c r="M5541" t="s">
        <v>46878</v>
      </c>
      <c r="N5541" t="s">
        <v>46879</v>
      </c>
      <c r="O5541" t="s">
        <v>25</v>
      </c>
      <c r="P5541" t="s">
        <v>46880</v>
      </c>
      <c r="Q5541" t="s">
        <v>29</v>
      </c>
      <c r="R5541" t="s">
        <v>7275</v>
      </c>
      <c r="S5541" t="s">
        <v>46876</v>
      </c>
    </row>
    <row r="5542" spans="1:19" x14ac:dyDescent="0.25">
      <c r="A5542" s="1">
        <v>5540</v>
      </c>
      <c r="B5542" t="str">
        <f>HYPERLINK("https://www.dasschnelle.at/kräuterpfarrer-zentrum-verein-freunde-der-heilkräuter-karlstein-an-der-thaya-hauptstraße","Website")</f>
        <v>Website</v>
      </c>
      <c r="C5542" t="str">
        <f>HYPERLINK("http://www.kraeuterpfarrer.at","Website")</f>
        <v>Website</v>
      </c>
      <c r="D5542" t="str">
        <f t="shared" ref="D5542:D5555" si="3">HYPERLINK("http://www.google.com/maps/place/-,-","Location")</f>
        <v>Location</v>
      </c>
      <c r="E5542" t="s">
        <v>46881</v>
      </c>
      <c r="F5542" t="s">
        <v>46882</v>
      </c>
      <c r="G5542" t="s">
        <v>46883</v>
      </c>
      <c r="H5542" t="s">
        <v>46884</v>
      </c>
      <c r="I5542" t="s">
        <v>25</v>
      </c>
      <c r="J5542" t="s">
        <v>22</v>
      </c>
      <c r="K5542" t="s">
        <v>2199</v>
      </c>
      <c r="L5542" t="s">
        <v>46885</v>
      </c>
      <c r="M5542" t="s">
        <v>25</v>
      </c>
      <c r="N5542" t="s">
        <v>46886</v>
      </c>
      <c r="O5542" t="s">
        <v>25</v>
      </c>
      <c r="P5542" t="s">
        <v>46887</v>
      </c>
      <c r="Q5542" t="s">
        <v>29</v>
      </c>
      <c r="R5542" t="s">
        <v>25</v>
      </c>
      <c r="S5542" t="s">
        <v>25</v>
      </c>
    </row>
    <row r="5543" spans="1:19" x14ac:dyDescent="0.25">
      <c r="A5543" s="1">
        <v>5541</v>
      </c>
      <c r="B5543" t="str">
        <f>HYPERLINK("https://www.dasschnelle.at/georg-und-gabriele-stocker-ohg-kies-u-fertigbetonwerk-transport-neuhaus-redinger-straße","Website")</f>
        <v>Website</v>
      </c>
      <c r="C5543" t="str">
        <f>HYPERLINK("https://www.dasschnelle.at/georg-und-gabriele-stocker-ohg-kies-u-fertigbetonwerk-transport-neuhaus-redinger-stra%C3%9Fe","Website")</f>
        <v>Website</v>
      </c>
      <c r="D5543" t="str">
        <f t="shared" si="3"/>
        <v>Location</v>
      </c>
      <c r="E5543" t="s">
        <v>46888</v>
      </c>
      <c r="F5543" t="s">
        <v>46889</v>
      </c>
      <c r="G5543" t="s">
        <v>24282</v>
      </c>
      <c r="H5543" t="s">
        <v>24283</v>
      </c>
      <c r="I5543" t="s">
        <v>25</v>
      </c>
      <c r="J5543" t="s">
        <v>22</v>
      </c>
      <c r="K5543" t="s">
        <v>41741</v>
      </c>
      <c r="L5543" t="s">
        <v>46890</v>
      </c>
      <c r="M5543" t="s">
        <v>25</v>
      </c>
      <c r="N5543" t="s">
        <v>41745</v>
      </c>
      <c r="O5543" t="s">
        <v>25</v>
      </c>
      <c r="P5543" t="s">
        <v>46891</v>
      </c>
      <c r="Q5543" t="s">
        <v>29</v>
      </c>
      <c r="R5543" t="s">
        <v>25</v>
      </c>
      <c r="S5543" t="s">
        <v>25</v>
      </c>
    </row>
    <row r="5544" spans="1:19" x14ac:dyDescent="0.25">
      <c r="A5544" s="1">
        <v>5542</v>
      </c>
      <c r="B5544" t="str">
        <f>HYPERLINK("https://www.dasschnelle.at/pfeiler-s-flug-reisen-gmbh-simbach-innstraße","Website")</f>
        <v>Website</v>
      </c>
      <c r="C5544" t="str">
        <f>HYPERLINK("http://www.reisebuero-pfeiler.de","Website")</f>
        <v>Website</v>
      </c>
      <c r="D5544" t="str">
        <f t="shared" si="3"/>
        <v>Location</v>
      </c>
      <c r="E5544" t="s">
        <v>46892</v>
      </c>
      <c r="F5544" t="s">
        <v>46893</v>
      </c>
      <c r="G5544" t="s">
        <v>17593</v>
      </c>
      <c r="H5544" t="s">
        <v>17594</v>
      </c>
      <c r="I5544" t="s">
        <v>25</v>
      </c>
      <c r="J5544" t="s">
        <v>22</v>
      </c>
      <c r="K5544" t="s">
        <v>46894</v>
      </c>
      <c r="L5544" t="s">
        <v>46895</v>
      </c>
      <c r="M5544" t="s">
        <v>46896</v>
      </c>
      <c r="N5544" t="s">
        <v>46897</v>
      </c>
      <c r="O5544" t="s">
        <v>25</v>
      </c>
      <c r="P5544" t="s">
        <v>46898</v>
      </c>
      <c r="Q5544" t="s">
        <v>29</v>
      </c>
      <c r="R5544" t="s">
        <v>25</v>
      </c>
      <c r="S5544" t="s">
        <v>25</v>
      </c>
    </row>
    <row r="5545" spans="1:19" x14ac:dyDescent="0.25">
      <c r="A5545" s="1">
        <v>5543</v>
      </c>
      <c r="B5545" t="str">
        <f>HYPERLINK("https://www.dasschnelle.at/tischberger-christian-dr-laussa-kirchenplatz","Website")</f>
        <v>Website</v>
      </c>
      <c r="C5545" t="str">
        <f>HYPERLINK("http://www.praxislaussa.at","Website")</f>
        <v>Website</v>
      </c>
      <c r="D5545" t="str">
        <f t="shared" si="3"/>
        <v>Location</v>
      </c>
      <c r="E5545" t="s">
        <v>46899</v>
      </c>
      <c r="F5545" t="s">
        <v>46900</v>
      </c>
      <c r="G5545" t="s">
        <v>262</v>
      </c>
      <c r="H5545" t="s">
        <v>263</v>
      </c>
      <c r="I5545" t="s">
        <v>85</v>
      </c>
      <c r="J5545" t="s">
        <v>22</v>
      </c>
      <c r="K5545" t="s">
        <v>46901</v>
      </c>
      <c r="L5545" t="s">
        <v>46902</v>
      </c>
      <c r="M5545" t="s">
        <v>25</v>
      </c>
      <c r="N5545" t="s">
        <v>46903</v>
      </c>
      <c r="O5545" t="s">
        <v>25</v>
      </c>
      <c r="P5545" t="s">
        <v>46904</v>
      </c>
      <c r="Q5545" t="s">
        <v>29</v>
      </c>
      <c r="R5545" t="s">
        <v>25</v>
      </c>
      <c r="S5545" t="s">
        <v>25</v>
      </c>
    </row>
    <row r="5546" spans="1:19" x14ac:dyDescent="0.25">
      <c r="A5546" s="1">
        <v>5544</v>
      </c>
      <c r="B5546" t="str">
        <f>HYPERLINK("https://www.dasschnelle.at/marker-erich-gesmbh-und-co-kg-pottenstein-bundesstraße","Website")</f>
        <v>Website</v>
      </c>
      <c r="C5546" t="str">
        <f>HYPERLINK("http://www.malerei-marker.at","Website")</f>
        <v>Website</v>
      </c>
      <c r="D5546" t="str">
        <f t="shared" si="3"/>
        <v>Location</v>
      </c>
      <c r="E5546" t="s">
        <v>46905</v>
      </c>
      <c r="F5546" t="s">
        <v>46906</v>
      </c>
      <c r="G5546" t="s">
        <v>24300</v>
      </c>
      <c r="H5546" t="s">
        <v>24301</v>
      </c>
      <c r="I5546" t="s">
        <v>177</v>
      </c>
      <c r="J5546" t="s">
        <v>22</v>
      </c>
      <c r="K5546" t="s">
        <v>46907</v>
      </c>
      <c r="L5546" t="s">
        <v>46908</v>
      </c>
      <c r="M5546" t="s">
        <v>25</v>
      </c>
      <c r="N5546" t="s">
        <v>46909</v>
      </c>
      <c r="O5546" t="s">
        <v>46910</v>
      </c>
      <c r="P5546" t="s">
        <v>46911</v>
      </c>
      <c r="Q5546" t="s">
        <v>29</v>
      </c>
      <c r="R5546" t="s">
        <v>25</v>
      </c>
      <c r="S5546" t="s">
        <v>25</v>
      </c>
    </row>
    <row r="5547" spans="1:19" x14ac:dyDescent="0.25">
      <c r="A5547" s="1">
        <v>5545</v>
      </c>
      <c r="B5547" t="str">
        <f>HYPERLINK("https://www.dasschnelle.at/gasthof-pension-göttler-simbach-pfarrkirchner-straße","Website")</f>
        <v>Website</v>
      </c>
      <c r="C5547" t="str">
        <f>HYPERLINK("http://www.goettler-simbach.de","Website")</f>
        <v>Website</v>
      </c>
      <c r="D5547" t="str">
        <f t="shared" si="3"/>
        <v>Location</v>
      </c>
      <c r="E5547" t="s">
        <v>46912</v>
      </c>
      <c r="F5547" t="s">
        <v>46913</v>
      </c>
      <c r="G5547" t="s">
        <v>17593</v>
      </c>
      <c r="H5547" t="s">
        <v>17594</v>
      </c>
      <c r="I5547" t="s">
        <v>25</v>
      </c>
      <c r="J5547" t="s">
        <v>22</v>
      </c>
      <c r="K5547" t="s">
        <v>46914</v>
      </c>
      <c r="L5547" t="s">
        <v>46915</v>
      </c>
      <c r="M5547" t="s">
        <v>25</v>
      </c>
      <c r="N5547" t="s">
        <v>46916</v>
      </c>
      <c r="O5547" t="s">
        <v>25</v>
      </c>
      <c r="P5547" t="s">
        <v>46917</v>
      </c>
      <c r="Q5547" t="s">
        <v>29</v>
      </c>
      <c r="R5547" t="s">
        <v>25</v>
      </c>
      <c r="S5547" t="s">
        <v>25</v>
      </c>
    </row>
    <row r="5548" spans="1:19" x14ac:dyDescent="0.25">
      <c r="A5548" s="1">
        <v>5546</v>
      </c>
      <c r="B5548" t="str">
        <f>HYPERLINK("https://www.dasschnelle.at/dr-bernhard-distlbacher-gmünd-stadtplatz","Website")</f>
        <v>Website</v>
      </c>
      <c r="C5548" t="str">
        <f>HYPERLINK("http://www.distlbacher.at","Website")</f>
        <v>Website</v>
      </c>
      <c r="D5548" t="str">
        <f t="shared" si="3"/>
        <v>Location</v>
      </c>
      <c r="E5548" t="s">
        <v>46918</v>
      </c>
      <c r="F5548" t="s">
        <v>46919</v>
      </c>
      <c r="G5548" t="s">
        <v>13116</v>
      </c>
      <c r="H5548" t="s">
        <v>13117</v>
      </c>
      <c r="I5548" t="s">
        <v>25</v>
      </c>
      <c r="J5548" t="s">
        <v>22</v>
      </c>
      <c r="K5548" t="s">
        <v>46920</v>
      </c>
      <c r="L5548" t="s">
        <v>46921</v>
      </c>
      <c r="M5548" t="s">
        <v>25</v>
      </c>
      <c r="N5548" t="s">
        <v>46922</v>
      </c>
      <c r="O5548" t="s">
        <v>25</v>
      </c>
      <c r="P5548" t="s">
        <v>46923</v>
      </c>
      <c r="Q5548" t="s">
        <v>29</v>
      </c>
      <c r="R5548" t="s">
        <v>25</v>
      </c>
      <c r="S5548" t="s">
        <v>25</v>
      </c>
    </row>
    <row r="5549" spans="1:19" x14ac:dyDescent="0.25">
      <c r="A5549" s="1">
        <v>5547</v>
      </c>
      <c r="B5549" t="str">
        <f>HYPERLINK("https://www.dasschnelle.at/zirngast-kfz-ges-m-b-h-nfg-kg-leibnitz-grazer-straße","Website")</f>
        <v>Website</v>
      </c>
      <c r="C5549" t="str">
        <f>HYPERLINK("http://www.kfz-zirngast.com","Website")</f>
        <v>Website</v>
      </c>
      <c r="D5549" t="str">
        <f t="shared" si="3"/>
        <v>Location</v>
      </c>
      <c r="E5549" t="s">
        <v>46924</v>
      </c>
      <c r="F5549" t="s">
        <v>46925</v>
      </c>
      <c r="G5549" t="s">
        <v>1013</v>
      </c>
      <c r="H5549" t="s">
        <v>1023</v>
      </c>
      <c r="I5549" t="s">
        <v>451</v>
      </c>
      <c r="J5549" t="s">
        <v>22</v>
      </c>
      <c r="K5549" t="s">
        <v>46926</v>
      </c>
      <c r="L5549" t="s">
        <v>46927</v>
      </c>
      <c r="M5549" t="s">
        <v>25</v>
      </c>
      <c r="N5549" t="s">
        <v>46928</v>
      </c>
      <c r="O5549" t="s">
        <v>25</v>
      </c>
      <c r="P5549" t="s">
        <v>46929</v>
      </c>
      <c r="Q5549" t="s">
        <v>29</v>
      </c>
      <c r="R5549" t="s">
        <v>25</v>
      </c>
      <c r="S5549" t="s">
        <v>25</v>
      </c>
    </row>
    <row r="5550" spans="1:19" x14ac:dyDescent="0.25">
      <c r="A5550" s="1">
        <v>5548</v>
      </c>
      <c r="B5550" t="str">
        <f>HYPERLINK("https://www.dasschnelle.at/robert-pomberger-mariazell-friedhofgasse","Website")</f>
        <v>Website</v>
      </c>
      <c r="C5550" t="str">
        <f>HYPERLINK("http://www.waldland.de","Website")</f>
        <v>Website</v>
      </c>
      <c r="D5550" t="str">
        <f t="shared" si="3"/>
        <v>Location</v>
      </c>
      <c r="E5550" t="s">
        <v>46930</v>
      </c>
      <c r="F5550" t="s">
        <v>46931</v>
      </c>
      <c r="G5550" t="s">
        <v>12529</v>
      </c>
      <c r="H5550" t="s">
        <v>24696</v>
      </c>
      <c r="I5550" t="s">
        <v>25</v>
      </c>
      <c r="J5550" t="s">
        <v>22</v>
      </c>
      <c r="K5550" t="s">
        <v>24695</v>
      </c>
      <c r="L5550" t="s">
        <v>46932</v>
      </c>
      <c r="M5550" t="s">
        <v>25</v>
      </c>
      <c r="N5550" t="s">
        <v>46933</v>
      </c>
      <c r="O5550" t="s">
        <v>25</v>
      </c>
      <c r="P5550" t="s">
        <v>46934</v>
      </c>
      <c r="Q5550" t="s">
        <v>29</v>
      </c>
      <c r="R5550" t="s">
        <v>25</v>
      </c>
      <c r="S5550" t="s">
        <v>25</v>
      </c>
    </row>
    <row r="5551" spans="1:19" x14ac:dyDescent="0.25">
      <c r="A5551" s="1">
        <v>5549</v>
      </c>
      <c r="B5551" t="str">
        <f>HYPERLINK("https://www.dasschnelle.at/notariat-schärding-schärding-innere-stadt-innbruckstraße","Website")</f>
        <v>Website</v>
      </c>
      <c r="C5551" t="str">
        <f>HYPERLINK("http://www.notariat-schaerding.at","Website")</f>
        <v>Website</v>
      </c>
      <c r="D5551" t="str">
        <f t="shared" si="3"/>
        <v>Location</v>
      </c>
      <c r="E5551" t="s">
        <v>46935</v>
      </c>
      <c r="F5551" t="s">
        <v>46936</v>
      </c>
      <c r="G5551" t="s">
        <v>8850</v>
      </c>
      <c r="H5551" t="s">
        <v>8859</v>
      </c>
      <c r="I5551" t="s">
        <v>85</v>
      </c>
      <c r="J5551" t="s">
        <v>22</v>
      </c>
      <c r="K5551" t="s">
        <v>46937</v>
      </c>
      <c r="L5551" t="s">
        <v>46938</v>
      </c>
      <c r="M5551" t="s">
        <v>25</v>
      </c>
      <c r="N5551" t="s">
        <v>46939</v>
      </c>
      <c r="O5551" t="s">
        <v>46940</v>
      </c>
      <c r="P5551" t="s">
        <v>46941</v>
      </c>
      <c r="Q5551" t="s">
        <v>29</v>
      </c>
      <c r="R5551" t="s">
        <v>25</v>
      </c>
      <c r="S5551" t="s">
        <v>25</v>
      </c>
    </row>
    <row r="5552" spans="1:19" x14ac:dyDescent="0.25">
      <c r="A5552" s="1">
        <v>5550</v>
      </c>
      <c r="B5552" t="str">
        <f>HYPERLINK("https://www.dasschnelle.at/riedl-bau-marchtrenk-nelkenstraße","Website")</f>
        <v>Website</v>
      </c>
      <c r="C5552" t="str">
        <f>HYPERLINK("http://www.riedl-bau.at","Website")</f>
        <v>Website</v>
      </c>
      <c r="D5552" t="str">
        <f t="shared" si="3"/>
        <v>Location</v>
      </c>
      <c r="E5552" t="s">
        <v>46942</v>
      </c>
      <c r="F5552" t="s">
        <v>46943</v>
      </c>
      <c r="G5552" t="s">
        <v>4902</v>
      </c>
      <c r="H5552" t="s">
        <v>7155</v>
      </c>
      <c r="I5552" t="s">
        <v>25</v>
      </c>
      <c r="J5552" t="s">
        <v>22</v>
      </c>
      <c r="K5552" t="s">
        <v>46944</v>
      </c>
      <c r="L5552" t="s">
        <v>46945</v>
      </c>
      <c r="M5552" t="s">
        <v>25</v>
      </c>
      <c r="N5552" t="s">
        <v>46946</v>
      </c>
      <c r="O5552" t="s">
        <v>46947</v>
      </c>
      <c r="P5552" t="s">
        <v>697</v>
      </c>
      <c r="Q5552" t="s">
        <v>29</v>
      </c>
      <c r="R5552" t="s">
        <v>25</v>
      </c>
      <c r="S5552" t="s">
        <v>25</v>
      </c>
    </row>
    <row r="5553" spans="1:19" x14ac:dyDescent="0.25">
      <c r="A5553" s="1">
        <v>5551</v>
      </c>
      <c r="B5553" t="str">
        <f>HYPERLINK("https://www.dasschnelle.at/volkshochschule-baden-baden-johannesgasse","Website")</f>
        <v>Website</v>
      </c>
      <c r="C5553" t="str">
        <f>HYPERLINK("http://www.vhs-baden.at","Website")</f>
        <v>Website</v>
      </c>
      <c r="D5553" t="str">
        <f t="shared" si="3"/>
        <v>Location</v>
      </c>
      <c r="E5553" t="s">
        <v>46948</v>
      </c>
      <c r="F5553" t="s">
        <v>46949</v>
      </c>
      <c r="G5553" t="s">
        <v>1979</v>
      </c>
      <c r="H5553" t="s">
        <v>1980</v>
      </c>
      <c r="I5553" t="s">
        <v>177</v>
      </c>
      <c r="J5553" t="s">
        <v>22</v>
      </c>
      <c r="K5553" t="s">
        <v>46950</v>
      </c>
      <c r="L5553" t="s">
        <v>46951</v>
      </c>
      <c r="M5553" t="s">
        <v>25</v>
      </c>
      <c r="N5553" t="s">
        <v>46952</v>
      </c>
      <c r="O5553" t="s">
        <v>46953</v>
      </c>
      <c r="P5553" t="s">
        <v>46954</v>
      </c>
      <c r="Q5553" t="s">
        <v>29</v>
      </c>
      <c r="R5553" t="s">
        <v>25</v>
      </c>
      <c r="S5553" t="s">
        <v>25</v>
      </c>
    </row>
    <row r="5554" spans="1:19" x14ac:dyDescent="0.25">
      <c r="A5554" s="1">
        <v>5552</v>
      </c>
      <c r="B5554" t="str">
        <f>HYPERLINK("https://www.dasschnelle.at/zirngast-kfz-gmbh-nfg-keg-neutillmitsch-grazerstrasse","Website")</f>
        <v>Website</v>
      </c>
      <c r="C5554" t="str">
        <f>HYPERLINK("http://www.kfz-zirngast.com","Website")</f>
        <v>Website</v>
      </c>
      <c r="D5554" t="str">
        <f t="shared" si="3"/>
        <v>Location</v>
      </c>
      <c r="E5554" t="s">
        <v>46955</v>
      </c>
      <c r="F5554" t="s">
        <v>46956</v>
      </c>
      <c r="G5554" t="s">
        <v>1003</v>
      </c>
      <c r="H5554" t="s">
        <v>46958</v>
      </c>
      <c r="I5554" t="s">
        <v>451</v>
      </c>
      <c r="J5554" t="s">
        <v>22</v>
      </c>
      <c r="K5554" t="s">
        <v>46957</v>
      </c>
      <c r="L5554" t="s">
        <v>46927</v>
      </c>
      <c r="M5554" t="s">
        <v>25</v>
      </c>
      <c r="N5554" t="s">
        <v>46928</v>
      </c>
      <c r="O5554" t="s">
        <v>25</v>
      </c>
      <c r="P5554" t="s">
        <v>697</v>
      </c>
      <c r="Q5554" t="s">
        <v>29</v>
      </c>
      <c r="R5554" t="s">
        <v>25</v>
      </c>
      <c r="S5554" t="s">
        <v>25</v>
      </c>
    </row>
    <row r="5555" spans="1:19" x14ac:dyDescent="0.25">
      <c r="A5555" s="1">
        <v>5553</v>
      </c>
      <c r="B5555" t="str">
        <f>HYPERLINK("https://www.dasschnelle.at/malermeister-pils-gmbh-freistadt-schützengasse","Website")</f>
        <v>Website</v>
      </c>
      <c r="C5555" t="str">
        <f>HYPERLINK("http://www.malerpils.at","Website")</f>
        <v>Website</v>
      </c>
      <c r="D5555" t="str">
        <f t="shared" si="3"/>
        <v>Location</v>
      </c>
      <c r="E5555" t="s">
        <v>46959</v>
      </c>
      <c r="F5555" t="s">
        <v>46960</v>
      </c>
      <c r="G5555" t="s">
        <v>6891</v>
      </c>
      <c r="H5555" t="s">
        <v>6892</v>
      </c>
      <c r="I5555" t="s">
        <v>25</v>
      </c>
      <c r="J5555" t="s">
        <v>22</v>
      </c>
      <c r="K5555" t="s">
        <v>46961</v>
      </c>
      <c r="L5555" t="s">
        <v>46962</v>
      </c>
      <c r="M5555" t="s">
        <v>25</v>
      </c>
      <c r="N5555" t="s">
        <v>46963</v>
      </c>
      <c r="O5555" t="s">
        <v>46964</v>
      </c>
      <c r="P5555" t="s">
        <v>46965</v>
      </c>
      <c r="Q5555" t="s">
        <v>29</v>
      </c>
      <c r="R5555" t="s">
        <v>25</v>
      </c>
      <c r="S555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Hasan Hüseyin YÜCEL</cp:lastModifiedBy>
  <dcterms:created xsi:type="dcterms:W3CDTF">2022-12-10T09:00:42Z</dcterms:created>
  <dcterms:modified xsi:type="dcterms:W3CDTF">2022-12-10T09:17:47Z</dcterms:modified>
</cp:coreProperties>
</file>